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4240" windowHeight="13140"/>
  </bookViews>
  <sheets>
    <sheet name="Sheet3" sheetId="6" r:id="rId1"/>
  </sheets>
  <externalReferences>
    <externalReference r:id="rId2"/>
    <externalReference r:id="rId3"/>
  </externalReferences>
  <definedNames>
    <definedName name="_xlnm.Print_Titles" localSheetId="0">Sheet3!$191:$193</definedName>
  </definedNames>
  <calcPr calcId="114210" fullCalcOnLoad="1"/>
</workbook>
</file>

<file path=xl/calcChain.xml><?xml version="1.0" encoding="utf-8"?>
<calcChain xmlns="http://schemas.openxmlformats.org/spreadsheetml/2006/main">
  <c r="BC1219" i="6"/>
  <c r="BB1219"/>
  <c r="BA1219"/>
  <c r="AZ1219"/>
  <c r="AY1219"/>
  <c r="AX1219"/>
  <c r="AO1219"/>
  <c r="AL1219"/>
  <c r="BC1218"/>
  <c r="BB1218"/>
  <c r="BA1218"/>
  <c r="AZ1218"/>
  <c r="AY1218"/>
  <c r="AX1218"/>
  <c r="AO1218"/>
  <c r="AL1218"/>
  <c r="BC1217"/>
  <c r="BB1217"/>
  <c r="BA1217"/>
  <c r="AZ1217"/>
  <c r="AY1217"/>
  <c r="AX1217"/>
  <c r="AO1217"/>
  <c r="AL1217"/>
  <c r="AJ1217"/>
  <c r="Z1217"/>
  <c r="O1217"/>
  <c r="O1216"/>
  <c r="M1217"/>
  <c r="M1216"/>
  <c r="M1215"/>
  <c r="M1214"/>
  <c r="M1212"/>
  <c r="BC1216"/>
  <c r="AU1216"/>
  <c r="AT1216"/>
  <c r="AR1216"/>
  <c r="AR1215"/>
  <c r="AR1214"/>
  <c r="AR1212"/>
  <c r="AP1216"/>
  <c r="AO1216"/>
  <c r="AC1216"/>
  <c r="AC1215"/>
  <c r="AC1214"/>
  <c r="AC1212"/>
  <c r="AB1216"/>
  <c r="AB1215"/>
  <c r="AB1214"/>
  <c r="AB1212"/>
  <c r="Z1216"/>
  <c r="Y1216"/>
  <c r="Y1215"/>
  <c r="Y1214"/>
  <c r="Y1212"/>
  <c r="X1216"/>
  <c r="AL1216"/>
  <c r="W1216"/>
  <c r="W1215"/>
  <c r="V1216"/>
  <c r="V1215"/>
  <c r="V1214"/>
  <c r="S1216"/>
  <c r="S1215"/>
  <c r="S1214"/>
  <c r="S1212"/>
  <c r="R1216"/>
  <c r="R1215"/>
  <c r="R1214"/>
  <c r="R1212"/>
  <c r="Q1216"/>
  <c r="Q1215"/>
  <c r="Q1214"/>
  <c r="Q1212"/>
  <c r="P1216"/>
  <c r="P1215"/>
  <c r="N1216"/>
  <c r="N1215"/>
  <c r="N1214"/>
  <c r="N1212"/>
  <c r="L1216"/>
  <c r="L1215"/>
  <c r="L1214"/>
  <c r="L1212"/>
  <c r="BC1215"/>
  <c r="AP1215"/>
  <c r="AP1214"/>
  <c r="AP1212"/>
  <c r="AO1215"/>
  <c r="Z1215"/>
  <c r="O1215"/>
  <c r="BC1214"/>
  <c r="AO1214"/>
  <c r="Z1214"/>
  <c r="BC1213"/>
  <c r="BB1213"/>
  <c r="BA1213"/>
  <c r="AZ1213"/>
  <c r="AY1213"/>
  <c r="AX1213"/>
  <c r="AO1213"/>
  <c r="Z1213"/>
  <c r="BC1212"/>
  <c r="AO1212"/>
  <c r="Z1212"/>
  <c r="V1212"/>
  <c r="BC1211"/>
  <c r="BB1211"/>
  <c r="BA1211"/>
  <c r="AZ1211"/>
  <c r="AY1211"/>
  <c r="AX1211"/>
  <c r="AO1211"/>
  <c r="Z1211"/>
  <c r="BC1210"/>
  <c r="BB1210"/>
  <c r="BA1210"/>
  <c r="AZ1210"/>
  <c r="AY1210"/>
  <c r="AX1210"/>
  <c r="AO1210"/>
  <c r="AL1210"/>
  <c r="AK1210"/>
  <c r="AJ1210"/>
  <c r="Z1210"/>
  <c r="BC1209"/>
  <c r="AU1209"/>
  <c r="AT1209"/>
  <c r="AR1209"/>
  <c r="AP1209"/>
  <c r="AO1209"/>
  <c r="AC1209"/>
  <c r="AB1209"/>
  <c r="Z1209"/>
  <c r="Y1209"/>
  <c r="X1209"/>
  <c r="W1209"/>
  <c r="V1209"/>
  <c r="S1209"/>
  <c r="R1209"/>
  <c r="R1204"/>
  <c r="R1203"/>
  <c r="R1201"/>
  <c r="Q1209"/>
  <c r="P1209"/>
  <c r="O1209"/>
  <c r="N1209"/>
  <c r="M1209"/>
  <c r="L1209"/>
  <c r="BC1208"/>
  <c r="BB1208"/>
  <c r="BA1208"/>
  <c r="AZ1208"/>
  <c r="AY1208"/>
  <c r="AX1208"/>
  <c r="AO1208"/>
  <c r="AL1208"/>
  <c r="AJ1208"/>
  <c r="Z1208"/>
  <c r="O1208"/>
  <c r="O1206"/>
  <c r="O1204"/>
  <c r="O1203"/>
  <c r="O1201"/>
  <c r="BC1207"/>
  <c r="BB1207"/>
  <c r="BA1207"/>
  <c r="AZ1207"/>
  <c r="AY1207"/>
  <c r="AX1207"/>
  <c r="AO1207"/>
  <c r="AL1207"/>
  <c r="AK1207"/>
  <c r="Z1207"/>
  <c r="O1207"/>
  <c r="AE1207"/>
  <c r="BC1206"/>
  <c r="AU1206"/>
  <c r="AT1206"/>
  <c r="AT1204"/>
  <c r="AR1206"/>
  <c r="AR1204"/>
  <c r="AR1203"/>
  <c r="AR1201"/>
  <c r="AP1206"/>
  <c r="AO1206"/>
  <c r="AC1206"/>
  <c r="AB1206"/>
  <c r="Z1206"/>
  <c r="Y1206"/>
  <c r="X1206"/>
  <c r="X1204"/>
  <c r="X1203"/>
  <c r="X1201"/>
  <c r="W1206"/>
  <c r="W1204"/>
  <c r="W1203"/>
  <c r="W1201"/>
  <c r="V1206"/>
  <c r="S1206"/>
  <c r="R1206"/>
  <c r="Q1206"/>
  <c r="P1206"/>
  <c r="N1206"/>
  <c r="N1204"/>
  <c r="N1203"/>
  <c r="N1201"/>
  <c r="M1206"/>
  <c r="M1204"/>
  <c r="M1203"/>
  <c r="M1201"/>
  <c r="L1206"/>
  <c r="BC1205"/>
  <c r="BB1205"/>
  <c r="BA1205"/>
  <c r="AZ1205"/>
  <c r="AY1205"/>
  <c r="AX1205"/>
  <c r="AO1205"/>
  <c r="Z1205"/>
  <c r="BC1204"/>
  <c r="AO1204"/>
  <c r="Z1204"/>
  <c r="BC1203"/>
  <c r="AO1203"/>
  <c r="Z1203"/>
  <c r="BC1202"/>
  <c r="BB1202"/>
  <c r="BA1202"/>
  <c r="AZ1202"/>
  <c r="AY1202"/>
  <c r="AX1202"/>
  <c r="AO1202"/>
  <c r="Z1202"/>
  <c r="BC1201"/>
  <c r="AO1201"/>
  <c r="Z1201"/>
  <c r="BC1200"/>
  <c r="BB1200"/>
  <c r="BA1200"/>
  <c r="AZ1200"/>
  <c r="AY1200"/>
  <c r="AX1200"/>
  <c r="AO1200"/>
  <c r="Z1200"/>
  <c r="BC1199"/>
  <c r="BB1199"/>
  <c r="BA1199"/>
  <c r="AZ1199"/>
  <c r="AY1199"/>
  <c r="AX1199"/>
  <c r="AO1199"/>
  <c r="AL1199"/>
  <c r="AK1199"/>
  <c r="AJ1199"/>
  <c r="AG1199"/>
  <c r="AF1199"/>
  <c r="Z1199"/>
  <c r="O1199"/>
  <c r="AE1199"/>
  <c r="M1199"/>
  <c r="BC1198"/>
  <c r="BB1198"/>
  <c r="AU1198"/>
  <c r="BA1198"/>
  <c r="AT1198"/>
  <c r="AR1198"/>
  <c r="AP1198"/>
  <c r="AO1198"/>
  <c r="AC1198"/>
  <c r="AB1198"/>
  <c r="Z1198"/>
  <c r="Y1198"/>
  <c r="X1198"/>
  <c r="W1198"/>
  <c r="V1198"/>
  <c r="S1198"/>
  <c r="R1198"/>
  <c r="Q1198"/>
  <c r="AF1198"/>
  <c r="P1198"/>
  <c r="N1198"/>
  <c r="M1198"/>
  <c r="L1198"/>
  <c r="BC1197"/>
  <c r="BB1197"/>
  <c r="BA1197"/>
  <c r="AZ1197"/>
  <c r="AY1197"/>
  <c r="AX1197"/>
  <c r="AO1197"/>
  <c r="Z1197"/>
  <c r="BC1196"/>
  <c r="BB1196"/>
  <c r="BA1196"/>
  <c r="AZ1196"/>
  <c r="AY1196"/>
  <c r="AX1196"/>
  <c r="AO1196"/>
  <c r="AL1196"/>
  <c r="AK1196"/>
  <c r="AJ1196"/>
  <c r="AG1196"/>
  <c r="AF1196"/>
  <c r="Z1196"/>
  <c r="O1196"/>
  <c r="M1196"/>
  <c r="BC1195"/>
  <c r="BB1195"/>
  <c r="BA1195"/>
  <c r="AZ1195"/>
  <c r="AY1195"/>
  <c r="AX1195"/>
  <c r="AO1195"/>
  <c r="AL1195"/>
  <c r="AK1195"/>
  <c r="AJ1195"/>
  <c r="AG1195"/>
  <c r="AF1195"/>
  <c r="Z1195"/>
  <c r="O1195"/>
  <c r="AE1195"/>
  <c r="M1195"/>
  <c r="BC1194"/>
  <c r="AU1194"/>
  <c r="AT1194"/>
  <c r="AR1194"/>
  <c r="AP1194"/>
  <c r="AO1194"/>
  <c r="AC1194"/>
  <c r="AB1194"/>
  <c r="AB1193"/>
  <c r="Z1194"/>
  <c r="Y1194"/>
  <c r="X1194"/>
  <c r="X1193"/>
  <c r="X1192"/>
  <c r="X1190"/>
  <c r="W1194"/>
  <c r="V1194"/>
  <c r="S1194"/>
  <c r="R1194"/>
  <c r="Q1194"/>
  <c r="P1194"/>
  <c r="P1193"/>
  <c r="N1194"/>
  <c r="N1193"/>
  <c r="N1192"/>
  <c r="N1190"/>
  <c r="L1194"/>
  <c r="BC1193"/>
  <c r="AO1193"/>
  <c r="Z1193"/>
  <c r="BC1192"/>
  <c r="AO1192"/>
  <c r="Z1192"/>
  <c r="BC1191"/>
  <c r="BB1191"/>
  <c r="BA1191"/>
  <c r="AZ1191"/>
  <c r="AY1191"/>
  <c r="AX1191"/>
  <c r="AO1191"/>
  <c r="Z1191"/>
  <c r="BC1190"/>
  <c r="AO1190"/>
  <c r="Z1190"/>
  <c r="BC1189"/>
  <c r="BB1189"/>
  <c r="BA1189"/>
  <c r="AZ1189"/>
  <c r="AY1189"/>
  <c r="AX1189"/>
  <c r="AO1189"/>
  <c r="AJ1189"/>
  <c r="Z1189"/>
  <c r="O1189"/>
  <c r="BC1188"/>
  <c r="BB1188"/>
  <c r="BA1188"/>
  <c r="AZ1188"/>
  <c r="AY1188"/>
  <c r="AX1188"/>
  <c r="AO1188"/>
  <c r="Z1188"/>
  <c r="O1188"/>
  <c r="M1188"/>
  <c r="BC1187"/>
  <c r="BB1187"/>
  <c r="BA1187"/>
  <c r="AZ1187"/>
  <c r="AY1187"/>
  <c r="AX1187"/>
  <c r="AO1187"/>
  <c r="Z1187"/>
  <c r="BC1186"/>
  <c r="BB1186"/>
  <c r="BA1186"/>
  <c r="AZ1186"/>
  <c r="AY1186"/>
  <c r="AX1186"/>
  <c r="AO1186"/>
  <c r="Z1186"/>
  <c r="BC1185"/>
  <c r="AU1185"/>
  <c r="AT1185"/>
  <c r="AR1185"/>
  <c r="AR1184"/>
  <c r="AR1183"/>
  <c r="AR1181"/>
  <c r="AP1185"/>
  <c r="AP1184"/>
  <c r="AP1183"/>
  <c r="AP1181"/>
  <c r="AO1185"/>
  <c r="AC1185"/>
  <c r="AB1185"/>
  <c r="Z1185"/>
  <c r="Y1185"/>
  <c r="Y1184"/>
  <c r="Y1183"/>
  <c r="Y1181"/>
  <c r="X1185"/>
  <c r="X1184"/>
  <c r="X1183"/>
  <c r="X1181"/>
  <c r="W1185"/>
  <c r="AJ1185"/>
  <c r="V1185"/>
  <c r="S1185"/>
  <c r="S1184"/>
  <c r="S1183"/>
  <c r="R1185"/>
  <c r="Q1185"/>
  <c r="Q1184"/>
  <c r="Q1183"/>
  <c r="Q1181"/>
  <c r="P1185"/>
  <c r="N1185"/>
  <c r="N1184"/>
  <c r="N1183"/>
  <c r="N1181"/>
  <c r="L1185"/>
  <c r="L1184"/>
  <c r="L1183"/>
  <c r="L1181"/>
  <c r="BC1184"/>
  <c r="AO1184"/>
  <c r="AC1184"/>
  <c r="AC1183"/>
  <c r="AC1181"/>
  <c r="Z1184"/>
  <c r="V1184"/>
  <c r="V1183"/>
  <c r="V1181"/>
  <c r="R1184"/>
  <c r="R1183"/>
  <c r="R1181"/>
  <c r="BC1183"/>
  <c r="AO1183"/>
  <c r="Z1183"/>
  <c r="BC1182"/>
  <c r="BB1182"/>
  <c r="BA1182"/>
  <c r="AZ1182"/>
  <c r="AY1182"/>
  <c r="AX1182"/>
  <c r="AO1182"/>
  <c r="Z1182"/>
  <c r="BC1181"/>
  <c r="AO1181"/>
  <c r="Z1181"/>
  <c r="S1181"/>
  <c r="BC1180"/>
  <c r="BB1180"/>
  <c r="BA1180"/>
  <c r="AZ1180"/>
  <c r="AY1180"/>
  <c r="AX1180"/>
  <c r="AO1180"/>
  <c r="Z1180"/>
  <c r="BC1179"/>
  <c r="BB1179"/>
  <c r="BA1179"/>
  <c r="AZ1179"/>
  <c r="AY1179"/>
  <c r="AX1179"/>
  <c r="AO1179"/>
  <c r="Z1179"/>
  <c r="O1179"/>
  <c r="BC1178"/>
  <c r="BB1178"/>
  <c r="BA1178"/>
  <c r="AZ1178"/>
  <c r="AY1178"/>
  <c r="AX1178"/>
  <c r="AO1178"/>
  <c r="Z1178"/>
  <c r="O1178"/>
  <c r="BC1177"/>
  <c r="BB1177"/>
  <c r="BA1177"/>
  <c r="AZ1177"/>
  <c r="AY1177"/>
  <c r="AX1177"/>
  <c r="AO1177"/>
  <c r="AL1177"/>
  <c r="AK1177"/>
  <c r="AJ1177"/>
  <c r="AG1177"/>
  <c r="Z1177"/>
  <c r="O1177"/>
  <c r="BC1176"/>
  <c r="BB1176"/>
  <c r="BA1176"/>
  <c r="AZ1176"/>
  <c r="AY1176"/>
  <c r="AX1176"/>
  <c r="AO1176"/>
  <c r="Z1176"/>
  <c r="O1176"/>
  <c r="BC1175"/>
  <c r="AU1175"/>
  <c r="BA1175"/>
  <c r="AT1175"/>
  <c r="AT1174"/>
  <c r="AT1173"/>
  <c r="AT1171"/>
  <c r="AR1175"/>
  <c r="AR1174"/>
  <c r="AR1173"/>
  <c r="AR1171"/>
  <c r="AP1175"/>
  <c r="AP1174"/>
  <c r="AP1173"/>
  <c r="AP1171"/>
  <c r="AO1175"/>
  <c r="AC1175"/>
  <c r="AB1175"/>
  <c r="Z1175"/>
  <c r="Y1175"/>
  <c r="Y1174"/>
  <c r="Y1173"/>
  <c r="Y1171"/>
  <c r="X1175"/>
  <c r="X1174"/>
  <c r="X1173"/>
  <c r="X1171"/>
  <c r="W1175"/>
  <c r="V1175"/>
  <c r="V1174"/>
  <c r="V1173"/>
  <c r="V1171"/>
  <c r="S1175"/>
  <c r="R1175"/>
  <c r="R1174"/>
  <c r="R1173"/>
  <c r="R1171"/>
  <c r="Q1175"/>
  <c r="Q1174"/>
  <c r="P1175"/>
  <c r="N1175"/>
  <c r="N1174"/>
  <c r="N1173"/>
  <c r="N1171"/>
  <c r="M1175"/>
  <c r="M1174"/>
  <c r="M1173"/>
  <c r="M1171"/>
  <c r="L1175"/>
  <c r="L1174"/>
  <c r="L1173"/>
  <c r="L1171"/>
  <c r="BC1174"/>
  <c r="AO1174"/>
  <c r="AC1174"/>
  <c r="AC1173"/>
  <c r="AC1171"/>
  <c r="AB1174"/>
  <c r="AB1173"/>
  <c r="AB1171"/>
  <c r="Z1174"/>
  <c r="S1174"/>
  <c r="S1173"/>
  <c r="S1171"/>
  <c r="P1174"/>
  <c r="P1173"/>
  <c r="BC1173"/>
  <c r="AO1173"/>
  <c r="Z1173"/>
  <c r="BC1172"/>
  <c r="BB1172"/>
  <c r="BA1172"/>
  <c r="AZ1172"/>
  <c r="AY1172"/>
  <c r="AX1172"/>
  <c r="AO1172"/>
  <c r="Z1172"/>
  <c r="BC1171"/>
  <c r="AO1171"/>
  <c r="Z1171"/>
  <c r="BC1170"/>
  <c r="BB1170"/>
  <c r="BA1170"/>
  <c r="AZ1170"/>
  <c r="AY1170"/>
  <c r="AX1170"/>
  <c r="AO1170"/>
  <c r="Z1170"/>
  <c r="BC1169"/>
  <c r="BB1169"/>
  <c r="BA1169"/>
  <c r="AZ1169"/>
  <c r="AY1169"/>
  <c r="AX1169"/>
  <c r="AO1169"/>
  <c r="AL1169"/>
  <c r="AK1169"/>
  <c r="AJ1169"/>
  <c r="AG1169"/>
  <c r="AF1169"/>
  <c r="Z1169"/>
  <c r="O1169"/>
  <c r="M1169"/>
  <c r="BC1168"/>
  <c r="AU1168"/>
  <c r="AT1168"/>
  <c r="AR1168"/>
  <c r="AR1167"/>
  <c r="AP1168"/>
  <c r="AP1167"/>
  <c r="AO1168"/>
  <c r="AC1168"/>
  <c r="AC1167"/>
  <c r="AB1168"/>
  <c r="AB1167"/>
  <c r="Z1168"/>
  <c r="Y1168"/>
  <c r="Y1167"/>
  <c r="X1168"/>
  <c r="X1167"/>
  <c r="W1168"/>
  <c r="V1168"/>
  <c r="V1167"/>
  <c r="S1168"/>
  <c r="S1167"/>
  <c r="R1168"/>
  <c r="R1167"/>
  <c r="Q1168"/>
  <c r="Q1167"/>
  <c r="P1168"/>
  <c r="P1167"/>
  <c r="N1168"/>
  <c r="N1167"/>
  <c r="M1168"/>
  <c r="M1167"/>
  <c r="L1168"/>
  <c r="L1167"/>
  <c r="BC1167"/>
  <c r="AO1167"/>
  <c r="Z1167"/>
  <c r="BC1166"/>
  <c r="BB1166"/>
  <c r="BA1166"/>
  <c r="AZ1166"/>
  <c r="AY1166"/>
  <c r="AX1166"/>
  <c r="AO1166"/>
  <c r="Z1166"/>
  <c r="BC1165"/>
  <c r="BB1165"/>
  <c r="BA1165"/>
  <c r="AZ1165"/>
  <c r="AY1165"/>
  <c r="AX1165"/>
  <c r="AO1165"/>
  <c r="AL1165"/>
  <c r="AK1165"/>
  <c r="AJ1165"/>
  <c r="Z1165"/>
  <c r="O1165"/>
  <c r="M1165"/>
  <c r="BC1164"/>
  <c r="BB1164"/>
  <c r="BA1164"/>
  <c r="AZ1164"/>
  <c r="AY1164"/>
  <c r="AX1164"/>
  <c r="AO1164"/>
  <c r="AL1164"/>
  <c r="AK1164"/>
  <c r="AJ1164"/>
  <c r="AG1164"/>
  <c r="AF1164"/>
  <c r="Z1164"/>
  <c r="O1164"/>
  <c r="M1164"/>
  <c r="BC1163"/>
  <c r="BB1163"/>
  <c r="BA1163"/>
  <c r="AZ1163"/>
  <c r="AY1163"/>
  <c r="AX1163"/>
  <c r="AO1163"/>
  <c r="AL1163"/>
  <c r="AK1163"/>
  <c r="AJ1163"/>
  <c r="AG1163"/>
  <c r="AF1163"/>
  <c r="Z1163"/>
  <c r="O1163"/>
  <c r="AE1163"/>
  <c r="M1163"/>
  <c r="BC1162"/>
  <c r="AU1162"/>
  <c r="BA1162"/>
  <c r="AT1162"/>
  <c r="AY1162"/>
  <c r="AR1162"/>
  <c r="AP1162"/>
  <c r="AO1162"/>
  <c r="AC1162"/>
  <c r="AB1162"/>
  <c r="AG1162"/>
  <c r="Z1162"/>
  <c r="Y1162"/>
  <c r="X1162"/>
  <c r="W1162"/>
  <c r="V1162"/>
  <c r="S1162"/>
  <c r="R1162"/>
  <c r="Q1162"/>
  <c r="P1162"/>
  <c r="N1162"/>
  <c r="L1162"/>
  <c r="BC1161"/>
  <c r="BB1161"/>
  <c r="BA1161"/>
  <c r="AZ1161"/>
  <c r="AY1161"/>
  <c r="AX1161"/>
  <c r="AO1161"/>
  <c r="Z1161"/>
  <c r="BC1160"/>
  <c r="BB1160"/>
  <c r="BA1160"/>
  <c r="AZ1160"/>
  <c r="AY1160"/>
  <c r="AX1160"/>
  <c r="AO1160"/>
  <c r="AL1160"/>
  <c r="AK1160"/>
  <c r="AJ1160"/>
  <c r="AG1160"/>
  <c r="AF1160"/>
  <c r="Z1160"/>
  <c r="O1160"/>
  <c r="M1160"/>
  <c r="BC1159"/>
  <c r="BB1159"/>
  <c r="BA1159"/>
  <c r="AZ1159"/>
  <c r="AY1159"/>
  <c r="AX1159"/>
  <c r="AO1159"/>
  <c r="AL1159"/>
  <c r="AK1159"/>
  <c r="AJ1159"/>
  <c r="AG1159"/>
  <c r="AF1159"/>
  <c r="Z1159"/>
  <c r="O1159"/>
  <c r="M1159"/>
  <c r="BC1158"/>
  <c r="BB1158"/>
  <c r="BA1158"/>
  <c r="AZ1158"/>
  <c r="AY1158"/>
  <c r="AX1158"/>
  <c r="AO1158"/>
  <c r="AL1158"/>
  <c r="AK1158"/>
  <c r="AJ1158"/>
  <c r="AG1158"/>
  <c r="AF1158"/>
  <c r="Z1158"/>
  <c r="O1158"/>
  <c r="M1158"/>
  <c r="BC1157"/>
  <c r="BB1157"/>
  <c r="BA1157"/>
  <c r="AZ1157"/>
  <c r="AY1157"/>
  <c r="AX1157"/>
  <c r="AO1157"/>
  <c r="AL1157"/>
  <c r="AK1157"/>
  <c r="AJ1157"/>
  <c r="Z1157"/>
  <c r="O1157"/>
  <c r="BC1156"/>
  <c r="BB1156"/>
  <c r="BA1156"/>
  <c r="AZ1156"/>
  <c r="AY1156"/>
  <c r="AX1156"/>
  <c r="AO1156"/>
  <c r="AL1156"/>
  <c r="AK1156"/>
  <c r="AJ1156"/>
  <c r="Z1156"/>
  <c r="O1156"/>
  <c r="BC1155"/>
  <c r="BB1155"/>
  <c r="BA1155"/>
  <c r="AZ1155"/>
  <c r="AY1155"/>
  <c r="AX1155"/>
  <c r="AO1155"/>
  <c r="AL1155"/>
  <c r="AK1155"/>
  <c r="AJ1155"/>
  <c r="AG1155"/>
  <c r="AF1155"/>
  <c r="Z1155"/>
  <c r="O1155"/>
  <c r="M1155"/>
  <c r="BC1154"/>
  <c r="AU1154"/>
  <c r="BA1154"/>
  <c r="AT1154"/>
  <c r="AR1154"/>
  <c r="AP1154"/>
  <c r="AO1154"/>
  <c r="AC1154"/>
  <c r="AB1154"/>
  <c r="Z1154"/>
  <c r="Y1154"/>
  <c r="X1154"/>
  <c r="W1154"/>
  <c r="V1154"/>
  <c r="S1154"/>
  <c r="R1154"/>
  <c r="Q1154"/>
  <c r="P1154"/>
  <c r="N1154"/>
  <c r="L1154"/>
  <c r="BC1153"/>
  <c r="BB1153"/>
  <c r="BA1153"/>
  <c r="AZ1153"/>
  <c r="AY1153"/>
  <c r="AX1153"/>
  <c r="AO1153"/>
  <c r="Z1153"/>
  <c r="BC1152"/>
  <c r="BB1152"/>
  <c r="BA1152"/>
  <c r="AZ1152"/>
  <c r="AY1152"/>
  <c r="AX1152"/>
  <c r="AO1152"/>
  <c r="AL1152"/>
  <c r="AK1152"/>
  <c r="AJ1152"/>
  <c r="Z1152"/>
  <c r="O1152"/>
  <c r="BC1151"/>
  <c r="BB1151"/>
  <c r="BA1151"/>
  <c r="AZ1151"/>
  <c r="AY1151"/>
  <c r="AX1151"/>
  <c r="AO1151"/>
  <c r="AL1151"/>
  <c r="AK1151"/>
  <c r="AJ1151"/>
  <c r="AG1151"/>
  <c r="AF1151"/>
  <c r="Z1151"/>
  <c r="O1151"/>
  <c r="M1151"/>
  <c r="BC1150"/>
  <c r="BB1150"/>
  <c r="BA1150"/>
  <c r="AZ1150"/>
  <c r="AY1150"/>
  <c r="AX1150"/>
  <c r="AO1150"/>
  <c r="AL1150"/>
  <c r="AK1150"/>
  <c r="AJ1150"/>
  <c r="AG1150"/>
  <c r="AF1150"/>
  <c r="Z1150"/>
  <c r="O1150"/>
  <c r="AE1150"/>
  <c r="M1150"/>
  <c r="BC1149"/>
  <c r="AU1149"/>
  <c r="AT1149"/>
  <c r="AY1149"/>
  <c r="AR1149"/>
  <c r="AP1149"/>
  <c r="AO1149"/>
  <c r="AC1149"/>
  <c r="AB1149"/>
  <c r="Z1149"/>
  <c r="Y1149"/>
  <c r="X1149"/>
  <c r="W1149"/>
  <c r="V1149"/>
  <c r="S1149"/>
  <c r="R1149"/>
  <c r="Q1149"/>
  <c r="P1149"/>
  <c r="N1149"/>
  <c r="M1149"/>
  <c r="L1149"/>
  <c r="BC1148"/>
  <c r="BB1148"/>
  <c r="BA1148"/>
  <c r="AZ1148"/>
  <c r="AY1148"/>
  <c r="AX1148"/>
  <c r="AO1148"/>
  <c r="Z1148"/>
  <c r="BC1147"/>
  <c r="BB1147"/>
  <c r="BA1147"/>
  <c r="AZ1147"/>
  <c r="AY1147"/>
  <c r="AX1147"/>
  <c r="AO1147"/>
  <c r="AL1147"/>
  <c r="AK1147"/>
  <c r="Z1147"/>
  <c r="O1147"/>
  <c r="BC1146"/>
  <c r="BB1146"/>
  <c r="BA1146"/>
  <c r="AZ1146"/>
  <c r="AY1146"/>
  <c r="AX1146"/>
  <c r="AO1146"/>
  <c r="Z1146"/>
  <c r="O1146"/>
  <c r="BC1145"/>
  <c r="BB1145"/>
  <c r="BA1145"/>
  <c r="AZ1145"/>
  <c r="AY1145"/>
  <c r="AX1145"/>
  <c r="AO1145"/>
  <c r="AL1145"/>
  <c r="AK1145"/>
  <c r="AJ1145"/>
  <c r="AG1145"/>
  <c r="AF1145"/>
  <c r="Z1145"/>
  <c r="Z216"/>
  <c r="O1145"/>
  <c r="M1145"/>
  <c r="BC1144"/>
  <c r="BB1144"/>
  <c r="BA1144"/>
  <c r="AZ1144"/>
  <c r="AY1144"/>
  <c r="AX1144"/>
  <c r="AO1144"/>
  <c r="AL1144"/>
  <c r="AK1144"/>
  <c r="AJ1144"/>
  <c r="AG1144"/>
  <c r="AF1144"/>
  <c r="Z1144"/>
  <c r="O1144"/>
  <c r="M1144"/>
  <c r="BC1143"/>
  <c r="AU1143"/>
  <c r="BB1143"/>
  <c r="AT1143"/>
  <c r="AY1143"/>
  <c r="AR1143"/>
  <c r="AP1143"/>
  <c r="AO1143"/>
  <c r="AC1143"/>
  <c r="AC1142"/>
  <c r="AB1143"/>
  <c r="Z1143"/>
  <c r="Y1143"/>
  <c r="X1143"/>
  <c r="AL1143"/>
  <c r="W1143"/>
  <c r="V1143"/>
  <c r="S1143"/>
  <c r="R1143"/>
  <c r="Q1143"/>
  <c r="P1143"/>
  <c r="N1143"/>
  <c r="L1143"/>
  <c r="BC1142"/>
  <c r="AO1142"/>
  <c r="Z1142"/>
  <c r="BC1141"/>
  <c r="BB1141"/>
  <c r="BA1141"/>
  <c r="AZ1141"/>
  <c r="AY1141"/>
  <c r="AX1141"/>
  <c r="AO1141"/>
  <c r="Z1141"/>
  <c r="BC1140"/>
  <c r="BB1140"/>
  <c r="BA1140"/>
  <c r="AZ1140"/>
  <c r="AY1140"/>
  <c r="AX1140"/>
  <c r="AO1140"/>
  <c r="Z1140"/>
  <c r="BC1139"/>
  <c r="BB1139"/>
  <c r="BA1139"/>
  <c r="AZ1139"/>
  <c r="AY1139"/>
  <c r="AX1139"/>
  <c r="AO1139"/>
  <c r="AL1139"/>
  <c r="AK1139"/>
  <c r="AJ1139"/>
  <c r="AG1139"/>
  <c r="AF1139"/>
  <c r="Z1139"/>
  <c r="O1139"/>
  <c r="M1139"/>
  <c r="BC1138"/>
  <c r="AU1138"/>
  <c r="AT1138"/>
  <c r="AR1138"/>
  <c r="AP1138"/>
  <c r="AO1138"/>
  <c r="AC1138"/>
  <c r="AB1138"/>
  <c r="Z1138"/>
  <c r="Y1138"/>
  <c r="X1138"/>
  <c r="W1138"/>
  <c r="V1138"/>
  <c r="S1138"/>
  <c r="R1138"/>
  <c r="Q1138"/>
  <c r="P1138"/>
  <c r="N1138"/>
  <c r="M1138"/>
  <c r="L1138"/>
  <c r="BC1137"/>
  <c r="BB1137"/>
  <c r="BA1137"/>
  <c r="AZ1137"/>
  <c r="AY1137"/>
  <c r="AX1137"/>
  <c r="AO1137"/>
  <c r="Z1137"/>
  <c r="BC1136"/>
  <c r="BB1136"/>
  <c r="BA1136"/>
  <c r="AZ1136"/>
  <c r="AY1136"/>
  <c r="AX1136"/>
  <c r="AO1136"/>
  <c r="AL1136"/>
  <c r="AK1136"/>
  <c r="AJ1136"/>
  <c r="AG1136"/>
  <c r="AF1136"/>
  <c r="Z1136"/>
  <c r="O1136"/>
  <c r="AE1136"/>
  <c r="M1136"/>
  <c r="M1135"/>
  <c r="BC1135"/>
  <c r="AU1135"/>
  <c r="BB1135"/>
  <c r="AT1135"/>
  <c r="AY1135"/>
  <c r="AR1135"/>
  <c r="AP1135"/>
  <c r="AO1135"/>
  <c r="AC1135"/>
  <c r="AB1135"/>
  <c r="Z1135"/>
  <c r="Y1135"/>
  <c r="X1135"/>
  <c r="W1135"/>
  <c r="V1135"/>
  <c r="S1135"/>
  <c r="R1135"/>
  <c r="Q1135"/>
  <c r="AG1135"/>
  <c r="P1135"/>
  <c r="N1135"/>
  <c r="L1135"/>
  <c r="BC1134"/>
  <c r="BB1134"/>
  <c r="BA1134"/>
  <c r="AZ1134"/>
  <c r="AY1134"/>
  <c r="AX1134"/>
  <c r="AO1134"/>
  <c r="Z1134"/>
  <c r="BC1133"/>
  <c r="BB1133"/>
  <c r="BA1133"/>
  <c r="AZ1133"/>
  <c r="AY1133"/>
  <c r="AX1133"/>
  <c r="AO1133"/>
  <c r="AL1133"/>
  <c r="AK1133"/>
  <c r="AJ1133"/>
  <c r="AG1133"/>
  <c r="AF1133"/>
  <c r="Z1133"/>
  <c r="O1133"/>
  <c r="O1132"/>
  <c r="M1133"/>
  <c r="M1132"/>
  <c r="BC1132"/>
  <c r="AY1132"/>
  <c r="AU1132"/>
  <c r="AT1132"/>
  <c r="AR1132"/>
  <c r="AP1132"/>
  <c r="AO1132"/>
  <c r="AC1132"/>
  <c r="AB1132"/>
  <c r="Z1132"/>
  <c r="Y1132"/>
  <c r="X1132"/>
  <c r="AL1132"/>
  <c r="W1132"/>
  <c r="V1132"/>
  <c r="S1132"/>
  <c r="R1132"/>
  <c r="Q1132"/>
  <c r="P1132"/>
  <c r="N1132"/>
  <c r="L1132"/>
  <c r="BC1131"/>
  <c r="BB1131"/>
  <c r="BA1131"/>
  <c r="AZ1131"/>
  <c r="AY1131"/>
  <c r="AX1131"/>
  <c r="AO1131"/>
  <c r="Z1131"/>
  <c r="BC1130"/>
  <c r="AO1130"/>
  <c r="Z1130"/>
  <c r="BC1129"/>
  <c r="AO1129"/>
  <c r="Z1129"/>
  <c r="BC1128"/>
  <c r="BB1128"/>
  <c r="BA1128"/>
  <c r="AZ1128"/>
  <c r="AY1128"/>
  <c r="AX1128"/>
  <c r="AO1128"/>
  <c r="Z1128"/>
  <c r="BC1127"/>
  <c r="AO1127"/>
  <c r="Z1127"/>
  <c r="BC1126"/>
  <c r="AO1126"/>
  <c r="Z1126"/>
  <c r="BC1125"/>
  <c r="BB1125"/>
  <c r="BA1125"/>
  <c r="AZ1125"/>
  <c r="AY1125"/>
  <c r="AX1125"/>
  <c r="AO1125"/>
  <c r="Z1125"/>
  <c r="BC1124"/>
  <c r="AO1124"/>
  <c r="Z1124"/>
  <c r="BC1123"/>
  <c r="BB1123"/>
  <c r="BA1123"/>
  <c r="AZ1123"/>
  <c r="AY1123"/>
  <c r="AX1123"/>
  <c r="AO1123"/>
  <c r="Z1123"/>
  <c r="BC1122"/>
  <c r="BB1122"/>
  <c r="BA1122"/>
  <c r="AZ1122"/>
  <c r="AY1122"/>
  <c r="AX1122"/>
  <c r="AO1122"/>
  <c r="Z1122"/>
  <c r="BC1121"/>
  <c r="AU1121"/>
  <c r="AU1120"/>
  <c r="AT1121"/>
  <c r="AX1121"/>
  <c r="AR1121"/>
  <c r="AR1120"/>
  <c r="AP1121"/>
  <c r="AP1120"/>
  <c r="AO1121"/>
  <c r="AC1121"/>
  <c r="AC1120"/>
  <c r="AB1121"/>
  <c r="AB1120"/>
  <c r="Z1121"/>
  <c r="Y1121"/>
  <c r="Y1120"/>
  <c r="X1121"/>
  <c r="X1120"/>
  <c r="W1121"/>
  <c r="W1120"/>
  <c r="V1121"/>
  <c r="V1120"/>
  <c r="S1121"/>
  <c r="S1120"/>
  <c r="R1121"/>
  <c r="R1120"/>
  <c r="Q1121"/>
  <c r="Q1120"/>
  <c r="P1121"/>
  <c r="P1120"/>
  <c r="O1121"/>
  <c r="O1120"/>
  <c r="N1121"/>
  <c r="N1120"/>
  <c r="M1121"/>
  <c r="M1120"/>
  <c r="L1121"/>
  <c r="BC1120"/>
  <c r="AO1120"/>
  <c r="Z1120"/>
  <c r="L1120"/>
  <c r="BC1119"/>
  <c r="BB1119"/>
  <c r="BA1119"/>
  <c r="AZ1119"/>
  <c r="AY1119"/>
  <c r="AX1119"/>
  <c r="AO1119"/>
  <c r="Z1119"/>
  <c r="BC1118"/>
  <c r="BB1118"/>
  <c r="BA1118"/>
  <c r="AZ1118"/>
  <c r="AY1118"/>
  <c r="AX1118"/>
  <c r="AO1118"/>
  <c r="AL1118"/>
  <c r="AK1118"/>
  <c r="AJ1118"/>
  <c r="AG1118"/>
  <c r="AF1118"/>
  <c r="Z1118"/>
  <c r="O1118"/>
  <c r="AE1118"/>
  <c r="M1118"/>
  <c r="M1117"/>
  <c r="BC1117"/>
  <c r="AU1117"/>
  <c r="BA1117"/>
  <c r="AT1117"/>
  <c r="AY1117"/>
  <c r="AR1117"/>
  <c r="AP1117"/>
  <c r="AO1117"/>
  <c r="AC1117"/>
  <c r="AB1117"/>
  <c r="AG1117"/>
  <c r="Z1117"/>
  <c r="Y1117"/>
  <c r="X1117"/>
  <c r="W1117"/>
  <c r="V1117"/>
  <c r="S1117"/>
  <c r="R1117"/>
  <c r="Q1117"/>
  <c r="P1117"/>
  <c r="P1112"/>
  <c r="O1117"/>
  <c r="N1117"/>
  <c r="L1117"/>
  <c r="L1112"/>
  <c r="L1111"/>
  <c r="L1109"/>
  <c r="BC1116"/>
  <c r="BB1116"/>
  <c r="BA1116"/>
  <c r="AZ1116"/>
  <c r="AY1116"/>
  <c r="AX1116"/>
  <c r="AO1116"/>
  <c r="Z1116"/>
  <c r="BC1115"/>
  <c r="BB1115"/>
  <c r="BA1115"/>
  <c r="AZ1115"/>
  <c r="AY1115"/>
  <c r="AX1115"/>
  <c r="AO1115"/>
  <c r="AL1115"/>
  <c r="AK1115"/>
  <c r="Z1115"/>
  <c r="O1115"/>
  <c r="BC1114"/>
  <c r="BB1114"/>
  <c r="AU1114"/>
  <c r="BA1114"/>
  <c r="AT1114"/>
  <c r="AY1114"/>
  <c r="AR1114"/>
  <c r="AP1114"/>
  <c r="AO1114"/>
  <c r="AC1114"/>
  <c r="AB1114"/>
  <c r="AB1112"/>
  <c r="Z1114"/>
  <c r="Y1114"/>
  <c r="X1114"/>
  <c r="AL1114"/>
  <c r="W1114"/>
  <c r="V1114"/>
  <c r="S1114"/>
  <c r="S1112"/>
  <c r="R1114"/>
  <c r="Q1114"/>
  <c r="Q1112"/>
  <c r="P1114"/>
  <c r="O1114"/>
  <c r="N1114"/>
  <c r="N1112"/>
  <c r="M1114"/>
  <c r="L1114"/>
  <c r="BC1113"/>
  <c r="BB1113"/>
  <c r="BA1113"/>
  <c r="AZ1113"/>
  <c r="AY1113"/>
  <c r="AX1113"/>
  <c r="AO1113"/>
  <c r="Z1113"/>
  <c r="BC1112"/>
  <c r="AO1112"/>
  <c r="Z1112"/>
  <c r="V1112"/>
  <c r="BC1111"/>
  <c r="AO1111"/>
  <c r="Z1111"/>
  <c r="BC1110"/>
  <c r="BB1110"/>
  <c r="BA1110"/>
  <c r="AZ1110"/>
  <c r="AY1110"/>
  <c r="AX1110"/>
  <c r="AO1110"/>
  <c r="Z1110"/>
  <c r="BC1109"/>
  <c r="AO1109"/>
  <c r="Z1109"/>
  <c r="BC1108"/>
  <c r="BB1108"/>
  <c r="BA1108"/>
  <c r="AZ1108"/>
  <c r="AY1108"/>
  <c r="AX1108"/>
  <c r="AO1108"/>
  <c r="Z1108"/>
  <c r="BC1107"/>
  <c r="BB1107"/>
  <c r="BA1107"/>
  <c r="AZ1107"/>
  <c r="AY1107"/>
  <c r="AX1107"/>
  <c r="AO1107"/>
  <c r="AL1107"/>
  <c r="AK1107"/>
  <c r="AJ1107"/>
  <c r="AG1107"/>
  <c r="AF1107"/>
  <c r="AE1107"/>
  <c r="Z1107"/>
  <c r="O1107"/>
  <c r="O1106"/>
  <c r="M1107"/>
  <c r="BC1106"/>
  <c r="AU1106"/>
  <c r="AU1105"/>
  <c r="AT1106"/>
  <c r="AY1106"/>
  <c r="AR1106"/>
  <c r="AR1105"/>
  <c r="AP1106"/>
  <c r="AP1105"/>
  <c r="AO1106"/>
  <c r="AC1106"/>
  <c r="AC1105"/>
  <c r="AB1106"/>
  <c r="AB1105"/>
  <c r="Z1106"/>
  <c r="Y1106"/>
  <c r="Y1105"/>
  <c r="X1106"/>
  <c r="W1106"/>
  <c r="V1106"/>
  <c r="V1105"/>
  <c r="S1106"/>
  <c r="S1105"/>
  <c r="R1106"/>
  <c r="R1105"/>
  <c r="Q1106"/>
  <c r="Q1105"/>
  <c r="P1106"/>
  <c r="N1106"/>
  <c r="N1105"/>
  <c r="L1106"/>
  <c r="L1105"/>
  <c r="BC1105"/>
  <c r="AO1105"/>
  <c r="Z1105"/>
  <c r="BC1104"/>
  <c r="BB1104"/>
  <c r="BA1104"/>
  <c r="AZ1104"/>
  <c r="AY1104"/>
  <c r="AX1104"/>
  <c r="AO1104"/>
  <c r="Z1104"/>
  <c r="BC1103"/>
  <c r="BB1103"/>
  <c r="BA1103"/>
  <c r="AZ1103"/>
  <c r="AY1103"/>
  <c r="AX1103"/>
  <c r="AO1103"/>
  <c r="AL1103"/>
  <c r="AK1103"/>
  <c r="AJ1103"/>
  <c r="Z1103"/>
  <c r="O1103"/>
  <c r="BC1102"/>
  <c r="BB1102"/>
  <c r="BA1102"/>
  <c r="AZ1102"/>
  <c r="AY1102"/>
  <c r="AX1102"/>
  <c r="AO1102"/>
  <c r="AL1102"/>
  <c r="AK1102"/>
  <c r="AJ1102"/>
  <c r="AG1102"/>
  <c r="AF1102"/>
  <c r="Z1102"/>
  <c r="O1102"/>
  <c r="M1102"/>
  <c r="M1101"/>
  <c r="BC1101"/>
  <c r="AY1101"/>
  <c r="AU1101"/>
  <c r="AT1101"/>
  <c r="AR1101"/>
  <c r="AP1101"/>
  <c r="AO1101"/>
  <c r="AC1101"/>
  <c r="AB1101"/>
  <c r="Z1101"/>
  <c r="Y1101"/>
  <c r="X1101"/>
  <c r="AL1101"/>
  <c r="W1101"/>
  <c r="V1101"/>
  <c r="S1101"/>
  <c r="R1101"/>
  <c r="Q1101"/>
  <c r="P1101"/>
  <c r="N1101"/>
  <c r="L1101"/>
  <c r="BC1100"/>
  <c r="BB1100"/>
  <c r="BA1100"/>
  <c r="AZ1100"/>
  <c r="AY1100"/>
  <c r="AX1100"/>
  <c r="AO1100"/>
  <c r="Z1100"/>
  <c r="BC1099"/>
  <c r="BB1099"/>
  <c r="BA1099"/>
  <c r="AZ1099"/>
  <c r="AY1099"/>
  <c r="AX1099"/>
  <c r="AO1099"/>
  <c r="AL1099"/>
  <c r="AK1099"/>
  <c r="AJ1099"/>
  <c r="AG1099"/>
  <c r="AF1099"/>
  <c r="AE1099"/>
  <c r="Z1099"/>
  <c r="O1099"/>
  <c r="AD1099"/>
  <c r="M1099"/>
  <c r="BC1098"/>
  <c r="BB1098"/>
  <c r="BA1098"/>
  <c r="AZ1098"/>
  <c r="AY1098"/>
  <c r="AX1098"/>
  <c r="AO1098"/>
  <c r="AL1098"/>
  <c r="AK1098"/>
  <c r="AJ1098"/>
  <c r="AG1098"/>
  <c r="AF1098"/>
  <c r="Z1098"/>
  <c r="O1098"/>
  <c r="AD1098"/>
  <c r="M1098"/>
  <c r="BC1097"/>
  <c r="BB1097"/>
  <c r="BA1097"/>
  <c r="AZ1097"/>
  <c r="AY1097"/>
  <c r="AX1097"/>
  <c r="AO1097"/>
  <c r="AL1097"/>
  <c r="AK1097"/>
  <c r="AJ1097"/>
  <c r="AG1097"/>
  <c r="AF1097"/>
  <c r="Z1097"/>
  <c r="O1097"/>
  <c r="AE1097"/>
  <c r="M1097"/>
  <c r="BC1096"/>
  <c r="BB1096"/>
  <c r="BA1096"/>
  <c r="AZ1096"/>
  <c r="AY1096"/>
  <c r="AX1096"/>
  <c r="AO1096"/>
  <c r="AL1096"/>
  <c r="AK1096"/>
  <c r="AJ1096"/>
  <c r="AG1096"/>
  <c r="AF1096"/>
  <c r="Z1096"/>
  <c r="O1096"/>
  <c r="AE1096"/>
  <c r="M1096"/>
  <c r="BC1095"/>
  <c r="BB1095"/>
  <c r="BA1095"/>
  <c r="AZ1095"/>
  <c r="AY1095"/>
  <c r="AX1095"/>
  <c r="AO1095"/>
  <c r="AL1095"/>
  <c r="AK1095"/>
  <c r="AJ1095"/>
  <c r="Z1095"/>
  <c r="O1095"/>
  <c r="M1095"/>
  <c r="AD1095"/>
  <c r="BC1094"/>
  <c r="BB1094"/>
  <c r="BA1094"/>
  <c r="AZ1094"/>
  <c r="AY1094"/>
  <c r="AX1094"/>
  <c r="AO1094"/>
  <c r="AL1094"/>
  <c r="AK1094"/>
  <c r="AJ1094"/>
  <c r="AG1094"/>
  <c r="AF1094"/>
  <c r="Z1094"/>
  <c r="O1094"/>
  <c r="AE1094"/>
  <c r="M1094"/>
  <c r="BC1093"/>
  <c r="AU1093"/>
  <c r="AT1093"/>
  <c r="AY1093"/>
  <c r="AR1093"/>
  <c r="AP1093"/>
  <c r="AO1093"/>
  <c r="AC1093"/>
  <c r="AB1093"/>
  <c r="Z1093"/>
  <c r="Y1093"/>
  <c r="X1093"/>
  <c r="AL1093"/>
  <c r="W1093"/>
  <c r="V1093"/>
  <c r="S1093"/>
  <c r="R1093"/>
  <c r="Q1093"/>
  <c r="P1093"/>
  <c r="N1093"/>
  <c r="L1093"/>
  <c r="BC1092"/>
  <c r="BB1092"/>
  <c r="BA1092"/>
  <c r="AZ1092"/>
  <c r="AY1092"/>
  <c r="AX1092"/>
  <c r="AO1092"/>
  <c r="Z1092"/>
  <c r="BC1091"/>
  <c r="BB1091"/>
  <c r="BA1091"/>
  <c r="AZ1091"/>
  <c r="AY1091"/>
  <c r="AX1091"/>
  <c r="AO1091"/>
  <c r="AL1091"/>
  <c r="AK1091"/>
  <c r="AJ1091"/>
  <c r="AG1091"/>
  <c r="AF1091"/>
  <c r="Z1091"/>
  <c r="O1091"/>
  <c r="AE1091"/>
  <c r="BC1090"/>
  <c r="BB1090"/>
  <c r="BA1090"/>
  <c r="AZ1090"/>
  <c r="AY1090"/>
  <c r="AX1090"/>
  <c r="AO1090"/>
  <c r="AL1090"/>
  <c r="AK1090"/>
  <c r="AJ1090"/>
  <c r="Z1090"/>
  <c r="O1090"/>
  <c r="M1090"/>
  <c r="BC1089"/>
  <c r="BB1089"/>
  <c r="BA1089"/>
  <c r="AZ1089"/>
  <c r="AY1089"/>
  <c r="AX1089"/>
  <c r="AO1089"/>
  <c r="AL1089"/>
  <c r="AK1089"/>
  <c r="Z1089"/>
  <c r="O1089"/>
  <c r="BC1088"/>
  <c r="BB1088"/>
  <c r="BA1088"/>
  <c r="AZ1088"/>
  <c r="AY1088"/>
  <c r="AX1088"/>
  <c r="AO1088"/>
  <c r="AL1088"/>
  <c r="AK1088"/>
  <c r="AJ1088"/>
  <c r="AG1088"/>
  <c r="AF1088"/>
  <c r="Z1088"/>
  <c r="O1088"/>
  <c r="AE1088"/>
  <c r="M1088"/>
  <c r="BC1087"/>
  <c r="AU1087"/>
  <c r="BB1087"/>
  <c r="AT1087"/>
  <c r="AR1087"/>
  <c r="AP1087"/>
  <c r="AO1087"/>
  <c r="AC1087"/>
  <c r="AB1087"/>
  <c r="Z1087"/>
  <c r="Y1087"/>
  <c r="X1087"/>
  <c r="W1087"/>
  <c r="AJ1087"/>
  <c r="V1087"/>
  <c r="S1087"/>
  <c r="R1087"/>
  <c r="Q1087"/>
  <c r="AG1087"/>
  <c r="P1087"/>
  <c r="N1087"/>
  <c r="L1087"/>
  <c r="BC1086"/>
  <c r="BB1086"/>
  <c r="BA1086"/>
  <c r="AZ1086"/>
  <c r="AY1086"/>
  <c r="AX1086"/>
  <c r="AO1086"/>
  <c r="Z1086"/>
  <c r="BC1085"/>
  <c r="BB1085"/>
  <c r="BA1085"/>
  <c r="AZ1085"/>
  <c r="AY1085"/>
  <c r="AX1085"/>
  <c r="AO1085"/>
  <c r="Z1085"/>
  <c r="BC1084"/>
  <c r="BB1084"/>
  <c r="BA1084"/>
  <c r="AZ1084"/>
  <c r="AY1084"/>
  <c r="AX1084"/>
  <c r="AO1084"/>
  <c r="AL1084"/>
  <c r="AK1084"/>
  <c r="Z1084"/>
  <c r="Z215"/>
  <c r="O1084"/>
  <c r="O1083"/>
  <c r="BC1083"/>
  <c r="AU1083"/>
  <c r="BB1083"/>
  <c r="AT1083"/>
  <c r="AR1083"/>
  <c r="AP1083"/>
  <c r="AO1083"/>
  <c r="AC1083"/>
  <c r="AB1083"/>
  <c r="Z1083"/>
  <c r="Y1083"/>
  <c r="X1083"/>
  <c r="W1083"/>
  <c r="W1081"/>
  <c r="V1083"/>
  <c r="S1083"/>
  <c r="R1083"/>
  <c r="Q1083"/>
  <c r="P1083"/>
  <c r="N1083"/>
  <c r="M1083"/>
  <c r="L1083"/>
  <c r="L1081"/>
  <c r="BC1082"/>
  <c r="BB1082"/>
  <c r="BA1082"/>
  <c r="AZ1082"/>
  <c r="AY1082"/>
  <c r="AX1082"/>
  <c r="AO1082"/>
  <c r="Z1082"/>
  <c r="BC1081"/>
  <c r="AO1081"/>
  <c r="Z1081"/>
  <c r="BC1080"/>
  <c r="BB1080"/>
  <c r="BA1080"/>
  <c r="AZ1080"/>
  <c r="AY1080"/>
  <c r="AX1080"/>
  <c r="AO1080"/>
  <c r="Z1080"/>
  <c r="BC1079"/>
  <c r="BB1079"/>
  <c r="BA1079"/>
  <c r="AZ1079"/>
  <c r="AY1079"/>
  <c r="AX1079"/>
  <c r="AO1079"/>
  <c r="Z1079"/>
  <c r="O1079"/>
  <c r="BC1078"/>
  <c r="BB1078"/>
  <c r="BA1078"/>
  <c r="AZ1078"/>
  <c r="AY1078"/>
  <c r="AX1078"/>
  <c r="AO1078"/>
  <c r="AL1078"/>
  <c r="AK1078"/>
  <c r="AJ1078"/>
  <c r="AG1078"/>
  <c r="AF1078"/>
  <c r="Z1078"/>
  <c r="O1078"/>
  <c r="O1077"/>
  <c r="M1078"/>
  <c r="M1077"/>
  <c r="BC1077"/>
  <c r="AU1077"/>
  <c r="AT1077"/>
  <c r="AR1077"/>
  <c r="AP1077"/>
  <c r="AO1077"/>
  <c r="AC1077"/>
  <c r="AB1077"/>
  <c r="Z1077"/>
  <c r="Y1077"/>
  <c r="X1077"/>
  <c r="AL1077"/>
  <c r="W1077"/>
  <c r="V1077"/>
  <c r="S1077"/>
  <c r="R1077"/>
  <c r="Q1077"/>
  <c r="P1077"/>
  <c r="N1077"/>
  <c r="L1077"/>
  <c r="BC1076"/>
  <c r="BB1076"/>
  <c r="BA1076"/>
  <c r="AZ1076"/>
  <c r="AY1076"/>
  <c r="AX1076"/>
  <c r="AO1076"/>
  <c r="Z1076"/>
  <c r="BC1075"/>
  <c r="BB1075"/>
  <c r="BA1075"/>
  <c r="AZ1075"/>
  <c r="AY1075"/>
  <c r="AX1075"/>
  <c r="AO1075"/>
  <c r="AL1075"/>
  <c r="AK1075"/>
  <c r="AJ1075"/>
  <c r="AG1075"/>
  <c r="AF1075"/>
  <c r="Z1075"/>
  <c r="O1075"/>
  <c r="M1075"/>
  <c r="M1074"/>
  <c r="BC1074"/>
  <c r="AU1074"/>
  <c r="AT1074"/>
  <c r="AR1074"/>
  <c r="AP1074"/>
  <c r="AO1074"/>
  <c r="AC1074"/>
  <c r="AB1074"/>
  <c r="Z1074"/>
  <c r="Y1074"/>
  <c r="X1074"/>
  <c r="W1074"/>
  <c r="V1074"/>
  <c r="S1074"/>
  <c r="R1074"/>
  <c r="Q1074"/>
  <c r="P1074"/>
  <c r="N1074"/>
  <c r="L1074"/>
  <c r="BC1073"/>
  <c r="BB1073"/>
  <c r="BA1073"/>
  <c r="AZ1073"/>
  <c r="AY1073"/>
  <c r="AX1073"/>
  <c r="AO1073"/>
  <c r="Z1073"/>
  <c r="BC1072"/>
  <c r="BB1072"/>
  <c r="BA1072"/>
  <c r="AZ1072"/>
  <c r="AY1072"/>
  <c r="AX1072"/>
  <c r="AO1072"/>
  <c r="AL1072"/>
  <c r="AK1072"/>
  <c r="AJ1072"/>
  <c r="AG1072"/>
  <c r="AF1072"/>
  <c r="Z1072"/>
  <c r="O1072"/>
  <c r="AE1072"/>
  <c r="M1072"/>
  <c r="M1071"/>
  <c r="BC1071"/>
  <c r="AU1071"/>
  <c r="BA1071"/>
  <c r="AT1071"/>
  <c r="AR1071"/>
  <c r="AP1071"/>
  <c r="AO1071"/>
  <c r="AC1071"/>
  <c r="AB1071"/>
  <c r="Z1071"/>
  <c r="Y1071"/>
  <c r="X1071"/>
  <c r="W1071"/>
  <c r="V1071"/>
  <c r="S1071"/>
  <c r="R1071"/>
  <c r="Q1071"/>
  <c r="AF1071"/>
  <c r="P1071"/>
  <c r="N1071"/>
  <c r="L1071"/>
  <c r="BC1070"/>
  <c r="BB1070"/>
  <c r="BA1070"/>
  <c r="AZ1070"/>
  <c r="AY1070"/>
  <c r="AX1070"/>
  <c r="AO1070"/>
  <c r="Z1070"/>
  <c r="BC1069"/>
  <c r="AO1069"/>
  <c r="Z1069"/>
  <c r="BC1068"/>
  <c r="BB1068"/>
  <c r="BA1068"/>
  <c r="AZ1068"/>
  <c r="AY1068"/>
  <c r="AX1068"/>
  <c r="AO1068"/>
  <c r="Z1068"/>
  <c r="BC1067"/>
  <c r="AO1067"/>
  <c r="Z1067"/>
  <c r="BC1066"/>
  <c r="BB1066"/>
  <c r="BA1066"/>
  <c r="AZ1066"/>
  <c r="AY1066"/>
  <c r="AX1066"/>
  <c r="AO1066"/>
  <c r="Z1066"/>
  <c r="BC1065"/>
  <c r="AO1065"/>
  <c r="Z1065"/>
  <c r="BC1064"/>
  <c r="AO1064"/>
  <c r="Z1064"/>
  <c r="BC1063"/>
  <c r="BB1063"/>
  <c r="BA1063"/>
  <c r="AZ1063"/>
  <c r="AY1063"/>
  <c r="AX1063"/>
  <c r="AO1063"/>
  <c r="Z1063"/>
  <c r="BC1062"/>
  <c r="AO1062"/>
  <c r="Z1062"/>
  <c r="BC1061"/>
  <c r="BB1061"/>
  <c r="BA1061"/>
  <c r="AZ1061"/>
  <c r="AY1061"/>
  <c r="AX1061"/>
  <c r="AO1061"/>
  <c r="Z1061"/>
  <c r="BC1060"/>
  <c r="BB1060"/>
  <c r="BA1060"/>
  <c r="AZ1060"/>
  <c r="AY1060"/>
  <c r="AX1060"/>
  <c r="AO1060"/>
  <c r="AL1060"/>
  <c r="AK1060"/>
  <c r="AJ1060"/>
  <c r="AG1060"/>
  <c r="AF1060"/>
  <c r="Z1060"/>
  <c r="O1060"/>
  <c r="M1060"/>
  <c r="BC1059"/>
  <c r="BB1059"/>
  <c r="BA1059"/>
  <c r="AZ1059"/>
  <c r="AY1059"/>
  <c r="AX1059"/>
  <c r="AO1059"/>
  <c r="AJ1059"/>
  <c r="Z1059"/>
  <c r="M1059"/>
  <c r="AD1059"/>
  <c r="BC1058"/>
  <c r="AU1058"/>
  <c r="BB1058"/>
  <c r="AT1058"/>
  <c r="AR1058"/>
  <c r="AR1057"/>
  <c r="AR1056"/>
  <c r="AR1054"/>
  <c r="AP1058"/>
  <c r="AP1057"/>
  <c r="AP1056"/>
  <c r="AP1054"/>
  <c r="AO1058"/>
  <c r="AC1058"/>
  <c r="AC1057"/>
  <c r="AC1056"/>
  <c r="AC1054"/>
  <c r="AB1058"/>
  <c r="Z1058"/>
  <c r="Y1058"/>
  <c r="Y1057"/>
  <c r="Y1056"/>
  <c r="Y1054"/>
  <c r="X1058"/>
  <c r="AL1058"/>
  <c r="W1058"/>
  <c r="V1058"/>
  <c r="V1057"/>
  <c r="V1056"/>
  <c r="V1054"/>
  <c r="S1058"/>
  <c r="S1057"/>
  <c r="S1056"/>
  <c r="S1054"/>
  <c r="R1058"/>
  <c r="R1057"/>
  <c r="R1056"/>
  <c r="R1054"/>
  <c r="Q1058"/>
  <c r="P1058"/>
  <c r="P1057"/>
  <c r="P1056"/>
  <c r="P1054"/>
  <c r="N1058"/>
  <c r="N1057"/>
  <c r="N1056"/>
  <c r="N1054"/>
  <c r="L1058"/>
  <c r="L1057"/>
  <c r="L1056"/>
  <c r="L1054"/>
  <c r="BC1057"/>
  <c r="AO1057"/>
  <c r="Z1057"/>
  <c r="BC1056"/>
  <c r="AO1056"/>
  <c r="Z1056"/>
  <c r="BC1055"/>
  <c r="BB1055"/>
  <c r="BA1055"/>
  <c r="AZ1055"/>
  <c r="AY1055"/>
  <c r="AX1055"/>
  <c r="AO1055"/>
  <c r="Z1055"/>
  <c r="BC1054"/>
  <c r="AO1054"/>
  <c r="Z1054"/>
  <c r="BC1053"/>
  <c r="BB1053"/>
  <c r="BA1053"/>
  <c r="AZ1053"/>
  <c r="AY1053"/>
  <c r="AX1053"/>
  <c r="AO1053"/>
  <c r="Z1053"/>
  <c r="BC1052"/>
  <c r="BB1052"/>
  <c r="BA1052"/>
  <c r="AZ1052"/>
  <c r="AY1052"/>
  <c r="AX1052"/>
  <c r="AO1052"/>
  <c r="AL1052"/>
  <c r="AK1052"/>
  <c r="AJ1052"/>
  <c r="AG1052"/>
  <c r="AF1052"/>
  <c r="Z1052"/>
  <c r="O1052"/>
  <c r="O1050"/>
  <c r="M1052"/>
  <c r="M1050"/>
  <c r="M1049"/>
  <c r="M1048"/>
  <c r="M1046"/>
  <c r="BC1051"/>
  <c r="BB1051"/>
  <c r="BA1051"/>
  <c r="AZ1051"/>
  <c r="AY1051"/>
  <c r="AX1051"/>
  <c r="AO1051"/>
  <c r="Z1051"/>
  <c r="BC1050"/>
  <c r="AU1050"/>
  <c r="AT1050"/>
  <c r="AR1050"/>
  <c r="AR1049"/>
  <c r="AR1048"/>
  <c r="AR1046"/>
  <c r="AP1050"/>
  <c r="AP1049"/>
  <c r="AP1048"/>
  <c r="AP1046"/>
  <c r="AO1050"/>
  <c r="AC1050"/>
  <c r="AC1049"/>
  <c r="AC1048"/>
  <c r="AC1046"/>
  <c r="AB1050"/>
  <c r="AB1049"/>
  <c r="Z1050"/>
  <c r="Y1050"/>
  <c r="Y1049"/>
  <c r="Y1048"/>
  <c r="Y1046"/>
  <c r="X1050"/>
  <c r="W1050"/>
  <c r="W1049"/>
  <c r="W1048"/>
  <c r="V1050"/>
  <c r="V1049"/>
  <c r="V1048"/>
  <c r="V1046"/>
  <c r="S1050"/>
  <c r="R1050"/>
  <c r="R1049"/>
  <c r="R1048"/>
  <c r="Q1050"/>
  <c r="Q1049"/>
  <c r="Q1048"/>
  <c r="P1050"/>
  <c r="P1049"/>
  <c r="P1048"/>
  <c r="N1050"/>
  <c r="N1049"/>
  <c r="N1048"/>
  <c r="N1046"/>
  <c r="L1050"/>
  <c r="L1049"/>
  <c r="L1048"/>
  <c r="L1046"/>
  <c r="BC1049"/>
  <c r="AO1049"/>
  <c r="Z1049"/>
  <c r="S1049"/>
  <c r="S1048"/>
  <c r="S1046"/>
  <c r="BC1048"/>
  <c r="AO1048"/>
  <c r="Z1048"/>
  <c r="BC1047"/>
  <c r="BB1047"/>
  <c r="BA1047"/>
  <c r="AZ1047"/>
  <c r="AY1047"/>
  <c r="AX1047"/>
  <c r="AO1047"/>
  <c r="Z1047"/>
  <c r="BC1046"/>
  <c r="AO1046"/>
  <c r="Z1046"/>
  <c r="R1046"/>
  <c r="BC1045"/>
  <c r="BB1045"/>
  <c r="BA1045"/>
  <c r="AZ1045"/>
  <c r="AY1045"/>
  <c r="AX1045"/>
  <c r="AO1045"/>
  <c r="Z1045"/>
  <c r="BC1044"/>
  <c r="BB1044"/>
  <c r="BA1044"/>
  <c r="AZ1044"/>
  <c r="AY1044"/>
  <c r="AX1044"/>
  <c r="AO1044"/>
  <c r="AL1044"/>
  <c r="AK1044"/>
  <c r="AJ1044"/>
  <c r="AG1044"/>
  <c r="AF1044"/>
  <c r="Z1044"/>
  <c r="O1044"/>
  <c r="O1043"/>
  <c r="O1042"/>
  <c r="M1044"/>
  <c r="M1043"/>
  <c r="M1042"/>
  <c r="BC1043"/>
  <c r="AU1043"/>
  <c r="AU1042"/>
  <c r="BA1042"/>
  <c r="AT1043"/>
  <c r="AT1042"/>
  <c r="AR1043"/>
  <c r="AR1042"/>
  <c r="AP1043"/>
  <c r="AP1042"/>
  <c r="AO1043"/>
  <c r="AC1043"/>
  <c r="AC1042"/>
  <c r="AB1043"/>
  <c r="AB1042"/>
  <c r="Z1043"/>
  <c r="Y1043"/>
  <c r="Y1042"/>
  <c r="X1043"/>
  <c r="X1042"/>
  <c r="W1043"/>
  <c r="W1042"/>
  <c r="V1043"/>
  <c r="V1042"/>
  <c r="S1043"/>
  <c r="S1042"/>
  <c r="R1043"/>
  <c r="R1042"/>
  <c r="Q1043"/>
  <c r="Q1042"/>
  <c r="P1043"/>
  <c r="N1043"/>
  <c r="N1042"/>
  <c r="L1043"/>
  <c r="L1042"/>
  <c r="BC1042"/>
  <c r="AO1042"/>
  <c r="Z1042"/>
  <c r="BC1041"/>
  <c r="BB1041"/>
  <c r="BA1041"/>
  <c r="AZ1041"/>
  <c r="AY1041"/>
  <c r="AX1041"/>
  <c r="AO1041"/>
  <c r="Z1041"/>
  <c r="BC1040"/>
  <c r="BB1040"/>
  <c r="BA1040"/>
  <c r="AZ1040"/>
  <c r="AY1040"/>
  <c r="AX1040"/>
  <c r="AO1040"/>
  <c r="AL1040"/>
  <c r="AK1040"/>
  <c r="AJ1040"/>
  <c r="Z1040"/>
  <c r="O1040"/>
  <c r="BC1039"/>
  <c r="BB1039"/>
  <c r="BA1039"/>
  <c r="AZ1039"/>
  <c r="AY1039"/>
  <c r="AX1039"/>
  <c r="AO1039"/>
  <c r="Z1039"/>
  <c r="O1039"/>
  <c r="BC1038"/>
  <c r="BB1038"/>
  <c r="BA1038"/>
  <c r="AZ1038"/>
  <c r="AY1038"/>
  <c r="AX1038"/>
  <c r="AO1038"/>
  <c r="AL1038"/>
  <c r="AK1038"/>
  <c r="Z1038"/>
  <c r="O1038"/>
  <c r="BC1037"/>
  <c r="BB1037"/>
  <c r="BA1037"/>
  <c r="AZ1037"/>
  <c r="AY1037"/>
  <c r="AX1037"/>
  <c r="AO1037"/>
  <c r="AL1037"/>
  <c r="AK1037"/>
  <c r="AJ1037"/>
  <c r="AG1037"/>
  <c r="AF1037"/>
  <c r="Z1037"/>
  <c r="O1037"/>
  <c r="M1037"/>
  <c r="BC1036"/>
  <c r="BB1036"/>
  <c r="BA1036"/>
  <c r="AZ1036"/>
  <c r="AY1036"/>
  <c r="AX1036"/>
  <c r="AO1036"/>
  <c r="AL1036"/>
  <c r="AK1036"/>
  <c r="AJ1036"/>
  <c r="AG1036"/>
  <c r="AF1036"/>
  <c r="Z1036"/>
  <c r="O1036"/>
  <c r="AE1036"/>
  <c r="M1036"/>
  <c r="BC1035"/>
  <c r="AU1035"/>
  <c r="BA1035"/>
  <c r="AT1035"/>
  <c r="AY1035"/>
  <c r="AR1035"/>
  <c r="AP1035"/>
  <c r="AO1035"/>
  <c r="AC1035"/>
  <c r="AB1035"/>
  <c r="Z1035"/>
  <c r="Y1035"/>
  <c r="X1035"/>
  <c r="AL1035"/>
  <c r="W1035"/>
  <c r="V1035"/>
  <c r="S1035"/>
  <c r="R1035"/>
  <c r="Q1035"/>
  <c r="P1035"/>
  <c r="N1035"/>
  <c r="M1035"/>
  <c r="L1035"/>
  <c r="BC1034"/>
  <c r="BB1034"/>
  <c r="BA1034"/>
  <c r="AZ1034"/>
  <c r="AY1034"/>
  <c r="AX1034"/>
  <c r="AO1034"/>
  <c r="Z1034"/>
  <c r="BC1033"/>
  <c r="BB1033"/>
  <c r="BA1033"/>
  <c r="AZ1033"/>
  <c r="AY1033"/>
  <c r="AX1033"/>
  <c r="AO1033"/>
  <c r="Z1033"/>
  <c r="BC1032"/>
  <c r="BB1032"/>
  <c r="BA1032"/>
  <c r="AZ1032"/>
  <c r="AY1032"/>
  <c r="AX1032"/>
  <c r="AO1032"/>
  <c r="Z1032"/>
  <c r="BC1031"/>
  <c r="AU1031"/>
  <c r="AT1031"/>
  <c r="AY1031"/>
  <c r="AR1031"/>
  <c r="AP1031"/>
  <c r="AO1031"/>
  <c r="AC1031"/>
  <c r="AB1031"/>
  <c r="Z1031"/>
  <c r="Y1031"/>
  <c r="X1031"/>
  <c r="W1031"/>
  <c r="V1031"/>
  <c r="S1031"/>
  <c r="R1031"/>
  <c r="Q1031"/>
  <c r="P1031"/>
  <c r="O1031"/>
  <c r="N1031"/>
  <c r="M1031"/>
  <c r="L1031"/>
  <c r="BC1030"/>
  <c r="BB1030"/>
  <c r="BA1030"/>
  <c r="AZ1030"/>
  <c r="AY1030"/>
  <c r="AX1030"/>
  <c r="AO1030"/>
  <c r="Z1030"/>
  <c r="BC1029"/>
  <c r="BB1029"/>
  <c r="BA1029"/>
  <c r="AZ1029"/>
  <c r="AY1029"/>
  <c r="AX1029"/>
  <c r="AO1029"/>
  <c r="AL1029"/>
  <c r="AK1029"/>
  <c r="AJ1029"/>
  <c r="AG1029"/>
  <c r="AF1029"/>
  <c r="Z1029"/>
  <c r="O1029"/>
  <c r="M1029"/>
  <c r="BC1028"/>
  <c r="BB1028"/>
  <c r="BA1028"/>
  <c r="AZ1028"/>
  <c r="AY1028"/>
  <c r="AX1028"/>
  <c r="AO1028"/>
  <c r="AL1028"/>
  <c r="AK1028"/>
  <c r="AJ1028"/>
  <c r="AG1028"/>
  <c r="AF1028"/>
  <c r="Z1028"/>
  <c r="O1028"/>
  <c r="AE1028"/>
  <c r="M1028"/>
  <c r="BC1027"/>
  <c r="BB1027"/>
  <c r="BA1027"/>
  <c r="AZ1027"/>
  <c r="AY1027"/>
  <c r="AX1027"/>
  <c r="AO1027"/>
  <c r="AJ1027"/>
  <c r="Z1027"/>
  <c r="O1027"/>
  <c r="M1027"/>
  <c r="BC1026"/>
  <c r="BB1026"/>
  <c r="BA1026"/>
  <c r="AZ1026"/>
  <c r="AY1026"/>
  <c r="AX1026"/>
  <c r="AO1026"/>
  <c r="AL1026"/>
  <c r="AK1026"/>
  <c r="AJ1026"/>
  <c r="AG1026"/>
  <c r="AF1026"/>
  <c r="Z1026"/>
  <c r="O1026"/>
  <c r="AE1026"/>
  <c r="M1026"/>
  <c r="BC1025"/>
  <c r="BB1025"/>
  <c r="BA1025"/>
  <c r="AZ1025"/>
  <c r="AY1025"/>
  <c r="AX1025"/>
  <c r="AO1025"/>
  <c r="AL1025"/>
  <c r="AK1025"/>
  <c r="AJ1025"/>
  <c r="AG1025"/>
  <c r="AF1025"/>
  <c r="Z1025"/>
  <c r="O1025"/>
  <c r="AE1025"/>
  <c r="M1025"/>
  <c r="BC1024"/>
  <c r="BB1024"/>
  <c r="BA1024"/>
  <c r="AZ1024"/>
  <c r="AY1024"/>
  <c r="AX1024"/>
  <c r="AO1024"/>
  <c r="AL1024"/>
  <c r="AK1024"/>
  <c r="Z1024"/>
  <c r="O1024"/>
  <c r="BC1023"/>
  <c r="BB1023"/>
  <c r="BA1023"/>
  <c r="AZ1023"/>
  <c r="AY1023"/>
  <c r="AX1023"/>
  <c r="AO1023"/>
  <c r="Z1023"/>
  <c r="O1023"/>
  <c r="BC1022"/>
  <c r="BB1022"/>
  <c r="BA1022"/>
  <c r="AZ1022"/>
  <c r="AY1022"/>
  <c r="AX1022"/>
  <c r="AO1022"/>
  <c r="AL1022"/>
  <c r="AK1022"/>
  <c r="AJ1022"/>
  <c r="AG1022"/>
  <c r="AF1022"/>
  <c r="Z1022"/>
  <c r="O1022"/>
  <c r="AE1022"/>
  <c r="M1022"/>
  <c r="BC1021"/>
  <c r="BB1021"/>
  <c r="BA1021"/>
  <c r="AZ1021"/>
  <c r="AY1021"/>
  <c r="AX1021"/>
  <c r="AO1021"/>
  <c r="AL1021"/>
  <c r="AK1021"/>
  <c r="AJ1021"/>
  <c r="AG1021"/>
  <c r="AF1021"/>
  <c r="Z1021"/>
  <c r="O1021"/>
  <c r="AE1021"/>
  <c r="M1021"/>
  <c r="BC1020"/>
  <c r="AU1020"/>
  <c r="BB1020"/>
  <c r="AT1020"/>
  <c r="AY1020"/>
  <c r="AR1020"/>
  <c r="AP1020"/>
  <c r="AO1020"/>
  <c r="AC1020"/>
  <c r="AB1020"/>
  <c r="Z1020"/>
  <c r="Y1020"/>
  <c r="X1020"/>
  <c r="W1020"/>
  <c r="V1020"/>
  <c r="S1020"/>
  <c r="R1020"/>
  <c r="Q1020"/>
  <c r="P1020"/>
  <c r="N1020"/>
  <c r="L1020"/>
  <c r="BC1019"/>
  <c r="BB1019"/>
  <c r="BA1019"/>
  <c r="AZ1019"/>
  <c r="AY1019"/>
  <c r="AX1019"/>
  <c r="AO1019"/>
  <c r="Z1019"/>
  <c r="BC1018"/>
  <c r="BB1018"/>
  <c r="BA1018"/>
  <c r="AZ1018"/>
  <c r="AY1018"/>
  <c r="AX1018"/>
  <c r="AO1018"/>
  <c r="AL1018"/>
  <c r="AK1018"/>
  <c r="AJ1018"/>
  <c r="AG1018"/>
  <c r="AF1018"/>
  <c r="Z1018"/>
  <c r="O1018"/>
  <c r="AE1018"/>
  <c r="M1018"/>
  <c r="BC1017"/>
  <c r="BB1017"/>
  <c r="BA1017"/>
  <c r="AZ1017"/>
  <c r="AY1017"/>
  <c r="AX1017"/>
  <c r="AO1017"/>
  <c r="Z1017"/>
  <c r="O1017"/>
  <c r="BC1016"/>
  <c r="BB1016"/>
  <c r="BA1016"/>
  <c r="AZ1016"/>
  <c r="AY1016"/>
  <c r="AX1016"/>
  <c r="AO1016"/>
  <c r="AL1016"/>
  <c r="AK1016"/>
  <c r="AJ1016"/>
  <c r="AG1016"/>
  <c r="AF1016"/>
  <c r="Z1016"/>
  <c r="O1016"/>
  <c r="AE1016"/>
  <c r="M1016"/>
  <c r="M225"/>
  <c r="BC1015"/>
  <c r="BB1015"/>
  <c r="BA1015"/>
  <c r="AZ1015"/>
  <c r="AY1015"/>
  <c r="AX1015"/>
  <c r="AO1015"/>
  <c r="AL1015"/>
  <c r="AK1015"/>
  <c r="AJ1015"/>
  <c r="AG1015"/>
  <c r="AF1015"/>
  <c r="Z1015"/>
  <c r="O1015"/>
  <c r="M1015"/>
  <c r="BC1014"/>
  <c r="BB1014"/>
  <c r="BA1014"/>
  <c r="AZ1014"/>
  <c r="AY1014"/>
  <c r="AX1014"/>
  <c r="AO1014"/>
  <c r="AL1014"/>
  <c r="AK1014"/>
  <c r="AJ1014"/>
  <c r="AG1014"/>
  <c r="AF1014"/>
  <c r="Z1014"/>
  <c r="O1014"/>
  <c r="O223"/>
  <c r="M1014"/>
  <c r="BC1013"/>
  <c r="BB1013"/>
  <c r="BA1013"/>
  <c r="AZ1013"/>
  <c r="AY1013"/>
  <c r="AX1013"/>
  <c r="AO1013"/>
  <c r="AL1013"/>
  <c r="AK1013"/>
  <c r="AJ1013"/>
  <c r="AG1013"/>
  <c r="AF1013"/>
  <c r="Z1013"/>
  <c r="O1013"/>
  <c r="M1013"/>
  <c r="BC1012"/>
  <c r="AU1012"/>
  <c r="AT1012"/>
  <c r="AR1012"/>
  <c r="AP1012"/>
  <c r="AO1012"/>
  <c r="AC1012"/>
  <c r="AB1012"/>
  <c r="AB1010"/>
  <c r="AB1009"/>
  <c r="Z1012"/>
  <c r="Y1012"/>
  <c r="X1012"/>
  <c r="W1012"/>
  <c r="V1012"/>
  <c r="S1012"/>
  <c r="R1012"/>
  <c r="Q1012"/>
  <c r="P1012"/>
  <c r="N1012"/>
  <c r="L1012"/>
  <c r="BC1011"/>
  <c r="BB1011"/>
  <c r="BA1011"/>
  <c r="AZ1011"/>
  <c r="AY1011"/>
  <c r="AX1011"/>
  <c r="AO1011"/>
  <c r="Z1011"/>
  <c r="BC1010"/>
  <c r="AO1010"/>
  <c r="Z1010"/>
  <c r="N1010"/>
  <c r="N1009"/>
  <c r="N1007"/>
  <c r="BC1009"/>
  <c r="AO1009"/>
  <c r="Z1009"/>
  <c r="BC1008"/>
  <c r="BB1008"/>
  <c r="BA1008"/>
  <c r="AZ1008"/>
  <c r="AY1008"/>
  <c r="AX1008"/>
  <c r="AO1008"/>
  <c r="Z1008"/>
  <c r="BC1007"/>
  <c r="AO1007"/>
  <c r="Z1007"/>
  <c r="BC1006"/>
  <c r="BB1006"/>
  <c r="BA1006"/>
  <c r="AZ1006"/>
  <c r="AY1006"/>
  <c r="AX1006"/>
  <c r="AO1006"/>
  <c r="Z1006"/>
  <c r="BC1005"/>
  <c r="BB1005"/>
  <c r="BA1005"/>
  <c r="AZ1005"/>
  <c r="AY1005"/>
  <c r="AX1005"/>
  <c r="AO1005"/>
  <c r="AJ1005"/>
  <c r="Z1005"/>
  <c r="O1005"/>
  <c r="BC1004"/>
  <c r="BB1004"/>
  <c r="BA1004"/>
  <c r="AZ1004"/>
  <c r="AY1004"/>
  <c r="AX1004"/>
  <c r="AO1004"/>
  <c r="AL1004"/>
  <c r="AK1004"/>
  <c r="AJ1004"/>
  <c r="AG1004"/>
  <c r="AF1004"/>
  <c r="Z1004"/>
  <c r="O1004"/>
  <c r="M1004"/>
  <c r="BC1003"/>
  <c r="BB1003"/>
  <c r="BA1003"/>
  <c r="AZ1003"/>
  <c r="AY1003"/>
  <c r="AX1003"/>
  <c r="AO1003"/>
  <c r="AL1003"/>
  <c r="AK1003"/>
  <c r="AJ1003"/>
  <c r="AG1003"/>
  <c r="AF1003"/>
  <c r="Z1003"/>
  <c r="O1003"/>
  <c r="AE1003"/>
  <c r="M1003"/>
  <c r="BC1002"/>
  <c r="BB1002"/>
  <c r="BA1002"/>
  <c r="AZ1002"/>
  <c r="AY1002"/>
  <c r="AX1002"/>
  <c r="AO1002"/>
  <c r="AL1002"/>
  <c r="AK1002"/>
  <c r="AJ1002"/>
  <c r="AG1002"/>
  <c r="AF1002"/>
  <c r="Z1002"/>
  <c r="O1002"/>
  <c r="AE1002"/>
  <c r="M1002"/>
  <c r="BC1001"/>
  <c r="AU1001"/>
  <c r="AU1000"/>
  <c r="BB1000"/>
  <c r="AT1001"/>
  <c r="AT1000"/>
  <c r="AY1000"/>
  <c r="AR1001"/>
  <c r="AR1000"/>
  <c r="AP1001"/>
  <c r="AP1000"/>
  <c r="AO1001"/>
  <c r="AC1001"/>
  <c r="AC1000"/>
  <c r="AB1001"/>
  <c r="AB1000"/>
  <c r="Z1001"/>
  <c r="Y1001"/>
  <c r="Y1000"/>
  <c r="X1001"/>
  <c r="AL1001"/>
  <c r="W1001"/>
  <c r="W1000"/>
  <c r="V1001"/>
  <c r="V1000"/>
  <c r="S1001"/>
  <c r="S1000"/>
  <c r="R1001"/>
  <c r="Q1001"/>
  <c r="P1001"/>
  <c r="N1001"/>
  <c r="N1000"/>
  <c r="L1001"/>
  <c r="L1000"/>
  <c r="BC1000"/>
  <c r="AO1000"/>
  <c r="Z1000"/>
  <c r="BC999"/>
  <c r="BB999"/>
  <c r="BA999"/>
  <c r="AZ999"/>
  <c r="AY999"/>
  <c r="AX999"/>
  <c r="AO999"/>
  <c r="Z999"/>
  <c r="BC998"/>
  <c r="BB998"/>
  <c r="BA998"/>
  <c r="AZ998"/>
  <c r="AY998"/>
  <c r="AX998"/>
  <c r="AO998"/>
  <c r="AL998"/>
  <c r="AK998"/>
  <c r="AJ998"/>
  <c r="AG998"/>
  <c r="AF998"/>
  <c r="Z998"/>
  <c r="O998"/>
  <c r="M998"/>
  <c r="BC997"/>
  <c r="BB997"/>
  <c r="BA997"/>
  <c r="AZ997"/>
  <c r="AY997"/>
  <c r="AX997"/>
  <c r="AO997"/>
  <c r="AL997"/>
  <c r="AK997"/>
  <c r="AJ997"/>
  <c r="AG997"/>
  <c r="AF997"/>
  <c r="Z997"/>
  <c r="O997"/>
  <c r="AE997"/>
  <c r="M997"/>
  <c r="BC996"/>
  <c r="BB996"/>
  <c r="BA996"/>
  <c r="AZ996"/>
  <c r="AY996"/>
  <c r="AX996"/>
  <c r="AO996"/>
  <c r="Z996"/>
  <c r="BC995"/>
  <c r="AU995"/>
  <c r="BB995"/>
  <c r="AT995"/>
  <c r="AR995"/>
  <c r="AP995"/>
  <c r="AO995"/>
  <c r="AC995"/>
  <c r="AB995"/>
  <c r="Z995"/>
  <c r="Y995"/>
  <c r="X995"/>
  <c r="AL995"/>
  <c r="W995"/>
  <c r="V995"/>
  <c r="S995"/>
  <c r="R995"/>
  <c r="Q995"/>
  <c r="P995"/>
  <c r="N995"/>
  <c r="L995"/>
  <c r="BC994"/>
  <c r="BB994"/>
  <c r="BA994"/>
  <c r="AZ994"/>
  <c r="AY994"/>
  <c r="AX994"/>
  <c r="AO994"/>
  <c r="Z994"/>
  <c r="BC993"/>
  <c r="BB993"/>
  <c r="BA993"/>
  <c r="AZ993"/>
  <c r="AY993"/>
  <c r="AX993"/>
  <c r="AO993"/>
  <c r="AL993"/>
  <c r="AK993"/>
  <c r="AJ993"/>
  <c r="AG993"/>
  <c r="AF993"/>
  <c r="Z993"/>
  <c r="O993"/>
  <c r="M993"/>
  <c r="BC992"/>
  <c r="AU992"/>
  <c r="BA992"/>
  <c r="AT992"/>
  <c r="AR992"/>
  <c r="AP992"/>
  <c r="AP987"/>
  <c r="AP986"/>
  <c r="AP984"/>
  <c r="AO992"/>
  <c r="AC992"/>
  <c r="AB992"/>
  <c r="Z992"/>
  <c r="Y992"/>
  <c r="X992"/>
  <c r="W992"/>
  <c r="V992"/>
  <c r="S992"/>
  <c r="R992"/>
  <c r="Q992"/>
  <c r="P992"/>
  <c r="N992"/>
  <c r="M992"/>
  <c r="L992"/>
  <c r="BC991"/>
  <c r="BB991"/>
  <c r="BA991"/>
  <c r="AZ991"/>
  <c r="AY991"/>
  <c r="AX991"/>
  <c r="AO991"/>
  <c r="Z991"/>
  <c r="BC990"/>
  <c r="BB990"/>
  <c r="BA990"/>
  <c r="AZ990"/>
  <c r="AY990"/>
  <c r="AX990"/>
  <c r="AO990"/>
  <c r="AL990"/>
  <c r="AK990"/>
  <c r="AJ990"/>
  <c r="AG990"/>
  <c r="AF990"/>
  <c r="Z990"/>
  <c r="O990"/>
  <c r="AE990"/>
  <c r="M990"/>
  <c r="BC989"/>
  <c r="AU989"/>
  <c r="BB989"/>
  <c r="AT989"/>
  <c r="AR989"/>
  <c r="AP989"/>
  <c r="AO989"/>
  <c r="AJ989"/>
  <c r="AC989"/>
  <c r="AB989"/>
  <c r="Z989"/>
  <c r="Y989"/>
  <c r="X989"/>
  <c r="W989"/>
  <c r="V989"/>
  <c r="S989"/>
  <c r="S987"/>
  <c r="S986"/>
  <c r="S984"/>
  <c r="R989"/>
  <c r="Q989"/>
  <c r="P989"/>
  <c r="N989"/>
  <c r="L989"/>
  <c r="BC988"/>
  <c r="BB988"/>
  <c r="BA988"/>
  <c r="AZ988"/>
  <c r="AY988"/>
  <c r="AX988"/>
  <c r="AO988"/>
  <c r="Z988"/>
  <c r="BC987"/>
  <c r="AT987"/>
  <c r="AO987"/>
  <c r="Z987"/>
  <c r="BC986"/>
  <c r="AO986"/>
  <c r="Z986"/>
  <c r="BC985"/>
  <c r="BB985"/>
  <c r="BA985"/>
  <c r="AZ985"/>
  <c r="AY985"/>
  <c r="AX985"/>
  <c r="AO985"/>
  <c r="Z985"/>
  <c r="BC984"/>
  <c r="AO984"/>
  <c r="Z984"/>
  <c r="BC983"/>
  <c r="AO983"/>
  <c r="Z983"/>
  <c r="BC982"/>
  <c r="BB982"/>
  <c r="BA982"/>
  <c r="AZ982"/>
  <c r="AY982"/>
  <c r="AX982"/>
  <c r="AO982"/>
  <c r="Z982"/>
  <c r="BC981"/>
  <c r="AO981"/>
  <c r="Z981"/>
  <c r="BC980"/>
  <c r="BB980"/>
  <c r="BA980"/>
  <c r="AZ980"/>
  <c r="AY980"/>
  <c r="AX980"/>
  <c r="AO980"/>
  <c r="Z980"/>
  <c r="BC979"/>
  <c r="BB979"/>
  <c r="BA979"/>
  <c r="AZ979"/>
  <c r="AY979"/>
  <c r="AX979"/>
  <c r="AS979"/>
  <c r="AS977"/>
  <c r="AS976"/>
  <c r="AS975"/>
  <c r="AS973"/>
  <c r="AS972"/>
  <c r="AO979"/>
  <c r="Z979"/>
  <c r="S979"/>
  <c r="BC978"/>
  <c r="BB978"/>
  <c r="BA978"/>
  <c r="AZ978"/>
  <c r="AY978"/>
  <c r="AX978"/>
  <c r="AO978"/>
  <c r="AL978"/>
  <c r="AK978"/>
  <c r="AJ978"/>
  <c r="Z978"/>
  <c r="S978"/>
  <c r="O978"/>
  <c r="AD978"/>
  <c r="M978"/>
  <c r="BC977"/>
  <c r="AY977"/>
  <c r="AU977"/>
  <c r="BB977"/>
  <c r="AT977"/>
  <c r="AR977"/>
  <c r="AR976"/>
  <c r="AR975"/>
  <c r="AR973"/>
  <c r="AR972"/>
  <c r="AP977"/>
  <c r="AP976"/>
  <c r="AP975"/>
  <c r="AP973"/>
  <c r="AP972"/>
  <c r="AO977"/>
  <c r="AC977"/>
  <c r="AC976"/>
  <c r="AC975"/>
  <c r="AC973"/>
  <c r="AC972"/>
  <c r="AB977"/>
  <c r="AB976"/>
  <c r="AB975"/>
  <c r="AB973"/>
  <c r="AB972"/>
  <c r="Z977"/>
  <c r="Y977"/>
  <c r="Y976"/>
  <c r="Y975"/>
  <c r="Y973"/>
  <c r="Y972"/>
  <c r="X977"/>
  <c r="AL977"/>
  <c r="W977"/>
  <c r="AK977"/>
  <c r="V977"/>
  <c r="V976"/>
  <c r="V975"/>
  <c r="V973"/>
  <c r="V972"/>
  <c r="R977"/>
  <c r="R976"/>
  <c r="R975"/>
  <c r="R973"/>
  <c r="Q977"/>
  <c r="Q976"/>
  <c r="Q975"/>
  <c r="Q973"/>
  <c r="Q972"/>
  <c r="P977"/>
  <c r="P976"/>
  <c r="P975"/>
  <c r="P973"/>
  <c r="P972"/>
  <c r="N977"/>
  <c r="N976"/>
  <c r="N975"/>
  <c r="N973"/>
  <c r="N972"/>
  <c r="M977"/>
  <c r="M976"/>
  <c r="M975"/>
  <c r="M973"/>
  <c r="M972"/>
  <c r="L977"/>
  <c r="BC976"/>
  <c r="AT976"/>
  <c r="AY976"/>
  <c r="AO976"/>
  <c r="Z976"/>
  <c r="X976"/>
  <c r="X975"/>
  <c r="L976"/>
  <c r="L975"/>
  <c r="L973"/>
  <c r="L972"/>
  <c r="BC975"/>
  <c r="AO975"/>
  <c r="Z975"/>
  <c r="BC974"/>
  <c r="BB974"/>
  <c r="BA974"/>
  <c r="AZ974"/>
  <c r="AY974"/>
  <c r="AX974"/>
  <c r="AO974"/>
  <c r="Z974"/>
  <c r="S974"/>
  <c r="BC973"/>
  <c r="AO973"/>
  <c r="Z973"/>
  <c r="BC972"/>
  <c r="AO972"/>
  <c r="Z972"/>
  <c r="R972"/>
  <c r="BC971"/>
  <c r="BB971"/>
  <c r="BA971"/>
  <c r="AZ971"/>
  <c r="AY971"/>
  <c r="AX971"/>
  <c r="AS971"/>
  <c r="AO971"/>
  <c r="Z971"/>
  <c r="S971"/>
  <c r="BC970"/>
  <c r="BB970"/>
  <c r="BA970"/>
  <c r="AZ970"/>
  <c r="AY970"/>
  <c r="AX970"/>
  <c r="AS970"/>
  <c r="AO970"/>
  <c r="Z970"/>
  <c r="S970"/>
  <c r="BC969"/>
  <c r="BB969"/>
  <c r="BA969"/>
  <c r="AZ969"/>
  <c r="AY969"/>
  <c r="AX969"/>
  <c r="AS969"/>
  <c r="AO969"/>
  <c r="Z969"/>
  <c r="Z314"/>
  <c r="S969"/>
  <c r="BC968"/>
  <c r="BB968"/>
  <c r="BA968"/>
  <c r="AT968"/>
  <c r="AZ968"/>
  <c r="AS968"/>
  <c r="AR968"/>
  <c r="AR966"/>
  <c r="AP968"/>
  <c r="AP966"/>
  <c r="AO968"/>
  <c r="AC968"/>
  <c r="AC966"/>
  <c r="AB968"/>
  <c r="Z968"/>
  <c r="Y968"/>
  <c r="Y966"/>
  <c r="X968"/>
  <c r="X966"/>
  <c r="W968"/>
  <c r="W966"/>
  <c r="V968"/>
  <c r="V966"/>
  <c r="V963"/>
  <c r="R968"/>
  <c r="R966"/>
  <c r="Q968"/>
  <c r="Q966"/>
  <c r="P968"/>
  <c r="P966"/>
  <c r="P963"/>
  <c r="O968"/>
  <c r="O966"/>
  <c r="N968"/>
  <c r="N966"/>
  <c r="M968"/>
  <c r="M966"/>
  <c r="M963"/>
  <c r="L968"/>
  <c r="L966"/>
  <c r="L963"/>
  <c r="BC967"/>
  <c r="BB967"/>
  <c r="BA967"/>
  <c r="AZ967"/>
  <c r="AY967"/>
  <c r="AX967"/>
  <c r="AS967"/>
  <c r="AO967"/>
  <c r="Z967"/>
  <c r="S967"/>
  <c r="BC966"/>
  <c r="BB966"/>
  <c r="BA966"/>
  <c r="AS966"/>
  <c r="AO966"/>
  <c r="AB966"/>
  <c r="Z966"/>
  <c r="BC965"/>
  <c r="BB965"/>
  <c r="BA965"/>
  <c r="AS965"/>
  <c r="AO965"/>
  <c r="Z965"/>
  <c r="BC964"/>
  <c r="BB964"/>
  <c r="BA964"/>
  <c r="AZ964"/>
  <c r="AY964"/>
  <c r="AX964"/>
  <c r="AS964"/>
  <c r="AO964"/>
  <c r="Z964"/>
  <c r="S964"/>
  <c r="BC963"/>
  <c r="BB963"/>
  <c r="BA963"/>
  <c r="AS963"/>
  <c r="AO963"/>
  <c r="Z963"/>
  <c r="BC962"/>
  <c r="BB962"/>
  <c r="BA962"/>
  <c r="AZ962"/>
  <c r="AY962"/>
  <c r="AX962"/>
  <c r="AS962"/>
  <c r="AO962"/>
  <c r="Z962"/>
  <c r="S962"/>
  <c r="BC961"/>
  <c r="BB961"/>
  <c r="BA961"/>
  <c r="AZ961"/>
  <c r="AY961"/>
  <c r="AX961"/>
  <c r="AS961"/>
  <c r="AO961"/>
  <c r="Z961"/>
  <c r="S961"/>
  <c r="BC960"/>
  <c r="BB960"/>
  <c r="BA960"/>
  <c r="AZ960"/>
  <c r="AY960"/>
  <c r="AX960"/>
  <c r="AS960"/>
  <c r="AO960"/>
  <c r="AL960"/>
  <c r="AK960"/>
  <c r="Z960"/>
  <c r="S960"/>
  <c r="M960"/>
  <c r="AD960"/>
  <c r="BC959"/>
  <c r="BB959"/>
  <c r="BA959"/>
  <c r="AZ959"/>
  <c r="AY959"/>
  <c r="AX959"/>
  <c r="AS959"/>
  <c r="AO959"/>
  <c r="Z959"/>
  <c r="S959"/>
  <c r="BC958"/>
  <c r="BB958"/>
  <c r="BA958"/>
  <c r="AZ958"/>
  <c r="AY958"/>
  <c r="AX958"/>
  <c r="AS958"/>
  <c r="AO958"/>
  <c r="AJ958"/>
  <c r="Z958"/>
  <c r="S958"/>
  <c r="M958"/>
  <c r="AD958"/>
  <c r="BC957"/>
  <c r="BB957"/>
  <c r="BA957"/>
  <c r="AZ957"/>
  <c r="AY957"/>
  <c r="AX957"/>
  <c r="AS957"/>
  <c r="AO957"/>
  <c r="AJ957"/>
  <c r="Z957"/>
  <c r="S957"/>
  <c r="M957"/>
  <c r="AD957"/>
  <c r="BC956"/>
  <c r="BB956"/>
  <c r="BA956"/>
  <c r="AZ956"/>
  <c r="AY956"/>
  <c r="AX956"/>
  <c r="AS956"/>
  <c r="AO956"/>
  <c r="Z956"/>
  <c r="S956"/>
  <c r="BC955"/>
  <c r="BB955"/>
  <c r="BA955"/>
  <c r="AZ955"/>
  <c r="AY955"/>
  <c r="AX955"/>
  <c r="AS955"/>
  <c r="AO955"/>
  <c r="Z955"/>
  <c r="S955"/>
  <c r="BC954"/>
  <c r="BB954"/>
  <c r="BA954"/>
  <c r="AZ954"/>
  <c r="AY954"/>
  <c r="AX954"/>
  <c r="AS954"/>
  <c r="AO954"/>
  <c r="Z954"/>
  <c r="S954"/>
  <c r="BC953"/>
  <c r="BB953"/>
  <c r="BA953"/>
  <c r="AZ953"/>
  <c r="AY953"/>
  <c r="AX953"/>
  <c r="AS953"/>
  <c r="AO953"/>
  <c r="AL953"/>
  <c r="AK953"/>
  <c r="AJ953"/>
  <c r="AG953"/>
  <c r="AF953"/>
  <c r="Z953"/>
  <c r="S953"/>
  <c r="O953"/>
  <c r="M953"/>
  <c r="BC952"/>
  <c r="BB952"/>
  <c r="AU952"/>
  <c r="AT952"/>
  <c r="AY952"/>
  <c r="AR952"/>
  <c r="AR951"/>
  <c r="AR950"/>
  <c r="AR949"/>
  <c r="AR947"/>
  <c r="AP952"/>
  <c r="AP951"/>
  <c r="AP950"/>
  <c r="AP949"/>
  <c r="AP947"/>
  <c r="AO952"/>
  <c r="AG952"/>
  <c r="AF952"/>
  <c r="Z952"/>
  <c r="Y952"/>
  <c r="Y951"/>
  <c r="Y950"/>
  <c r="Y949"/>
  <c r="Y947"/>
  <c r="X952"/>
  <c r="W952"/>
  <c r="V952"/>
  <c r="V951"/>
  <c r="V950"/>
  <c r="V949"/>
  <c r="V947"/>
  <c r="R952"/>
  <c r="R951"/>
  <c r="R950"/>
  <c r="R949"/>
  <c r="R947"/>
  <c r="O952"/>
  <c r="AE952"/>
  <c r="M952"/>
  <c r="M951"/>
  <c r="M950"/>
  <c r="M949"/>
  <c r="M947"/>
  <c r="BC951"/>
  <c r="AU951"/>
  <c r="BB951"/>
  <c r="AO951"/>
  <c r="AC951"/>
  <c r="AB951"/>
  <c r="AB950"/>
  <c r="Z951"/>
  <c r="Q951"/>
  <c r="P951"/>
  <c r="P950"/>
  <c r="P949"/>
  <c r="P947"/>
  <c r="N951"/>
  <c r="N950"/>
  <c r="N949"/>
  <c r="N947"/>
  <c r="L951"/>
  <c r="L950"/>
  <c r="L949"/>
  <c r="L947"/>
  <c r="BC950"/>
  <c r="AO950"/>
  <c r="AC950"/>
  <c r="AC949"/>
  <c r="AC947"/>
  <c r="Z950"/>
  <c r="BC949"/>
  <c r="AO949"/>
  <c r="Z949"/>
  <c r="BC948"/>
  <c r="BB948"/>
  <c r="BA948"/>
  <c r="AZ948"/>
  <c r="AY948"/>
  <c r="AX948"/>
  <c r="AO948"/>
  <c r="Z948"/>
  <c r="S948"/>
  <c r="BC947"/>
  <c r="AO947"/>
  <c r="Z947"/>
  <c r="BC946"/>
  <c r="BB946"/>
  <c r="BA946"/>
  <c r="AZ946"/>
  <c r="AY946"/>
  <c r="AX946"/>
  <c r="AS946"/>
  <c r="AO946"/>
  <c r="Z946"/>
  <c r="S946"/>
  <c r="BC945"/>
  <c r="BB945"/>
  <c r="BA945"/>
  <c r="AZ945"/>
  <c r="AY945"/>
  <c r="AX945"/>
  <c r="AO945"/>
  <c r="AL945"/>
  <c r="AK945"/>
  <c r="AJ945"/>
  <c r="AG945"/>
  <c r="AF945"/>
  <c r="AE945"/>
  <c r="Z945"/>
  <c r="S945"/>
  <c r="O945"/>
  <c r="M945"/>
  <c r="BC944"/>
  <c r="BB944"/>
  <c r="BA944"/>
  <c r="AZ944"/>
  <c r="AY944"/>
  <c r="AX944"/>
  <c r="AO944"/>
  <c r="AL944"/>
  <c r="AK944"/>
  <c r="AJ944"/>
  <c r="AG944"/>
  <c r="AF944"/>
  <c r="Z944"/>
  <c r="S944"/>
  <c r="S943"/>
  <c r="O944"/>
  <c r="O943"/>
  <c r="O283"/>
  <c r="M944"/>
  <c r="BC943"/>
  <c r="AU943"/>
  <c r="BB943"/>
  <c r="AT943"/>
  <c r="AY943"/>
  <c r="AS943"/>
  <c r="AR943"/>
  <c r="AP943"/>
  <c r="AP283"/>
  <c r="AO943"/>
  <c r="AC943"/>
  <c r="AB943"/>
  <c r="AG943"/>
  <c r="Z943"/>
  <c r="Y943"/>
  <c r="X943"/>
  <c r="W943"/>
  <c r="V943"/>
  <c r="R943"/>
  <c r="Q943"/>
  <c r="P943"/>
  <c r="N943"/>
  <c r="L943"/>
  <c r="BC942"/>
  <c r="BB942"/>
  <c r="BA942"/>
  <c r="AZ942"/>
  <c r="AY942"/>
  <c r="AX942"/>
  <c r="AS942"/>
  <c r="AO942"/>
  <c r="Z942"/>
  <c r="S942"/>
  <c r="BC941"/>
  <c r="BB941"/>
  <c r="BA941"/>
  <c r="AZ941"/>
  <c r="AY941"/>
  <c r="AX941"/>
  <c r="AS941"/>
  <c r="AO941"/>
  <c r="AL941"/>
  <c r="AK941"/>
  <c r="AJ941"/>
  <c r="AG941"/>
  <c r="AF941"/>
  <c r="Z941"/>
  <c r="S941"/>
  <c r="O941"/>
  <c r="AE941"/>
  <c r="M941"/>
  <c r="BC940"/>
  <c r="BB940"/>
  <c r="BA940"/>
  <c r="AZ940"/>
  <c r="AY940"/>
  <c r="AX940"/>
  <c r="AO940"/>
  <c r="AL940"/>
  <c r="AK940"/>
  <c r="Z940"/>
  <c r="S940"/>
  <c r="O940"/>
  <c r="BC939"/>
  <c r="BB939"/>
  <c r="BA939"/>
  <c r="AZ939"/>
  <c r="AY939"/>
  <c r="AX939"/>
  <c r="AS939"/>
  <c r="AO939"/>
  <c r="AL939"/>
  <c r="AK939"/>
  <c r="AG939"/>
  <c r="AF939"/>
  <c r="Z939"/>
  <c r="S939"/>
  <c r="O939"/>
  <c r="BC938"/>
  <c r="BB938"/>
  <c r="BA938"/>
  <c r="AZ938"/>
  <c r="AY938"/>
  <c r="AX938"/>
  <c r="AS938"/>
  <c r="AO938"/>
  <c r="AL938"/>
  <c r="AK938"/>
  <c r="AJ938"/>
  <c r="AG938"/>
  <c r="AF938"/>
  <c r="Z938"/>
  <c r="S938"/>
  <c r="O938"/>
  <c r="M938"/>
  <c r="M937"/>
  <c r="M282"/>
  <c r="BC937"/>
  <c r="AU937"/>
  <c r="AT937"/>
  <c r="AK937"/>
  <c r="AR937"/>
  <c r="AP937"/>
  <c r="AO937"/>
  <c r="AC937"/>
  <c r="AC935"/>
  <c r="AC934"/>
  <c r="AC933"/>
  <c r="AC931"/>
  <c r="AB937"/>
  <c r="Z937"/>
  <c r="Y937"/>
  <c r="X937"/>
  <c r="AL937"/>
  <c r="W937"/>
  <c r="V937"/>
  <c r="R937"/>
  <c r="Q937"/>
  <c r="Q935"/>
  <c r="Q934"/>
  <c r="Q933"/>
  <c r="P937"/>
  <c r="N937"/>
  <c r="L937"/>
  <c r="BC936"/>
  <c r="BB936"/>
  <c r="BA936"/>
  <c r="AZ936"/>
  <c r="AY936"/>
  <c r="AX936"/>
  <c r="AO936"/>
  <c r="Z936"/>
  <c r="S936"/>
  <c r="BC935"/>
  <c r="AO935"/>
  <c r="Z935"/>
  <c r="Y935"/>
  <c r="Y934"/>
  <c r="Y933"/>
  <c r="Y931"/>
  <c r="BC934"/>
  <c r="AO934"/>
  <c r="Z934"/>
  <c r="BC933"/>
  <c r="AO933"/>
  <c r="Z933"/>
  <c r="BC932"/>
  <c r="BB932"/>
  <c r="BA932"/>
  <c r="AZ932"/>
  <c r="AY932"/>
  <c r="AX932"/>
  <c r="AO932"/>
  <c r="Z932"/>
  <c r="S932"/>
  <c r="BC931"/>
  <c r="AO931"/>
  <c r="Z931"/>
  <c r="BC930"/>
  <c r="AO930"/>
  <c r="Z930"/>
  <c r="BC929"/>
  <c r="BB929"/>
  <c r="BA929"/>
  <c r="AZ929"/>
  <c r="AY929"/>
  <c r="AX929"/>
  <c r="AS929"/>
  <c r="AO929"/>
  <c r="Z929"/>
  <c r="S929"/>
  <c r="BC928"/>
  <c r="BB928"/>
  <c r="BA928"/>
  <c r="AZ928"/>
  <c r="AY928"/>
  <c r="AX928"/>
  <c r="AS928"/>
  <c r="AO928"/>
  <c r="Z928"/>
  <c r="S928"/>
  <c r="S927"/>
  <c r="S926"/>
  <c r="S925"/>
  <c r="S924"/>
  <c r="S922"/>
  <c r="BC927"/>
  <c r="BB927"/>
  <c r="BA927"/>
  <c r="AT927"/>
  <c r="AS927"/>
  <c r="AR927"/>
  <c r="AR926"/>
  <c r="AR925"/>
  <c r="AR924"/>
  <c r="AR922"/>
  <c r="AP927"/>
  <c r="AO927"/>
  <c r="AC927"/>
  <c r="AC926"/>
  <c r="AC925"/>
  <c r="AC924"/>
  <c r="AC922"/>
  <c r="AB927"/>
  <c r="AB926"/>
  <c r="AB925"/>
  <c r="AB924"/>
  <c r="AB922"/>
  <c r="Z927"/>
  <c r="Y927"/>
  <c r="Y926"/>
  <c r="Y925"/>
  <c r="Y924"/>
  <c r="Y922"/>
  <c r="X927"/>
  <c r="X926"/>
  <c r="X925"/>
  <c r="X924"/>
  <c r="X922"/>
  <c r="W927"/>
  <c r="W926"/>
  <c r="W925"/>
  <c r="W924"/>
  <c r="W922"/>
  <c r="V927"/>
  <c r="V926"/>
  <c r="V925"/>
  <c r="V924"/>
  <c r="V922"/>
  <c r="R927"/>
  <c r="Q927"/>
  <c r="Q926"/>
  <c r="Q925"/>
  <c r="Q924"/>
  <c r="Q922"/>
  <c r="P927"/>
  <c r="P926"/>
  <c r="P925"/>
  <c r="P924"/>
  <c r="P922"/>
  <c r="O927"/>
  <c r="O926"/>
  <c r="O925"/>
  <c r="O924"/>
  <c r="O922"/>
  <c r="N927"/>
  <c r="N926"/>
  <c r="N925"/>
  <c r="N924"/>
  <c r="N922"/>
  <c r="M927"/>
  <c r="M926"/>
  <c r="M925"/>
  <c r="M924"/>
  <c r="M922"/>
  <c r="L927"/>
  <c r="L926"/>
  <c r="L925"/>
  <c r="L924"/>
  <c r="L922"/>
  <c r="BC926"/>
  <c r="BB926"/>
  <c r="BA926"/>
  <c r="AS926"/>
  <c r="AO926"/>
  <c r="Z926"/>
  <c r="BC925"/>
  <c r="BB925"/>
  <c r="BA925"/>
  <c r="AS925"/>
  <c r="AO925"/>
  <c r="Z925"/>
  <c r="BC924"/>
  <c r="BB924"/>
  <c r="BA924"/>
  <c r="AS924"/>
  <c r="AO924"/>
  <c r="Z924"/>
  <c r="BC923"/>
  <c r="BB923"/>
  <c r="BA923"/>
  <c r="AZ923"/>
  <c r="AY923"/>
  <c r="AX923"/>
  <c r="AS923"/>
  <c r="AO923"/>
  <c r="Z923"/>
  <c r="S923"/>
  <c r="BC922"/>
  <c r="BB922"/>
  <c r="BA922"/>
  <c r="AS922"/>
  <c r="AO922"/>
  <c r="Z922"/>
  <c r="BC921"/>
  <c r="BB921"/>
  <c r="BA921"/>
  <c r="AZ921"/>
  <c r="AY921"/>
  <c r="AX921"/>
  <c r="AS921"/>
  <c r="AO921"/>
  <c r="Z921"/>
  <c r="S921"/>
  <c r="BC920"/>
  <c r="BB920"/>
  <c r="BA920"/>
  <c r="AZ920"/>
  <c r="AY920"/>
  <c r="AX920"/>
  <c r="AO920"/>
  <c r="Z920"/>
  <c r="S920"/>
  <c r="BC919"/>
  <c r="BB919"/>
  <c r="BA919"/>
  <c r="AZ919"/>
  <c r="AY919"/>
  <c r="AX919"/>
  <c r="AO919"/>
  <c r="Z919"/>
  <c r="S919"/>
  <c r="BC918"/>
  <c r="BB918"/>
  <c r="BA918"/>
  <c r="AT918"/>
  <c r="AT917"/>
  <c r="AS918"/>
  <c r="AR918"/>
  <c r="AR917"/>
  <c r="AR916"/>
  <c r="AP918"/>
  <c r="AP917"/>
  <c r="AP916"/>
  <c r="AO918"/>
  <c r="AC918"/>
  <c r="AC917"/>
  <c r="AC916"/>
  <c r="AB918"/>
  <c r="AB917"/>
  <c r="AB916"/>
  <c r="Z918"/>
  <c r="Y918"/>
  <c r="Y917"/>
  <c r="Y916"/>
  <c r="X918"/>
  <c r="X917"/>
  <c r="X916"/>
  <c r="W918"/>
  <c r="W917"/>
  <c r="W916"/>
  <c r="V918"/>
  <c r="V917"/>
  <c r="V916"/>
  <c r="R918"/>
  <c r="Q918"/>
  <c r="Q917"/>
  <c r="Q916"/>
  <c r="P918"/>
  <c r="P917"/>
  <c r="P916"/>
  <c r="O918"/>
  <c r="O917"/>
  <c r="O916"/>
  <c r="N918"/>
  <c r="N917"/>
  <c r="N916"/>
  <c r="M918"/>
  <c r="M917"/>
  <c r="M916"/>
  <c r="L918"/>
  <c r="L917"/>
  <c r="L916"/>
  <c r="BC917"/>
  <c r="BB917"/>
  <c r="BA917"/>
  <c r="AS917"/>
  <c r="AO917"/>
  <c r="Z917"/>
  <c r="BC916"/>
  <c r="BB916"/>
  <c r="BA916"/>
  <c r="AS916"/>
  <c r="AO916"/>
  <c r="Z916"/>
  <c r="BC915"/>
  <c r="BB915"/>
  <c r="BA915"/>
  <c r="AZ915"/>
  <c r="AY915"/>
  <c r="AX915"/>
  <c r="AS915"/>
  <c r="AO915"/>
  <c r="Z915"/>
  <c r="S915"/>
  <c r="BC914"/>
  <c r="BB914"/>
  <c r="BA914"/>
  <c r="AZ914"/>
  <c r="AY914"/>
  <c r="AX914"/>
  <c r="AS914"/>
  <c r="AO914"/>
  <c r="AL914"/>
  <c r="Z914"/>
  <c r="S914"/>
  <c r="O914"/>
  <c r="BC913"/>
  <c r="BB913"/>
  <c r="BA913"/>
  <c r="AZ913"/>
  <c r="AY913"/>
  <c r="AX913"/>
  <c r="AS913"/>
  <c r="AO913"/>
  <c r="AL913"/>
  <c r="AK913"/>
  <c r="AJ913"/>
  <c r="Z913"/>
  <c r="S913"/>
  <c r="O913"/>
  <c r="BC912"/>
  <c r="BB912"/>
  <c r="BA912"/>
  <c r="AZ912"/>
  <c r="AY912"/>
  <c r="AX912"/>
  <c r="AS912"/>
  <c r="AO912"/>
  <c r="AL912"/>
  <c r="AK912"/>
  <c r="AJ912"/>
  <c r="AG912"/>
  <c r="AF912"/>
  <c r="Z912"/>
  <c r="S912"/>
  <c r="O912"/>
  <c r="AE912"/>
  <c r="M912"/>
  <c r="M911"/>
  <c r="M910"/>
  <c r="M909"/>
  <c r="M908"/>
  <c r="M906"/>
  <c r="BC911"/>
  <c r="AU911"/>
  <c r="AU275"/>
  <c r="AT911"/>
  <c r="AR911"/>
  <c r="AR910"/>
  <c r="AR909"/>
  <c r="AR908"/>
  <c r="AR906"/>
  <c r="AP911"/>
  <c r="AO911"/>
  <c r="AC911"/>
  <c r="AC910"/>
  <c r="AC909"/>
  <c r="AC908"/>
  <c r="AC906"/>
  <c r="AB911"/>
  <c r="AB910"/>
  <c r="Z911"/>
  <c r="Y911"/>
  <c r="Y910"/>
  <c r="Y909"/>
  <c r="Y908"/>
  <c r="Y906"/>
  <c r="X911"/>
  <c r="X910"/>
  <c r="W911"/>
  <c r="V911"/>
  <c r="V910"/>
  <c r="V909"/>
  <c r="V908"/>
  <c r="V906"/>
  <c r="R911"/>
  <c r="R910"/>
  <c r="R909"/>
  <c r="R908"/>
  <c r="R906"/>
  <c r="Q911"/>
  <c r="Q910"/>
  <c r="Q909"/>
  <c r="Q908"/>
  <c r="P911"/>
  <c r="P910"/>
  <c r="N911"/>
  <c r="N910"/>
  <c r="N909"/>
  <c r="N908"/>
  <c r="N906"/>
  <c r="L911"/>
  <c r="L910"/>
  <c r="L909"/>
  <c r="L908"/>
  <c r="L906"/>
  <c r="BC910"/>
  <c r="AO910"/>
  <c r="Z910"/>
  <c r="BC909"/>
  <c r="AO909"/>
  <c r="Z909"/>
  <c r="BC908"/>
  <c r="AO908"/>
  <c r="Z908"/>
  <c r="BC907"/>
  <c r="BB907"/>
  <c r="BA907"/>
  <c r="AZ907"/>
  <c r="AY907"/>
  <c r="AX907"/>
  <c r="AO907"/>
  <c r="Z907"/>
  <c r="S907"/>
  <c r="BC906"/>
  <c r="AO906"/>
  <c r="Z906"/>
  <c r="BC905"/>
  <c r="AO905"/>
  <c r="Z905"/>
  <c r="BC904"/>
  <c r="BB904"/>
  <c r="BA904"/>
  <c r="AZ904"/>
  <c r="AY904"/>
  <c r="AX904"/>
  <c r="AS904"/>
  <c r="AO904"/>
  <c r="Z904"/>
  <c r="S904"/>
  <c r="BC903"/>
  <c r="BB903"/>
  <c r="BA903"/>
  <c r="AZ903"/>
  <c r="AY903"/>
  <c r="AX903"/>
  <c r="AO903"/>
  <c r="AL903"/>
  <c r="AK903"/>
  <c r="AJ903"/>
  <c r="Z903"/>
  <c r="S903"/>
  <c r="M903"/>
  <c r="AD903"/>
  <c r="BC902"/>
  <c r="BB902"/>
  <c r="BA902"/>
  <c r="AZ902"/>
  <c r="AY902"/>
  <c r="AX902"/>
  <c r="AS902"/>
  <c r="AO902"/>
  <c r="Z902"/>
  <c r="S902"/>
  <c r="BC901"/>
  <c r="BB901"/>
  <c r="BA901"/>
  <c r="AZ901"/>
  <c r="AY901"/>
  <c r="AX901"/>
  <c r="AS901"/>
  <c r="AO901"/>
  <c r="AJ901"/>
  <c r="Z901"/>
  <c r="S901"/>
  <c r="M901"/>
  <c r="AD901"/>
  <c r="BC900"/>
  <c r="BB900"/>
  <c r="BA900"/>
  <c r="AZ900"/>
  <c r="AY900"/>
  <c r="AX900"/>
  <c r="AS900"/>
  <c r="AO900"/>
  <c r="Z900"/>
  <c r="S900"/>
  <c r="BC899"/>
  <c r="BB899"/>
  <c r="BA899"/>
  <c r="AZ899"/>
  <c r="AY899"/>
  <c r="AX899"/>
  <c r="AS899"/>
  <c r="AO899"/>
  <c r="AJ899"/>
  <c r="Z899"/>
  <c r="S899"/>
  <c r="M899"/>
  <c r="AD899"/>
  <c r="BC898"/>
  <c r="BB898"/>
  <c r="BA898"/>
  <c r="AZ898"/>
  <c r="AY898"/>
  <c r="AX898"/>
  <c r="AS898"/>
  <c r="AO898"/>
  <c r="AJ898"/>
  <c r="AD898"/>
  <c r="Z898"/>
  <c r="S898"/>
  <c r="M898"/>
  <c r="BC897"/>
  <c r="BB897"/>
  <c r="BA897"/>
  <c r="AZ897"/>
  <c r="AY897"/>
  <c r="AX897"/>
  <c r="AS897"/>
  <c r="AO897"/>
  <c r="AJ897"/>
  <c r="Z897"/>
  <c r="S897"/>
  <c r="M897"/>
  <c r="AD897"/>
  <c r="BC896"/>
  <c r="BB896"/>
  <c r="BA896"/>
  <c r="AZ896"/>
  <c r="AY896"/>
  <c r="AX896"/>
  <c r="AS896"/>
  <c r="AO896"/>
  <c r="AJ896"/>
  <c r="Z896"/>
  <c r="S896"/>
  <c r="M896"/>
  <c r="AD896"/>
  <c r="BC895"/>
  <c r="AZ895"/>
  <c r="AU895"/>
  <c r="AU894"/>
  <c r="AT895"/>
  <c r="AY895"/>
  <c r="AR895"/>
  <c r="AR894"/>
  <c r="AR893"/>
  <c r="AR892"/>
  <c r="AR890"/>
  <c r="AP895"/>
  <c r="AP894"/>
  <c r="AP893"/>
  <c r="AP892"/>
  <c r="AP890"/>
  <c r="AO895"/>
  <c r="AG895"/>
  <c r="AF895"/>
  <c r="Z895"/>
  <c r="Y895"/>
  <c r="Y894"/>
  <c r="Y893"/>
  <c r="Y892"/>
  <c r="Y890"/>
  <c r="X895"/>
  <c r="AL895"/>
  <c r="W895"/>
  <c r="W894"/>
  <c r="V895"/>
  <c r="V894"/>
  <c r="V893"/>
  <c r="V892"/>
  <c r="V890"/>
  <c r="R895"/>
  <c r="R894"/>
  <c r="R893"/>
  <c r="R892"/>
  <c r="R890"/>
  <c r="O895"/>
  <c r="M895"/>
  <c r="M894"/>
  <c r="M893"/>
  <c r="M892"/>
  <c r="M890"/>
  <c r="BC894"/>
  <c r="AO894"/>
  <c r="AC894"/>
  <c r="AC893"/>
  <c r="AC892"/>
  <c r="AC890"/>
  <c r="AB894"/>
  <c r="Z894"/>
  <c r="Q894"/>
  <c r="Q893"/>
  <c r="Q892"/>
  <c r="Q890"/>
  <c r="P894"/>
  <c r="N894"/>
  <c r="N893"/>
  <c r="N892"/>
  <c r="N890"/>
  <c r="L894"/>
  <c r="L893"/>
  <c r="L892"/>
  <c r="L890"/>
  <c r="BC893"/>
  <c r="AO893"/>
  <c r="Z893"/>
  <c r="BC892"/>
  <c r="AO892"/>
  <c r="Z892"/>
  <c r="BC891"/>
  <c r="BB891"/>
  <c r="BA891"/>
  <c r="AZ891"/>
  <c r="AY891"/>
  <c r="AX891"/>
  <c r="AO891"/>
  <c r="Z891"/>
  <c r="S891"/>
  <c r="BC890"/>
  <c r="AO890"/>
  <c r="Z890"/>
  <c r="BC889"/>
  <c r="BB889"/>
  <c r="BA889"/>
  <c r="AZ889"/>
  <c r="AY889"/>
  <c r="AX889"/>
  <c r="AS889"/>
  <c r="AO889"/>
  <c r="Z889"/>
  <c r="S889"/>
  <c r="BC888"/>
  <c r="BB888"/>
  <c r="BA888"/>
  <c r="AZ888"/>
  <c r="AY888"/>
  <c r="AX888"/>
  <c r="AS888"/>
  <c r="AS887"/>
  <c r="AS886"/>
  <c r="AS885"/>
  <c r="AS884"/>
  <c r="AS882"/>
  <c r="AO888"/>
  <c r="AL888"/>
  <c r="AK888"/>
  <c r="AJ888"/>
  <c r="Z888"/>
  <c r="S888"/>
  <c r="S887"/>
  <c r="S886"/>
  <c r="S885"/>
  <c r="S884"/>
  <c r="S882"/>
  <c r="O888"/>
  <c r="O887"/>
  <c r="O886"/>
  <c r="O885"/>
  <c r="O884"/>
  <c r="O882"/>
  <c r="BC887"/>
  <c r="AU887"/>
  <c r="AZ887"/>
  <c r="AT887"/>
  <c r="AR887"/>
  <c r="AR886"/>
  <c r="AR885"/>
  <c r="AR884"/>
  <c r="AR882"/>
  <c r="AP887"/>
  <c r="AP886"/>
  <c r="AP885"/>
  <c r="AP884"/>
  <c r="AP882"/>
  <c r="AO887"/>
  <c r="AC887"/>
  <c r="AC886"/>
  <c r="AC885"/>
  <c r="AC884"/>
  <c r="AC882"/>
  <c r="AB887"/>
  <c r="AB886"/>
  <c r="AB885"/>
  <c r="AB884"/>
  <c r="AB882"/>
  <c r="Z887"/>
  <c r="Y887"/>
  <c r="Y886"/>
  <c r="Y885"/>
  <c r="Y884"/>
  <c r="Y882"/>
  <c r="X887"/>
  <c r="W887"/>
  <c r="W886"/>
  <c r="V887"/>
  <c r="V886"/>
  <c r="V885"/>
  <c r="V884"/>
  <c r="V882"/>
  <c r="R887"/>
  <c r="R886"/>
  <c r="R885"/>
  <c r="R884"/>
  <c r="R882"/>
  <c r="Q887"/>
  <c r="Q886"/>
  <c r="Q885"/>
  <c r="Q884"/>
  <c r="Q882"/>
  <c r="P887"/>
  <c r="P886"/>
  <c r="P885"/>
  <c r="P884"/>
  <c r="P882"/>
  <c r="N887"/>
  <c r="N886"/>
  <c r="N885"/>
  <c r="N884"/>
  <c r="N882"/>
  <c r="M887"/>
  <c r="M886"/>
  <c r="M885"/>
  <c r="M884"/>
  <c r="M882"/>
  <c r="L887"/>
  <c r="BC886"/>
  <c r="AO886"/>
  <c r="Z886"/>
  <c r="L886"/>
  <c r="L885"/>
  <c r="L884"/>
  <c r="L882"/>
  <c r="BC885"/>
  <c r="AO885"/>
  <c r="Z885"/>
  <c r="BC884"/>
  <c r="AO884"/>
  <c r="Z884"/>
  <c r="BC883"/>
  <c r="BB883"/>
  <c r="BA883"/>
  <c r="AZ883"/>
  <c r="AY883"/>
  <c r="AX883"/>
  <c r="AO883"/>
  <c r="Z883"/>
  <c r="S883"/>
  <c r="BC882"/>
  <c r="AO882"/>
  <c r="Z882"/>
  <c r="BC881"/>
  <c r="BB881"/>
  <c r="BA881"/>
  <c r="AZ881"/>
  <c r="AY881"/>
  <c r="AX881"/>
  <c r="AS881"/>
  <c r="AO881"/>
  <c r="Z881"/>
  <c r="S881"/>
  <c r="BC880"/>
  <c r="BB880"/>
  <c r="BA880"/>
  <c r="AZ880"/>
  <c r="AY880"/>
  <c r="AX880"/>
  <c r="AS880"/>
  <c r="AS879"/>
  <c r="AO880"/>
  <c r="AL880"/>
  <c r="AK880"/>
  <c r="AJ880"/>
  <c r="AG880"/>
  <c r="AF880"/>
  <c r="Z880"/>
  <c r="S880"/>
  <c r="S879"/>
  <c r="S878"/>
  <c r="S877"/>
  <c r="S876"/>
  <c r="S874"/>
  <c r="O880"/>
  <c r="M880"/>
  <c r="M879"/>
  <c r="M878"/>
  <c r="M877"/>
  <c r="M876"/>
  <c r="M874"/>
  <c r="BC879"/>
  <c r="AU879"/>
  <c r="AT879"/>
  <c r="AR879"/>
  <c r="AR878"/>
  <c r="AR877"/>
  <c r="AR876"/>
  <c r="AR874"/>
  <c r="AP879"/>
  <c r="AP878"/>
  <c r="AP877"/>
  <c r="AP876"/>
  <c r="AP874"/>
  <c r="AO879"/>
  <c r="AC879"/>
  <c r="AC878"/>
  <c r="AC877"/>
  <c r="AC876"/>
  <c r="AC874"/>
  <c r="AB879"/>
  <c r="AB878"/>
  <c r="Z879"/>
  <c r="Y879"/>
  <c r="Y878"/>
  <c r="Y877"/>
  <c r="Y876"/>
  <c r="Y874"/>
  <c r="X879"/>
  <c r="X878"/>
  <c r="W879"/>
  <c r="AJ879"/>
  <c r="V879"/>
  <c r="V878"/>
  <c r="V877"/>
  <c r="V876"/>
  <c r="V874"/>
  <c r="R879"/>
  <c r="R878"/>
  <c r="Q879"/>
  <c r="Q878"/>
  <c r="Q877"/>
  <c r="P879"/>
  <c r="AF879"/>
  <c r="N879"/>
  <c r="N878"/>
  <c r="N877"/>
  <c r="N876"/>
  <c r="N874"/>
  <c r="L879"/>
  <c r="L878"/>
  <c r="L877"/>
  <c r="L876"/>
  <c r="L874"/>
  <c r="BC878"/>
  <c r="AS878"/>
  <c r="AS877"/>
  <c r="AS876"/>
  <c r="AS874"/>
  <c r="AO878"/>
  <c r="Z878"/>
  <c r="BC877"/>
  <c r="AO877"/>
  <c r="Z877"/>
  <c r="R877"/>
  <c r="R876"/>
  <c r="R874"/>
  <c r="BC876"/>
  <c r="AO876"/>
  <c r="Z876"/>
  <c r="Q876"/>
  <c r="BC875"/>
  <c r="BB875"/>
  <c r="BA875"/>
  <c r="AZ875"/>
  <c r="AY875"/>
  <c r="AX875"/>
  <c r="AO875"/>
  <c r="Z875"/>
  <c r="S875"/>
  <c r="BC874"/>
  <c r="AO874"/>
  <c r="Z874"/>
  <c r="BC873"/>
  <c r="AO873"/>
  <c r="Z873"/>
  <c r="BC872"/>
  <c r="BB872"/>
  <c r="BA872"/>
  <c r="AZ872"/>
  <c r="AY872"/>
  <c r="AX872"/>
  <c r="AO872"/>
  <c r="AL872"/>
  <c r="AK872"/>
  <c r="Z872"/>
  <c r="S872"/>
  <c r="S859"/>
  <c r="S858"/>
  <c r="S857"/>
  <c r="S856"/>
  <c r="S854"/>
  <c r="BC871"/>
  <c r="BB871"/>
  <c r="BA871"/>
  <c r="AZ871"/>
  <c r="AY871"/>
  <c r="AX871"/>
  <c r="AS871"/>
  <c r="AO871"/>
  <c r="AJ871"/>
  <c r="Z871"/>
  <c r="S871"/>
  <c r="M871"/>
  <c r="AD871"/>
  <c r="BC870"/>
  <c r="BB870"/>
  <c r="BA870"/>
  <c r="AZ870"/>
  <c r="AY870"/>
  <c r="AX870"/>
  <c r="AS870"/>
  <c r="AO870"/>
  <c r="Z870"/>
  <c r="S870"/>
  <c r="BC869"/>
  <c r="BB869"/>
  <c r="BA869"/>
  <c r="AZ869"/>
  <c r="AY869"/>
  <c r="AX869"/>
  <c r="AS869"/>
  <c r="AO869"/>
  <c r="AJ869"/>
  <c r="Z869"/>
  <c r="S869"/>
  <c r="M869"/>
  <c r="AD869"/>
  <c r="BC868"/>
  <c r="BB868"/>
  <c r="BA868"/>
  <c r="AZ868"/>
  <c r="AY868"/>
  <c r="AX868"/>
  <c r="AS868"/>
  <c r="AO868"/>
  <c r="Z868"/>
  <c r="S868"/>
  <c r="BC867"/>
  <c r="BB867"/>
  <c r="BA867"/>
  <c r="AZ867"/>
  <c r="AY867"/>
  <c r="AX867"/>
  <c r="AS867"/>
  <c r="AO867"/>
  <c r="AJ867"/>
  <c r="Z867"/>
  <c r="S867"/>
  <c r="M867"/>
  <c r="AD867"/>
  <c r="BC866"/>
  <c r="BB866"/>
  <c r="BA866"/>
  <c r="AZ866"/>
  <c r="AY866"/>
  <c r="AX866"/>
  <c r="AS866"/>
  <c r="AO866"/>
  <c r="AJ866"/>
  <c r="Z866"/>
  <c r="S866"/>
  <c r="BC865"/>
  <c r="BB865"/>
  <c r="BA865"/>
  <c r="AZ865"/>
  <c r="AY865"/>
  <c r="AX865"/>
  <c r="AS865"/>
  <c r="AO865"/>
  <c r="AJ865"/>
  <c r="Z865"/>
  <c r="S865"/>
  <c r="M865"/>
  <c r="AD865"/>
  <c r="BC864"/>
  <c r="BB864"/>
  <c r="BA864"/>
  <c r="AZ864"/>
  <c r="AY864"/>
  <c r="AX864"/>
  <c r="AS864"/>
  <c r="AO864"/>
  <c r="AJ864"/>
  <c r="Z864"/>
  <c r="S864"/>
  <c r="M864"/>
  <c r="AD864"/>
  <c r="BC863"/>
  <c r="BB863"/>
  <c r="BA863"/>
  <c r="AZ863"/>
  <c r="AY863"/>
  <c r="AX863"/>
  <c r="AS863"/>
  <c r="AO863"/>
  <c r="AJ863"/>
  <c r="Z863"/>
  <c r="S863"/>
  <c r="M863"/>
  <c r="AD863"/>
  <c r="BC862"/>
  <c r="BB862"/>
  <c r="BA862"/>
  <c r="AZ862"/>
  <c r="AY862"/>
  <c r="AX862"/>
  <c r="AS862"/>
  <c r="AO862"/>
  <c r="AJ862"/>
  <c r="Z862"/>
  <c r="S862"/>
  <c r="M862"/>
  <c r="AD862"/>
  <c r="BC861"/>
  <c r="BB861"/>
  <c r="BA861"/>
  <c r="AZ861"/>
  <c r="AY861"/>
  <c r="AX861"/>
  <c r="AS861"/>
  <c r="AO861"/>
  <c r="Z861"/>
  <c r="S861"/>
  <c r="BC860"/>
  <c r="BB860"/>
  <c r="BA860"/>
  <c r="AZ860"/>
  <c r="AY860"/>
  <c r="AX860"/>
  <c r="AS860"/>
  <c r="AO860"/>
  <c r="AJ860"/>
  <c r="Z860"/>
  <c r="S860"/>
  <c r="BC859"/>
  <c r="BB859"/>
  <c r="AU859"/>
  <c r="BA859"/>
  <c r="AT859"/>
  <c r="AY859"/>
  <c r="AS859"/>
  <c r="AR859"/>
  <c r="AR858"/>
  <c r="AR857"/>
  <c r="AR856"/>
  <c r="AR854"/>
  <c r="AP859"/>
  <c r="AP858"/>
  <c r="AP857"/>
  <c r="AP856"/>
  <c r="AP854"/>
  <c r="AO859"/>
  <c r="AG859"/>
  <c r="AF859"/>
  <c r="Z859"/>
  <c r="Z288"/>
  <c r="W859"/>
  <c r="AK859"/>
  <c r="V859"/>
  <c r="V858"/>
  <c r="V857"/>
  <c r="V856"/>
  <c r="V854"/>
  <c r="U859"/>
  <c r="T859"/>
  <c r="O859"/>
  <c r="O858"/>
  <c r="M859"/>
  <c r="M858"/>
  <c r="M857"/>
  <c r="M856"/>
  <c r="M854"/>
  <c r="BC858"/>
  <c r="AU858"/>
  <c r="BA858"/>
  <c r="AT858"/>
  <c r="AS858"/>
  <c r="AS857"/>
  <c r="AS856"/>
  <c r="AS854"/>
  <c r="AO858"/>
  <c r="AC858"/>
  <c r="AC857"/>
  <c r="AC856"/>
  <c r="AC854"/>
  <c r="AB858"/>
  <c r="Z858"/>
  <c r="Q858"/>
  <c r="P858"/>
  <c r="P857"/>
  <c r="N858"/>
  <c r="N857"/>
  <c r="N856"/>
  <c r="N854"/>
  <c r="L858"/>
  <c r="L857"/>
  <c r="L856"/>
  <c r="L854"/>
  <c r="BC857"/>
  <c r="AO857"/>
  <c r="Z857"/>
  <c r="BC856"/>
  <c r="AO856"/>
  <c r="Z856"/>
  <c r="BC855"/>
  <c r="BB855"/>
  <c r="BA855"/>
  <c r="AZ855"/>
  <c r="AY855"/>
  <c r="AX855"/>
  <c r="AO855"/>
  <c r="Z855"/>
  <c r="S855"/>
  <c r="BC854"/>
  <c r="AO854"/>
  <c r="Z854"/>
  <c r="BC853"/>
  <c r="BB853"/>
  <c r="BA853"/>
  <c r="AZ853"/>
  <c r="AY853"/>
  <c r="AX853"/>
  <c r="AS853"/>
  <c r="AO853"/>
  <c r="Z853"/>
  <c r="S853"/>
  <c r="BC852"/>
  <c r="BB852"/>
  <c r="BA852"/>
  <c r="AZ852"/>
  <c r="AY852"/>
  <c r="AX852"/>
  <c r="AS852"/>
  <c r="AO852"/>
  <c r="Z852"/>
  <c r="S852"/>
  <c r="BC851"/>
  <c r="BB851"/>
  <c r="BA851"/>
  <c r="AZ851"/>
  <c r="AY851"/>
  <c r="AX851"/>
  <c r="AS851"/>
  <c r="AO851"/>
  <c r="Z851"/>
  <c r="S851"/>
  <c r="M851"/>
  <c r="AD851"/>
  <c r="BC850"/>
  <c r="BB850"/>
  <c r="BA850"/>
  <c r="AZ850"/>
  <c r="AY850"/>
  <c r="AX850"/>
  <c r="AS850"/>
  <c r="AO850"/>
  <c r="AL850"/>
  <c r="AK850"/>
  <c r="AJ850"/>
  <c r="Z850"/>
  <c r="S850"/>
  <c r="BC849"/>
  <c r="AU849"/>
  <c r="BB849"/>
  <c r="AT849"/>
  <c r="AY849"/>
  <c r="AR849"/>
  <c r="AR848"/>
  <c r="AR847"/>
  <c r="AR845"/>
  <c r="AP849"/>
  <c r="AP848"/>
  <c r="AP847"/>
  <c r="AP845"/>
  <c r="AO849"/>
  <c r="AC849"/>
  <c r="AC848"/>
  <c r="AC847"/>
  <c r="AC845"/>
  <c r="AB849"/>
  <c r="Z849"/>
  <c r="Y849"/>
  <c r="Y848"/>
  <c r="Y847"/>
  <c r="Y845"/>
  <c r="X849"/>
  <c r="W849"/>
  <c r="W848"/>
  <c r="W847"/>
  <c r="V849"/>
  <c r="V848"/>
  <c r="V847"/>
  <c r="V845"/>
  <c r="R849"/>
  <c r="R848"/>
  <c r="R847"/>
  <c r="R845"/>
  <c r="Q849"/>
  <c r="Q848"/>
  <c r="Q847"/>
  <c r="Q845"/>
  <c r="P849"/>
  <c r="P848"/>
  <c r="P847"/>
  <c r="P845"/>
  <c r="O849"/>
  <c r="O848"/>
  <c r="N849"/>
  <c r="M849"/>
  <c r="L849"/>
  <c r="L848"/>
  <c r="L847"/>
  <c r="L845"/>
  <c r="BC848"/>
  <c r="AU848"/>
  <c r="BA848"/>
  <c r="AO848"/>
  <c r="AB848"/>
  <c r="AB847"/>
  <c r="AB845"/>
  <c r="Z848"/>
  <c r="N848"/>
  <c r="N847"/>
  <c r="N845"/>
  <c r="BC847"/>
  <c r="AO847"/>
  <c r="Z847"/>
  <c r="O847"/>
  <c r="O845"/>
  <c r="BC846"/>
  <c r="BB846"/>
  <c r="BA846"/>
  <c r="AZ846"/>
  <c r="AY846"/>
  <c r="AX846"/>
  <c r="AO846"/>
  <c r="Z846"/>
  <c r="S846"/>
  <c r="BC845"/>
  <c r="AO845"/>
  <c r="Z845"/>
  <c r="BC844"/>
  <c r="BB844"/>
  <c r="BA844"/>
  <c r="AZ844"/>
  <c r="AY844"/>
  <c r="AX844"/>
  <c r="AS844"/>
  <c r="AO844"/>
  <c r="Z844"/>
  <c r="S844"/>
  <c r="BC843"/>
  <c r="BB843"/>
  <c r="BA843"/>
  <c r="AZ843"/>
  <c r="AY843"/>
  <c r="AX843"/>
  <c r="AS843"/>
  <c r="AO843"/>
  <c r="Z843"/>
  <c r="S843"/>
  <c r="BC842"/>
  <c r="BB842"/>
  <c r="BA842"/>
  <c r="AZ842"/>
  <c r="AY842"/>
  <c r="AX842"/>
  <c r="AS842"/>
  <c r="AS841"/>
  <c r="AS840"/>
  <c r="AO842"/>
  <c r="AL842"/>
  <c r="AK842"/>
  <c r="AJ842"/>
  <c r="AG842"/>
  <c r="AF842"/>
  <c r="Z842"/>
  <c r="S842"/>
  <c r="S841"/>
  <c r="S840"/>
  <c r="P842"/>
  <c r="P841"/>
  <c r="O842"/>
  <c r="M842"/>
  <c r="M841"/>
  <c r="BC841"/>
  <c r="AU841"/>
  <c r="AU840"/>
  <c r="BA840"/>
  <c r="AT841"/>
  <c r="AT840"/>
  <c r="AR841"/>
  <c r="AR840"/>
  <c r="AP841"/>
  <c r="AP840"/>
  <c r="AO841"/>
  <c r="AC841"/>
  <c r="AC840"/>
  <c r="AB841"/>
  <c r="Z841"/>
  <c r="Y841"/>
  <c r="Y840"/>
  <c r="X841"/>
  <c r="X840"/>
  <c r="W841"/>
  <c r="V841"/>
  <c r="V840"/>
  <c r="R841"/>
  <c r="Q841"/>
  <c r="N841"/>
  <c r="N840"/>
  <c r="L841"/>
  <c r="L840"/>
  <c r="BC840"/>
  <c r="AO840"/>
  <c r="Z840"/>
  <c r="BC839"/>
  <c r="BB839"/>
  <c r="BA839"/>
  <c r="AZ839"/>
  <c r="AY839"/>
  <c r="AX839"/>
  <c r="AS839"/>
  <c r="AO839"/>
  <c r="Z839"/>
  <c r="S839"/>
  <c r="BC838"/>
  <c r="BB838"/>
  <c r="BA838"/>
  <c r="AZ838"/>
  <c r="AY838"/>
  <c r="AX838"/>
  <c r="AS838"/>
  <c r="AO838"/>
  <c r="AL838"/>
  <c r="AK838"/>
  <c r="Z838"/>
  <c r="S838"/>
  <c r="O838"/>
  <c r="O834"/>
  <c r="O833"/>
  <c r="M838"/>
  <c r="BC837"/>
  <c r="BB837"/>
  <c r="BA837"/>
  <c r="AZ837"/>
  <c r="AY837"/>
  <c r="AX837"/>
  <c r="AS837"/>
  <c r="AO837"/>
  <c r="Z837"/>
  <c r="S837"/>
  <c r="BC836"/>
  <c r="BB836"/>
  <c r="BA836"/>
  <c r="AZ836"/>
  <c r="AY836"/>
  <c r="AX836"/>
  <c r="AO836"/>
  <c r="AL836"/>
  <c r="AK836"/>
  <c r="AJ836"/>
  <c r="AG836"/>
  <c r="AF836"/>
  <c r="AE836"/>
  <c r="Z836"/>
  <c r="S836"/>
  <c r="O836"/>
  <c r="AD836"/>
  <c r="M836"/>
  <c r="BC835"/>
  <c r="BB835"/>
  <c r="BA835"/>
  <c r="AZ835"/>
  <c r="AY835"/>
  <c r="AX835"/>
  <c r="AS835"/>
  <c r="AO835"/>
  <c r="AK835"/>
  <c r="AJ835"/>
  <c r="AG835"/>
  <c r="AF835"/>
  <c r="Z835"/>
  <c r="S835"/>
  <c r="O835"/>
  <c r="AE835"/>
  <c r="M835"/>
  <c r="BC834"/>
  <c r="AU834"/>
  <c r="BA834"/>
  <c r="AT834"/>
  <c r="AY834"/>
  <c r="AR834"/>
  <c r="AR833"/>
  <c r="AP834"/>
  <c r="AP833"/>
  <c r="AO834"/>
  <c r="AC834"/>
  <c r="AC833"/>
  <c r="AB834"/>
  <c r="Z834"/>
  <c r="Y834"/>
  <c r="Y833"/>
  <c r="X834"/>
  <c r="X833"/>
  <c r="X832"/>
  <c r="W834"/>
  <c r="W833"/>
  <c r="V834"/>
  <c r="V833"/>
  <c r="R834"/>
  <c r="Q834"/>
  <c r="Q833"/>
  <c r="P834"/>
  <c r="P833"/>
  <c r="N834"/>
  <c r="N833"/>
  <c r="L834"/>
  <c r="L833"/>
  <c r="BC833"/>
  <c r="AO833"/>
  <c r="Z833"/>
  <c r="R833"/>
  <c r="BC832"/>
  <c r="AO832"/>
  <c r="Z832"/>
  <c r="BC831"/>
  <c r="BB831"/>
  <c r="BA831"/>
  <c r="AZ831"/>
  <c r="AY831"/>
  <c r="AX831"/>
  <c r="AO831"/>
  <c r="Z831"/>
  <c r="S831"/>
  <c r="BC830"/>
  <c r="AO830"/>
  <c r="Z830"/>
  <c r="BC829"/>
  <c r="BB829"/>
  <c r="BA829"/>
  <c r="AZ829"/>
  <c r="AY829"/>
  <c r="AX829"/>
  <c r="AS829"/>
  <c r="AO829"/>
  <c r="Z829"/>
  <c r="S829"/>
  <c r="BC828"/>
  <c r="BB828"/>
  <c r="BA828"/>
  <c r="AZ828"/>
  <c r="AY828"/>
  <c r="AX828"/>
  <c r="AS828"/>
  <c r="AS827"/>
  <c r="AS826"/>
  <c r="AS824"/>
  <c r="AS822"/>
  <c r="AO828"/>
  <c r="AK828"/>
  <c r="AJ828"/>
  <c r="Z828"/>
  <c r="S828"/>
  <c r="S827"/>
  <c r="S826"/>
  <c r="S824"/>
  <c r="S822"/>
  <c r="O828"/>
  <c r="O827"/>
  <c r="O826"/>
  <c r="O824"/>
  <c r="M828"/>
  <c r="M827"/>
  <c r="M826"/>
  <c r="M824"/>
  <c r="M822"/>
  <c r="BC827"/>
  <c r="AU827"/>
  <c r="BA827"/>
  <c r="AT827"/>
  <c r="AY827"/>
  <c r="AR827"/>
  <c r="AR826"/>
  <c r="AR824"/>
  <c r="AR822"/>
  <c r="AP827"/>
  <c r="AP826"/>
  <c r="AP824"/>
  <c r="AP822"/>
  <c r="AO827"/>
  <c r="AC827"/>
  <c r="AC826"/>
  <c r="AC824"/>
  <c r="AC822"/>
  <c r="AB827"/>
  <c r="AB826"/>
  <c r="AB824"/>
  <c r="AB822"/>
  <c r="Z827"/>
  <c r="Y827"/>
  <c r="X827"/>
  <c r="X826"/>
  <c r="X824"/>
  <c r="X822"/>
  <c r="W827"/>
  <c r="W826"/>
  <c r="W824"/>
  <c r="V827"/>
  <c r="V826"/>
  <c r="V824"/>
  <c r="V822"/>
  <c r="R827"/>
  <c r="R826"/>
  <c r="Q827"/>
  <c r="P827"/>
  <c r="P826"/>
  <c r="P824"/>
  <c r="P822"/>
  <c r="N827"/>
  <c r="N826"/>
  <c r="N824"/>
  <c r="N822"/>
  <c r="L827"/>
  <c r="L826"/>
  <c r="L824"/>
  <c r="L822"/>
  <c r="BC826"/>
  <c r="AO826"/>
  <c r="Z826"/>
  <c r="Y826"/>
  <c r="Y824"/>
  <c r="Y822"/>
  <c r="Q826"/>
  <c r="Q824"/>
  <c r="Q822"/>
  <c r="BC825"/>
  <c r="BB825"/>
  <c r="BA825"/>
  <c r="AZ825"/>
  <c r="AY825"/>
  <c r="AX825"/>
  <c r="AO825"/>
  <c r="Z825"/>
  <c r="S825"/>
  <c r="BC824"/>
  <c r="AO824"/>
  <c r="Z824"/>
  <c r="BC823"/>
  <c r="BB823"/>
  <c r="BA823"/>
  <c r="AZ823"/>
  <c r="AY823"/>
  <c r="AX823"/>
  <c r="AO823"/>
  <c r="Z823"/>
  <c r="S823"/>
  <c r="BC822"/>
  <c r="AO822"/>
  <c r="Z822"/>
  <c r="BC821"/>
  <c r="AO821"/>
  <c r="Z821"/>
  <c r="BC820"/>
  <c r="BB820"/>
  <c r="BA820"/>
  <c r="AZ820"/>
  <c r="AY820"/>
  <c r="AX820"/>
  <c r="AS820"/>
  <c r="AO820"/>
  <c r="Z820"/>
  <c r="S820"/>
  <c r="BC819"/>
  <c r="BB819"/>
  <c r="BA819"/>
  <c r="AZ819"/>
  <c r="AY819"/>
  <c r="AX819"/>
  <c r="AS819"/>
  <c r="AO819"/>
  <c r="Z819"/>
  <c r="S819"/>
  <c r="BC818"/>
  <c r="BB818"/>
  <c r="BA818"/>
  <c r="AZ818"/>
  <c r="AY818"/>
  <c r="AX818"/>
  <c r="AS818"/>
  <c r="AS816"/>
  <c r="AS815"/>
  <c r="AS814"/>
  <c r="AS812"/>
  <c r="AO818"/>
  <c r="AL818"/>
  <c r="AK818"/>
  <c r="Z818"/>
  <c r="S818"/>
  <c r="S816"/>
  <c r="S815"/>
  <c r="S814"/>
  <c r="S812"/>
  <c r="Q818"/>
  <c r="Q816"/>
  <c r="Q815"/>
  <c r="Q814"/>
  <c r="Q812"/>
  <c r="P818"/>
  <c r="P816"/>
  <c r="P815"/>
  <c r="P814"/>
  <c r="P812"/>
  <c r="O818"/>
  <c r="M818"/>
  <c r="M816"/>
  <c r="M815"/>
  <c r="M814"/>
  <c r="M812"/>
  <c r="BC817"/>
  <c r="BB817"/>
  <c r="BA817"/>
  <c r="AZ817"/>
  <c r="AY817"/>
  <c r="AX817"/>
  <c r="AS817"/>
  <c r="AO817"/>
  <c r="Z817"/>
  <c r="S817"/>
  <c r="BC816"/>
  <c r="AU816"/>
  <c r="BB816"/>
  <c r="AT816"/>
  <c r="AR816"/>
  <c r="AR815"/>
  <c r="AR814"/>
  <c r="AR812"/>
  <c r="AP816"/>
  <c r="AP815"/>
  <c r="AP814"/>
  <c r="AP812"/>
  <c r="AO816"/>
  <c r="AC816"/>
  <c r="AC815"/>
  <c r="AC814"/>
  <c r="AC812"/>
  <c r="AB816"/>
  <c r="AB815"/>
  <c r="AB814"/>
  <c r="AB812"/>
  <c r="Z816"/>
  <c r="Y816"/>
  <c r="Y815"/>
  <c r="Y814"/>
  <c r="Y812"/>
  <c r="X816"/>
  <c r="X815"/>
  <c r="W816"/>
  <c r="W815"/>
  <c r="W814"/>
  <c r="W812"/>
  <c r="V816"/>
  <c r="V815"/>
  <c r="V814"/>
  <c r="V812"/>
  <c r="R816"/>
  <c r="R815"/>
  <c r="R814"/>
  <c r="R812"/>
  <c r="N816"/>
  <c r="N815"/>
  <c r="N814"/>
  <c r="N812"/>
  <c r="L816"/>
  <c r="L815"/>
  <c r="L814"/>
  <c r="L812"/>
  <c r="BC815"/>
  <c r="AO815"/>
  <c r="Z815"/>
  <c r="BC814"/>
  <c r="AO814"/>
  <c r="Z814"/>
  <c r="BC813"/>
  <c r="BB813"/>
  <c r="BA813"/>
  <c r="AZ813"/>
  <c r="AY813"/>
  <c r="AX813"/>
  <c r="AO813"/>
  <c r="Z813"/>
  <c r="S813"/>
  <c r="BC812"/>
  <c r="AO812"/>
  <c r="Z812"/>
  <c r="BC811"/>
  <c r="BB811"/>
  <c r="BA811"/>
  <c r="AZ811"/>
  <c r="AY811"/>
  <c r="AX811"/>
  <c r="AS811"/>
  <c r="AO811"/>
  <c r="Z811"/>
  <c r="S811"/>
  <c r="BC810"/>
  <c r="BB810"/>
  <c r="BA810"/>
  <c r="AZ810"/>
  <c r="AY810"/>
  <c r="AX810"/>
  <c r="AO810"/>
  <c r="AL810"/>
  <c r="AK810"/>
  <c r="AJ810"/>
  <c r="Z810"/>
  <c r="S810"/>
  <c r="M810"/>
  <c r="AD810"/>
  <c r="BC809"/>
  <c r="BB809"/>
  <c r="BA809"/>
  <c r="AZ809"/>
  <c r="AY809"/>
  <c r="AX809"/>
  <c r="AS809"/>
  <c r="AO809"/>
  <c r="AJ809"/>
  <c r="Z809"/>
  <c r="S809"/>
  <c r="M809"/>
  <c r="AD809"/>
  <c r="BC808"/>
  <c r="BB808"/>
  <c r="BA808"/>
  <c r="AZ808"/>
  <c r="AY808"/>
  <c r="AX808"/>
  <c r="AS808"/>
  <c r="AO808"/>
  <c r="AJ808"/>
  <c r="Z808"/>
  <c r="S808"/>
  <c r="M808"/>
  <c r="AD808"/>
  <c r="BC807"/>
  <c r="BB807"/>
  <c r="BA807"/>
  <c r="AZ807"/>
  <c r="AY807"/>
  <c r="AX807"/>
  <c r="AS807"/>
  <c r="AO807"/>
  <c r="AJ807"/>
  <c r="Z807"/>
  <c r="S807"/>
  <c r="M807"/>
  <c r="AD807"/>
  <c r="BC806"/>
  <c r="BB806"/>
  <c r="BA806"/>
  <c r="AZ806"/>
  <c r="AY806"/>
  <c r="AX806"/>
  <c r="AS806"/>
  <c r="AO806"/>
  <c r="AJ806"/>
  <c r="Z806"/>
  <c r="S806"/>
  <c r="M806"/>
  <c r="AD806"/>
  <c r="BC805"/>
  <c r="BB805"/>
  <c r="BA805"/>
  <c r="AZ805"/>
  <c r="AY805"/>
  <c r="AX805"/>
  <c r="AS805"/>
  <c r="AO805"/>
  <c r="AJ805"/>
  <c r="Z805"/>
  <c r="S805"/>
  <c r="M805"/>
  <c r="AD805"/>
  <c r="BC804"/>
  <c r="BB804"/>
  <c r="BA804"/>
  <c r="AZ804"/>
  <c r="AY804"/>
  <c r="AX804"/>
  <c r="AS804"/>
  <c r="AO804"/>
  <c r="AJ804"/>
  <c r="Z804"/>
  <c r="S804"/>
  <c r="M804"/>
  <c r="AD804"/>
  <c r="BC803"/>
  <c r="BB803"/>
  <c r="BA803"/>
  <c r="AZ803"/>
  <c r="AY803"/>
  <c r="AX803"/>
  <c r="AS803"/>
  <c r="AO803"/>
  <c r="AJ803"/>
  <c r="Z803"/>
  <c r="S803"/>
  <c r="M803"/>
  <c r="AD803"/>
  <c r="BC802"/>
  <c r="AU802"/>
  <c r="BA802"/>
  <c r="AT802"/>
  <c r="AR802"/>
  <c r="AR801"/>
  <c r="AR800"/>
  <c r="AR799"/>
  <c r="AR798"/>
  <c r="AR796"/>
  <c r="AP802"/>
  <c r="AP801"/>
  <c r="AO802"/>
  <c r="AG802"/>
  <c r="AF802"/>
  <c r="Z802"/>
  <c r="Y802"/>
  <c r="Y801"/>
  <c r="Y800"/>
  <c r="Y799"/>
  <c r="Y798"/>
  <c r="Y796"/>
  <c r="X802"/>
  <c r="W802"/>
  <c r="V802"/>
  <c r="V801"/>
  <c r="V800"/>
  <c r="V799"/>
  <c r="V798"/>
  <c r="V796"/>
  <c r="R802"/>
  <c r="R801"/>
  <c r="O802"/>
  <c r="AE802"/>
  <c r="M802"/>
  <c r="M801"/>
  <c r="BC801"/>
  <c r="AT801"/>
  <c r="AY801"/>
  <c r="AO801"/>
  <c r="AC801"/>
  <c r="AC800"/>
  <c r="AC799"/>
  <c r="AC798"/>
  <c r="AC796"/>
  <c r="AB801"/>
  <c r="Z801"/>
  <c r="Q801"/>
  <c r="Q800"/>
  <c r="Q799"/>
  <c r="Q798"/>
  <c r="Q796"/>
  <c r="P801"/>
  <c r="N801"/>
  <c r="N800"/>
  <c r="N799"/>
  <c r="N798"/>
  <c r="N796"/>
  <c r="L801"/>
  <c r="L800"/>
  <c r="L799"/>
  <c r="L798"/>
  <c r="L796"/>
  <c r="BC800"/>
  <c r="AO800"/>
  <c r="Z800"/>
  <c r="BC799"/>
  <c r="AO799"/>
  <c r="Z799"/>
  <c r="BC798"/>
  <c r="AO798"/>
  <c r="Z798"/>
  <c r="BC797"/>
  <c r="BB797"/>
  <c r="BA797"/>
  <c r="AZ797"/>
  <c r="AY797"/>
  <c r="AX797"/>
  <c r="AO797"/>
  <c r="Z797"/>
  <c r="S797"/>
  <c r="BC796"/>
  <c r="AO796"/>
  <c r="Z796"/>
  <c r="BC795"/>
  <c r="BB795"/>
  <c r="BA795"/>
  <c r="AZ795"/>
  <c r="AY795"/>
  <c r="AX795"/>
  <c r="AS795"/>
  <c r="AO795"/>
  <c r="Z795"/>
  <c r="S795"/>
  <c r="BC794"/>
  <c r="BB794"/>
  <c r="BA794"/>
  <c r="AZ794"/>
  <c r="AY794"/>
  <c r="AX794"/>
  <c r="AO794"/>
  <c r="AK794"/>
  <c r="AJ794"/>
  <c r="AG794"/>
  <c r="AF794"/>
  <c r="Z794"/>
  <c r="S794"/>
  <c r="S793"/>
  <c r="S792"/>
  <c r="S791"/>
  <c r="S789"/>
  <c r="O794"/>
  <c r="M794"/>
  <c r="M793"/>
  <c r="M792"/>
  <c r="M791"/>
  <c r="M789"/>
  <c r="BC793"/>
  <c r="AU793"/>
  <c r="BA793"/>
  <c r="AT793"/>
  <c r="AT792"/>
  <c r="AY792"/>
  <c r="AS793"/>
  <c r="AS792"/>
  <c r="AS791"/>
  <c r="AS789"/>
  <c r="AR793"/>
  <c r="AR792"/>
  <c r="AR791"/>
  <c r="AR789"/>
  <c r="AP793"/>
  <c r="AP792"/>
  <c r="AP791"/>
  <c r="AP789"/>
  <c r="AO793"/>
  <c r="AC793"/>
  <c r="AC792"/>
  <c r="AC791"/>
  <c r="AC789"/>
  <c r="AB793"/>
  <c r="AB792"/>
  <c r="Z793"/>
  <c r="Y793"/>
  <c r="Y792"/>
  <c r="Y791"/>
  <c r="Y789"/>
  <c r="X793"/>
  <c r="X792"/>
  <c r="X791"/>
  <c r="X789"/>
  <c r="W793"/>
  <c r="W792"/>
  <c r="W791"/>
  <c r="W789"/>
  <c r="V793"/>
  <c r="V792"/>
  <c r="V791"/>
  <c r="V789"/>
  <c r="R793"/>
  <c r="R792"/>
  <c r="R791"/>
  <c r="R789"/>
  <c r="Q793"/>
  <c r="Q792"/>
  <c r="P793"/>
  <c r="P792"/>
  <c r="P791"/>
  <c r="P789"/>
  <c r="N793"/>
  <c r="N792"/>
  <c r="N791"/>
  <c r="N789"/>
  <c r="L793"/>
  <c r="L792"/>
  <c r="L791"/>
  <c r="L789"/>
  <c r="BC792"/>
  <c r="AO792"/>
  <c r="Z792"/>
  <c r="BC791"/>
  <c r="AO791"/>
  <c r="Z791"/>
  <c r="BC790"/>
  <c r="BB790"/>
  <c r="BA790"/>
  <c r="AZ790"/>
  <c r="AY790"/>
  <c r="AX790"/>
  <c r="AO790"/>
  <c r="Z790"/>
  <c r="S790"/>
  <c r="BC789"/>
  <c r="AO789"/>
  <c r="Z789"/>
  <c r="BC788"/>
  <c r="AO788"/>
  <c r="Z788"/>
  <c r="BC787"/>
  <c r="BB787"/>
  <c r="BA787"/>
  <c r="AZ787"/>
  <c r="AY787"/>
  <c r="AX787"/>
  <c r="AS787"/>
  <c r="AO787"/>
  <c r="Z787"/>
  <c r="S787"/>
  <c r="BC786"/>
  <c r="BB786"/>
  <c r="BA786"/>
  <c r="AZ786"/>
  <c r="AY786"/>
  <c r="AX786"/>
  <c r="AS786"/>
  <c r="AO786"/>
  <c r="Z786"/>
  <c r="S786"/>
  <c r="BC785"/>
  <c r="BB785"/>
  <c r="BA785"/>
  <c r="AZ785"/>
  <c r="AY785"/>
  <c r="AX785"/>
  <c r="AS785"/>
  <c r="AO785"/>
  <c r="AL785"/>
  <c r="AK785"/>
  <c r="Z785"/>
  <c r="S785"/>
  <c r="M785"/>
  <c r="AD785"/>
  <c r="BC784"/>
  <c r="BB784"/>
  <c r="BA784"/>
  <c r="AZ784"/>
  <c r="AY784"/>
  <c r="AX784"/>
  <c r="AS784"/>
  <c r="AO784"/>
  <c r="AJ784"/>
  <c r="Z784"/>
  <c r="S784"/>
  <c r="M784"/>
  <c r="AD784"/>
  <c r="BC783"/>
  <c r="BB783"/>
  <c r="BA783"/>
  <c r="AZ783"/>
  <c r="AY783"/>
  <c r="AX783"/>
  <c r="AS783"/>
  <c r="AO783"/>
  <c r="AL783"/>
  <c r="AK783"/>
  <c r="Z783"/>
  <c r="S783"/>
  <c r="O783"/>
  <c r="BC782"/>
  <c r="BB782"/>
  <c r="BA782"/>
  <c r="AZ782"/>
  <c r="AY782"/>
  <c r="AX782"/>
  <c r="AS782"/>
  <c r="AO782"/>
  <c r="Z782"/>
  <c r="S782"/>
  <c r="BC781"/>
  <c r="AU781"/>
  <c r="AT781"/>
  <c r="AT780"/>
  <c r="AR781"/>
  <c r="AR780"/>
  <c r="AR778"/>
  <c r="AR776"/>
  <c r="AP781"/>
  <c r="AP780"/>
  <c r="AP778"/>
  <c r="AP776"/>
  <c r="AO781"/>
  <c r="AG781"/>
  <c r="AF781"/>
  <c r="Z781"/>
  <c r="Y781"/>
  <c r="Y780"/>
  <c r="Y778"/>
  <c r="Y776"/>
  <c r="X781"/>
  <c r="AL781"/>
  <c r="W781"/>
  <c r="V781"/>
  <c r="V780"/>
  <c r="V778"/>
  <c r="V776"/>
  <c r="R781"/>
  <c r="O781"/>
  <c r="AE781"/>
  <c r="M781"/>
  <c r="M780"/>
  <c r="M778"/>
  <c r="M776"/>
  <c r="BC780"/>
  <c r="AO780"/>
  <c r="AC780"/>
  <c r="AC778"/>
  <c r="AC776"/>
  <c r="AB780"/>
  <c r="Z780"/>
  <c r="Q780"/>
  <c r="Q778"/>
  <c r="P780"/>
  <c r="P778"/>
  <c r="N780"/>
  <c r="L780"/>
  <c r="L778"/>
  <c r="L776"/>
  <c r="BC779"/>
  <c r="BB779"/>
  <c r="BA779"/>
  <c r="AZ779"/>
  <c r="AY779"/>
  <c r="AX779"/>
  <c r="AO779"/>
  <c r="Z779"/>
  <c r="S779"/>
  <c r="BC778"/>
  <c r="AO778"/>
  <c r="Z778"/>
  <c r="N778"/>
  <c r="N776"/>
  <c r="BC777"/>
  <c r="BB777"/>
  <c r="BA777"/>
  <c r="AZ777"/>
  <c r="AY777"/>
  <c r="AX777"/>
  <c r="AO777"/>
  <c r="Z777"/>
  <c r="S777"/>
  <c r="BC776"/>
  <c r="AO776"/>
  <c r="Z776"/>
  <c r="BC775"/>
  <c r="BB775"/>
  <c r="BA775"/>
  <c r="AZ775"/>
  <c r="AY775"/>
  <c r="AX775"/>
  <c r="AS775"/>
  <c r="AO775"/>
  <c r="Z775"/>
  <c r="S775"/>
  <c r="BC774"/>
  <c r="BB774"/>
  <c r="BA774"/>
  <c r="AZ774"/>
  <c r="AY774"/>
  <c r="AX774"/>
  <c r="AS774"/>
  <c r="AS773"/>
  <c r="AS772"/>
  <c r="AS771"/>
  <c r="AS769"/>
  <c r="AO774"/>
  <c r="AL774"/>
  <c r="AK774"/>
  <c r="AJ774"/>
  <c r="AG774"/>
  <c r="AF774"/>
  <c r="Z774"/>
  <c r="S774"/>
  <c r="S773"/>
  <c r="S772"/>
  <c r="S771"/>
  <c r="S769"/>
  <c r="O774"/>
  <c r="AE774"/>
  <c r="M774"/>
  <c r="M773"/>
  <c r="M772"/>
  <c r="M771"/>
  <c r="M769"/>
  <c r="BC773"/>
  <c r="AU773"/>
  <c r="AU772"/>
  <c r="AT773"/>
  <c r="AR773"/>
  <c r="AR772"/>
  <c r="AR771"/>
  <c r="AR769"/>
  <c r="AP773"/>
  <c r="AP772"/>
  <c r="AP771"/>
  <c r="AP769"/>
  <c r="AO773"/>
  <c r="AC773"/>
  <c r="AC772"/>
  <c r="AC771"/>
  <c r="AC769"/>
  <c r="AB773"/>
  <c r="AB772"/>
  <c r="AB771"/>
  <c r="Z773"/>
  <c r="Y773"/>
  <c r="Y772"/>
  <c r="Y771"/>
  <c r="Y769"/>
  <c r="X773"/>
  <c r="X772"/>
  <c r="W773"/>
  <c r="W772"/>
  <c r="V773"/>
  <c r="V772"/>
  <c r="V771"/>
  <c r="V769"/>
  <c r="R773"/>
  <c r="Q773"/>
  <c r="Q772"/>
  <c r="Q771"/>
  <c r="P773"/>
  <c r="P772"/>
  <c r="N773"/>
  <c r="N772"/>
  <c r="N771"/>
  <c r="N769"/>
  <c r="L773"/>
  <c r="L772"/>
  <c r="L771"/>
  <c r="L769"/>
  <c r="BC772"/>
  <c r="AO772"/>
  <c r="Z772"/>
  <c r="BC771"/>
  <c r="AO771"/>
  <c r="Z771"/>
  <c r="BC770"/>
  <c r="BB770"/>
  <c r="BA770"/>
  <c r="AZ770"/>
  <c r="AY770"/>
  <c r="AX770"/>
  <c r="AO770"/>
  <c r="Z770"/>
  <c r="S770"/>
  <c r="BC769"/>
  <c r="AO769"/>
  <c r="Z769"/>
  <c r="BC768"/>
  <c r="AO768"/>
  <c r="Z768"/>
  <c r="BC767"/>
  <c r="BB767"/>
  <c r="BA767"/>
  <c r="AZ767"/>
  <c r="AY767"/>
  <c r="AX767"/>
  <c r="BC766"/>
  <c r="BB766"/>
  <c r="BA766"/>
  <c r="AZ766"/>
  <c r="AY766"/>
  <c r="AX766"/>
  <c r="AS766"/>
  <c r="AO766"/>
  <c r="AK766"/>
  <c r="AJ766"/>
  <c r="Z766"/>
  <c r="S766"/>
  <c r="S765"/>
  <c r="S764"/>
  <c r="S763"/>
  <c r="S761"/>
  <c r="O766"/>
  <c r="O765"/>
  <c r="O764"/>
  <c r="O763"/>
  <c r="O761"/>
  <c r="BC765"/>
  <c r="AU765"/>
  <c r="AT765"/>
  <c r="AR765"/>
  <c r="AR764"/>
  <c r="AR763"/>
  <c r="AR761"/>
  <c r="AP765"/>
  <c r="AP764"/>
  <c r="AP763"/>
  <c r="AP761"/>
  <c r="AO765"/>
  <c r="AC765"/>
  <c r="AC764"/>
  <c r="AC763"/>
  <c r="AC761"/>
  <c r="AB765"/>
  <c r="AB764"/>
  <c r="AB763"/>
  <c r="AB761"/>
  <c r="Z765"/>
  <c r="Y765"/>
  <c r="Y764"/>
  <c r="Y763"/>
  <c r="Y761"/>
  <c r="X765"/>
  <c r="X764"/>
  <c r="X763"/>
  <c r="X761"/>
  <c r="W765"/>
  <c r="V765"/>
  <c r="V764"/>
  <c r="V763"/>
  <c r="V761"/>
  <c r="R765"/>
  <c r="R764"/>
  <c r="R763"/>
  <c r="R761"/>
  <c r="Q765"/>
  <c r="Q764"/>
  <c r="Q763"/>
  <c r="Q761"/>
  <c r="P765"/>
  <c r="P764"/>
  <c r="P763"/>
  <c r="P761"/>
  <c r="N765"/>
  <c r="N764"/>
  <c r="N763"/>
  <c r="N761"/>
  <c r="M765"/>
  <c r="M764"/>
  <c r="M763"/>
  <c r="M761"/>
  <c r="L765"/>
  <c r="L764"/>
  <c r="L763"/>
  <c r="L761"/>
  <c r="BC764"/>
  <c r="AO764"/>
  <c r="Z764"/>
  <c r="BC763"/>
  <c r="AO763"/>
  <c r="Z763"/>
  <c r="BC762"/>
  <c r="BB762"/>
  <c r="BA762"/>
  <c r="AZ762"/>
  <c r="AY762"/>
  <c r="AX762"/>
  <c r="AO762"/>
  <c r="Z762"/>
  <c r="S762"/>
  <c r="BC761"/>
  <c r="AO761"/>
  <c r="Z761"/>
  <c r="BC760"/>
  <c r="BB760"/>
  <c r="BA760"/>
  <c r="AZ760"/>
  <c r="AY760"/>
  <c r="AX760"/>
  <c r="AS760"/>
  <c r="AO760"/>
  <c r="Z760"/>
  <c r="S760"/>
  <c r="BC759"/>
  <c r="BB759"/>
  <c r="BA759"/>
  <c r="AZ759"/>
  <c r="AY759"/>
  <c r="AX759"/>
  <c r="AO759"/>
  <c r="AK759"/>
  <c r="AJ759"/>
  <c r="Z759"/>
  <c r="S759"/>
  <c r="O759"/>
  <c r="BC758"/>
  <c r="BB758"/>
  <c r="BA758"/>
  <c r="AZ758"/>
  <c r="AY758"/>
  <c r="AX758"/>
  <c r="AS758"/>
  <c r="AS757"/>
  <c r="AS756"/>
  <c r="AS755"/>
  <c r="AS753"/>
  <c r="AO758"/>
  <c r="AD758"/>
  <c r="Z758"/>
  <c r="S758"/>
  <c r="M758"/>
  <c r="M757"/>
  <c r="M756"/>
  <c r="M755"/>
  <c r="M753"/>
  <c r="BC757"/>
  <c r="AU757"/>
  <c r="AT757"/>
  <c r="AR757"/>
  <c r="AR756"/>
  <c r="AR755"/>
  <c r="AR753"/>
  <c r="AP757"/>
  <c r="AP756"/>
  <c r="AP755"/>
  <c r="AP753"/>
  <c r="AO757"/>
  <c r="AC757"/>
  <c r="AC756"/>
  <c r="AC755"/>
  <c r="AC753"/>
  <c r="AB757"/>
  <c r="AB756"/>
  <c r="AB755"/>
  <c r="AB753"/>
  <c r="Z757"/>
  <c r="Y757"/>
  <c r="Y756"/>
  <c r="Y755"/>
  <c r="Y753"/>
  <c r="X757"/>
  <c r="X756"/>
  <c r="X755"/>
  <c r="X753"/>
  <c r="W757"/>
  <c r="W756"/>
  <c r="W755"/>
  <c r="V757"/>
  <c r="V756"/>
  <c r="V755"/>
  <c r="V753"/>
  <c r="R757"/>
  <c r="AX757"/>
  <c r="Q757"/>
  <c r="Q756"/>
  <c r="Q755"/>
  <c r="Q753"/>
  <c r="P757"/>
  <c r="P756"/>
  <c r="P755"/>
  <c r="P753"/>
  <c r="O757"/>
  <c r="O756"/>
  <c r="N757"/>
  <c r="N756"/>
  <c r="N755"/>
  <c r="N753"/>
  <c r="L757"/>
  <c r="L756"/>
  <c r="L755"/>
  <c r="L753"/>
  <c r="BC756"/>
  <c r="AO756"/>
  <c r="Z756"/>
  <c r="BC755"/>
  <c r="AO755"/>
  <c r="Z755"/>
  <c r="BC754"/>
  <c r="BB754"/>
  <c r="BA754"/>
  <c r="AZ754"/>
  <c r="AY754"/>
  <c r="AX754"/>
  <c r="AO754"/>
  <c r="Z754"/>
  <c r="S754"/>
  <c r="BC753"/>
  <c r="AO753"/>
  <c r="Z753"/>
  <c r="BC752"/>
  <c r="BB752"/>
  <c r="BA752"/>
  <c r="AZ752"/>
  <c r="AY752"/>
  <c r="AX752"/>
  <c r="AS752"/>
  <c r="AO752"/>
  <c r="Z752"/>
  <c r="S752"/>
  <c r="BC751"/>
  <c r="BB751"/>
  <c r="BA751"/>
  <c r="AZ751"/>
  <c r="AY751"/>
  <c r="AX751"/>
  <c r="AS751"/>
  <c r="AO751"/>
  <c r="Z751"/>
  <c r="S751"/>
  <c r="S750"/>
  <c r="S749"/>
  <c r="S748"/>
  <c r="BC750"/>
  <c r="BB750"/>
  <c r="BA750"/>
  <c r="AT750"/>
  <c r="AT749"/>
  <c r="AZ749"/>
  <c r="AS750"/>
  <c r="AR750"/>
  <c r="AR749"/>
  <c r="AR748"/>
  <c r="AP750"/>
  <c r="AP749"/>
  <c r="AP748"/>
  <c r="AO750"/>
  <c r="AC750"/>
  <c r="AC749"/>
  <c r="AC748"/>
  <c r="AB750"/>
  <c r="AB749"/>
  <c r="AB748"/>
  <c r="Z750"/>
  <c r="Y750"/>
  <c r="Y749"/>
  <c r="Y748"/>
  <c r="X750"/>
  <c r="X749"/>
  <c r="X748"/>
  <c r="W750"/>
  <c r="W749"/>
  <c r="W748"/>
  <c r="V750"/>
  <c r="V749"/>
  <c r="V748"/>
  <c r="R750"/>
  <c r="R749"/>
  <c r="R748"/>
  <c r="Q750"/>
  <c r="Q749"/>
  <c r="Q748"/>
  <c r="P750"/>
  <c r="P749"/>
  <c r="P748"/>
  <c r="O750"/>
  <c r="O749"/>
  <c r="O748"/>
  <c r="N750"/>
  <c r="N749"/>
  <c r="N748"/>
  <c r="M750"/>
  <c r="L750"/>
  <c r="L749"/>
  <c r="BC749"/>
  <c r="BB749"/>
  <c r="BA749"/>
  <c r="AS749"/>
  <c r="AO749"/>
  <c r="Z749"/>
  <c r="M749"/>
  <c r="M748"/>
  <c r="BC748"/>
  <c r="BB748"/>
  <c r="BA748"/>
  <c r="AS748"/>
  <c r="AO748"/>
  <c r="Z748"/>
  <c r="L748"/>
  <c r="BC747"/>
  <c r="BB747"/>
  <c r="BA747"/>
  <c r="AZ747"/>
  <c r="AY747"/>
  <c r="AX747"/>
  <c r="AS747"/>
  <c r="AO747"/>
  <c r="Z747"/>
  <c r="S747"/>
  <c r="BC746"/>
  <c r="BB746"/>
  <c r="BA746"/>
  <c r="AZ746"/>
  <c r="AY746"/>
  <c r="AX746"/>
  <c r="AS746"/>
  <c r="AS745"/>
  <c r="AS744"/>
  <c r="AS743"/>
  <c r="AO746"/>
  <c r="AL746"/>
  <c r="AK746"/>
  <c r="Z746"/>
  <c r="S746"/>
  <c r="S745"/>
  <c r="S744"/>
  <c r="S743"/>
  <c r="BC745"/>
  <c r="AU745"/>
  <c r="AT745"/>
  <c r="AR745"/>
  <c r="AR744"/>
  <c r="AR743"/>
  <c r="AR741"/>
  <c r="AP745"/>
  <c r="AP744"/>
  <c r="AP743"/>
  <c r="AO745"/>
  <c r="AC745"/>
  <c r="AC744"/>
  <c r="AC743"/>
  <c r="AB745"/>
  <c r="AB744"/>
  <c r="AB743"/>
  <c r="AB741"/>
  <c r="Z745"/>
  <c r="Y745"/>
  <c r="Y744"/>
  <c r="Y743"/>
  <c r="Y741"/>
  <c r="X745"/>
  <c r="W745"/>
  <c r="W744"/>
  <c r="W743"/>
  <c r="V745"/>
  <c r="V744"/>
  <c r="V743"/>
  <c r="R745"/>
  <c r="Q745"/>
  <c r="Q744"/>
  <c r="P745"/>
  <c r="P744"/>
  <c r="P743"/>
  <c r="P741"/>
  <c r="O745"/>
  <c r="O744"/>
  <c r="O743"/>
  <c r="N745"/>
  <c r="N744"/>
  <c r="N743"/>
  <c r="M745"/>
  <c r="M744"/>
  <c r="M743"/>
  <c r="L745"/>
  <c r="L744"/>
  <c r="L743"/>
  <c r="BC744"/>
  <c r="AO744"/>
  <c r="Z744"/>
  <c r="R744"/>
  <c r="R743"/>
  <c r="BC743"/>
  <c r="AO743"/>
  <c r="Z743"/>
  <c r="Q743"/>
  <c r="BC742"/>
  <c r="BB742"/>
  <c r="BA742"/>
  <c r="AZ742"/>
  <c r="AY742"/>
  <c r="AX742"/>
  <c r="AO742"/>
  <c r="Z742"/>
  <c r="S742"/>
  <c r="BC741"/>
  <c r="AO741"/>
  <c r="Z741"/>
  <c r="BC740"/>
  <c r="BB740"/>
  <c r="BA740"/>
  <c r="AZ740"/>
  <c r="AY740"/>
  <c r="AX740"/>
  <c r="AS740"/>
  <c r="AO740"/>
  <c r="Z740"/>
  <c r="S740"/>
  <c r="BC739"/>
  <c r="BB739"/>
  <c r="BA739"/>
  <c r="AZ739"/>
  <c r="AY739"/>
  <c r="AX739"/>
  <c r="AS739"/>
  <c r="AS738"/>
  <c r="AS737"/>
  <c r="AS736"/>
  <c r="AS734"/>
  <c r="AO739"/>
  <c r="AL739"/>
  <c r="Z739"/>
  <c r="S739"/>
  <c r="S738"/>
  <c r="S737"/>
  <c r="S736"/>
  <c r="S734"/>
  <c r="BC738"/>
  <c r="AU738"/>
  <c r="BA738"/>
  <c r="AT738"/>
  <c r="AR738"/>
  <c r="AR737"/>
  <c r="AR736"/>
  <c r="AR734"/>
  <c r="AP738"/>
  <c r="AP737"/>
  <c r="AP736"/>
  <c r="AP734"/>
  <c r="AO738"/>
  <c r="AC738"/>
  <c r="AC737"/>
  <c r="AC736"/>
  <c r="AC734"/>
  <c r="AB738"/>
  <c r="AB737"/>
  <c r="AB736"/>
  <c r="AB734"/>
  <c r="Z738"/>
  <c r="Y738"/>
  <c r="Y737"/>
  <c r="Y736"/>
  <c r="Y734"/>
  <c r="X738"/>
  <c r="W738"/>
  <c r="W737"/>
  <c r="W736"/>
  <c r="W734"/>
  <c r="V738"/>
  <c r="V737"/>
  <c r="V736"/>
  <c r="V734"/>
  <c r="R738"/>
  <c r="R737"/>
  <c r="R736"/>
  <c r="R734"/>
  <c r="Q738"/>
  <c r="Q737"/>
  <c r="Q736"/>
  <c r="Q734"/>
  <c r="P738"/>
  <c r="P737"/>
  <c r="P736"/>
  <c r="P734"/>
  <c r="O738"/>
  <c r="O737"/>
  <c r="O736"/>
  <c r="O734"/>
  <c r="N738"/>
  <c r="N737"/>
  <c r="N736"/>
  <c r="N734"/>
  <c r="M738"/>
  <c r="M737"/>
  <c r="M736"/>
  <c r="M734"/>
  <c r="L738"/>
  <c r="L737"/>
  <c r="L736"/>
  <c r="L734"/>
  <c r="BC737"/>
  <c r="AO737"/>
  <c r="Z737"/>
  <c r="BC736"/>
  <c r="AO736"/>
  <c r="Z736"/>
  <c r="BC735"/>
  <c r="BB735"/>
  <c r="BA735"/>
  <c r="AZ735"/>
  <c r="AY735"/>
  <c r="AX735"/>
  <c r="AO735"/>
  <c r="Z735"/>
  <c r="S735"/>
  <c r="BC734"/>
  <c r="AO734"/>
  <c r="Z734"/>
  <c r="BC733"/>
  <c r="BB733"/>
  <c r="BA733"/>
  <c r="AZ733"/>
  <c r="AY733"/>
  <c r="AX733"/>
  <c r="AS733"/>
  <c r="AO733"/>
  <c r="Z733"/>
  <c r="S733"/>
  <c r="BC732"/>
  <c r="BB732"/>
  <c r="BA732"/>
  <c r="AZ732"/>
  <c r="AY732"/>
  <c r="AX732"/>
  <c r="AS732"/>
  <c r="AO732"/>
  <c r="Z732"/>
  <c r="S732"/>
  <c r="BC731"/>
  <c r="BB731"/>
  <c r="BA731"/>
  <c r="AZ731"/>
  <c r="AY731"/>
  <c r="AX731"/>
  <c r="AS731"/>
  <c r="AO731"/>
  <c r="Z731"/>
  <c r="S731"/>
  <c r="BC730"/>
  <c r="BB730"/>
  <c r="BA730"/>
  <c r="AZ730"/>
  <c r="AY730"/>
  <c r="AX730"/>
  <c r="AS730"/>
  <c r="AO730"/>
  <c r="Z730"/>
  <c r="S730"/>
  <c r="BC729"/>
  <c r="BB729"/>
  <c r="BA729"/>
  <c r="AZ729"/>
  <c r="AY729"/>
  <c r="AX729"/>
  <c r="AS729"/>
  <c r="AO729"/>
  <c r="Z729"/>
  <c r="S729"/>
  <c r="BC728"/>
  <c r="BB728"/>
  <c r="BA728"/>
  <c r="AZ728"/>
  <c r="AY728"/>
  <c r="AX728"/>
  <c r="AS728"/>
  <c r="AS727"/>
  <c r="AO728"/>
  <c r="AL728"/>
  <c r="AK728"/>
  <c r="AJ728"/>
  <c r="Z728"/>
  <c r="S728"/>
  <c r="S727"/>
  <c r="Q728"/>
  <c r="AG728"/>
  <c r="P728"/>
  <c r="O728"/>
  <c r="O727"/>
  <c r="M728"/>
  <c r="M727"/>
  <c r="BC727"/>
  <c r="AU727"/>
  <c r="BA727"/>
  <c r="AT727"/>
  <c r="AR727"/>
  <c r="AP727"/>
  <c r="AO727"/>
  <c r="AC727"/>
  <c r="AB727"/>
  <c r="Z727"/>
  <c r="Y727"/>
  <c r="X727"/>
  <c r="W727"/>
  <c r="AK727"/>
  <c r="V727"/>
  <c r="R727"/>
  <c r="N727"/>
  <c r="L727"/>
  <c r="BC726"/>
  <c r="BB726"/>
  <c r="BA726"/>
  <c r="AZ726"/>
  <c r="AY726"/>
  <c r="AX726"/>
  <c r="AS726"/>
  <c r="AO726"/>
  <c r="Z726"/>
  <c r="S726"/>
  <c r="BC725"/>
  <c r="BB725"/>
  <c r="BA725"/>
  <c r="AZ725"/>
  <c r="AY725"/>
  <c r="AX725"/>
  <c r="AS725"/>
  <c r="AS724"/>
  <c r="AO725"/>
  <c r="AO724"/>
  <c r="AL725"/>
  <c r="AL724"/>
  <c r="AK725"/>
  <c r="AK724"/>
  <c r="AJ725"/>
  <c r="AJ724"/>
  <c r="Z725"/>
  <c r="Z724"/>
  <c r="S725"/>
  <c r="S724"/>
  <c r="O725"/>
  <c r="O724"/>
  <c r="BC724"/>
  <c r="AU724"/>
  <c r="AT724"/>
  <c r="AR724"/>
  <c r="AR723"/>
  <c r="AR722"/>
  <c r="AR720"/>
  <c r="AP724"/>
  <c r="AN724"/>
  <c r="AM724"/>
  <c r="AI724"/>
  <c r="AH724"/>
  <c r="AG724"/>
  <c r="AF724"/>
  <c r="AE724"/>
  <c r="AD724"/>
  <c r="AC724"/>
  <c r="AB724"/>
  <c r="AA724"/>
  <c r="Y724"/>
  <c r="Y723"/>
  <c r="Y722"/>
  <c r="Y720"/>
  <c r="X724"/>
  <c r="W724"/>
  <c r="V724"/>
  <c r="R724"/>
  <c r="Q724"/>
  <c r="P724"/>
  <c r="N724"/>
  <c r="M724"/>
  <c r="L724"/>
  <c r="BC723"/>
  <c r="AO723"/>
  <c r="Z723"/>
  <c r="BC722"/>
  <c r="AO722"/>
  <c r="Z722"/>
  <c r="BC721"/>
  <c r="BB721"/>
  <c r="BA721"/>
  <c r="AZ721"/>
  <c r="AY721"/>
  <c r="AX721"/>
  <c r="AO721"/>
  <c r="Z721"/>
  <c r="S721"/>
  <c r="BC720"/>
  <c r="AO720"/>
  <c r="Z720"/>
  <c r="BC719"/>
  <c r="BB719"/>
  <c r="BA719"/>
  <c r="AZ719"/>
  <c r="AY719"/>
  <c r="AX719"/>
  <c r="AS719"/>
  <c r="AO719"/>
  <c r="Z719"/>
  <c r="S719"/>
  <c r="BC718"/>
  <c r="BB718"/>
  <c r="BA718"/>
  <c r="AZ718"/>
  <c r="AY718"/>
  <c r="AX718"/>
  <c r="AS718"/>
  <c r="AS717"/>
  <c r="AS716"/>
  <c r="AS715"/>
  <c r="AS713"/>
  <c r="AO718"/>
  <c r="AL718"/>
  <c r="AK718"/>
  <c r="AJ718"/>
  <c r="AG718"/>
  <c r="AF718"/>
  <c r="Z718"/>
  <c r="S718"/>
  <c r="S717"/>
  <c r="S716"/>
  <c r="S715"/>
  <c r="S713"/>
  <c r="O718"/>
  <c r="M718"/>
  <c r="M717"/>
  <c r="M716"/>
  <c r="M715"/>
  <c r="M713"/>
  <c r="BC717"/>
  <c r="AU717"/>
  <c r="AU716"/>
  <c r="AT717"/>
  <c r="AR717"/>
  <c r="AR716"/>
  <c r="AR715"/>
  <c r="AR713"/>
  <c r="AP717"/>
  <c r="AP716"/>
  <c r="AP715"/>
  <c r="AP713"/>
  <c r="AO717"/>
  <c r="AC717"/>
  <c r="AC716"/>
  <c r="AC715"/>
  <c r="AC713"/>
  <c r="AB717"/>
  <c r="AB716"/>
  <c r="Z717"/>
  <c r="Y717"/>
  <c r="Y716"/>
  <c r="Y715"/>
  <c r="Y713"/>
  <c r="X717"/>
  <c r="X716"/>
  <c r="W717"/>
  <c r="W716"/>
  <c r="W715"/>
  <c r="V717"/>
  <c r="V716"/>
  <c r="V715"/>
  <c r="V713"/>
  <c r="R717"/>
  <c r="Q717"/>
  <c r="Q716"/>
  <c r="Q715"/>
  <c r="P717"/>
  <c r="N717"/>
  <c r="N716"/>
  <c r="N715"/>
  <c r="N713"/>
  <c r="L717"/>
  <c r="L716"/>
  <c r="L715"/>
  <c r="L713"/>
  <c r="BC716"/>
  <c r="AO716"/>
  <c r="Z716"/>
  <c r="BC715"/>
  <c r="AO715"/>
  <c r="Z715"/>
  <c r="BC714"/>
  <c r="BB714"/>
  <c r="BA714"/>
  <c r="AZ714"/>
  <c r="AY714"/>
  <c r="AX714"/>
  <c r="AO714"/>
  <c r="Z714"/>
  <c r="S714"/>
  <c r="BC713"/>
  <c r="AO713"/>
  <c r="Z713"/>
  <c r="BC712"/>
  <c r="BB712"/>
  <c r="BA712"/>
  <c r="AZ712"/>
  <c r="AY712"/>
  <c r="AX712"/>
  <c r="AS712"/>
  <c r="AO712"/>
  <c r="Z712"/>
  <c r="S712"/>
  <c r="BC711"/>
  <c r="BB711"/>
  <c r="BA711"/>
  <c r="AZ711"/>
  <c r="AY711"/>
  <c r="AX711"/>
  <c r="AS711"/>
  <c r="AS710"/>
  <c r="AS709"/>
  <c r="AS708"/>
  <c r="AS706"/>
  <c r="AO711"/>
  <c r="AL711"/>
  <c r="AK711"/>
  <c r="AJ711"/>
  <c r="AG711"/>
  <c r="AF711"/>
  <c r="Z711"/>
  <c r="S711"/>
  <c r="S710"/>
  <c r="S709"/>
  <c r="S708"/>
  <c r="S706"/>
  <c r="O711"/>
  <c r="AE711"/>
  <c r="M711"/>
  <c r="BC710"/>
  <c r="AU710"/>
  <c r="AT710"/>
  <c r="AR710"/>
  <c r="AR709"/>
  <c r="AR708"/>
  <c r="AR706"/>
  <c r="AP710"/>
  <c r="AP709"/>
  <c r="AP708"/>
  <c r="AP706"/>
  <c r="AO710"/>
  <c r="AC710"/>
  <c r="AC709"/>
  <c r="AC708"/>
  <c r="AC706"/>
  <c r="AB710"/>
  <c r="AB709"/>
  <c r="AB708"/>
  <c r="Z710"/>
  <c r="Y710"/>
  <c r="Y709"/>
  <c r="Y708"/>
  <c r="Y706"/>
  <c r="X710"/>
  <c r="W710"/>
  <c r="V710"/>
  <c r="R710"/>
  <c r="Q710"/>
  <c r="P710"/>
  <c r="P709"/>
  <c r="P708"/>
  <c r="N710"/>
  <c r="N709"/>
  <c r="N708"/>
  <c r="N706"/>
  <c r="L710"/>
  <c r="L709"/>
  <c r="L708"/>
  <c r="L706"/>
  <c r="BC709"/>
  <c r="AO709"/>
  <c r="Z709"/>
  <c r="V709"/>
  <c r="V708"/>
  <c r="V706"/>
  <c r="BC708"/>
  <c r="AO708"/>
  <c r="Z708"/>
  <c r="BC707"/>
  <c r="BB707"/>
  <c r="BA707"/>
  <c r="AZ707"/>
  <c r="AY707"/>
  <c r="AX707"/>
  <c r="AO707"/>
  <c r="Z707"/>
  <c r="S707"/>
  <c r="BC706"/>
  <c r="AO706"/>
  <c r="Z706"/>
  <c r="P706"/>
  <c r="BC705"/>
  <c r="BB705"/>
  <c r="BA705"/>
  <c r="AZ705"/>
  <c r="AY705"/>
  <c r="AX705"/>
  <c r="AS705"/>
  <c r="AO705"/>
  <c r="Z705"/>
  <c r="S705"/>
  <c r="BC704"/>
  <c r="BB704"/>
  <c r="BA704"/>
  <c r="AZ704"/>
  <c r="AY704"/>
  <c r="AX704"/>
  <c r="AS704"/>
  <c r="AO704"/>
  <c r="Z704"/>
  <c r="S704"/>
  <c r="S703"/>
  <c r="S702"/>
  <c r="S701"/>
  <c r="S699"/>
  <c r="BC703"/>
  <c r="BB703"/>
  <c r="BA703"/>
  <c r="AT703"/>
  <c r="AZ703"/>
  <c r="AS703"/>
  <c r="AR703"/>
  <c r="AR702"/>
  <c r="AR701"/>
  <c r="AR699"/>
  <c r="AP703"/>
  <c r="AP702"/>
  <c r="AP701"/>
  <c r="AP699"/>
  <c r="AO703"/>
  <c r="AC703"/>
  <c r="AC702"/>
  <c r="AC701"/>
  <c r="AC699"/>
  <c r="AB703"/>
  <c r="AB702"/>
  <c r="AB701"/>
  <c r="AB699"/>
  <c r="Z703"/>
  <c r="Y703"/>
  <c r="Y702"/>
  <c r="Y701"/>
  <c r="Y699"/>
  <c r="X703"/>
  <c r="X702"/>
  <c r="X701"/>
  <c r="X699"/>
  <c r="W703"/>
  <c r="W702"/>
  <c r="W701"/>
  <c r="W699"/>
  <c r="V703"/>
  <c r="V702"/>
  <c r="V701"/>
  <c r="V699"/>
  <c r="R703"/>
  <c r="R702"/>
  <c r="R701"/>
  <c r="R699"/>
  <c r="Q703"/>
  <c r="P703"/>
  <c r="P702"/>
  <c r="P701"/>
  <c r="P699"/>
  <c r="O703"/>
  <c r="O702"/>
  <c r="O701"/>
  <c r="O699"/>
  <c r="N703"/>
  <c r="N702"/>
  <c r="N701"/>
  <c r="N699"/>
  <c r="M703"/>
  <c r="M702"/>
  <c r="M701"/>
  <c r="M699"/>
  <c r="L703"/>
  <c r="L702"/>
  <c r="L701"/>
  <c r="L699"/>
  <c r="BC702"/>
  <c r="BB702"/>
  <c r="BA702"/>
  <c r="AS702"/>
  <c r="AO702"/>
  <c r="Z702"/>
  <c r="Q702"/>
  <c r="Q701"/>
  <c r="Q699"/>
  <c r="BC701"/>
  <c r="BB701"/>
  <c r="BA701"/>
  <c r="AS701"/>
  <c r="AO701"/>
  <c r="Z701"/>
  <c r="BC700"/>
  <c r="BB700"/>
  <c r="BA700"/>
  <c r="AZ700"/>
  <c r="AY700"/>
  <c r="AX700"/>
  <c r="AS700"/>
  <c r="AO700"/>
  <c r="Z700"/>
  <c r="S700"/>
  <c r="BC699"/>
  <c r="BB699"/>
  <c r="BA699"/>
  <c r="AS699"/>
  <c r="AO699"/>
  <c r="Z699"/>
  <c r="BC698"/>
  <c r="BB698"/>
  <c r="BA698"/>
  <c r="AZ698"/>
  <c r="AY698"/>
  <c r="AX698"/>
  <c r="AS698"/>
  <c r="AO698"/>
  <c r="Z698"/>
  <c r="S698"/>
  <c r="BC697"/>
  <c r="BB697"/>
  <c r="BA697"/>
  <c r="AZ697"/>
  <c r="AY697"/>
  <c r="AX697"/>
  <c r="AS697"/>
  <c r="AS293"/>
  <c r="AO697"/>
  <c r="Z697"/>
  <c r="S697"/>
  <c r="BC696"/>
  <c r="BB696"/>
  <c r="BA696"/>
  <c r="AT696"/>
  <c r="AS696"/>
  <c r="AR696"/>
  <c r="AR695"/>
  <c r="AR694"/>
  <c r="AR692"/>
  <c r="AP696"/>
  <c r="AP695"/>
  <c r="AP694"/>
  <c r="AP692"/>
  <c r="AO696"/>
  <c r="AC696"/>
  <c r="AC695"/>
  <c r="AC694"/>
  <c r="AC692"/>
  <c r="AB696"/>
  <c r="AB695"/>
  <c r="AB694"/>
  <c r="AB692"/>
  <c r="Z696"/>
  <c r="Y696"/>
  <c r="Y695"/>
  <c r="Y694"/>
  <c r="Y692"/>
  <c r="X696"/>
  <c r="X695"/>
  <c r="X694"/>
  <c r="X692"/>
  <c r="W696"/>
  <c r="V696"/>
  <c r="V695"/>
  <c r="V694"/>
  <c r="V692"/>
  <c r="R696"/>
  <c r="R695"/>
  <c r="R694"/>
  <c r="R692"/>
  <c r="Q696"/>
  <c r="Q695"/>
  <c r="Q694"/>
  <c r="Q692"/>
  <c r="P696"/>
  <c r="P695"/>
  <c r="O696"/>
  <c r="O695"/>
  <c r="O694"/>
  <c r="O692"/>
  <c r="N696"/>
  <c r="N695"/>
  <c r="N694"/>
  <c r="N692"/>
  <c r="M696"/>
  <c r="M695"/>
  <c r="M694"/>
  <c r="M692"/>
  <c r="L696"/>
  <c r="L695"/>
  <c r="L694"/>
  <c r="L692"/>
  <c r="BC695"/>
  <c r="BB695"/>
  <c r="BA695"/>
  <c r="AS695"/>
  <c r="AO695"/>
  <c r="Z695"/>
  <c r="W695"/>
  <c r="W694"/>
  <c r="W692"/>
  <c r="BC694"/>
  <c r="BB694"/>
  <c r="BA694"/>
  <c r="AS694"/>
  <c r="AO694"/>
  <c r="Z694"/>
  <c r="P694"/>
  <c r="P692"/>
  <c r="BC693"/>
  <c r="BB693"/>
  <c r="BA693"/>
  <c r="AZ693"/>
  <c r="AY693"/>
  <c r="AX693"/>
  <c r="AS693"/>
  <c r="AO693"/>
  <c r="Z693"/>
  <c r="S693"/>
  <c r="BC692"/>
  <c r="BB692"/>
  <c r="BA692"/>
  <c r="AS692"/>
  <c r="AO692"/>
  <c r="Z692"/>
  <c r="BC691"/>
  <c r="BB691"/>
  <c r="BA691"/>
  <c r="AZ691"/>
  <c r="AY691"/>
  <c r="AX691"/>
  <c r="AS691"/>
  <c r="AO691"/>
  <c r="Z691"/>
  <c r="S691"/>
  <c r="BC690"/>
  <c r="BB690"/>
  <c r="BA690"/>
  <c r="AZ690"/>
  <c r="AY690"/>
  <c r="AX690"/>
  <c r="AO690"/>
  <c r="AL690"/>
  <c r="AK690"/>
  <c r="AJ690"/>
  <c r="AG690"/>
  <c r="AF690"/>
  <c r="Z690"/>
  <c r="S690"/>
  <c r="S689"/>
  <c r="S688"/>
  <c r="S687"/>
  <c r="S685"/>
  <c r="O690"/>
  <c r="O689"/>
  <c r="M690"/>
  <c r="M689"/>
  <c r="M688"/>
  <c r="M687"/>
  <c r="M685"/>
  <c r="BC689"/>
  <c r="AU689"/>
  <c r="AT689"/>
  <c r="AS689"/>
  <c r="AR689"/>
  <c r="AR688"/>
  <c r="AR687"/>
  <c r="AR685"/>
  <c r="AP689"/>
  <c r="AP688"/>
  <c r="AP687"/>
  <c r="AP685"/>
  <c r="AO689"/>
  <c r="AC689"/>
  <c r="AB689"/>
  <c r="Z689"/>
  <c r="Y689"/>
  <c r="Y688"/>
  <c r="Y687"/>
  <c r="Y685"/>
  <c r="X689"/>
  <c r="W689"/>
  <c r="V689"/>
  <c r="V688"/>
  <c r="V687"/>
  <c r="V685"/>
  <c r="R689"/>
  <c r="Q689"/>
  <c r="P689"/>
  <c r="P688"/>
  <c r="N689"/>
  <c r="N688"/>
  <c r="N687"/>
  <c r="N685"/>
  <c r="L689"/>
  <c r="L688"/>
  <c r="L687"/>
  <c r="L685"/>
  <c r="BC688"/>
  <c r="AS688"/>
  <c r="AS687"/>
  <c r="AS685"/>
  <c r="AO688"/>
  <c r="Z688"/>
  <c r="BC687"/>
  <c r="AO687"/>
  <c r="Z687"/>
  <c r="BC686"/>
  <c r="BB686"/>
  <c r="BA686"/>
  <c r="AZ686"/>
  <c r="AY686"/>
  <c r="AX686"/>
  <c r="AO686"/>
  <c r="Z686"/>
  <c r="S686"/>
  <c r="BC685"/>
  <c r="AO685"/>
  <c r="Z685"/>
  <c r="BC684"/>
  <c r="BB684"/>
  <c r="BA684"/>
  <c r="AZ684"/>
  <c r="AY684"/>
  <c r="AX684"/>
  <c r="AS684"/>
  <c r="AO684"/>
  <c r="Z684"/>
  <c r="S684"/>
  <c r="BC683"/>
  <c r="BB683"/>
  <c r="BA683"/>
  <c r="AZ683"/>
  <c r="AY683"/>
  <c r="AX683"/>
  <c r="AO683"/>
  <c r="AL683"/>
  <c r="AK683"/>
  <c r="AJ683"/>
  <c r="AG683"/>
  <c r="AF683"/>
  <c r="AD683"/>
  <c r="Z683"/>
  <c r="S683"/>
  <c r="S682"/>
  <c r="O683"/>
  <c r="AE683"/>
  <c r="M683"/>
  <c r="M682"/>
  <c r="BC682"/>
  <c r="AU682"/>
  <c r="AT682"/>
  <c r="AY682"/>
  <c r="AS682"/>
  <c r="AR682"/>
  <c r="AP682"/>
  <c r="AO682"/>
  <c r="AC682"/>
  <c r="AB682"/>
  <c r="Z682"/>
  <c r="Y682"/>
  <c r="X682"/>
  <c r="W682"/>
  <c r="V682"/>
  <c r="R682"/>
  <c r="Q682"/>
  <c r="P682"/>
  <c r="O682"/>
  <c r="N682"/>
  <c r="L682"/>
  <c r="BC681"/>
  <c r="BB681"/>
  <c r="BA681"/>
  <c r="AZ681"/>
  <c r="AY681"/>
  <c r="AX681"/>
  <c r="AS681"/>
  <c r="AO681"/>
  <c r="Z681"/>
  <c r="S681"/>
  <c r="BC680"/>
  <c r="BB680"/>
  <c r="BA680"/>
  <c r="AZ680"/>
  <c r="AY680"/>
  <c r="AX680"/>
  <c r="AO680"/>
  <c r="AL680"/>
  <c r="AK680"/>
  <c r="AJ680"/>
  <c r="AG680"/>
  <c r="AF680"/>
  <c r="Z680"/>
  <c r="S680"/>
  <c r="S679"/>
  <c r="O680"/>
  <c r="AE680"/>
  <c r="M680"/>
  <c r="BC679"/>
  <c r="AU679"/>
  <c r="AT679"/>
  <c r="AS679"/>
  <c r="AR679"/>
  <c r="AP679"/>
  <c r="AO679"/>
  <c r="AC679"/>
  <c r="AB679"/>
  <c r="Z679"/>
  <c r="Y679"/>
  <c r="Y678"/>
  <c r="Y677"/>
  <c r="Y675"/>
  <c r="X679"/>
  <c r="W679"/>
  <c r="V679"/>
  <c r="R679"/>
  <c r="Q679"/>
  <c r="P679"/>
  <c r="N679"/>
  <c r="N678"/>
  <c r="N677"/>
  <c r="N675"/>
  <c r="L679"/>
  <c r="BC678"/>
  <c r="AO678"/>
  <c r="Z678"/>
  <c r="BC677"/>
  <c r="AO677"/>
  <c r="Z677"/>
  <c r="BC676"/>
  <c r="BB676"/>
  <c r="BA676"/>
  <c r="AZ676"/>
  <c r="AY676"/>
  <c r="AX676"/>
  <c r="AO676"/>
  <c r="Z676"/>
  <c r="S676"/>
  <c r="BC675"/>
  <c r="AO675"/>
  <c r="Z675"/>
  <c r="BC674"/>
  <c r="BB674"/>
  <c r="BA674"/>
  <c r="AZ674"/>
  <c r="AY674"/>
  <c r="AX674"/>
  <c r="AS674"/>
  <c r="AO674"/>
  <c r="Z674"/>
  <c r="S674"/>
  <c r="BC673"/>
  <c r="BB673"/>
  <c r="BA673"/>
  <c r="AZ673"/>
  <c r="AY673"/>
  <c r="AX673"/>
  <c r="AS673"/>
  <c r="AO673"/>
  <c r="Z673"/>
  <c r="S673"/>
  <c r="S672"/>
  <c r="S671"/>
  <c r="S670"/>
  <c r="S668"/>
  <c r="BC672"/>
  <c r="BB672"/>
  <c r="BA672"/>
  <c r="AT672"/>
  <c r="AS672"/>
  <c r="AR672"/>
  <c r="AR671"/>
  <c r="AR670"/>
  <c r="AR668"/>
  <c r="AP672"/>
  <c r="AP671"/>
  <c r="AP670"/>
  <c r="AP668"/>
  <c r="AO672"/>
  <c r="AC672"/>
  <c r="AC671"/>
  <c r="AC670"/>
  <c r="AC668"/>
  <c r="AB672"/>
  <c r="AB671"/>
  <c r="AB670"/>
  <c r="AB668"/>
  <c r="Z672"/>
  <c r="Y672"/>
  <c r="Y671"/>
  <c r="Y670"/>
  <c r="Y668"/>
  <c r="X672"/>
  <c r="X671"/>
  <c r="X670"/>
  <c r="X668"/>
  <c r="W672"/>
  <c r="W671"/>
  <c r="W670"/>
  <c r="W668"/>
  <c r="V672"/>
  <c r="V671"/>
  <c r="V670"/>
  <c r="V668"/>
  <c r="R672"/>
  <c r="Q672"/>
  <c r="Q671"/>
  <c r="Q670"/>
  <c r="Q668"/>
  <c r="P672"/>
  <c r="P671"/>
  <c r="P670"/>
  <c r="P668"/>
  <c r="O672"/>
  <c r="O671"/>
  <c r="O670"/>
  <c r="O668"/>
  <c r="N672"/>
  <c r="N671"/>
  <c r="N670"/>
  <c r="N668"/>
  <c r="M672"/>
  <c r="M671"/>
  <c r="M670"/>
  <c r="M668"/>
  <c r="L672"/>
  <c r="L671"/>
  <c r="L670"/>
  <c r="L668"/>
  <c r="BC671"/>
  <c r="BB671"/>
  <c r="BA671"/>
  <c r="AS671"/>
  <c r="AO671"/>
  <c r="Z671"/>
  <c r="R671"/>
  <c r="R670"/>
  <c r="R668"/>
  <c r="BC670"/>
  <c r="BB670"/>
  <c r="BA670"/>
  <c r="AS670"/>
  <c r="AO670"/>
  <c r="Z670"/>
  <c r="BC669"/>
  <c r="BB669"/>
  <c r="BA669"/>
  <c r="AZ669"/>
  <c r="AY669"/>
  <c r="AX669"/>
  <c r="AS669"/>
  <c r="AO669"/>
  <c r="Z669"/>
  <c r="S669"/>
  <c r="BC668"/>
  <c r="BB668"/>
  <c r="BA668"/>
  <c r="AS668"/>
  <c r="AO668"/>
  <c r="Z668"/>
  <c r="BC667"/>
  <c r="BB667"/>
  <c r="BA667"/>
  <c r="AZ667"/>
  <c r="AY667"/>
  <c r="AX667"/>
  <c r="AS667"/>
  <c r="AO667"/>
  <c r="Z667"/>
  <c r="S667"/>
  <c r="BC666"/>
  <c r="BB666"/>
  <c r="BA666"/>
  <c r="AZ666"/>
  <c r="AY666"/>
  <c r="AX666"/>
  <c r="AS666"/>
  <c r="AS665"/>
  <c r="AS664"/>
  <c r="AS663"/>
  <c r="AO666"/>
  <c r="AL666"/>
  <c r="AK666"/>
  <c r="AG666"/>
  <c r="AF666"/>
  <c r="AE666"/>
  <c r="Z666"/>
  <c r="S666"/>
  <c r="S665"/>
  <c r="S664"/>
  <c r="S663"/>
  <c r="O666"/>
  <c r="O665"/>
  <c r="O664"/>
  <c r="M666"/>
  <c r="BC665"/>
  <c r="AU665"/>
  <c r="AU664"/>
  <c r="AT665"/>
  <c r="AT664"/>
  <c r="AR665"/>
  <c r="AP665"/>
  <c r="AP664"/>
  <c r="AP663"/>
  <c r="AO665"/>
  <c r="AC665"/>
  <c r="AC664"/>
  <c r="AC663"/>
  <c r="AB665"/>
  <c r="AB664"/>
  <c r="Z665"/>
  <c r="Y665"/>
  <c r="Y664"/>
  <c r="Y663"/>
  <c r="X665"/>
  <c r="W665"/>
  <c r="W664"/>
  <c r="W663"/>
  <c r="V665"/>
  <c r="V664"/>
  <c r="V663"/>
  <c r="R665"/>
  <c r="R664"/>
  <c r="R663"/>
  <c r="Q665"/>
  <c r="Q664"/>
  <c r="Q663"/>
  <c r="P665"/>
  <c r="P664"/>
  <c r="N665"/>
  <c r="N664"/>
  <c r="N663"/>
  <c r="L665"/>
  <c r="L664"/>
  <c r="L663"/>
  <c r="BC664"/>
  <c r="AR664"/>
  <c r="AR663"/>
  <c r="AO664"/>
  <c r="Z664"/>
  <c r="BC663"/>
  <c r="AO663"/>
  <c r="Z663"/>
  <c r="BC662"/>
  <c r="BB662"/>
  <c r="BA662"/>
  <c r="AZ662"/>
  <c r="AY662"/>
  <c r="AX662"/>
  <c r="AS662"/>
  <c r="AO662"/>
  <c r="Z662"/>
  <c r="S662"/>
  <c r="BC661"/>
  <c r="BB661"/>
  <c r="BA661"/>
  <c r="AZ661"/>
  <c r="AY661"/>
  <c r="AX661"/>
  <c r="AS661"/>
  <c r="AO661"/>
  <c r="Z661"/>
  <c r="S661"/>
  <c r="BC660"/>
  <c r="BB660"/>
  <c r="BA660"/>
  <c r="AZ660"/>
  <c r="AY660"/>
  <c r="AX660"/>
  <c r="AS660"/>
  <c r="AS659"/>
  <c r="AS658"/>
  <c r="AS657"/>
  <c r="AO660"/>
  <c r="AL660"/>
  <c r="Z660"/>
  <c r="S660"/>
  <c r="BC659"/>
  <c r="AU659"/>
  <c r="AT659"/>
  <c r="AY659"/>
  <c r="AR659"/>
  <c r="AR658"/>
  <c r="AR657"/>
  <c r="AP659"/>
  <c r="AP658"/>
  <c r="AP657"/>
  <c r="AO659"/>
  <c r="AC659"/>
  <c r="AC658"/>
  <c r="AC657"/>
  <c r="AB659"/>
  <c r="AB658"/>
  <c r="AB657"/>
  <c r="Z659"/>
  <c r="Y659"/>
  <c r="Y658"/>
  <c r="Y657"/>
  <c r="X659"/>
  <c r="W659"/>
  <c r="W658"/>
  <c r="W657"/>
  <c r="V659"/>
  <c r="V658"/>
  <c r="V657"/>
  <c r="R659"/>
  <c r="R658"/>
  <c r="Q659"/>
  <c r="Q658"/>
  <c r="Q657"/>
  <c r="P659"/>
  <c r="P658"/>
  <c r="P657"/>
  <c r="O659"/>
  <c r="O658"/>
  <c r="O657"/>
  <c r="N659"/>
  <c r="N658"/>
  <c r="N657"/>
  <c r="M659"/>
  <c r="M658"/>
  <c r="M657"/>
  <c r="L659"/>
  <c r="L658"/>
  <c r="L657"/>
  <c r="BC658"/>
  <c r="AO658"/>
  <c r="Z658"/>
  <c r="BC657"/>
  <c r="AO657"/>
  <c r="Z657"/>
  <c r="BC656"/>
  <c r="BB656"/>
  <c r="BA656"/>
  <c r="AZ656"/>
  <c r="AY656"/>
  <c r="AX656"/>
  <c r="AO656"/>
  <c r="Z656"/>
  <c r="S656"/>
  <c r="BC655"/>
  <c r="AO655"/>
  <c r="Z655"/>
  <c r="BC654"/>
  <c r="AO654"/>
  <c r="Z654"/>
  <c r="BC653"/>
  <c r="BB653"/>
  <c r="BA653"/>
  <c r="AZ653"/>
  <c r="AY653"/>
  <c r="AX653"/>
  <c r="AS653"/>
  <c r="AO653"/>
  <c r="Z653"/>
  <c r="S653"/>
  <c r="BC652"/>
  <c r="BB652"/>
  <c r="BA652"/>
  <c r="AZ652"/>
  <c r="AY652"/>
  <c r="AX652"/>
  <c r="AS652"/>
  <c r="AO652"/>
  <c r="Z652"/>
  <c r="S652"/>
  <c r="BC651"/>
  <c r="BB651"/>
  <c r="BA651"/>
  <c r="AT651"/>
  <c r="AZ651"/>
  <c r="AS651"/>
  <c r="AR651"/>
  <c r="AR650"/>
  <c r="AR649"/>
  <c r="AR647"/>
  <c r="AP651"/>
  <c r="AP650"/>
  <c r="AP649"/>
  <c r="AP647"/>
  <c r="AO651"/>
  <c r="AC651"/>
  <c r="AC650"/>
  <c r="AC649"/>
  <c r="AC647"/>
  <c r="AB651"/>
  <c r="AB650"/>
  <c r="AB649"/>
  <c r="AB647"/>
  <c r="Z651"/>
  <c r="Y651"/>
  <c r="Y650"/>
  <c r="Y649"/>
  <c r="Y647"/>
  <c r="X651"/>
  <c r="X650"/>
  <c r="X649"/>
  <c r="X647"/>
  <c r="W651"/>
  <c r="W650"/>
  <c r="W649"/>
  <c r="W647"/>
  <c r="V651"/>
  <c r="V650"/>
  <c r="V649"/>
  <c r="V647"/>
  <c r="R651"/>
  <c r="R650"/>
  <c r="R649"/>
  <c r="R647"/>
  <c r="Q651"/>
  <c r="Q650"/>
  <c r="Q649"/>
  <c r="Q647"/>
  <c r="P651"/>
  <c r="P650"/>
  <c r="P649"/>
  <c r="P647"/>
  <c r="O651"/>
  <c r="O650"/>
  <c r="O649"/>
  <c r="O647"/>
  <c r="N651"/>
  <c r="N650"/>
  <c r="N649"/>
  <c r="N647"/>
  <c r="M651"/>
  <c r="M650"/>
  <c r="M649"/>
  <c r="M647"/>
  <c r="L651"/>
  <c r="L650"/>
  <c r="L649"/>
  <c r="L647"/>
  <c r="BC650"/>
  <c r="BB650"/>
  <c r="BA650"/>
  <c r="AS650"/>
  <c r="AO650"/>
  <c r="Z650"/>
  <c r="BC649"/>
  <c r="BB649"/>
  <c r="BA649"/>
  <c r="AS649"/>
  <c r="AO649"/>
  <c r="Z649"/>
  <c r="BC648"/>
  <c r="BB648"/>
  <c r="BA648"/>
  <c r="AZ648"/>
  <c r="AY648"/>
  <c r="AX648"/>
  <c r="AS648"/>
  <c r="AO648"/>
  <c r="Z648"/>
  <c r="S648"/>
  <c r="BC647"/>
  <c r="BB647"/>
  <c r="BA647"/>
  <c r="AS647"/>
  <c r="AO647"/>
  <c r="Z647"/>
  <c r="BC646"/>
  <c r="BB646"/>
  <c r="BA646"/>
  <c r="AZ646"/>
  <c r="AY646"/>
  <c r="AX646"/>
  <c r="AS646"/>
  <c r="AO646"/>
  <c r="Z646"/>
  <c r="S646"/>
  <c r="BC645"/>
  <c r="BB645"/>
  <c r="BA645"/>
  <c r="AZ645"/>
  <c r="AY645"/>
  <c r="AX645"/>
  <c r="AS645"/>
  <c r="AO645"/>
  <c r="AL645"/>
  <c r="AF645"/>
  <c r="AE645"/>
  <c r="Z645"/>
  <c r="S645"/>
  <c r="S644"/>
  <c r="O645"/>
  <c r="O644"/>
  <c r="BC644"/>
  <c r="BB644"/>
  <c r="BA644"/>
  <c r="AT644"/>
  <c r="AS644"/>
  <c r="AR644"/>
  <c r="AP644"/>
  <c r="AO644"/>
  <c r="AC644"/>
  <c r="AB644"/>
  <c r="Z644"/>
  <c r="Y644"/>
  <c r="X644"/>
  <c r="W644"/>
  <c r="V644"/>
  <c r="R644"/>
  <c r="Q644"/>
  <c r="P644"/>
  <c r="N644"/>
  <c r="M644"/>
  <c r="L644"/>
  <c r="BC643"/>
  <c r="BB643"/>
  <c r="BA643"/>
  <c r="AZ643"/>
  <c r="AY643"/>
  <c r="AX643"/>
  <c r="AS643"/>
  <c r="AO643"/>
  <c r="Z643"/>
  <c r="S643"/>
  <c r="BC642"/>
  <c r="BB642"/>
  <c r="BA642"/>
  <c r="AZ642"/>
  <c r="AY642"/>
  <c r="AX642"/>
  <c r="AS642"/>
  <c r="AO642"/>
  <c r="Z642"/>
  <c r="S642"/>
  <c r="M642"/>
  <c r="AD642"/>
  <c r="BC641"/>
  <c r="BB641"/>
  <c r="BA641"/>
  <c r="AZ641"/>
  <c r="AY641"/>
  <c r="AX641"/>
  <c r="AS641"/>
  <c r="AO641"/>
  <c r="AL641"/>
  <c r="AK641"/>
  <c r="AJ641"/>
  <c r="Z641"/>
  <c r="S641"/>
  <c r="O641"/>
  <c r="M641"/>
  <c r="BC640"/>
  <c r="AU640"/>
  <c r="AT640"/>
  <c r="AR640"/>
  <c r="AP640"/>
  <c r="AO640"/>
  <c r="AC640"/>
  <c r="AB640"/>
  <c r="Z640"/>
  <c r="Y640"/>
  <c r="X640"/>
  <c r="AL640"/>
  <c r="W640"/>
  <c r="W639"/>
  <c r="V640"/>
  <c r="R640"/>
  <c r="Q640"/>
  <c r="P640"/>
  <c r="N640"/>
  <c r="L640"/>
  <c r="BC639"/>
  <c r="AO639"/>
  <c r="Z639"/>
  <c r="BC638"/>
  <c r="AO638"/>
  <c r="Z638"/>
  <c r="BC637"/>
  <c r="BB637"/>
  <c r="BA637"/>
  <c r="AZ637"/>
  <c r="AY637"/>
  <c r="AX637"/>
  <c r="AS637"/>
  <c r="AO637"/>
  <c r="Z637"/>
  <c r="S637"/>
  <c r="BC636"/>
  <c r="BB636"/>
  <c r="BA636"/>
  <c r="AZ636"/>
  <c r="AY636"/>
  <c r="AX636"/>
  <c r="AO636"/>
  <c r="AL636"/>
  <c r="AK636"/>
  <c r="AJ636"/>
  <c r="Z636"/>
  <c r="S636"/>
  <c r="O636"/>
  <c r="M636"/>
  <c r="M632"/>
  <c r="M631"/>
  <c r="M630"/>
  <c r="BC635"/>
  <c r="BB635"/>
  <c r="BA635"/>
  <c r="AZ635"/>
  <c r="AY635"/>
  <c r="AX635"/>
  <c r="AS635"/>
  <c r="AO635"/>
  <c r="Z635"/>
  <c r="S635"/>
  <c r="BC634"/>
  <c r="BB634"/>
  <c r="BA634"/>
  <c r="AZ634"/>
  <c r="AY634"/>
  <c r="AX634"/>
  <c r="AS634"/>
  <c r="AO634"/>
  <c r="Z634"/>
  <c r="S634"/>
  <c r="BC633"/>
  <c r="BB633"/>
  <c r="BA633"/>
  <c r="AZ633"/>
  <c r="AY633"/>
  <c r="AX633"/>
  <c r="AS633"/>
  <c r="AO633"/>
  <c r="Z633"/>
  <c r="S633"/>
  <c r="BC632"/>
  <c r="AU632"/>
  <c r="AT632"/>
  <c r="AR632"/>
  <c r="AR631"/>
  <c r="AR630"/>
  <c r="AP632"/>
  <c r="AP631"/>
  <c r="AP630"/>
  <c r="AO632"/>
  <c r="AC632"/>
  <c r="AC631"/>
  <c r="AC630"/>
  <c r="AB632"/>
  <c r="AB631"/>
  <c r="AB630"/>
  <c r="Z632"/>
  <c r="Y632"/>
  <c r="Y631"/>
  <c r="Y630"/>
  <c r="X632"/>
  <c r="W632"/>
  <c r="W631"/>
  <c r="V632"/>
  <c r="V631"/>
  <c r="V630"/>
  <c r="R632"/>
  <c r="R631"/>
  <c r="R630"/>
  <c r="Q632"/>
  <c r="Q631"/>
  <c r="Q630"/>
  <c r="P632"/>
  <c r="P631"/>
  <c r="P630"/>
  <c r="N632"/>
  <c r="N631"/>
  <c r="N630"/>
  <c r="L632"/>
  <c r="L631"/>
  <c r="L630"/>
  <c r="BC631"/>
  <c r="AO631"/>
  <c r="Z631"/>
  <c r="BC630"/>
  <c r="AO630"/>
  <c r="Z630"/>
  <c r="BC629"/>
  <c r="BB629"/>
  <c r="BA629"/>
  <c r="AZ629"/>
  <c r="AY629"/>
  <c r="AX629"/>
  <c r="AO629"/>
  <c r="Z629"/>
  <c r="S629"/>
  <c r="BC628"/>
  <c r="AO628"/>
  <c r="Z628"/>
  <c r="BC627"/>
  <c r="BB627"/>
  <c r="BA627"/>
  <c r="AZ627"/>
  <c r="AY627"/>
  <c r="AX627"/>
  <c r="AS627"/>
  <c r="AO627"/>
  <c r="Z627"/>
  <c r="S627"/>
  <c r="BC626"/>
  <c r="BB626"/>
  <c r="BA626"/>
  <c r="AZ626"/>
  <c r="AY626"/>
  <c r="AX626"/>
  <c r="AS626"/>
  <c r="AO626"/>
  <c r="Z626"/>
  <c r="S626"/>
  <c r="M626"/>
  <c r="AD626"/>
  <c r="BC625"/>
  <c r="BB625"/>
  <c r="BA625"/>
  <c r="AZ625"/>
  <c r="AY625"/>
  <c r="AX625"/>
  <c r="AS625"/>
  <c r="AO625"/>
  <c r="Z625"/>
  <c r="S625"/>
  <c r="BC624"/>
  <c r="BB624"/>
  <c r="BA624"/>
  <c r="AZ624"/>
  <c r="AY624"/>
  <c r="AX624"/>
  <c r="AS624"/>
  <c r="AO624"/>
  <c r="Z624"/>
  <c r="S624"/>
  <c r="BC623"/>
  <c r="BB623"/>
  <c r="BA623"/>
  <c r="AZ623"/>
  <c r="AY623"/>
  <c r="AX623"/>
  <c r="AS623"/>
  <c r="AO623"/>
  <c r="AL623"/>
  <c r="AK623"/>
  <c r="AJ623"/>
  <c r="AG623"/>
  <c r="AF623"/>
  <c r="Z623"/>
  <c r="O623"/>
  <c r="M623"/>
  <c r="BC622"/>
  <c r="BB622"/>
  <c r="BA622"/>
  <c r="AZ622"/>
  <c r="AY622"/>
  <c r="AX622"/>
  <c r="AS622"/>
  <c r="AO622"/>
  <c r="AL622"/>
  <c r="AK622"/>
  <c r="AJ622"/>
  <c r="AG622"/>
  <c r="AF622"/>
  <c r="Z622"/>
  <c r="O622"/>
  <c r="M622"/>
  <c r="BC621"/>
  <c r="BB621"/>
  <c r="BA621"/>
  <c r="AZ621"/>
  <c r="AY621"/>
  <c r="AX621"/>
  <c r="AS621"/>
  <c r="AS619"/>
  <c r="AO621"/>
  <c r="AL621"/>
  <c r="AK621"/>
  <c r="AG621"/>
  <c r="AF621"/>
  <c r="Z621"/>
  <c r="S621"/>
  <c r="O621"/>
  <c r="M621"/>
  <c r="BC620"/>
  <c r="BB620"/>
  <c r="BA620"/>
  <c r="AZ620"/>
  <c r="AY620"/>
  <c r="AX620"/>
  <c r="AO620"/>
  <c r="AL620"/>
  <c r="AK620"/>
  <c r="AJ620"/>
  <c r="AG620"/>
  <c r="AF620"/>
  <c r="Z620"/>
  <c r="S620"/>
  <c r="O620"/>
  <c r="M620"/>
  <c r="BC619"/>
  <c r="AU619"/>
  <c r="AT619"/>
  <c r="AY619"/>
  <c r="AR619"/>
  <c r="AR618"/>
  <c r="AR617"/>
  <c r="AR616"/>
  <c r="AR614"/>
  <c r="AP619"/>
  <c r="AO619"/>
  <c r="AC619"/>
  <c r="AC618"/>
  <c r="AC617"/>
  <c r="AC616"/>
  <c r="AC614"/>
  <c r="AB619"/>
  <c r="AB618"/>
  <c r="Z619"/>
  <c r="Y619"/>
  <c r="Y618"/>
  <c r="Y617"/>
  <c r="Y616"/>
  <c r="Y614"/>
  <c r="X619"/>
  <c r="W619"/>
  <c r="V619"/>
  <c r="V618"/>
  <c r="V617"/>
  <c r="V616"/>
  <c r="V614"/>
  <c r="R619"/>
  <c r="R618"/>
  <c r="R617"/>
  <c r="R616"/>
  <c r="R614"/>
  <c r="Q619"/>
  <c r="P619"/>
  <c r="P233"/>
  <c r="N619"/>
  <c r="N618"/>
  <c r="N617"/>
  <c r="N616"/>
  <c r="N614"/>
  <c r="L619"/>
  <c r="L618"/>
  <c r="L617"/>
  <c r="L616"/>
  <c r="L614"/>
  <c r="BC618"/>
  <c r="AT618"/>
  <c r="AO618"/>
  <c r="Z618"/>
  <c r="BC617"/>
  <c r="AO617"/>
  <c r="Z617"/>
  <c r="BC616"/>
  <c r="AO616"/>
  <c r="Z616"/>
  <c r="BC615"/>
  <c r="BB615"/>
  <c r="BA615"/>
  <c r="AZ615"/>
  <c r="AY615"/>
  <c r="AX615"/>
  <c r="AS615"/>
  <c r="AO615"/>
  <c r="Z615"/>
  <c r="S615"/>
  <c r="BC614"/>
  <c r="AS614"/>
  <c r="AO614"/>
  <c r="Z614"/>
  <c r="BC613"/>
  <c r="AS613"/>
  <c r="AO613"/>
  <c r="Z613"/>
  <c r="BC612"/>
  <c r="BB612"/>
  <c r="BA612"/>
  <c r="AZ612"/>
  <c r="AY612"/>
  <c r="AX612"/>
  <c r="AS612"/>
  <c r="AO612"/>
  <c r="Z612"/>
  <c r="S612"/>
  <c r="BC611"/>
  <c r="BB611"/>
  <c r="BA611"/>
  <c r="AZ611"/>
  <c r="AY611"/>
  <c r="AX611"/>
  <c r="AS611"/>
  <c r="AO611"/>
  <c r="AO610"/>
  <c r="AO609"/>
  <c r="AO608"/>
  <c r="AO606"/>
  <c r="AL611"/>
  <c r="AL610"/>
  <c r="AL609"/>
  <c r="AL608"/>
  <c r="AL606"/>
  <c r="Z611"/>
  <c r="S611"/>
  <c r="S610"/>
  <c r="S609"/>
  <c r="S608"/>
  <c r="S606"/>
  <c r="BC610"/>
  <c r="AU610"/>
  <c r="BB610"/>
  <c r="AT610"/>
  <c r="AY610"/>
  <c r="AS610"/>
  <c r="AS609"/>
  <c r="AS608"/>
  <c r="AS606"/>
  <c r="AR610"/>
  <c r="AR609"/>
  <c r="AR608"/>
  <c r="AR606"/>
  <c r="AP610"/>
  <c r="AP609"/>
  <c r="AP608"/>
  <c r="AP606"/>
  <c r="AN610"/>
  <c r="AN609"/>
  <c r="AN608"/>
  <c r="AN606"/>
  <c r="AM610"/>
  <c r="AM609"/>
  <c r="AM608"/>
  <c r="AM606"/>
  <c r="AK610"/>
  <c r="AK609"/>
  <c r="AK608"/>
  <c r="AK606"/>
  <c r="AJ610"/>
  <c r="AJ609"/>
  <c r="AJ608"/>
  <c r="AJ606"/>
  <c r="AI610"/>
  <c r="AI609"/>
  <c r="AI608"/>
  <c r="AI606"/>
  <c r="AH610"/>
  <c r="AH609"/>
  <c r="AH608"/>
  <c r="AH606"/>
  <c r="AG610"/>
  <c r="AG609"/>
  <c r="AG608"/>
  <c r="AG606"/>
  <c r="AF610"/>
  <c r="AF609"/>
  <c r="AF608"/>
  <c r="AF606"/>
  <c r="AE610"/>
  <c r="AE609"/>
  <c r="AE608"/>
  <c r="AE606"/>
  <c r="AD610"/>
  <c r="AD609"/>
  <c r="AD608"/>
  <c r="AD606"/>
  <c r="AC610"/>
  <c r="AB610"/>
  <c r="AB609"/>
  <c r="AB608"/>
  <c r="AB606"/>
  <c r="AA610"/>
  <c r="AA609"/>
  <c r="AA608"/>
  <c r="AA606"/>
  <c r="Z610"/>
  <c r="Z609"/>
  <c r="Z608"/>
  <c r="Z606"/>
  <c r="Y610"/>
  <c r="Y609"/>
  <c r="Y608"/>
  <c r="Y606"/>
  <c r="X610"/>
  <c r="X609"/>
  <c r="X608"/>
  <c r="X606"/>
  <c r="W610"/>
  <c r="W609"/>
  <c r="W608"/>
  <c r="W606"/>
  <c r="V610"/>
  <c r="V609"/>
  <c r="V608"/>
  <c r="V606"/>
  <c r="R610"/>
  <c r="Q610"/>
  <c r="Q609"/>
  <c r="Q608"/>
  <c r="Q606"/>
  <c r="P610"/>
  <c r="P609"/>
  <c r="P608"/>
  <c r="P606"/>
  <c r="O610"/>
  <c r="O609"/>
  <c r="O608"/>
  <c r="O606"/>
  <c r="N610"/>
  <c r="N609"/>
  <c r="N608"/>
  <c r="N606"/>
  <c r="M610"/>
  <c r="M609"/>
  <c r="M608"/>
  <c r="M606"/>
  <c r="L610"/>
  <c r="BC609"/>
  <c r="AC609"/>
  <c r="AC608"/>
  <c r="AC606"/>
  <c r="L609"/>
  <c r="L608"/>
  <c r="L606"/>
  <c r="BC608"/>
  <c r="BC607"/>
  <c r="BB607"/>
  <c r="BA607"/>
  <c r="AZ607"/>
  <c r="AY607"/>
  <c r="AX607"/>
  <c r="S607"/>
  <c r="BC606"/>
  <c r="BC605"/>
  <c r="BB605"/>
  <c r="BA605"/>
  <c r="AZ605"/>
  <c r="AY605"/>
  <c r="AX605"/>
  <c r="AS605"/>
  <c r="AO605"/>
  <c r="Z605"/>
  <c r="S605"/>
  <c r="BC604"/>
  <c r="BB604"/>
  <c r="BA604"/>
  <c r="AZ604"/>
  <c r="AY604"/>
  <c r="AX604"/>
  <c r="AS604"/>
  <c r="AS603"/>
  <c r="AS602"/>
  <c r="AS601"/>
  <c r="AS599"/>
  <c r="AO604"/>
  <c r="AO603"/>
  <c r="AO602"/>
  <c r="AO601"/>
  <c r="AO599"/>
  <c r="AL604"/>
  <c r="AL603"/>
  <c r="AL602"/>
  <c r="AL601"/>
  <c r="AL599"/>
  <c r="Z604"/>
  <c r="Z603"/>
  <c r="S604"/>
  <c r="S603"/>
  <c r="M604"/>
  <c r="AD604"/>
  <c r="AD603"/>
  <c r="AD602"/>
  <c r="AD601"/>
  <c r="AD599"/>
  <c r="BC603"/>
  <c r="AU603"/>
  <c r="BB603"/>
  <c r="AT603"/>
  <c r="AR603"/>
  <c r="AR602"/>
  <c r="AR601"/>
  <c r="AR599"/>
  <c r="AP603"/>
  <c r="AN603"/>
  <c r="AM603"/>
  <c r="AM602"/>
  <c r="AM601"/>
  <c r="AM599"/>
  <c r="AK603"/>
  <c r="AK602"/>
  <c r="AK601"/>
  <c r="AK599"/>
  <c r="AJ603"/>
  <c r="AJ602"/>
  <c r="AJ601"/>
  <c r="AJ599"/>
  <c r="AI603"/>
  <c r="AI602"/>
  <c r="AI601"/>
  <c r="AI599"/>
  <c r="AH603"/>
  <c r="AH602"/>
  <c r="AH601"/>
  <c r="AH599"/>
  <c r="AH598"/>
  <c r="AG603"/>
  <c r="AG602"/>
  <c r="AG601"/>
  <c r="AG599"/>
  <c r="AF603"/>
  <c r="AF602"/>
  <c r="AF601"/>
  <c r="AF599"/>
  <c r="AE603"/>
  <c r="AE602"/>
  <c r="AE601"/>
  <c r="AE599"/>
  <c r="AC603"/>
  <c r="AC602"/>
  <c r="AC601"/>
  <c r="AC599"/>
  <c r="AB603"/>
  <c r="AB602"/>
  <c r="AB601"/>
  <c r="AB599"/>
  <c r="AA603"/>
  <c r="AA602"/>
  <c r="AA601"/>
  <c r="AA599"/>
  <c r="Y603"/>
  <c r="Y602"/>
  <c r="Y601"/>
  <c r="Y599"/>
  <c r="X603"/>
  <c r="X602"/>
  <c r="X601"/>
  <c r="X599"/>
  <c r="W603"/>
  <c r="W602"/>
  <c r="W601"/>
  <c r="W599"/>
  <c r="V603"/>
  <c r="V602"/>
  <c r="V601"/>
  <c r="V599"/>
  <c r="R603"/>
  <c r="R602"/>
  <c r="R601"/>
  <c r="R599"/>
  <c r="Q603"/>
  <c r="Q602"/>
  <c r="Q601"/>
  <c r="Q599"/>
  <c r="P603"/>
  <c r="O603"/>
  <c r="O602"/>
  <c r="N603"/>
  <c r="N602"/>
  <c r="N601"/>
  <c r="N599"/>
  <c r="L603"/>
  <c r="L602"/>
  <c r="L601"/>
  <c r="L599"/>
  <c r="BC602"/>
  <c r="AP602"/>
  <c r="AP601"/>
  <c r="AP599"/>
  <c r="AN602"/>
  <c r="AN601"/>
  <c r="AN599"/>
  <c r="P602"/>
  <c r="P601"/>
  <c r="P599"/>
  <c r="BC601"/>
  <c r="O601"/>
  <c r="O599"/>
  <c r="BC600"/>
  <c r="BB600"/>
  <c r="BA600"/>
  <c r="AZ600"/>
  <c r="AY600"/>
  <c r="AX600"/>
  <c r="AS600"/>
  <c r="AO600"/>
  <c r="Z600"/>
  <c r="S600"/>
  <c r="BC599"/>
  <c r="BC598"/>
  <c r="BC597"/>
  <c r="BB597"/>
  <c r="BA597"/>
  <c r="AZ597"/>
  <c r="AY597"/>
  <c r="AX597"/>
  <c r="AS597"/>
  <c r="AO597"/>
  <c r="Z597"/>
  <c r="S597"/>
  <c r="BC596"/>
  <c r="BB596"/>
  <c r="BA596"/>
  <c r="AZ596"/>
  <c r="AY596"/>
  <c r="AX596"/>
  <c r="AS596"/>
  <c r="AO596"/>
  <c r="Z596"/>
  <c r="S596"/>
  <c r="BC595"/>
  <c r="AU595"/>
  <c r="BA595"/>
  <c r="AT595"/>
  <c r="AY595"/>
  <c r="AR595"/>
  <c r="AR594"/>
  <c r="AR593"/>
  <c r="AP595"/>
  <c r="AP594"/>
  <c r="AN595"/>
  <c r="AN594"/>
  <c r="AN593"/>
  <c r="AM595"/>
  <c r="AM594"/>
  <c r="AM593"/>
  <c r="AL595"/>
  <c r="AL594"/>
  <c r="AL593"/>
  <c r="AK595"/>
  <c r="AK594"/>
  <c r="AK593"/>
  <c r="AJ595"/>
  <c r="AJ594"/>
  <c r="AJ593"/>
  <c r="AI595"/>
  <c r="AI594"/>
  <c r="AI593"/>
  <c r="AH595"/>
  <c r="AH594"/>
  <c r="AH593"/>
  <c r="AG595"/>
  <c r="AG594"/>
  <c r="AG593"/>
  <c r="AF595"/>
  <c r="AF594"/>
  <c r="AF593"/>
  <c r="AE595"/>
  <c r="AE594"/>
  <c r="AE593"/>
  <c r="AD595"/>
  <c r="AD594"/>
  <c r="AD593"/>
  <c r="AC595"/>
  <c r="AC594"/>
  <c r="AC593"/>
  <c r="AB595"/>
  <c r="AB594"/>
  <c r="AB593"/>
  <c r="AA595"/>
  <c r="AA594"/>
  <c r="AA593"/>
  <c r="Y595"/>
  <c r="Y594"/>
  <c r="Y593"/>
  <c r="X595"/>
  <c r="X594"/>
  <c r="X593"/>
  <c r="W595"/>
  <c r="W594"/>
  <c r="W593"/>
  <c r="V595"/>
  <c r="V594"/>
  <c r="V593"/>
  <c r="R595"/>
  <c r="Q595"/>
  <c r="P595"/>
  <c r="P594"/>
  <c r="O595"/>
  <c r="O594"/>
  <c r="O593"/>
  <c r="N595"/>
  <c r="N594"/>
  <c r="N593"/>
  <c r="M595"/>
  <c r="M594"/>
  <c r="M593"/>
  <c r="L595"/>
  <c r="L594"/>
  <c r="L593"/>
  <c r="BC594"/>
  <c r="Q594"/>
  <c r="Q593"/>
  <c r="BC593"/>
  <c r="P593"/>
  <c r="BC592"/>
  <c r="BB592"/>
  <c r="BA592"/>
  <c r="AZ592"/>
  <c r="AY592"/>
  <c r="AX592"/>
  <c r="AS592"/>
  <c r="AO592"/>
  <c r="Z592"/>
  <c r="S592"/>
  <c r="BC591"/>
  <c r="BB591"/>
  <c r="BA591"/>
  <c r="AZ591"/>
  <c r="AY591"/>
  <c r="AX591"/>
  <c r="AS591"/>
  <c r="AS590"/>
  <c r="AS589"/>
  <c r="AS588"/>
  <c r="AO591"/>
  <c r="AO590"/>
  <c r="AO589"/>
  <c r="AO588"/>
  <c r="AL591"/>
  <c r="AL590"/>
  <c r="AL589"/>
  <c r="AL588"/>
  <c r="AK591"/>
  <c r="AK590"/>
  <c r="AK589"/>
  <c r="AK588"/>
  <c r="AJ591"/>
  <c r="AJ590"/>
  <c r="AJ589"/>
  <c r="AJ588"/>
  <c r="AG591"/>
  <c r="AG590"/>
  <c r="AG589"/>
  <c r="AG588"/>
  <c r="AF591"/>
  <c r="AF590"/>
  <c r="AF589"/>
  <c r="AF588"/>
  <c r="Z591"/>
  <c r="Z590"/>
  <c r="S591"/>
  <c r="S590"/>
  <c r="S589"/>
  <c r="S588"/>
  <c r="O591"/>
  <c r="BC590"/>
  <c r="AU590"/>
  <c r="BA590"/>
  <c r="AT590"/>
  <c r="AT589"/>
  <c r="AY589"/>
  <c r="AR590"/>
  <c r="AR589"/>
  <c r="AR588"/>
  <c r="AP590"/>
  <c r="AP589"/>
  <c r="AP588"/>
  <c r="AN590"/>
  <c r="AN589"/>
  <c r="AN588"/>
  <c r="AM590"/>
  <c r="AM589"/>
  <c r="AM588"/>
  <c r="AI590"/>
  <c r="AI589"/>
  <c r="AI588"/>
  <c r="AH590"/>
  <c r="AH589"/>
  <c r="AH588"/>
  <c r="AD590"/>
  <c r="AD589"/>
  <c r="AD588"/>
  <c r="AC590"/>
  <c r="AC589"/>
  <c r="AC588"/>
  <c r="AB590"/>
  <c r="AB589"/>
  <c r="AB588"/>
  <c r="AA590"/>
  <c r="AA589"/>
  <c r="AA588"/>
  <c r="Y590"/>
  <c r="Y589"/>
  <c r="Y588"/>
  <c r="X590"/>
  <c r="X589"/>
  <c r="X588"/>
  <c r="W590"/>
  <c r="W589"/>
  <c r="W588"/>
  <c r="V590"/>
  <c r="V589"/>
  <c r="V588"/>
  <c r="R590"/>
  <c r="Q590"/>
  <c r="Q589"/>
  <c r="Q588"/>
  <c r="P590"/>
  <c r="P589"/>
  <c r="P588"/>
  <c r="N590"/>
  <c r="N589"/>
  <c r="N588"/>
  <c r="M590"/>
  <c r="M589"/>
  <c r="M588"/>
  <c r="L590"/>
  <c r="L589"/>
  <c r="L588"/>
  <c r="BC589"/>
  <c r="BC588"/>
  <c r="BC587"/>
  <c r="BB587"/>
  <c r="BA587"/>
  <c r="AZ587"/>
  <c r="AY587"/>
  <c r="AX587"/>
  <c r="AO587"/>
  <c r="Z587"/>
  <c r="S587"/>
  <c r="BC586"/>
  <c r="AO586"/>
  <c r="Z586"/>
  <c r="BC585"/>
  <c r="BB585"/>
  <c r="BA585"/>
  <c r="AZ585"/>
  <c r="AY585"/>
  <c r="AX585"/>
  <c r="AS585"/>
  <c r="AO585"/>
  <c r="Z585"/>
  <c r="S585"/>
  <c r="BC584"/>
  <c r="BB584"/>
  <c r="BA584"/>
  <c r="AZ584"/>
  <c r="AY584"/>
  <c r="AX584"/>
  <c r="AS584"/>
  <c r="AO584"/>
  <c r="AJ584"/>
  <c r="Z584"/>
  <c r="S584"/>
  <c r="O584"/>
  <c r="M584"/>
  <c r="BC583"/>
  <c r="BB583"/>
  <c r="BA583"/>
  <c r="AZ583"/>
  <c r="AY583"/>
  <c r="AX583"/>
  <c r="AS583"/>
  <c r="AO583"/>
  <c r="AL583"/>
  <c r="AK583"/>
  <c r="AJ583"/>
  <c r="Z583"/>
  <c r="S583"/>
  <c r="O583"/>
  <c r="BC582"/>
  <c r="BB582"/>
  <c r="BA582"/>
  <c r="AZ582"/>
  <c r="AY582"/>
  <c r="AX582"/>
  <c r="AS582"/>
  <c r="AO582"/>
  <c r="Z582"/>
  <c r="S582"/>
  <c r="O582"/>
  <c r="BC581"/>
  <c r="BB581"/>
  <c r="BA581"/>
  <c r="AZ581"/>
  <c r="AY581"/>
  <c r="AX581"/>
  <c r="AS581"/>
  <c r="AS315"/>
  <c r="AO581"/>
  <c r="Z581"/>
  <c r="S581"/>
  <c r="O581"/>
  <c r="BC580"/>
  <c r="BB580"/>
  <c r="BA580"/>
  <c r="AZ580"/>
  <c r="AY580"/>
  <c r="AX580"/>
  <c r="AO580"/>
  <c r="AL580"/>
  <c r="AK580"/>
  <c r="AF580"/>
  <c r="Z580"/>
  <c r="Z315"/>
  <c r="S580"/>
  <c r="O580"/>
  <c r="M580"/>
  <c r="BC579"/>
  <c r="AU579"/>
  <c r="AT579"/>
  <c r="AR579"/>
  <c r="AR578"/>
  <c r="AR577"/>
  <c r="AP579"/>
  <c r="AP578"/>
  <c r="AP577"/>
  <c r="AO579"/>
  <c r="AC579"/>
  <c r="AC578"/>
  <c r="AC577"/>
  <c r="AB579"/>
  <c r="AB578"/>
  <c r="Z579"/>
  <c r="Y579"/>
  <c r="Y578"/>
  <c r="Y577"/>
  <c r="X579"/>
  <c r="X578"/>
  <c r="W579"/>
  <c r="W578"/>
  <c r="V579"/>
  <c r="V578"/>
  <c r="V577"/>
  <c r="R579"/>
  <c r="Q579"/>
  <c r="P579"/>
  <c r="P578"/>
  <c r="P577"/>
  <c r="N579"/>
  <c r="N578"/>
  <c r="N577"/>
  <c r="L579"/>
  <c r="L578"/>
  <c r="L577"/>
  <c r="BC578"/>
  <c r="AT578"/>
  <c r="AY578"/>
  <c r="AO578"/>
  <c r="Z578"/>
  <c r="BC577"/>
  <c r="AO577"/>
  <c r="Z577"/>
  <c r="BC576"/>
  <c r="BB576"/>
  <c r="BA576"/>
  <c r="AZ576"/>
  <c r="AY576"/>
  <c r="AX576"/>
  <c r="AS576"/>
  <c r="AO576"/>
  <c r="AJ576"/>
  <c r="Z576"/>
  <c r="S576"/>
  <c r="O576"/>
  <c r="M576"/>
  <c r="BC575"/>
  <c r="BB575"/>
  <c r="BA575"/>
  <c r="AZ575"/>
  <c r="AY575"/>
  <c r="AX575"/>
  <c r="AS575"/>
  <c r="AO575"/>
  <c r="AK575"/>
  <c r="AJ575"/>
  <c r="AG575"/>
  <c r="AF575"/>
  <c r="Z575"/>
  <c r="S575"/>
  <c r="O575"/>
  <c r="AE575"/>
  <c r="M575"/>
  <c r="BC574"/>
  <c r="BB574"/>
  <c r="BA574"/>
  <c r="AZ574"/>
  <c r="AY574"/>
  <c r="AX574"/>
  <c r="AS574"/>
  <c r="AO574"/>
  <c r="Z574"/>
  <c r="S574"/>
  <c r="O574"/>
  <c r="BC573"/>
  <c r="BB573"/>
  <c r="BA573"/>
  <c r="AZ573"/>
  <c r="AY573"/>
  <c r="AX573"/>
  <c r="AO573"/>
  <c r="AK573"/>
  <c r="AJ573"/>
  <c r="AG573"/>
  <c r="AF573"/>
  <c r="Z573"/>
  <c r="S573"/>
  <c r="O573"/>
  <c r="M573"/>
  <c r="BC572"/>
  <c r="AU572"/>
  <c r="AT572"/>
  <c r="AR572"/>
  <c r="AR571"/>
  <c r="AR570"/>
  <c r="AP572"/>
  <c r="AP571"/>
  <c r="AP570"/>
  <c r="AO572"/>
  <c r="AC572"/>
  <c r="AC571"/>
  <c r="AC570"/>
  <c r="AB572"/>
  <c r="AB571"/>
  <c r="Z572"/>
  <c r="Y572"/>
  <c r="Y571"/>
  <c r="Y570"/>
  <c r="X572"/>
  <c r="W572"/>
  <c r="W571"/>
  <c r="W570"/>
  <c r="V572"/>
  <c r="V571"/>
  <c r="V570"/>
  <c r="R572"/>
  <c r="R571"/>
  <c r="R570"/>
  <c r="Q572"/>
  <c r="P572"/>
  <c r="N572"/>
  <c r="N571"/>
  <c r="N570"/>
  <c r="N568"/>
  <c r="L572"/>
  <c r="L571"/>
  <c r="BC571"/>
  <c r="AO571"/>
  <c r="Z571"/>
  <c r="BC570"/>
  <c r="AO570"/>
  <c r="Z570"/>
  <c r="L570"/>
  <c r="BC569"/>
  <c r="BB569"/>
  <c r="BA569"/>
  <c r="AZ569"/>
  <c r="AY569"/>
  <c r="AX569"/>
  <c r="AO569"/>
  <c r="Z569"/>
  <c r="S569"/>
  <c r="BC568"/>
  <c r="AO568"/>
  <c r="Z568"/>
  <c r="BC567"/>
  <c r="BB567"/>
  <c r="BA567"/>
  <c r="AZ567"/>
  <c r="AY567"/>
  <c r="AX567"/>
  <c r="AS567"/>
  <c r="AO567"/>
  <c r="Z567"/>
  <c r="S567"/>
  <c r="BC566"/>
  <c r="BB566"/>
  <c r="BA566"/>
  <c r="AZ566"/>
  <c r="AY566"/>
  <c r="AX566"/>
  <c r="AS566"/>
  <c r="AS564"/>
  <c r="AO566"/>
  <c r="Z566"/>
  <c r="S566"/>
  <c r="BC565"/>
  <c r="BB565"/>
  <c r="BA565"/>
  <c r="AZ565"/>
  <c r="AY565"/>
  <c r="AX565"/>
  <c r="AO565"/>
  <c r="AL565"/>
  <c r="AK565"/>
  <c r="AJ565"/>
  <c r="AG565"/>
  <c r="AF565"/>
  <c r="Z565"/>
  <c r="S565"/>
  <c r="O565"/>
  <c r="AE565"/>
  <c r="M565"/>
  <c r="M564"/>
  <c r="M560"/>
  <c r="BC564"/>
  <c r="AU564"/>
  <c r="AU563"/>
  <c r="AU562"/>
  <c r="AT564"/>
  <c r="AR564"/>
  <c r="AR563"/>
  <c r="AR562"/>
  <c r="AP564"/>
  <c r="AO564"/>
  <c r="AC564"/>
  <c r="AC560"/>
  <c r="AB564"/>
  <c r="Z564"/>
  <c r="Y564"/>
  <c r="Y563"/>
  <c r="Y562"/>
  <c r="X564"/>
  <c r="X560"/>
  <c r="W564"/>
  <c r="V564"/>
  <c r="V563"/>
  <c r="V562"/>
  <c r="R564"/>
  <c r="R560"/>
  <c r="Q564"/>
  <c r="Q560"/>
  <c r="P564"/>
  <c r="N564"/>
  <c r="N563"/>
  <c r="N562"/>
  <c r="L564"/>
  <c r="L563"/>
  <c r="L562"/>
  <c r="BC563"/>
  <c r="AO563"/>
  <c r="AC563"/>
  <c r="AC562"/>
  <c r="Z563"/>
  <c r="M563"/>
  <c r="M562"/>
  <c r="BC562"/>
  <c r="AO562"/>
  <c r="Z562"/>
  <c r="BC561"/>
  <c r="BB561"/>
  <c r="BA561"/>
  <c r="AZ561"/>
  <c r="AY561"/>
  <c r="AX561"/>
  <c r="AO561"/>
  <c r="Z561"/>
  <c r="S561"/>
  <c r="BC560"/>
  <c r="AO560"/>
  <c r="Z560"/>
  <c r="Y560"/>
  <c r="N560"/>
  <c r="BC559"/>
  <c r="BB559"/>
  <c r="BA559"/>
  <c r="AZ559"/>
  <c r="AY559"/>
  <c r="AX559"/>
  <c r="AS559"/>
  <c r="AO559"/>
  <c r="Z559"/>
  <c r="S559"/>
  <c r="BC558"/>
  <c r="BB558"/>
  <c r="BA558"/>
  <c r="AZ558"/>
  <c r="AY558"/>
  <c r="AX558"/>
  <c r="AS558"/>
  <c r="AO558"/>
  <c r="AL558"/>
  <c r="AK558"/>
  <c r="AJ558"/>
  <c r="AG558"/>
  <c r="AF558"/>
  <c r="Z558"/>
  <c r="S558"/>
  <c r="O558"/>
  <c r="AE558"/>
  <c r="M558"/>
  <c r="AD558"/>
  <c r="BC557"/>
  <c r="BB557"/>
  <c r="BA557"/>
  <c r="AZ557"/>
  <c r="AY557"/>
  <c r="AX557"/>
  <c r="AS557"/>
  <c r="AO557"/>
  <c r="Z557"/>
  <c r="S557"/>
  <c r="BC556"/>
  <c r="BB556"/>
  <c r="BA556"/>
  <c r="AZ556"/>
  <c r="AY556"/>
  <c r="AX556"/>
  <c r="AS556"/>
  <c r="AO556"/>
  <c r="AL556"/>
  <c r="AK556"/>
  <c r="AJ556"/>
  <c r="AG556"/>
  <c r="AF556"/>
  <c r="Z556"/>
  <c r="S556"/>
  <c r="O556"/>
  <c r="M556"/>
  <c r="BC555"/>
  <c r="BB555"/>
  <c r="BA555"/>
  <c r="AZ555"/>
  <c r="AY555"/>
  <c r="AX555"/>
  <c r="AS555"/>
  <c r="AO555"/>
  <c r="AL555"/>
  <c r="AK555"/>
  <c r="Z555"/>
  <c r="S555"/>
  <c r="O555"/>
  <c r="M555"/>
  <c r="BC554"/>
  <c r="BB554"/>
  <c r="BA554"/>
  <c r="AZ554"/>
  <c r="AY554"/>
  <c r="AX554"/>
  <c r="AO554"/>
  <c r="AL554"/>
  <c r="AK554"/>
  <c r="AJ554"/>
  <c r="AG554"/>
  <c r="AF554"/>
  <c r="Z554"/>
  <c r="S554"/>
  <c r="O554"/>
  <c r="AE554"/>
  <c r="M554"/>
  <c r="BC553"/>
  <c r="BB553"/>
  <c r="BA553"/>
  <c r="AZ553"/>
  <c r="AY553"/>
  <c r="AX553"/>
  <c r="AS553"/>
  <c r="AO553"/>
  <c r="AL553"/>
  <c r="AK553"/>
  <c r="AJ553"/>
  <c r="AG553"/>
  <c r="AF553"/>
  <c r="Z553"/>
  <c r="O553"/>
  <c r="AE553"/>
  <c r="M553"/>
  <c r="BC552"/>
  <c r="AZ552"/>
  <c r="AU552"/>
  <c r="BB552"/>
  <c r="AT552"/>
  <c r="AR552"/>
  <c r="AP552"/>
  <c r="AO552"/>
  <c r="AC552"/>
  <c r="AB552"/>
  <c r="Z552"/>
  <c r="Y552"/>
  <c r="X552"/>
  <c r="W552"/>
  <c r="V552"/>
  <c r="R552"/>
  <c r="Q552"/>
  <c r="P552"/>
  <c r="N552"/>
  <c r="L552"/>
  <c r="BC551"/>
  <c r="BB551"/>
  <c r="BA551"/>
  <c r="AZ551"/>
  <c r="AY551"/>
  <c r="AX551"/>
  <c r="AS551"/>
  <c r="AO551"/>
  <c r="Z551"/>
  <c r="S551"/>
  <c r="BC550"/>
  <c r="BB550"/>
  <c r="BA550"/>
  <c r="AZ550"/>
  <c r="AY550"/>
  <c r="AX550"/>
  <c r="AS550"/>
  <c r="AO550"/>
  <c r="AJ550"/>
  <c r="Z550"/>
  <c r="S550"/>
  <c r="BC549"/>
  <c r="BB549"/>
  <c r="BA549"/>
  <c r="AZ549"/>
  <c r="AY549"/>
  <c r="AX549"/>
  <c r="AS549"/>
  <c r="AO549"/>
  <c r="Z549"/>
  <c r="S549"/>
  <c r="BC548"/>
  <c r="BB548"/>
  <c r="BA548"/>
  <c r="AZ548"/>
  <c r="AY548"/>
  <c r="AX548"/>
  <c r="AS548"/>
  <c r="AO548"/>
  <c r="Z548"/>
  <c r="S548"/>
  <c r="BC547"/>
  <c r="BB547"/>
  <c r="BA547"/>
  <c r="AZ547"/>
  <c r="AY547"/>
  <c r="AX547"/>
  <c r="AS547"/>
  <c r="AO547"/>
  <c r="Z547"/>
  <c r="S547"/>
  <c r="BC546"/>
  <c r="BB546"/>
  <c r="BA546"/>
  <c r="AZ546"/>
  <c r="AY546"/>
  <c r="AX546"/>
  <c r="AS546"/>
  <c r="AO546"/>
  <c r="Z546"/>
  <c r="S546"/>
  <c r="BC545"/>
  <c r="BB545"/>
  <c r="BA545"/>
  <c r="AZ545"/>
  <c r="AY545"/>
  <c r="AX545"/>
  <c r="AS545"/>
  <c r="AO545"/>
  <c r="Z545"/>
  <c r="S545"/>
  <c r="BC544"/>
  <c r="BB544"/>
  <c r="BA544"/>
  <c r="AZ544"/>
  <c r="AY544"/>
  <c r="AX544"/>
  <c r="AS544"/>
  <c r="AO544"/>
  <c r="Z544"/>
  <c r="S544"/>
  <c r="BC543"/>
  <c r="BB543"/>
  <c r="BA543"/>
  <c r="AZ543"/>
  <c r="AY543"/>
  <c r="AX543"/>
  <c r="AS543"/>
  <c r="AO543"/>
  <c r="Z543"/>
  <c r="S543"/>
  <c r="BC542"/>
  <c r="BB542"/>
  <c r="BA542"/>
  <c r="AZ542"/>
  <c r="AY542"/>
  <c r="AX542"/>
  <c r="AS542"/>
  <c r="AO542"/>
  <c r="Z542"/>
  <c r="S542"/>
  <c r="BC541"/>
  <c r="BB541"/>
  <c r="BA541"/>
  <c r="AZ541"/>
  <c r="AY541"/>
  <c r="AX541"/>
  <c r="AS541"/>
  <c r="AO541"/>
  <c r="Z541"/>
  <c r="S541"/>
  <c r="BC540"/>
  <c r="BB540"/>
  <c r="BA540"/>
  <c r="AZ540"/>
  <c r="AY540"/>
  <c r="AX540"/>
  <c r="AS540"/>
  <c r="AO540"/>
  <c r="AL540"/>
  <c r="AK540"/>
  <c r="AJ540"/>
  <c r="Z540"/>
  <c r="S540"/>
  <c r="O540"/>
  <c r="O539"/>
  <c r="BC539"/>
  <c r="AZ539"/>
  <c r="AU539"/>
  <c r="AT539"/>
  <c r="AR539"/>
  <c r="AP539"/>
  <c r="AP537"/>
  <c r="AP536"/>
  <c r="AP534"/>
  <c r="AO539"/>
  <c r="AC539"/>
  <c r="AC537"/>
  <c r="AC536"/>
  <c r="AC534"/>
  <c r="AB539"/>
  <c r="Z539"/>
  <c r="Y539"/>
  <c r="X539"/>
  <c r="X537"/>
  <c r="W539"/>
  <c r="V539"/>
  <c r="V537"/>
  <c r="V536"/>
  <c r="V534"/>
  <c r="R539"/>
  <c r="R537"/>
  <c r="R536"/>
  <c r="Q539"/>
  <c r="Q537"/>
  <c r="P539"/>
  <c r="N539"/>
  <c r="N225"/>
  <c r="M539"/>
  <c r="L539"/>
  <c r="BC538"/>
  <c r="BB538"/>
  <c r="BA538"/>
  <c r="AZ538"/>
  <c r="AY538"/>
  <c r="AX538"/>
  <c r="AO538"/>
  <c r="Z538"/>
  <c r="S538"/>
  <c r="BC537"/>
  <c r="AO537"/>
  <c r="Z537"/>
  <c r="BC536"/>
  <c r="AO536"/>
  <c r="Z536"/>
  <c r="BC535"/>
  <c r="BB535"/>
  <c r="BA535"/>
  <c r="AZ535"/>
  <c r="AY535"/>
  <c r="AX535"/>
  <c r="AO535"/>
  <c r="Z535"/>
  <c r="S535"/>
  <c r="BC534"/>
  <c r="AO534"/>
  <c r="Z534"/>
  <c r="BC533"/>
  <c r="AO533"/>
  <c r="Z533"/>
  <c r="BC532"/>
  <c r="BB532"/>
  <c r="BA532"/>
  <c r="AZ532"/>
  <c r="AY532"/>
  <c r="AX532"/>
  <c r="AS532"/>
  <c r="AO532"/>
  <c r="Z532"/>
  <c r="S532"/>
  <c r="BC531"/>
  <c r="BB531"/>
  <c r="BA531"/>
  <c r="AZ531"/>
  <c r="AY531"/>
  <c r="AX531"/>
  <c r="AS531"/>
  <c r="AO531"/>
  <c r="AL531"/>
  <c r="Z531"/>
  <c r="S531"/>
  <c r="BC530"/>
  <c r="BB530"/>
  <c r="BA530"/>
  <c r="AZ530"/>
  <c r="AY530"/>
  <c r="AX530"/>
  <c r="AS530"/>
  <c r="AO530"/>
  <c r="Z530"/>
  <c r="S530"/>
  <c r="BC529"/>
  <c r="BB529"/>
  <c r="BA529"/>
  <c r="AZ529"/>
  <c r="AY529"/>
  <c r="AX529"/>
  <c r="AS529"/>
  <c r="AO529"/>
  <c r="Z529"/>
  <c r="S529"/>
  <c r="BC528"/>
  <c r="AU528"/>
  <c r="BB528"/>
  <c r="AT528"/>
  <c r="AR528"/>
  <c r="AR527"/>
  <c r="AR526"/>
  <c r="AR524"/>
  <c r="AR523"/>
  <c r="AP528"/>
  <c r="AP527"/>
  <c r="AP526"/>
  <c r="AP524"/>
  <c r="AP523"/>
  <c r="AO528"/>
  <c r="AC528"/>
  <c r="AB528"/>
  <c r="AB527"/>
  <c r="AB526"/>
  <c r="AB524"/>
  <c r="AB523"/>
  <c r="Z528"/>
  <c r="Y528"/>
  <c r="Y527"/>
  <c r="Y526"/>
  <c r="Y524"/>
  <c r="Y523"/>
  <c r="X528"/>
  <c r="X527"/>
  <c r="W528"/>
  <c r="W527"/>
  <c r="W526"/>
  <c r="W524"/>
  <c r="W523"/>
  <c r="V528"/>
  <c r="V527"/>
  <c r="V526"/>
  <c r="V524"/>
  <c r="R528"/>
  <c r="R527"/>
  <c r="R526"/>
  <c r="R524"/>
  <c r="R523"/>
  <c r="Q528"/>
  <c r="Q527"/>
  <c r="Q526"/>
  <c r="Q524"/>
  <c r="Q523"/>
  <c r="P528"/>
  <c r="P527"/>
  <c r="P526"/>
  <c r="P524"/>
  <c r="P523"/>
  <c r="O528"/>
  <c r="O527"/>
  <c r="O526"/>
  <c r="O524"/>
  <c r="O523"/>
  <c r="N528"/>
  <c r="N527"/>
  <c r="N526"/>
  <c r="N524"/>
  <c r="N523"/>
  <c r="M528"/>
  <c r="M527"/>
  <c r="M526"/>
  <c r="M524"/>
  <c r="M523"/>
  <c r="L528"/>
  <c r="L527"/>
  <c r="L526"/>
  <c r="L524"/>
  <c r="L523"/>
  <c r="BC527"/>
  <c r="AO527"/>
  <c r="AC527"/>
  <c r="AC526"/>
  <c r="AC524"/>
  <c r="AC523"/>
  <c r="Z527"/>
  <c r="BC526"/>
  <c r="AO526"/>
  <c r="Z526"/>
  <c r="BC525"/>
  <c r="BB525"/>
  <c r="BA525"/>
  <c r="AZ525"/>
  <c r="AY525"/>
  <c r="AX525"/>
  <c r="AO525"/>
  <c r="Z525"/>
  <c r="S525"/>
  <c r="BC524"/>
  <c r="AO524"/>
  <c r="Z524"/>
  <c r="BC523"/>
  <c r="AO523"/>
  <c r="Z523"/>
  <c r="V523"/>
  <c r="BC522"/>
  <c r="BB522"/>
  <c r="BA522"/>
  <c r="AZ522"/>
  <c r="AY522"/>
  <c r="AX522"/>
  <c r="AS522"/>
  <c r="AO522"/>
  <c r="Z522"/>
  <c r="S522"/>
  <c r="BC521"/>
  <c r="BB521"/>
  <c r="BA521"/>
  <c r="AZ521"/>
  <c r="AY521"/>
  <c r="AX521"/>
  <c r="AS521"/>
  <c r="AS520"/>
  <c r="AS519"/>
  <c r="AS518"/>
  <c r="AS516"/>
  <c r="AO521"/>
  <c r="Z521"/>
  <c r="S521"/>
  <c r="S520"/>
  <c r="S519"/>
  <c r="S518"/>
  <c r="S516"/>
  <c r="BC520"/>
  <c r="BB520"/>
  <c r="BA520"/>
  <c r="AT520"/>
  <c r="AR520"/>
  <c r="AR519"/>
  <c r="AR518"/>
  <c r="AR516"/>
  <c r="AP520"/>
  <c r="AP519"/>
  <c r="AP518"/>
  <c r="AP516"/>
  <c r="AO520"/>
  <c r="AC520"/>
  <c r="AC519"/>
  <c r="AC518"/>
  <c r="AC516"/>
  <c r="AB520"/>
  <c r="AB519"/>
  <c r="AB518"/>
  <c r="AB516"/>
  <c r="Z520"/>
  <c r="Y520"/>
  <c r="Y519"/>
  <c r="Y518"/>
  <c r="Y516"/>
  <c r="X520"/>
  <c r="X519"/>
  <c r="X518"/>
  <c r="X516"/>
  <c r="W520"/>
  <c r="W519"/>
  <c r="W518"/>
  <c r="W516"/>
  <c r="V520"/>
  <c r="V519"/>
  <c r="V518"/>
  <c r="V516"/>
  <c r="R520"/>
  <c r="R519"/>
  <c r="R518"/>
  <c r="R516"/>
  <c r="Q520"/>
  <c r="Q519"/>
  <c r="Q518"/>
  <c r="Q516"/>
  <c r="P520"/>
  <c r="P519"/>
  <c r="P518"/>
  <c r="P516"/>
  <c r="O520"/>
  <c r="O519"/>
  <c r="O518"/>
  <c r="O516"/>
  <c r="N520"/>
  <c r="N519"/>
  <c r="N518"/>
  <c r="N516"/>
  <c r="M520"/>
  <c r="M519"/>
  <c r="M518"/>
  <c r="M516"/>
  <c r="L520"/>
  <c r="L519"/>
  <c r="L518"/>
  <c r="L516"/>
  <c r="BC519"/>
  <c r="BB519"/>
  <c r="BA519"/>
  <c r="AO519"/>
  <c r="Z519"/>
  <c r="BC518"/>
  <c r="BB518"/>
  <c r="BA518"/>
  <c r="AO518"/>
  <c r="Z518"/>
  <c r="BC517"/>
  <c r="BB517"/>
  <c r="BA517"/>
  <c r="AZ517"/>
  <c r="AY517"/>
  <c r="AX517"/>
  <c r="AO517"/>
  <c r="Z517"/>
  <c r="S517"/>
  <c r="BC516"/>
  <c r="BB516"/>
  <c r="BA516"/>
  <c r="AO516"/>
  <c r="Z516"/>
  <c r="BC515"/>
  <c r="BB515"/>
  <c r="BA515"/>
  <c r="AZ515"/>
  <c r="AY515"/>
  <c r="AX515"/>
  <c r="AS515"/>
  <c r="AO515"/>
  <c r="Z515"/>
  <c r="S515"/>
  <c r="BC514"/>
  <c r="BB514"/>
  <c r="BA514"/>
  <c r="AZ514"/>
  <c r="AY514"/>
  <c r="AX514"/>
  <c r="AO514"/>
  <c r="AL514"/>
  <c r="AK514"/>
  <c r="AJ514"/>
  <c r="AG514"/>
  <c r="AF514"/>
  <c r="Z514"/>
  <c r="S514"/>
  <c r="O514"/>
  <c r="M514"/>
  <c r="BC513"/>
  <c r="BB513"/>
  <c r="BA513"/>
  <c r="AZ513"/>
  <c r="AY513"/>
  <c r="AX513"/>
  <c r="AO513"/>
  <c r="AK513"/>
  <c r="AJ513"/>
  <c r="AG513"/>
  <c r="AF513"/>
  <c r="Z513"/>
  <c r="S513"/>
  <c r="O513"/>
  <c r="AE513"/>
  <c r="M513"/>
  <c r="BC512"/>
  <c r="BB512"/>
  <c r="BA512"/>
  <c r="AZ512"/>
  <c r="AY512"/>
  <c r="AX512"/>
  <c r="AS512"/>
  <c r="AS511"/>
  <c r="AS510"/>
  <c r="AS509"/>
  <c r="AS508"/>
  <c r="AO512"/>
  <c r="AL512"/>
  <c r="AK512"/>
  <c r="AJ512"/>
  <c r="AG512"/>
  <c r="AF512"/>
  <c r="Z512"/>
  <c r="S512"/>
  <c r="O512"/>
  <c r="AE512"/>
  <c r="M512"/>
  <c r="BC511"/>
  <c r="AU511"/>
  <c r="BA511"/>
  <c r="AT511"/>
  <c r="AY511"/>
  <c r="AR511"/>
  <c r="AR510"/>
  <c r="AP511"/>
  <c r="AP510"/>
  <c r="AP509"/>
  <c r="AP508"/>
  <c r="AO511"/>
  <c r="AC511"/>
  <c r="AC510"/>
  <c r="AC509"/>
  <c r="AC508"/>
  <c r="AB511"/>
  <c r="AB510"/>
  <c r="Z511"/>
  <c r="Y511"/>
  <c r="Y510"/>
  <c r="Y509"/>
  <c r="Y508"/>
  <c r="X511"/>
  <c r="W511"/>
  <c r="V511"/>
  <c r="V510"/>
  <c r="V509"/>
  <c r="V508"/>
  <c r="R511"/>
  <c r="R510"/>
  <c r="R509"/>
  <c r="R508"/>
  <c r="Q511"/>
  <c r="P511"/>
  <c r="N511"/>
  <c r="N510"/>
  <c r="N509"/>
  <c r="N508"/>
  <c r="L511"/>
  <c r="L510"/>
  <c r="L509"/>
  <c r="L508"/>
  <c r="BC510"/>
  <c r="AO510"/>
  <c r="Z510"/>
  <c r="Q510"/>
  <c r="P510"/>
  <c r="BC509"/>
  <c r="AO509"/>
  <c r="Z509"/>
  <c r="BC508"/>
  <c r="AO508"/>
  <c r="Z508"/>
  <c r="BC507"/>
  <c r="BB507"/>
  <c r="BA507"/>
  <c r="AZ507"/>
  <c r="AY507"/>
  <c r="AX507"/>
  <c r="BC506"/>
  <c r="BB506"/>
  <c r="BA506"/>
  <c r="AZ506"/>
  <c r="AY506"/>
  <c r="AX506"/>
  <c r="AS506"/>
  <c r="AO506"/>
  <c r="Z506"/>
  <c r="S506"/>
  <c r="BC505"/>
  <c r="AY505"/>
  <c r="AX505"/>
  <c r="AU505"/>
  <c r="BA505"/>
  <c r="BC504"/>
  <c r="AY504"/>
  <c r="AX504"/>
  <c r="BC503"/>
  <c r="BB503"/>
  <c r="BA503"/>
  <c r="AZ503"/>
  <c r="AY503"/>
  <c r="AX503"/>
  <c r="BC502"/>
  <c r="BB502"/>
  <c r="BA502"/>
  <c r="AZ502"/>
  <c r="AY502"/>
  <c r="AX502"/>
  <c r="AS502"/>
  <c r="AS500"/>
  <c r="AS499"/>
  <c r="AO502"/>
  <c r="AL502"/>
  <c r="Z502"/>
  <c r="S502"/>
  <c r="O502"/>
  <c r="BC501"/>
  <c r="BB501"/>
  <c r="BA501"/>
  <c r="AZ501"/>
  <c r="AY501"/>
  <c r="AX501"/>
  <c r="AO501"/>
  <c r="AL501"/>
  <c r="AK501"/>
  <c r="AJ501"/>
  <c r="AG501"/>
  <c r="AF501"/>
  <c r="Z501"/>
  <c r="S501"/>
  <c r="O501"/>
  <c r="M501"/>
  <c r="BC500"/>
  <c r="AU500"/>
  <c r="AT500"/>
  <c r="AR500"/>
  <c r="AR499"/>
  <c r="AP500"/>
  <c r="AP499"/>
  <c r="AO500"/>
  <c r="AC500"/>
  <c r="AB500"/>
  <c r="AB499"/>
  <c r="Z500"/>
  <c r="Y500"/>
  <c r="Y499"/>
  <c r="X500"/>
  <c r="W500"/>
  <c r="W499"/>
  <c r="V500"/>
  <c r="V499"/>
  <c r="R500"/>
  <c r="R499"/>
  <c r="R497"/>
  <c r="R495"/>
  <c r="Q500"/>
  <c r="P500"/>
  <c r="N500"/>
  <c r="N499"/>
  <c r="M500"/>
  <c r="M499"/>
  <c r="L500"/>
  <c r="L499"/>
  <c r="L497"/>
  <c r="L495"/>
  <c r="BC499"/>
  <c r="AO499"/>
  <c r="AC499"/>
  <c r="Z499"/>
  <c r="BC498"/>
  <c r="BB498"/>
  <c r="BA498"/>
  <c r="AZ498"/>
  <c r="AY498"/>
  <c r="AX498"/>
  <c r="AO498"/>
  <c r="Z498"/>
  <c r="S498"/>
  <c r="BC497"/>
  <c r="AO497"/>
  <c r="Z497"/>
  <c r="BC496"/>
  <c r="BB496"/>
  <c r="BA496"/>
  <c r="AZ496"/>
  <c r="AY496"/>
  <c r="AX496"/>
  <c r="AO496"/>
  <c r="Z496"/>
  <c r="S496"/>
  <c r="BC495"/>
  <c r="AO495"/>
  <c r="Z495"/>
  <c r="BC494"/>
  <c r="BB494"/>
  <c r="BA494"/>
  <c r="AZ494"/>
  <c r="AY494"/>
  <c r="AX494"/>
  <c r="AS494"/>
  <c r="AO494"/>
  <c r="Z494"/>
  <c r="S494"/>
  <c r="BC493"/>
  <c r="BB493"/>
  <c r="BA493"/>
  <c r="AZ493"/>
  <c r="AY493"/>
  <c r="AX493"/>
  <c r="AS493"/>
  <c r="AS492"/>
  <c r="AO493"/>
  <c r="Z493"/>
  <c r="S493"/>
  <c r="S492"/>
  <c r="S491"/>
  <c r="S490"/>
  <c r="S488"/>
  <c r="BC492"/>
  <c r="AU492"/>
  <c r="BA492"/>
  <c r="AT492"/>
  <c r="AT491"/>
  <c r="AR492"/>
  <c r="AR491"/>
  <c r="AR490"/>
  <c r="AR488"/>
  <c r="AP492"/>
  <c r="AP491"/>
  <c r="AP490"/>
  <c r="AP488"/>
  <c r="AO492"/>
  <c r="AC492"/>
  <c r="AB492"/>
  <c r="AB491"/>
  <c r="AB490"/>
  <c r="AB488"/>
  <c r="Z492"/>
  <c r="Y492"/>
  <c r="Y491"/>
  <c r="Y490"/>
  <c r="Y488"/>
  <c r="X492"/>
  <c r="X491"/>
  <c r="X490"/>
  <c r="X488"/>
  <c r="W492"/>
  <c r="W491"/>
  <c r="W490"/>
  <c r="W488"/>
  <c r="V492"/>
  <c r="V491"/>
  <c r="V490"/>
  <c r="V488"/>
  <c r="R492"/>
  <c r="R491"/>
  <c r="R490"/>
  <c r="R488"/>
  <c r="Q492"/>
  <c r="Q491"/>
  <c r="Q490"/>
  <c r="Q488"/>
  <c r="P492"/>
  <c r="P491"/>
  <c r="P490"/>
  <c r="P488"/>
  <c r="O492"/>
  <c r="O491"/>
  <c r="O490"/>
  <c r="O488"/>
  <c r="N492"/>
  <c r="N491"/>
  <c r="N490"/>
  <c r="N488"/>
  <c r="M492"/>
  <c r="M491"/>
  <c r="M490"/>
  <c r="M488"/>
  <c r="L492"/>
  <c r="L491"/>
  <c r="L490"/>
  <c r="L488"/>
  <c r="BC491"/>
  <c r="AS491"/>
  <c r="AO491"/>
  <c r="AC491"/>
  <c r="AC490"/>
  <c r="AC488"/>
  <c r="Z491"/>
  <c r="BC490"/>
  <c r="AS490"/>
  <c r="AO490"/>
  <c r="Z490"/>
  <c r="BC489"/>
  <c r="BB489"/>
  <c r="BA489"/>
  <c r="AZ489"/>
  <c r="AY489"/>
  <c r="AX489"/>
  <c r="AS489"/>
  <c r="AO489"/>
  <c r="Z489"/>
  <c r="S489"/>
  <c r="BC488"/>
  <c r="AS488"/>
  <c r="AO488"/>
  <c r="Z488"/>
  <c r="BC487"/>
  <c r="AO487"/>
  <c r="Z487"/>
  <c r="BC486"/>
  <c r="BB486"/>
  <c r="BA486"/>
  <c r="AZ486"/>
  <c r="AY486"/>
  <c r="AX486"/>
  <c r="AS486"/>
  <c r="AO486"/>
  <c r="Z486"/>
  <c r="S486"/>
  <c r="BC485"/>
  <c r="BB485"/>
  <c r="BA485"/>
  <c r="AZ485"/>
  <c r="AY485"/>
  <c r="AX485"/>
  <c r="AS485"/>
  <c r="AS262"/>
  <c r="AO485"/>
  <c r="AL485"/>
  <c r="AK485"/>
  <c r="AJ485"/>
  <c r="Z485"/>
  <c r="S485"/>
  <c r="O485"/>
  <c r="M485"/>
  <c r="BC484"/>
  <c r="BB484"/>
  <c r="BA484"/>
  <c r="AZ484"/>
  <c r="AY484"/>
  <c r="AX484"/>
  <c r="AO484"/>
  <c r="Z484"/>
  <c r="S484"/>
  <c r="O484"/>
  <c r="BC483"/>
  <c r="BB483"/>
  <c r="BA483"/>
  <c r="AZ483"/>
  <c r="AY483"/>
  <c r="AX483"/>
  <c r="AS483"/>
  <c r="AO483"/>
  <c r="AL483"/>
  <c r="AK483"/>
  <c r="AJ483"/>
  <c r="Z483"/>
  <c r="S483"/>
  <c r="O483"/>
  <c r="M483"/>
  <c r="BC482"/>
  <c r="BB482"/>
  <c r="BA482"/>
  <c r="AZ482"/>
  <c r="AY482"/>
  <c r="AX482"/>
  <c r="AS482"/>
  <c r="AS261"/>
  <c r="AO482"/>
  <c r="AL482"/>
  <c r="AK482"/>
  <c r="AJ482"/>
  <c r="Z482"/>
  <c r="S482"/>
  <c r="S261"/>
  <c r="O482"/>
  <c r="O261"/>
  <c r="M482"/>
  <c r="M261"/>
  <c r="BC481"/>
  <c r="BB481"/>
  <c r="BA481"/>
  <c r="AZ481"/>
  <c r="AY481"/>
  <c r="AX481"/>
  <c r="AO481"/>
  <c r="AL481"/>
  <c r="AK481"/>
  <c r="AJ481"/>
  <c r="AG481"/>
  <c r="AF481"/>
  <c r="Z481"/>
  <c r="O481"/>
  <c r="M481"/>
  <c r="BC480"/>
  <c r="AU480"/>
  <c r="BB480"/>
  <c r="AT480"/>
  <c r="AL480"/>
  <c r="AR480"/>
  <c r="AP480"/>
  <c r="AO480"/>
  <c r="AC480"/>
  <c r="AB480"/>
  <c r="Z480"/>
  <c r="Y480"/>
  <c r="X480"/>
  <c r="W480"/>
  <c r="V480"/>
  <c r="R480"/>
  <c r="Q480"/>
  <c r="P480"/>
  <c r="N480"/>
  <c r="L480"/>
  <c r="BC479"/>
  <c r="BB479"/>
  <c r="BA479"/>
  <c r="AZ479"/>
  <c r="AY479"/>
  <c r="AX479"/>
  <c r="AS479"/>
  <c r="AO479"/>
  <c r="Z479"/>
  <c r="S479"/>
  <c r="BC478"/>
  <c r="BB478"/>
  <c r="BA478"/>
  <c r="AZ478"/>
  <c r="AY478"/>
  <c r="AX478"/>
  <c r="AO478"/>
  <c r="AL478"/>
  <c r="AK478"/>
  <c r="AJ478"/>
  <c r="AG478"/>
  <c r="AF478"/>
  <c r="Z478"/>
  <c r="S478"/>
  <c r="S477"/>
  <c r="O478"/>
  <c r="AE478"/>
  <c r="M478"/>
  <c r="M477"/>
  <c r="BC477"/>
  <c r="AU477"/>
  <c r="BB477"/>
  <c r="AT477"/>
  <c r="AT475"/>
  <c r="AS477"/>
  <c r="AR477"/>
  <c r="AP477"/>
  <c r="AO477"/>
  <c r="AC477"/>
  <c r="AB477"/>
  <c r="Z477"/>
  <c r="Y477"/>
  <c r="Y475"/>
  <c r="Y474"/>
  <c r="Y472"/>
  <c r="Y471"/>
  <c r="X477"/>
  <c r="X475"/>
  <c r="W477"/>
  <c r="V477"/>
  <c r="R477"/>
  <c r="Q477"/>
  <c r="P477"/>
  <c r="N477"/>
  <c r="N475"/>
  <c r="N474"/>
  <c r="N472"/>
  <c r="N471"/>
  <c r="L477"/>
  <c r="BC476"/>
  <c r="BB476"/>
  <c r="BA476"/>
  <c r="AZ476"/>
  <c r="AY476"/>
  <c r="AX476"/>
  <c r="AO476"/>
  <c r="Z476"/>
  <c r="S476"/>
  <c r="BC475"/>
  <c r="AO475"/>
  <c r="Z475"/>
  <c r="BC474"/>
  <c r="AO474"/>
  <c r="Z474"/>
  <c r="BC473"/>
  <c r="BB473"/>
  <c r="BA473"/>
  <c r="AZ473"/>
  <c r="AY473"/>
  <c r="AX473"/>
  <c r="AO473"/>
  <c r="Z473"/>
  <c r="S473"/>
  <c r="BC472"/>
  <c r="AO472"/>
  <c r="Z472"/>
  <c r="BC471"/>
  <c r="AO471"/>
  <c r="Z471"/>
  <c r="BC470"/>
  <c r="BB470"/>
  <c r="BA470"/>
  <c r="AZ470"/>
  <c r="AY470"/>
  <c r="AX470"/>
  <c r="AS470"/>
  <c r="AO470"/>
  <c r="Z470"/>
  <c r="S470"/>
  <c r="BC469"/>
  <c r="BB469"/>
  <c r="BA469"/>
  <c r="AZ469"/>
  <c r="AY469"/>
  <c r="AX469"/>
  <c r="AS469"/>
  <c r="AO469"/>
  <c r="Z469"/>
  <c r="S469"/>
  <c r="S468"/>
  <c r="S467"/>
  <c r="S466"/>
  <c r="S464"/>
  <c r="BC468"/>
  <c r="AT468"/>
  <c r="AT467"/>
  <c r="AT466"/>
  <c r="AS468"/>
  <c r="AR468"/>
  <c r="AR467"/>
  <c r="AR466"/>
  <c r="AR464"/>
  <c r="AP468"/>
  <c r="AP467"/>
  <c r="AP466"/>
  <c r="AP464"/>
  <c r="AO468"/>
  <c r="AC468"/>
  <c r="AC467"/>
  <c r="AC466"/>
  <c r="AC464"/>
  <c r="AB468"/>
  <c r="AB467"/>
  <c r="AB466"/>
  <c r="AB464"/>
  <c r="Z468"/>
  <c r="Y468"/>
  <c r="Y467"/>
  <c r="Y466"/>
  <c r="Y464"/>
  <c r="X468"/>
  <c r="X467"/>
  <c r="X466"/>
  <c r="X464"/>
  <c r="W468"/>
  <c r="W467"/>
  <c r="W466"/>
  <c r="W464"/>
  <c r="V468"/>
  <c r="R468"/>
  <c r="R467"/>
  <c r="R466"/>
  <c r="R464"/>
  <c r="Q468"/>
  <c r="Q467"/>
  <c r="Q466"/>
  <c r="Q464"/>
  <c r="P468"/>
  <c r="P467"/>
  <c r="P466"/>
  <c r="P464"/>
  <c r="O468"/>
  <c r="O467"/>
  <c r="N468"/>
  <c r="N467"/>
  <c r="N466"/>
  <c r="N464"/>
  <c r="M468"/>
  <c r="M467"/>
  <c r="M466"/>
  <c r="M464"/>
  <c r="L468"/>
  <c r="AU468"/>
  <c r="BC467"/>
  <c r="AS467"/>
  <c r="AO467"/>
  <c r="Z467"/>
  <c r="V467"/>
  <c r="V466"/>
  <c r="V464"/>
  <c r="BC466"/>
  <c r="AS466"/>
  <c r="AO466"/>
  <c r="Z466"/>
  <c r="O466"/>
  <c r="O464"/>
  <c r="BC465"/>
  <c r="BB465"/>
  <c r="BA465"/>
  <c r="AZ465"/>
  <c r="AY465"/>
  <c r="AX465"/>
  <c r="AS465"/>
  <c r="AO465"/>
  <c r="Z465"/>
  <c r="S465"/>
  <c r="BC464"/>
  <c r="AS464"/>
  <c r="AO464"/>
  <c r="Z464"/>
  <c r="BC463"/>
  <c r="BB463"/>
  <c r="BA463"/>
  <c r="AZ463"/>
  <c r="AY463"/>
  <c r="AX463"/>
  <c r="AS463"/>
  <c r="AO463"/>
  <c r="Z463"/>
  <c r="S463"/>
  <c r="BC462"/>
  <c r="BB462"/>
  <c r="BA462"/>
  <c r="AZ462"/>
  <c r="AY462"/>
  <c r="AX462"/>
  <c r="AS462"/>
  <c r="AS461"/>
  <c r="AO462"/>
  <c r="AL462"/>
  <c r="AK462"/>
  <c r="AJ462"/>
  <c r="Z462"/>
  <c r="S462"/>
  <c r="S461"/>
  <c r="O462"/>
  <c r="O461"/>
  <c r="M462"/>
  <c r="M461"/>
  <c r="BC461"/>
  <c r="AU461"/>
  <c r="BB461"/>
  <c r="AT461"/>
  <c r="AZ461"/>
  <c r="AR461"/>
  <c r="AP461"/>
  <c r="AO461"/>
  <c r="AC461"/>
  <c r="AB461"/>
  <c r="Z461"/>
  <c r="Y461"/>
  <c r="X461"/>
  <c r="AL461"/>
  <c r="W461"/>
  <c r="AK461"/>
  <c r="V461"/>
  <c r="R461"/>
  <c r="Q461"/>
  <c r="P461"/>
  <c r="N461"/>
  <c r="L461"/>
  <c r="BC460"/>
  <c r="BB460"/>
  <c r="BA460"/>
  <c r="AZ460"/>
  <c r="AY460"/>
  <c r="AX460"/>
  <c r="AS460"/>
  <c r="AO460"/>
  <c r="Z460"/>
  <c r="S460"/>
  <c r="BC459"/>
  <c r="BB459"/>
  <c r="BA459"/>
  <c r="AZ459"/>
  <c r="AY459"/>
  <c r="AX459"/>
  <c r="AS459"/>
  <c r="AS324"/>
  <c r="AO459"/>
  <c r="AL459"/>
  <c r="AK459"/>
  <c r="AJ459"/>
  <c r="AG459"/>
  <c r="AF459"/>
  <c r="Z459"/>
  <c r="S459"/>
  <c r="O459"/>
  <c r="AE459"/>
  <c r="BC458"/>
  <c r="BB458"/>
  <c r="BA458"/>
  <c r="AZ458"/>
  <c r="AY458"/>
  <c r="AX458"/>
  <c r="AS458"/>
  <c r="AO458"/>
  <c r="AK458"/>
  <c r="Z458"/>
  <c r="S458"/>
  <c r="O458"/>
  <c r="BC457"/>
  <c r="BB457"/>
  <c r="BA457"/>
  <c r="AZ457"/>
  <c r="AY457"/>
  <c r="AX457"/>
  <c r="AS457"/>
  <c r="AO457"/>
  <c r="AL457"/>
  <c r="AK457"/>
  <c r="Z457"/>
  <c r="Z322"/>
  <c r="O457"/>
  <c r="O322"/>
  <c r="AD322"/>
  <c r="M457"/>
  <c r="BC456"/>
  <c r="BB456"/>
  <c r="BA456"/>
  <c r="AZ456"/>
  <c r="AY456"/>
  <c r="AX456"/>
  <c r="AS456"/>
  <c r="AS321"/>
  <c r="AO456"/>
  <c r="Z456"/>
  <c r="S456"/>
  <c r="O456"/>
  <c r="O321"/>
  <c r="BC455"/>
  <c r="BB455"/>
  <c r="BA455"/>
  <c r="AZ455"/>
  <c r="AY455"/>
  <c r="AX455"/>
  <c r="AS455"/>
  <c r="AS320"/>
  <c r="AO455"/>
  <c r="AL455"/>
  <c r="AK455"/>
  <c r="AJ455"/>
  <c r="AG455"/>
  <c r="AF455"/>
  <c r="Z455"/>
  <c r="O455"/>
  <c r="AE455"/>
  <c r="M455"/>
  <c r="M320"/>
  <c r="BC454"/>
  <c r="AU454"/>
  <c r="AT454"/>
  <c r="AY454"/>
  <c r="AR454"/>
  <c r="AP454"/>
  <c r="AO454"/>
  <c r="AC454"/>
  <c r="AC453"/>
  <c r="AC452"/>
  <c r="AC450"/>
  <c r="AB454"/>
  <c r="Z454"/>
  <c r="Y454"/>
  <c r="Y453"/>
  <c r="Y452"/>
  <c r="Y450"/>
  <c r="X454"/>
  <c r="W454"/>
  <c r="V454"/>
  <c r="R454"/>
  <c r="Q454"/>
  <c r="P454"/>
  <c r="N454"/>
  <c r="L454"/>
  <c r="L453"/>
  <c r="L452"/>
  <c r="L450"/>
  <c r="BC453"/>
  <c r="AO453"/>
  <c r="Z453"/>
  <c r="BC452"/>
  <c r="AO452"/>
  <c r="Z452"/>
  <c r="BC451"/>
  <c r="BB451"/>
  <c r="BA451"/>
  <c r="AZ451"/>
  <c r="AY451"/>
  <c r="AX451"/>
  <c r="AO451"/>
  <c r="Z451"/>
  <c r="S451"/>
  <c r="BC450"/>
  <c r="AO450"/>
  <c r="Z450"/>
  <c r="BC449"/>
  <c r="BB449"/>
  <c r="BA449"/>
  <c r="AZ449"/>
  <c r="AY449"/>
  <c r="AX449"/>
  <c r="AS449"/>
  <c r="AO449"/>
  <c r="Z449"/>
  <c r="S449"/>
  <c r="BC448"/>
  <c r="BB448"/>
  <c r="BA448"/>
  <c r="AZ448"/>
  <c r="AY448"/>
  <c r="AX448"/>
  <c r="AS448"/>
  <c r="AO448"/>
  <c r="AL448"/>
  <c r="AK448"/>
  <c r="Z448"/>
  <c r="S448"/>
  <c r="S447"/>
  <c r="O448"/>
  <c r="O447"/>
  <c r="BC447"/>
  <c r="AU447"/>
  <c r="AT447"/>
  <c r="AX447"/>
  <c r="AS447"/>
  <c r="AR447"/>
  <c r="AP447"/>
  <c r="AO447"/>
  <c r="AC447"/>
  <c r="AB447"/>
  <c r="Z447"/>
  <c r="Y447"/>
  <c r="X447"/>
  <c r="W447"/>
  <c r="V447"/>
  <c r="R447"/>
  <c r="Q447"/>
  <c r="P447"/>
  <c r="N447"/>
  <c r="M447"/>
  <c r="L447"/>
  <c r="BC446"/>
  <c r="BB446"/>
  <c r="BA446"/>
  <c r="AZ446"/>
  <c r="AY446"/>
  <c r="AX446"/>
  <c r="AS446"/>
  <c r="AO446"/>
  <c r="Z446"/>
  <c r="S446"/>
  <c r="BC445"/>
  <c r="BB445"/>
  <c r="BA445"/>
  <c r="AZ445"/>
  <c r="AY445"/>
  <c r="AX445"/>
  <c r="AS445"/>
  <c r="AO445"/>
  <c r="AL445"/>
  <c r="AK445"/>
  <c r="Z445"/>
  <c r="Z296"/>
  <c r="Z295"/>
  <c r="S445"/>
  <c r="S296"/>
  <c r="S295"/>
  <c r="O445"/>
  <c r="O296"/>
  <c r="M445"/>
  <c r="M444"/>
  <c r="BC444"/>
  <c r="AU444"/>
  <c r="AT444"/>
  <c r="AR444"/>
  <c r="AP444"/>
  <c r="AO444"/>
  <c r="AC444"/>
  <c r="AB444"/>
  <c r="Z444"/>
  <c r="Y444"/>
  <c r="X444"/>
  <c r="AL444"/>
  <c r="W444"/>
  <c r="V444"/>
  <c r="R444"/>
  <c r="Q444"/>
  <c r="P444"/>
  <c r="N444"/>
  <c r="L444"/>
  <c r="BC443"/>
  <c r="BB443"/>
  <c r="BA443"/>
  <c r="AZ443"/>
  <c r="AY443"/>
  <c r="AX443"/>
  <c r="AS443"/>
  <c r="AO443"/>
  <c r="Z443"/>
  <c r="S443"/>
  <c r="BC442"/>
  <c r="BB442"/>
  <c r="BA442"/>
  <c r="AZ442"/>
  <c r="AY442"/>
  <c r="AX442"/>
  <c r="AS442"/>
  <c r="AO442"/>
  <c r="AL442"/>
  <c r="AJ442"/>
  <c r="Z442"/>
  <c r="S442"/>
  <c r="S441"/>
  <c r="BC441"/>
  <c r="AU441"/>
  <c r="AT441"/>
  <c r="AS441"/>
  <c r="AR441"/>
  <c r="AP441"/>
  <c r="AO441"/>
  <c r="AC441"/>
  <c r="AB441"/>
  <c r="Z441"/>
  <c r="Y441"/>
  <c r="X441"/>
  <c r="W441"/>
  <c r="V441"/>
  <c r="R441"/>
  <c r="Q441"/>
  <c r="P441"/>
  <c r="O441"/>
  <c r="N441"/>
  <c r="M441"/>
  <c r="L441"/>
  <c r="BC440"/>
  <c r="BB440"/>
  <c r="BA440"/>
  <c r="AZ440"/>
  <c r="AY440"/>
  <c r="AX440"/>
  <c r="AS440"/>
  <c r="AO440"/>
  <c r="Z440"/>
  <c r="S440"/>
  <c r="BC439"/>
  <c r="AO439"/>
  <c r="Z439"/>
  <c r="BC438"/>
  <c r="BB438"/>
  <c r="BA438"/>
  <c r="AZ438"/>
  <c r="AY438"/>
  <c r="AX438"/>
  <c r="AO438"/>
  <c r="Z438"/>
  <c r="S438"/>
  <c r="BC437"/>
  <c r="BB437"/>
  <c r="BA437"/>
  <c r="AZ437"/>
  <c r="AY437"/>
  <c r="AX437"/>
  <c r="AO437"/>
  <c r="AL437"/>
  <c r="AK437"/>
  <c r="AJ437"/>
  <c r="AG437"/>
  <c r="AF437"/>
  <c r="Z437"/>
  <c r="O437"/>
  <c r="AE437"/>
  <c r="M437"/>
  <c r="BC436"/>
  <c r="BB436"/>
  <c r="BA436"/>
  <c r="AZ436"/>
  <c r="AY436"/>
  <c r="AX436"/>
  <c r="AS436"/>
  <c r="AO436"/>
  <c r="AL436"/>
  <c r="Z436"/>
  <c r="S436"/>
  <c r="BC435"/>
  <c r="BB435"/>
  <c r="BA435"/>
  <c r="AZ435"/>
  <c r="AY435"/>
  <c r="AX435"/>
  <c r="AS435"/>
  <c r="AO435"/>
  <c r="Z435"/>
  <c r="S435"/>
  <c r="BC434"/>
  <c r="BB434"/>
  <c r="BA434"/>
  <c r="AZ434"/>
  <c r="AY434"/>
  <c r="AX434"/>
  <c r="AS434"/>
  <c r="AO434"/>
  <c r="Z434"/>
  <c r="S434"/>
  <c r="O434"/>
  <c r="BC433"/>
  <c r="BB433"/>
  <c r="BA433"/>
  <c r="AZ433"/>
  <c r="AY433"/>
  <c r="AX433"/>
  <c r="AS433"/>
  <c r="AO433"/>
  <c r="AL433"/>
  <c r="AK433"/>
  <c r="AJ433"/>
  <c r="AG433"/>
  <c r="AF433"/>
  <c r="Z433"/>
  <c r="S433"/>
  <c r="O433"/>
  <c r="M433"/>
  <c r="BC432"/>
  <c r="BB432"/>
  <c r="BA432"/>
  <c r="AZ432"/>
  <c r="AY432"/>
  <c r="AX432"/>
  <c r="AS432"/>
  <c r="AO432"/>
  <c r="AL432"/>
  <c r="AK432"/>
  <c r="AG432"/>
  <c r="AF432"/>
  <c r="Z432"/>
  <c r="S432"/>
  <c r="O432"/>
  <c r="AE432"/>
  <c r="M432"/>
  <c r="AD432"/>
  <c r="BC431"/>
  <c r="BB431"/>
  <c r="BA431"/>
  <c r="AZ431"/>
  <c r="AY431"/>
  <c r="AX431"/>
  <c r="AS431"/>
  <c r="AO431"/>
  <c r="AL431"/>
  <c r="Z431"/>
  <c r="S431"/>
  <c r="O431"/>
  <c r="BC430"/>
  <c r="BB430"/>
  <c r="BA430"/>
  <c r="AZ430"/>
  <c r="AY430"/>
  <c r="AX430"/>
  <c r="AS430"/>
  <c r="AO430"/>
  <c r="AL430"/>
  <c r="Z430"/>
  <c r="S430"/>
  <c r="O430"/>
  <c r="BC429"/>
  <c r="BB429"/>
  <c r="BA429"/>
  <c r="AZ429"/>
  <c r="AY429"/>
  <c r="AX429"/>
  <c r="AO429"/>
  <c r="AL429"/>
  <c r="AK429"/>
  <c r="AJ429"/>
  <c r="Z429"/>
  <c r="S429"/>
  <c r="O429"/>
  <c r="M429"/>
  <c r="BC428"/>
  <c r="BB428"/>
  <c r="BA428"/>
  <c r="AZ428"/>
  <c r="AY428"/>
  <c r="AX428"/>
  <c r="AS428"/>
  <c r="AO428"/>
  <c r="AL428"/>
  <c r="AK428"/>
  <c r="AJ428"/>
  <c r="AG428"/>
  <c r="AF428"/>
  <c r="AE428"/>
  <c r="Z428"/>
  <c r="S428"/>
  <c r="O428"/>
  <c r="M428"/>
  <c r="BC427"/>
  <c r="BB427"/>
  <c r="BA427"/>
  <c r="AZ427"/>
  <c r="AY427"/>
  <c r="AX427"/>
  <c r="AS427"/>
  <c r="AO427"/>
  <c r="AL427"/>
  <c r="AK427"/>
  <c r="AJ427"/>
  <c r="AG427"/>
  <c r="AF427"/>
  <c r="Z427"/>
  <c r="S427"/>
  <c r="O427"/>
  <c r="M427"/>
  <c r="BC426"/>
  <c r="BB426"/>
  <c r="BA426"/>
  <c r="AZ426"/>
  <c r="AY426"/>
  <c r="AX426"/>
  <c r="AO426"/>
  <c r="AL426"/>
  <c r="AK426"/>
  <c r="AJ426"/>
  <c r="AG426"/>
  <c r="AF426"/>
  <c r="Z426"/>
  <c r="O426"/>
  <c r="M426"/>
  <c r="BC425"/>
  <c r="BB425"/>
  <c r="BA425"/>
  <c r="AZ425"/>
  <c r="AY425"/>
  <c r="AX425"/>
  <c r="AO425"/>
  <c r="AK425"/>
  <c r="Z425"/>
  <c r="S425"/>
  <c r="O425"/>
  <c r="M425"/>
  <c r="BC424"/>
  <c r="BB424"/>
  <c r="BA424"/>
  <c r="AZ424"/>
  <c r="AY424"/>
  <c r="AX424"/>
  <c r="AS424"/>
  <c r="AS250"/>
  <c r="AO424"/>
  <c r="AL424"/>
  <c r="AK424"/>
  <c r="AJ424"/>
  <c r="AG424"/>
  <c r="AF424"/>
  <c r="Z424"/>
  <c r="Z250"/>
  <c r="S424"/>
  <c r="S250"/>
  <c r="O424"/>
  <c r="M424"/>
  <c r="M250"/>
  <c r="BC423"/>
  <c r="BB423"/>
  <c r="BA423"/>
  <c r="AZ423"/>
  <c r="AY423"/>
  <c r="AX423"/>
  <c r="AS423"/>
  <c r="AS249"/>
  <c r="AO423"/>
  <c r="AL423"/>
  <c r="AK423"/>
  <c r="AJ423"/>
  <c r="Z423"/>
  <c r="Z249"/>
  <c r="S423"/>
  <c r="S249"/>
  <c r="O423"/>
  <c r="M423"/>
  <c r="M249"/>
  <c r="BC422"/>
  <c r="BB422"/>
  <c r="BA422"/>
  <c r="AZ422"/>
  <c r="AY422"/>
  <c r="AX422"/>
  <c r="AS422"/>
  <c r="AS248"/>
  <c r="AO422"/>
  <c r="AL422"/>
  <c r="AK422"/>
  <c r="AJ422"/>
  <c r="AG422"/>
  <c r="AF422"/>
  <c r="Z422"/>
  <c r="S422"/>
  <c r="O422"/>
  <c r="AE422"/>
  <c r="M422"/>
  <c r="BC421"/>
  <c r="BB421"/>
  <c r="BA421"/>
  <c r="AZ421"/>
  <c r="AY421"/>
  <c r="AX421"/>
  <c r="AO421"/>
  <c r="AL421"/>
  <c r="AK421"/>
  <c r="AJ421"/>
  <c r="AG421"/>
  <c r="AF421"/>
  <c r="Z421"/>
  <c r="Z248"/>
  <c r="S421"/>
  <c r="O421"/>
  <c r="O248"/>
  <c r="M421"/>
  <c r="BC420"/>
  <c r="BB420"/>
  <c r="BA420"/>
  <c r="AZ420"/>
  <c r="AY420"/>
  <c r="AX420"/>
  <c r="AS420"/>
  <c r="AS246"/>
  <c r="AO420"/>
  <c r="AL420"/>
  <c r="AK420"/>
  <c r="AJ420"/>
  <c r="AG420"/>
  <c r="AF420"/>
  <c r="Z420"/>
  <c r="Z246"/>
  <c r="O420"/>
  <c r="M420"/>
  <c r="M246"/>
  <c r="BC419"/>
  <c r="BB419"/>
  <c r="BA419"/>
  <c r="AZ419"/>
  <c r="AY419"/>
  <c r="AX419"/>
  <c r="AO419"/>
  <c r="AL419"/>
  <c r="AK419"/>
  <c r="AJ419"/>
  <c r="AG419"/>
  <c r="AF419"/>
  <c r="Z419"/>
  <c r="Z245"/>
  <c r="O419"/>
  <c r="O245"/>
  <c r="M419"/>
  <c r="M245"/>
  <c r="BC418"/>
  <c r="AU418"/>
  <c r="BA418"/>
  <c r="AT418"/>
  <c r="AR418"/>
  <c r="AP418"/>
  <c r="AO418"/>
  <c r="AC418"/>
  <c r="AB418"/>
  <c r="Z418"/>
  <c r="Y418"/>
  <c r="X418"/>
  <c r="W418"/>
  <c r="V418"/>
  <c r="R418"/>
  <c r="Q418"/>
  <c r="P418"/>
  <c r="AF418"/>
  <c r="N418"/>
  <c r="L418"/>
  <c r="BC417"/>
  <c r="BB417"/>
  <c r="BA417"/>
  <c r="AZ417"/>
  <c r="AY417"/>
  <c r="AX417"/>
  <c r="AS417"/>
  <c r="AO417"/>
  <c r="Z417"/>
  <c r="S417"/>
  <c r="BC416"/>
  <c r="BB416"/>
  <c r="BA416"/>
  <c r="AZ416"/>
  <c r="AY416"/>
  <c r="AX416"/>
  <c r="AS416"/>
  <c r="AO416"/>
  <c r="AL416"/>
  <c r="AK416"/>
  <c r="AJ416"/>
  <c r="AG416"/>
  <c r="AF416"/>
  <c r="Z416"/>
  <c r="S416"/>
  <c r="O416"/>
  <c r="M416"/>
  <c r="BC415"/>
  <c r="BB415"/>
  <c r="BA415"/>
  <c r="AZ415"/>
  <c r="AY415"/>
  <c r="AX415"/>
  <c r="AS415"/>
  <c r="AO415"/>
  <c r="Z415"/>
  <c r="S415"/>
  <c r="O415"/>
  <c r="BC414"/>
  <c r="BB414"/>
  <c r="BA414"/>
  <c r="AZ414"/>
  <c r="AY414"/>
  <c r="AX414"/>
  <c r="AO414"/>
  <c r="AL414"/>
  <c r="AK414"/>
  <c r="AJ414"/>
  <c r="AG414"/>
  <c r="AF414"/>
  <c r="Z414"/>
  <c r="S414"/>
  <c r="O414"/>
  <c r="M414"/>
  <c r="BC413"/>
  <c r="BB413"/>
  <c r="BA413"/>
  <c r="AZ413"/>
  <c r="AY413"/>
  <c r="AX413"/>
  <c r="AS413"/>
  <c r="AS234"/>
  <c r="AO413"/>
  <c r="Z413"/>
  <c r="S413"/>
  <c r="O413"/>
  <c r="BC412"/>
  <c r="BB412"/>
  <c r="BA412"/>
  <c r="AZ412"/>
  <c r="AY412"/>
  <c r="AX412"/>
  <c r="AS412"/>
  <c r="AO412"/>
  <c r="AL412"/>
  <c r="AK412"/>
  <c r="AJ412"/>
  <c r="Z412"/>
  <c r="S412"/>
  <c r="O412"/>
  <c r="M412"/>
  <c r="BC411"/>
  <c r="BB411"/>
  <c r="BA411"/>
  <c r="AZ411"/>
  <c r="AY411"/>
  <c r="AX411"/>
  <c r="AO411"/>
  <c r="AL411"/>
  <c r="AK411"/>
  <c r="AJ411"/>
  <c r="AG411"/>
  <c r="AF411"/>
  <c r="Z411"/>
  <c r="O411"/>
  <c r="M411"/>
  <c r="BC410"/>
  <c r="AU410"/>
  <c r="BA410"/>
  <c r="AT410"/>
  <c r="AR410"/>
  <c r="AP410"/>
  <c r="AO410"/>
  <c r="AC410"/>
  <c r="AB410"/>
  <c r="Z410"/>
  <c r="Y410"/>
  <c r="X410"/>
  <c r="AL410"/>
  <c r="W410"/>
  <c r="W408"/>
  <c r="V410"/>
  <c r="R410"/>
  <c r="Q410"/>
  <c r="P410"/>
  <c r="N410"/>
  <c r="L410"/>
  <c r="L408"/>
  <c r="BC409"/>
  <c r="BB409"/>
  <c r="BA409"/>
  <c r="AZ409"/>
  <c r="AY409"/>
  <c r="AX409"/>
  <c r="AO409"/>
  <c r="Z409"/>
  <c r="S409"/>
  <c r="BC408"/>
  <c r="AO408"/>
  <c r="Z408"/>
  <c r="BC407"/>
  <c r="AO407"/>
  <c r="Z407"/>
  <c r="BC406"/>
  <c r="BB406"/>
  <c r="BA406"/>
  <c r="AZ406"/>
  <c r="AY406"/>
  <c r="AX406"/>
  <c r="AS406"/>
  <c r="AO406"/>
  <c r="Z406"/>
  <c r="S406"/>
  <c r="BC405"/>
  <c r="AO405"/>
  <c r="Z405"/>
  <c r="BC404"/>
  <c r="BB404"/>
  <c r="BA404"/>
  <c r="AZ404"/>
  <c r="AY404"/>
  <c r="AX404"/>
  <c r="AS404"/>
  <c r="AO404"/>
  <c r="AL404"/>
  <c r="AK404"/>
  <c r="Z404"/>
  <c r="S404"/>
  <c r="O404"/>
  <c r="BC403"/>
  <c r="BB403"/>
  <c r="BA403"/>
  <c r="AZ403"/>
  <c r="AY403"/>
  <c r="AX403"/>
  <c r="AS403"/>
  <c r="AO403"/>
  <c r="AL403"/>
  <c r="AK403"/>
  <c r="Z403"/>
  <c r="S403"/>
  <c r="O403"/>
  <c r="BC402"/>
  <c r="BB402"/>
  <c r="BA402"/>
  <c r="AZ402"/>
  <c r="AY402"/>
  <c r="AX402"/>
  <c r="AS402"/>
  <c r="AS401"/>
  <c r="AO402"/>
  <c r="AL402"/>
  <c r="AK402"/>
  <c r="AJ402"/>
  <c r="AG402"/>
  <c r="AF402"/>
  <c r="Z402"/>
  <c r="Z247"/>
  <c r="O402"/>
  <c r="AE402"/>
  <c r="M402"/>
  <c r="BC401"/>
  <c r="AY401"/>
  <c r="AU401"/>
  <c r="BB401"/>
  <c r="AT401"/>
  <c r="AR401"/>
  <c r="AP401"/>
  <c r="AO401"/>
  <c r="AC401"/>
  <c r="AB401"/>
  <c r="Z401"/>
  <c r="Y401"/>
  <c r="X401"/>
  <c r="AL401"/>
  <c r="W401"/>
  <c r="AK401"/>
  <c r="V401"/>
  <c r="S401"/>
  <c r="R401"/>
  <c r="Q401"/>
  <c r="P401"/>
  <c r="N401"/>
  <c r="L401"/>
  <c r="BC400"/>
  <c r="BB400"/>
  <c r="BA400"/>
  <c r="AZ400"/>
  <c r="AY400"/>
  <c r="AX400"/>
  <c r="AS400"/>
  <c r="AO400"/>
  <c r="Z400"/>
  <c r="S400"/>
  <c r="BC399"/>
  <c r="BB399"/>
  <c r="BA399"/>
  <c r="AZ399"/>
  <c r="AY399"/>
  <c r="AX399"/>
  <c r="AS399"/>
  <c r="AS241"/>
  <c r="AS240"/>
  <c r="AO399"/>
  <c r="Z399"/>
  <c r="Z241"/>
  <c r="Z240"/>
  <c r="S399"/>
  <c r="S398"/>
  <c r="BC398"/>
  <c r="AT398"/>
  <c r="AY398"/>
  <c r="AS398"/>
  <c r="AR398"/>
  <c r="AP398"/>
  <c r="AO398"/>
  <c r="AC398"/>
  <c r="AB398"/>
  <c r="Z398"/>
  <c r="Y398"/>
  <c r="X398"/>
  <c r="W398"/>
  <c r="V398"/>
  <c r="R398"/>
  <c r="AX398"/>
  <c r="Q398"/>
  <c r="P398"/>
  <c r="O398"/>
  <c r="N398"/>
  <c r="M398"/>
  <c r="L398"/>
  <c r="AU398"/>
  <c r="AZ398"/>
  <c r="BC397"/>
  <c r="BB397"/>
  <c r="BA397"/>
  <c r="AZ397"/>
  <c r="AY397"/>
  <c r="AX397"/>
  <c r="AS397"/>
  <c r="AO397"/>
  <c r="Z397"/>
  <c r="S397"/>
  <c r="BC396"/>
  <c r="BB396"/>
  <c r="BA396"/>
  <c r="AZ396"/>
  <c r="AY396"/>
  <c r="AX396"/>
  <c r="AS396"/>
  <c r="AO396"/>
  <c r="AL396"/>
  <c r="AK396"/>
  <c r="AJ396"/>
  <c r="AG396"/>
  <c r="AF396"/>
  <c r="Z396"/>
  <c r="O396"/>
  <c r="M396"/>
  <c r="BC395"/>
  <c r="BB395"/>
  <c r="BA395"/>
  <c r="AZ395"/>
  <c r="AY395"/>
  <c r="AX395"/>
  <c r="AO395"/>
  <c r="AL395"/>
  <c r="AK395"/>
  <c r="AJ395"/>
  <c r="AG395"/>
  <c r="AF395"/>
  <c r="Z395"/>
  <c r="Z237"/>
  <c r="O395"/>
  <c r="M395"/>
  <c r="BC394"/>
  <c r="BB394"/>
  <c r="BA394"/>
  <c r="AZ394"/>
  <c r="AY394"/>
  <c r="AX394"/>
  <c r="AS394"/>
  <c r="AO394"/>
  <c r="AL394"/>
  <c r="AK394"/>
  <c r="AJ394"/>
  <c r="AG394"/>
  <c r="AF394"/>
  <c r="Z394"/>
  <c r="O394"/>
  <c r="AE394"/>
  <c r="M394"/>
  <c r="BC393"/>
  <c r="BB393"/>
  <c r="BA393"/>
  <c r="AZ393"/>
  <c r="AY393"/>
  <c r="AX393"/>
  <c r="AS393"/>
  <c r="AO393"/>
  <c r="AL393"/>
  <c r="AK393"/>
  <c r="AJ393"/>
  <c r="AG393"/>
  <c r="AF393"/>
  <c r="Z393"/>
  <c r="S393"/>
  <c r="S389"/>
  <c r="O393"/>
  <c r="M393"/>
  <c r="M235"/>
  <c r="BC392"/>
  <c r="BB392"/>
  <c r="BA392"/>
  <c r="AZ392"/>
  <c r="AY392"/>
  <c r="AX392"/>
  <c r="AS392"/>
  <c r="AS233"/>
  <c r="AO392"/>
  <c r="AL392"/>
  <c r="AK392"/>
  <c r="AJ392"/>
  <c r="AG392"/>
  <c r="AF392"/>
  <c r="Z392"/>
  <c r="O392"/>
  <c r="M392"/>
  <c r="BC391"/>
  <c r="BB391"/>
  <c r="BA391"/>
  <c r="AZ391"/>
  <c r="AY391"/>
  <c r="AX391"/>
  <c r="AO391"/>
  <c r="AL391"/>
  <c r="AK391"/>
  <c r="AJ391"/>
  <c r="AG391"/>
  <c r="AF391"/>
  <c r="Z391"/>
  <c r="O391"/>
  <c r="M391"/>
  <c r="BC390"/>
  <c r="BB390"/>
  <c r="BA390"/>
  <c r="AZ390"/>
  <c r="AY390"/>
  <c r="AX390"/>
  <c r="AO390"/>
  <c r="AL390"/>
  <c r="AK390"/>
  <c r="AJ390"/>
  <c r="AG390"/>
  <c r="AF390"/>
  <c r="Z390"/>
  <c r="O390"/>
  <c r="M390"/>
  <c r="BC389"/>
  <c r="AU389"/>
  <c r="BB389"/>
  <c r="AT389"/>
  <c r="AY389"/>
  <c r="AR389"/>
  <c r="AP389"/>
  <c r="AO389"/>
  <c r="AC389"/>
  <c r="AB389"/>
  <c r="Z389"/>
  <c r="Y389"/>
  <c r="X389"/>
  <c r="W389"/>
  <c r="AJ389"/>
  <c r="V389"/>
  <c r="R389"/>
  <c r="Q389"/>
  <c r="P389"/>
  <c r="N389"/>
  <c r="L389"/>
  <c r="BC388"/>
  <c r="BB388"/>
  <c r="BA388"/>
  <c r="AZ388"/>
  <c r="AY388"/>
  <c r="AX388"/>
  <c r="AS388"/>
  <c r="AO388"/>
  <c r="Z388"/>
  <c r="S388"/>
  <c r="BC387"/>
  <c r="BB387"/>
  <c r="BA387"/>
  <c r="AZ387"/>
  <c r="AY387"/>
  <c r="AX387"/>
  <c r="AS387"/>
  <c r="AO387"/>
  <c r="AL387"/>
  <c r="AK387"/>
  <c r="Z387"/>
  <c r="S387"/>
  <c r="S382"/>
  <c r="O387"/>
  <c r="BC386"/>
  <c r="BB386"/>
  <c r="BA386"/>
  <c r="AZ386"/>
  <c r="AY386"/>
  <c r="AX386"/>
  <c r="AS386"/>
  <c r="AS226"/>
  <c r="AO386"/>
  <c r="AL386"/>
  <c r="AK386"/>
  <c r="AJ386"/>
  <c r="AG386"/>
  <c r="AF386"/>
  <c r="Z386"/>
  <c r="O386"/>
  <c r="M386"/>
  <c r="M226"/>
  <c r="BC385"/>
  <c r="BB385"/>
  <c r="BA385"/>
  <c r="AZ385"/>
  <c r="AY385"/>
  <c r="AX385"/>
  <c r="AO385"/>
  <c r="AL385"/>
  <c r="AK385"/>
  <c r="AJ385"/>
  <c r="AG385"/>
  <c r="AF385"/>
  <c r="Z385"/>
  <c r="O385"/>
  <c r="M385"/>
  <c r="BC384"/>
  <c r="BB384"/>
  <c r="BA384"/>
  <c r="AZ384"/>
  <c r="AY384"/>
  <c r="AX384"/>
  <c r="AS384"/>
  <c r="AS224"/>
  <c r="AO384"/>
  <c r="AL384"/>
  <c r="AK384"/>
  <c r="AJ384"/>
  <c r="AG384"/>
  <c r="AF384"/>
  <c r="Z384"/>
  <c r="O384"/>
  <c r="M384"/>
  <c r="BC383"/>
  <c r="BB383"/>
  <c r="BA383"/>
  <c r="AZ383"/>
  <c r="AY383"/>
  <c r="AX383"/>
  <c r="AO383"/>
  <c r="AL383"/>
  <c r="AK383"/>
  <c r="AJ383"/>
  <c r="AG383"/>
  <c r="AF383"/>
  <c r="Z383"/>
  <c r="Z222"/>
  <c r="O383"/>
  <c r="M383"/>
  <c r="BC382"/>
  <c r="AU382"/>
  <c r="AT382"/>
  <c r="AY382"/>
  <c r="AR382"/>
  <c r="AP382"/>
  <c r="AO382"/>
  <c r="AC382"/>
  <c r="AB382"/>
  <c r="Z382"/>
  <c r="Y382"/>
  <c r="X382"/>
  <c r="AL382"/>
  <c r="W382"/>
  <c r="V382"/>
  <c r="R382"/>
  <c r="Q382"/>
  <c r="P382"/>
  <c r="N382"/>
  <c r="L382"/>
  <c r="BC381"/>
  <c r="BB381"/>
  <c r="BA381"/>
  <c r="AZ381"/>
  <c r="AY381"/>
  <c r="AX381"/>
  <c r="AS381"/>
  <c r="AO381"/>
  <c r="Z381"/>
  <c r="S381"/>
  <c r="BC380"/>
  <c r="BB380"/>
  <c r="BA380"/>
  <c r="AZ380"/>
  <c r="AY380"/>
  <c r="AX380"/>
  <c r="AO380"/>
  <c r="AL380"/>
  <c r="AK380"/>
  <c r="AJ380"/>
  <c r="AG380"/>
  <c r="AF380"/>
  <c r="Z380"/>
  <c r="S380"/>
  <c r="O380"/>
  <c r="AE380"/>
  <c r="M380"/>
  <c r="BC379"/>
  <c r="BB379"/>
  <c r="BA379"/>
  <c r="AZ379"/>
  <c r="AY379"/>
  <c r="AX379"/>
  <c r="AO379"/>
  <c r="AL379"/>
  <c r="AK379"/>
  <c r="AJ379"/>
  <c r="AG379"/>
  <c r="AF379"/>
  <c r="Z379"/>
  <c r="O379"/>
  <c r="AE379"/>
  <c r="M379"/>
  <c r="BC378"/>
  <c r="BB378"/>
  <c r="BA378"/>
  <c r="AZ378"/>
  <c r="AY378"/>
  <c r="AX378"/>
  <c r="AS378"/>
  <c r="AS216"/>
  <c r="AO378"/>
  <c r="AL378"/>
  <c r="AK378"/>
  <c r="AJ378"/>
  <c r="AG378"/>
  <c r="AF378"/>
  <c r="Z378"/>
  <c r="O378"/>
  <c r="AE378"/>
  <c r="M378"/>
  <c r="M216"/>
  <c r="BC377"/>
  <c r="BB377"/>
  <c r="BA377"/>
  <c r="AZ377"/>
  <c r="AY377"/>
  <c r="AX377"/>
  <c r="AS377"/>
  <c r="AS376"/>
  <c r="AO377"/>
  <c r="AL377"/>
  <c r="AK377"/>
  <c r="AJ377"/>
  <c r="AG377"/>
  <c r="AF377"/>
  <c r="Z377"/>
  <c r="O377"/>
  <c r="O215"/>
  <c r="M377"/>
  <c r="M215"/>
  <c r="BC376"/>
  <c r="AU376"/>
  <c r="BB376"/>
  <c r="AT376"/>
  <c r="AY376"/>
  <c r="AR376"/>
  <c r="AP376"/>
  <c r="AO376"/>
  <c r="AC376"/>
  <c r="AB376"/>
  <c r="AG376"/>
  <c r="Z376"/>
  <c r="Y376"/>
  <c r="X376"/>
  <c r="AL376"/>
  <c r="W376"/>
  <c r="V376"/>
  <c r="R376"/>
  <c r="Q376"/>
  <c r="P376"/>
  <c r="N376"/>
  <c r="L376"/>
  <c r="BC375"/>
  <c r="BB375"/>
  <c r="BA375"/>
  <c r="AZ375"/>
  <c r="AY375"/>
  <c r="AX375"/>
  <c r="AS375"/>
  <c r="AO375"/>
  <c r="Z375"/>
  <c r="S375"/>
  <c r="BC374"/>
  <c r="AO374"/>
  <c r="Z374"/>
  <c r="BC373"/>
  <c r="BB373"/>
  <c r="BA373"/>
  <c r="AZ373"/>
  <c r="AY373"/>
  <c r="AX373"/>
  <c r="AS373"/>
  <c r="AO373"/>
  <c r="Z373"/>
  <c r="S373"/>
  <c r="BC372"/>
  <c r="BB372"/>
  <c r="BA372"/>
  <c r="AZ372"/>
  <c r="AY372"/>
  <c r="AX372"/>
  <c r="AS372"/>
  <c r="AS210"/>
  <c r="AO372"/>
  <c r="Z372"/>
  <c r="S372"/>
  <c r="BC371"/>
  <c r="BB371"/>
  <c r="BA371"/>
  <c r="AZ371"/>
  <c r="AY371"/>
  <c r="AX371"/>
  <c r="AS371"/>
  <c r="AO371"/>
  <c r="Z371"/>
  <c r="S371"/>
  <c r="S209"/>
  <c r="BC370"/>
  <c r="BB370"/>
  <c r="BA370"/>
  <c r="AZ370"/>
  <c r="AY370"/>
  <c r="AX370"/>
  <c r="AS370"/>
  <c r="AO370"/>
  <c r="Z370"/>
  <c r="S370"/>
  <c r="BC369"/>
  <c r="BB369"/>
  <c r="BA369"/>
  <c r="AZ369"/>
  <c r="AY369"/>
  <c r="AX369"/>
  <c r="AS369"/>
  <c r="AO369"/>
  <c r="AL369"/>
  <c r="AK369"/>
  <c r="AJ369"/>
  <c r="AG369"/>
  <c r="AF369"/>
  <c r="Z369"/>
  <c r="O369"/>
  <c r="M369"/>
  <c r="M368"/>
  <c r="BC368"/>
  <c r="AU368"/>
  <c r="BB368"/>
  <c r="AT368"/>
  <c r="AR368"/>
  <c r="AP368"/>
  <c r="AO368"/>
  <c r="AC368"/>
  <c r="AB368"/>
  <c r="AG368"/>
  <c r="Z368"/>
  <c r="Y368"/>
  <c r="X368"/>
  <c r="W368"/>
  <c r="V368"/>
  <c r="R368"/>
  <c r="Q368"/>
  <c r="P368"/>
  <c r="N368"/>
  <c r="L368"/>
  <c r="BC367"/>
  <c r="BB367"/>
  <c r="BA367"/>
  <c r="AZ367"/>
  <c r="AY367"/>
  <c r="AX367"/>
  <c r="AS367"/>
  <c r="AO367"/>
  <c r="Z367"/>
  <c r="S367"/>
  <c r="BC366"/>
  <c r="BB366"/>
  <c r="BA366"/>
  <c r="AZ366"/>
  <c r="AY366"/>
  <c r="AX366"/>
  <c r="AS366"/>
  <c r="AO366"/>
  <c r="Z366"/>
  <c r="S366"/>
  <c r="S364"/>
  <c r="BC365"/>
  <c r="BB365"/>
  <c r="BA365"/>
  <c r="AZ365"/>
  <c r="AY365"/>
  <c r="AX365"/>
  <c r="AS365"/>
  <c r="AO365"/>
  <c r="AL365"/>
  <c r="AK365"/>
  <c r="AJ365"/>
  <c r="AG365"/>
  <c r="AF365"/>
  <c r="Z365"/>
  <c r="Z206"/>
  <c r="Z205"/>
  <c r="O365"/>
  <c r="AE365"/>
  <c r="M365"/>
  <c r="M364"/>
  <c r="BC364"/>
  <c r="AU364"/>
  <c r="BB364"/>
  <c r="AT364"/>
  <c r="AY364"/>
  <c r="AR364"/>
  <c r="AP364"/>
  <c r="AO364"/>
  <c r="AC364"/>
  <c r="AB364"/>
  <c r="Z364"/>
  <c r="Y364"/>
  <c r="X364"/>
  <c r="W364"/>
  <c r="V364"/>
  <c r="R364"/>
  <c r="Q364"/>
  <c r="P364"/>
  <c r="O364"/>
  <c r="N364"/>
  <c r="L364"/>
  <c r="BC363"/>
  <c r="BB363"/>
  <c r="BA363"/>
  <c r="AZ363"/>
  <c r="AY363"/>
  <c r="AX363"/>
  <c r="AS363"/>
  <c r="AO363"/>
  <c r="Z363"/>
  <c r="S363"/>
  <c r="BC362"/>
  <c r="BB362"/>
  <c r="BA362"/>
  <c r="AZ362"/>
  <c r="AY362"/>
  <c r="AX362"/>
  <c r="AS362"/>
  <c r="AO362"/>
  <c r="Z362"/>
  <c r="S362"/>
  <c r="S202"/>
  <c r="BC361"/>
  <c r="BB361"/>
  <c r="BA361"/>
  <c r="AZ361"/>
  <c r="AY361"/>
  <c r="AX361"/>
  <c r="AS361"/>
  <c r="AS203"/>
  <c r="AO361"/>
  <c r="AL361"/>
  <c r="AG361"/>
  <c r="AF361"/>
  <c r="Z361"/>
  <c r="Z203"/>
  <c r="S361"/>
  <c r="S203"/>
  <c r="O361"/>
  <c r="O203"/>
  <c r="M361"/>
  <c r="M203"/>
  <c r="BC360"/>
  <c r="BB360"/>
  <c r="BA360"/>
  <c r="AZ360"/>
  <c r="AY360"/>
  <c r="AX360"/>
  <c r="AS360"/>
  <c r="AO360"/>
  <c r="AL360"/>
  <c r="AK360"/>
  <c r="AJ360"/>
  <c r="AG360"/>
  <c r="AF360"/>
  <c r="Z360"/>
  <c r="O360"/>
  <c r="M360"/>
  <c r="M359"/>
  <c r="BC359"/>
  <c r="AU359"/>
  <c r="BA359"/>
  <c r="AT359"/>
  <c r="AR359"/>
  <c r="AP359"/>
  <c r="AO359"/>
  <c r="AC359"/>
  <c r="AB359"/>
  <c r="Z359"/>
  <c r="Y359"/>
  <c r="X359"/>
  <c r="W359"/>
  <c r="V359"/>
  <c r="R359"/>
  <c r="Q359"/>
  <c r="P359"/>
  <c r="N359"/>
  <c r="L359"/>
  <c r="BC358"/>
  <c r="BB358"/>
  <c r="BA358"/>
  <c r="AZ358"/>
  <c r="AY358"/>
  <c r="AX358"/>
  <c r="AO358"/>
  <c r="Z358"/>
  <c r="BC357"/>
  <c r="AO357"/>
  <c r="Z357"/>
  <c r="BC356"/>
  <c r="AO356"/>
  <c r="Z356"/>
  <c r="BC355"/>
  <c r="BB355"/>
  <c r="BA355"/>
  <c r="AZ355"/>
  <c r="AY355"/>
  <c r="AX355"/>
  <c r="AO355"/>
  <c r="Z355"/>
  <c r="BC354"/>
  <c r="AO354"/>
  <c r="Z354"/>
  <c r="BC353"/>
  <c r="AO353"/>
  <c r="Z353"/>
  <c r="BC352"/>
  <c r="AO352"/>
  <c r="Z352"/>
  <c r="BC351"/>
  <c r="BB351"/>
  <c r="BA351"/>
  <c r="AZ351"/>
  <c r="AY351"/>
  <c r="AX351"/>
  <c r="AO351"/>
  <c r="Z351"/>
  <c r="BC350"/>
  <c r="BB350"/>
  <c r="BA350"/>
  <c r="AZ350"/>
  <c r="AY350"/>
  <c r="AX350"/>
  <c r="AO350"/>
  <c r="Z350"/>
  <c r="BC349"/>
  <c r="AO349"/>
  <c r="Z349"/>
  <c r="BC348"/>
  <c r="BB348"/>
  <c r="BA348"/>
  <c r="AZ348"/>
  <c r="AY348"/>
  <c r="AX348"/>
  <c r="AO348"/>
  <c r="BC347"/>
  <c r="BB347"/>
  <c r="BA347"/>
  <c r="AZ347"/>
  <c r="AY347"/>
  <c r="AX347"/>
  <c r="BC343"/>
  <c r="BB343"/>
  <c r="BA343"/>
  <c r="AZ343"/>
  <c r="AY343"/>
  <c r="AX343"/>
  <c r="AO343"/>
  <c r="BC342"/>
  <c r="BB342"/>
  <c r="BA342"/>
  <c r="AZ342"/>
  <c r="AY342"/>
  <c r="AX342"/>
  <c r="AO342"/>
  <c r="BC341"/>
  <c r="BB341"/>
  <c r="BA341"/>
  <c r="AZ341"/>
  <c r="AY341"/>
  <c r="AX341"/>
  <c r="AO341"/>
  <c r="BC340"/>
  <c r="BB340"/>
  <c r="BA340"/>
  <c r="AZ340"/>
  <c r="AY340"/>
  <c r="AX340"/>
  <c r="AO340"/>
  <c r="BC339"/>
  <c r="BB339"/>
  <c r="BA339"/>
  <c r="AZ339"/>
  <c r="AY339"/>
  <c r="AX339"/>
  <c r="AO339"/>
  <c r="BC338"/>
  <c r="BB338"/>
  <c r="BA338"/>
  <c r="AZ338"/>
  <c r="AY338"/>
  <c r="AX338"/>
  <c r="AO338"/>
  <c r="BC337"/>
  <c r="BB337"/>
  <c r="BA337"/>
  <c r="AZ337"/>
  <c r="AY337"/>
  <c r="AX337"/>
  <c r="AO337"/>
  <c r="BC336"/>
  <c r="AU336"/>
  <c r="AT336"/>
  <c r="AY336"/>
  <c r="AS336"/>
  <c r="AS335"/>
  <c r="AR336"/>
  <c r="AR335"/>
  <c r="AR333"/>
  <c r="AP336"/>
  <c r="AP335"/>
  <c r="AP333"/>
  <c r="AO336"/>
  <c r="AC336"/>
  <c r="AC335"/>
  <c r="AC333"/>
  <c r="AB336"/>
  <c r="AB335"/>
  <c r="AB333"/>
  <c r="AA336"/>
  <c r="AA335"/>
  <c r="AA333"/>
  <c r="Z336"/>
  <c r="Z335"/>
  <c r="Z333"/>
  <c r="X336"/>
  <c r="W336"/>
  <c r="W335"/>
  <c r="W333"/>
  <c r="U336"/>
  <c r="S336"/>
  <c r="S335"/>
  <c r="S333"/>
  <c r="R336"/>
  <c r="Q336"/>
  <c r="Q335"/>
  <c r="Q333"/>
  <c r="P336"/>
  <c r="P335"/>
  <c r="P333"/>
  <c r="O336"/>
  <c r="N336"/>
  <c r="N335"/>
  <c r="N333"/>
  <c r="L336"/>
  <c r="L335"/>
  <c r="L333"/>
  <c r="BC335"/>
  <c r="AO335"/>
  <c r="U335"/>
  <c r="BC334"/>
  <c r="BB334"/>
  <c r="BA334"/>
  <c r="AZ334"/>
  <c r="AY334"/>
  <c r="AX334"/>
  <c r="AO334"/>
  <c r="U334"/>
  <c r="BC333"/>
  <c r="AS333"/>
  <c r="AO333"/>
  <c r="U333"/>
  <c r="BC332"/>
  <c r="BB332"/>
  <c r="BA332"/>
  <c r="AZ332"/>
  <c r="AY332"/>
  <c r="AX332"/>
  <c r="AO332"/>
  <c r="U332"/>
  <c r="BC331"/>
  <c r="AU331"/>
  <c r="BA331"/>
  <c r="AT331"/>
  <c r="AS331"/>
  <c r="AR331"/>
  <c r="AP331"/>
  <c r="AO331"/>
  <c r="AC331"/>
  <c r="AB331"/>
  <c r="AA331"/>
  <c r="Z331"/>
  <c r="X331"/>
  <c r="W331"/>
  <c r="U331"/>
  <c r="S331"/>
  <c r="R331"/>
  <c r="Q331"/>
  <c r="P331"/>
  <c r="O331"/>
  <c r="N331"/>
  <c r="L331"/>
  <c r="BC330"/>
  <c r="AU330"/>
  <c r="AT330"/>
  <c r="AY330"/>
  <c r="AR330"/>
  <c r="AP330"/>
  <c r="AO330"/>
  <c r="AC330"/>
  <c r="AB330"/>
  <c r="AA330"/>
  <c r="Z330"/>
  <c r="X330"/>
  <c r="W330"/>
  <c r="U330"/>
  <c r="R330"/>
  <c r="Q330"/>
  <c r="P330"/>
  <c r="O330"/>
  <c r="N330"/>
  <c r="L330"/>
  <c r="BC329"/>
  <c r="AO329"/>
  <c r="U329"/>
  <c r="BC328"/>
  <c r="BB328"/>
  <c r="BA328"/>
  <c r="AZ328"/>
  <c r="AY328"/>
  <c r="AX328"/>
  <c r="AO328"/>
  <c r="U328"/>
  <c r="BC327"/>
  <c r="AU327"/>
  <c r="BB327"/>
  <c r="AT327"/>
  <c r="AT326"/>
  <c r="AS327"/>
  <c r="AS326"/>
  <c r="AR327"/>
  <c r="AR326"/>
  <c r="AP327"/>
  <c r="AP326"/>
  <c r="AO327"/>
  <c r="AC327"/>
  <c r="AC326"/>
  <c r="AB327"/>
  <c r="AA327"/>
  <c r="AA326"/>
  <c r="Z327"/>
  <c r="Z326"/>
  <c r="X327"/>
  <c r="X326"/>
  <c r="W327"/>
  <c r="W326"/>
  <c r="U327"/>
  <c r="S327"/>
  <c r="S326"/>
  <c r="R327"/>
  <c r="R326"/>
  <c r="Q327"/>
  <c r="P327"/>
  <c r="O327"/>
  <c r="O326"/>
  <c r="N327"/>
  <c r="M327"/>
  <c r="M326"/>
  <c r="L327"/>
  <c r="L326"/>
  <c r="BC326"/>
  <c r="AO326"/>
  <c r="U326"/>
  <c r="N326"/>
  <c r="BC325"/>
  <c r="BB325"/>
  <c r="BA325"/>
  <c r="AZ325"/>
  <c r="AY325"/>
  <c r="AX325"/>
  <c r="AO325"/>
  <c r="U325"/>
  <c r="BC324"/>
  <c r="AU324"/>
  <c r="AT324"/>
  <c r="AR324"/>
  <c r="AP324"/>
  <c r="AO324"/>
  <c r="AC324"/>
  <c r="AB324"/>
  <c r="AA324"/>
  <c r="X324"/>
  <c r="W324"/>
  <c r="AJ324"/>
  <c r="U324"/>
  <c r="R324"/>
  <c r="Q324"/>
  <c r="P324"/>
  <c r="N324"/>
  <c r="M324"/>
  <c r="L324"/>
  <c r="BC323"/>
  <c r="AY323"/>
  <c r="AX323"/>
  <c r="AU323"/>
  <c r="AS323"/>
  <c r="AR323"/>
  <c r="AP323"/>
  <c r="AO323"/>
  <c r="U323"/>
  <c r="BC322"/>
  <c r="AU322"/>
  <c r="AT322"/>
  <c r="AY322"/>
  <c r="AS322"/>
  <c r="AR322"/>
  <c r="AP322"/>
  <c r="AO322"/>
  <c r="AC322"/>
  <c r="AB322"/>
  <c r="AA322"/>
  <c r="X322"/>
  <c r="AL322"/>
  <c r="W322"/>
  <c r="U322"/>
  <c r="S322"/>
  <c r="R322"/>
  <c r="Q322"/>
  <c r="P322"/>
  <c r="N322"/>
  <c r="M322"/>
  <c r="L322"/>
  <c r="BC321"/>
  <c r="AU321"/>
  <c r="AT321"/>
  <c r="AR321"/>
  <c r="AP321"/>
  <c r="AO321"/>
  <c r="AC321"/>
  <c r="AB321"/>
  <c r="AA321"/>
  <c r="Z321"/>
  <c r="X321"/>
  <c r="W321"/>
  <c r="U321"/>
  <c r="R321"/>
  <c r="Q321"/>
  <c r="P321"/>
  <c r="N321"/>
  <c r="M321"/>
  <c r="L321"/>
  <c r="BC320"/>
  <c r="AU320"/>
  <c r="AT320"/>
  <c r="AR320"/>
  <c r="AP320"/>
  <c r="AO320"/>
  <c r="AC320"/>
  <c r="AB320"/>
  <c r="AA320"/>
  <c r="Z320"/>
  <c r="X320"/>
  <c r="W320"/>
  <c r="U320"/>
  <c r="S320"/>
  <c r="R320"/>
  <c r="Q320"/>
  <c r="P320"/>
  <c r="O320"/>
  <c r="N320"/>
  <c r="L320"/>
  <c r="BC319"/>
  <c r="BB319"/>
  <c r="BA319"/>
  <c r="AZ319"/>
  <c r="AY319"/>
  <c r="AX319"/>
  <c r="AO319"/>
  <c r="U319"/>
  <c r="BC318"/>
  <c r="AO318"/>
  <c r="U318"/>
  <c r="BC317"/>
  <c r="BB317"/>
  <c r="BA317"/>
  <c r="AZ317"/>
  <c r="AY317"/>
  <c r="AX317"/>
  <c r="AO317"/>
  <c r="U317"/>
  <c r="BC316"/>
  <c r="AU316"/>
  <c r="BA316"/>
  <c r="AT316"/>
  <c r="AR316"/>
  <c r="AP316"/>
  <c r="AO316"/>
  <c r="AC316"/>
  <c r="AB316"/>
  <c r="AA316"/>
  <c r="X316"/>
  <c r="W316"/>
  <c r="U316"/>
  <c r="R316"/>
  <c r="Q316"/>
  <c r="P316"/>
  <c r="N316"/>
  <c r="L316"/>
  <c r="BC315"/>
  <c r="AU315"/>
  <c r="AT315"/>
  <c r="AY315"/>
  <c r="AR315"/>
  <c r="AP315"/>
  <c r="AO315"/>
  <c r="AC315"/>
  <c r="AB315"/>
  <c r="AA315"/>
  <c r="X315"/>
  <c r="AL315"/>
  <c r="W315"/>
  <c r="U315"/>
  <c r="R315"/>
  <c r="Q315"/>
  <c r="P315"/>
  <c r="N315"/>
  <c r="M315"/>
  <c r="L315"/>
  <c r="BC314"/>
  <c r="AU314"/>
  <c r="BB314"/>
  <c r="AT314"/>
  <c r="AY314"/>
  <c r="AR314"/>
  <c r="AP314"/>
  <c r="AO314"/>
  <c r="AC314"/>
  <c r="AB314"/>
  <c r="AA314"/>
  <c r="X314"/>
  <c r="AL314"/>
  <c r="W314"/>
  <c r="U314"/>
  <c r="R314"/>
  <c r="Q314"/>
  <c r="P314"/>
  <c r="O314"/>
  <c r="N314"/>
  <c r="M314"/>
  <c r="L314"/>
  <c r="BC313"/>
  <c r="AO313"/>
  <c r="U313"/>
  <c r="BC312"/>
  <c r="BB312"/>
  <c r="BA312"/>
  <c r="AZ312"/>
  <c r="AY312"/>
  <c r="AX312"/>
  <c r="AO312"/>
  <c r="U312"/>
  <c r="BC311"/>
  <c r="AO311"/>
  <c r="U311"/>
  <c r="BC310"/>
  <c r="BB310"/>
  <c r="BA310"/>
  <c r="AZ310"/>
  <c r="AY310"/>
  <c r="AX310"/>
  <c r="AO310"/>
  <c r="U310"/>
  <c r="BC309"/>
  <c r="AU309"/>
  <c r="AT309"/>
  <c r="AY309"/>
  <c r="AS309"/>
  <c r="AS308"/>
  <c r="AS306"/>
  <c r="AR309"/>
  <c r="AR308"/>
  <c r="AR306"/>
  <c r="AP309"/>
  <c r="AP308"/>
  <c r="AP306"/>
  <c r="AO309"/>
  <c r="AC309"/>
  <c r="AC308"/>
  <c r="AC306"/>
  <c r="AB309"/>
  <c r="AB308"/>
  <c r="AB306"/>
  <c r="X309"/>
  <c r="X308"/>
  <c r="X306"/>
  <c r="W309"/>
  <c r="W308"/>
  <c r="W306"/>
  <c r="V309"/>
  <c r="V308"/>
  <c r="U309"/>
  <c r="U308"/>
  <c r="T309"/>
  <c r="T308"/>
  <c r="R309"/>
  <c r="R308"/>
  <c r="R306"/>
  <c r="BC308"/>
  <c r="AO308"/>
  <c r="AA308"/>
  <c r="AA306"/>
  <c r="Z308"/>
  <c r="Z306"/>
  <c r="Q308"/>
  <c r="Q306"/>
  <c r="P308"/>
  <c r="O308"/>
  <c r="O306"/>
  <c r="N308"/>
  <c r="N306"/>
  <c r="M308"/>
  <c r="M306"/>
  <c r="L308"/>
  <c r="L306"/>
  <c r="BC307"/>
  <c r="BB307"/>
  <c r="BA307"/>
  <c r="AZ307"/>
  <c r="AY307"/>
  <c r="AX307"/>
  <c r="AO307"/>
  <c r="U307"/>
  <c r="BC306"/>
  <c r="AO306"/>
  <c r="U306"/>
  <c r="P306"/>
  <c r="BC305"/>
  <c r="BB305"/>
  <c r="BA305"/>
  <c r="AZ305"/>
  <c r="AY305"/>
  <c r="AX305"/>
  <c r="AO305"/>
  <c r="U305"/>
  <c r="BC304"/>
  <c r="AO304"/>
  <c r="U304"/>
  <c r="U14"/>
  <c r="BC303"/>
  <c r="BB303"/>
  <c r="BA303"/>
  <c r="AZ303"/>
  <c r="AY303"/>
  <c r="AX303"/>
  <c r="AO303"/>
  <c r="U303"/>
  <c r="BC302"/>
  <c r="AU302"/>
  <c r="BB302"/>
  <c r="AO302"/>
  <c r="AA302"/>
  <c r="AA301"/>
  <c r="W302"/>
  <c r="U302"/>
  <c r="P302"/>
  <c r="P301"/>
  <c r="BC301"/>
  <c r="AO301"/>
  <c r="U301"/>
  <c r="BC300"/>
  <c r="BB300"/>
  <c r="BA300"/>
  <c r="AZ300"/>
  <c r="AY300"/>
  <c r="AX300"/>
  <c r="AO300"/>
  <c r="U300"/>
  <c r="BC299"/>
  <c r="AU299"/>
  <c r="AT299"/>
  <c r="AX299"/>
  <c r="AS299"/>
  <c r="AS298"/>
  <c r="AR299"/>
  <c r="AR298"/>
  <c r="AP299"/>
  <c r="AP298"/>
  <c r="AO299"/>
  <c r="AC299"/>
  <c r="AC298"/>
  <c r="AB299"/>
  <c r="AB298"/>
  <c r="AA299"/>
  <c r="AA298"/>
  <c r="Z299"/>
  <c r="Z298"/>
  <c r="X299"/>
  <c r="W299"/>
  <c r="W298"/>
  <c r="U299"/>
  <c r="S299"/>
  <c r="S298"/>
  <c r="R299"/>
  <c r="R298"/>
  <c r="Q299"/>
  <c r="Q298"/>
  <c r="P299"/>
  <c r="P298"/>
  <c r="O299"/>
  <c r="O298"/>
  <c r="N299"/>
  <c r="N298"/>
  <c r="M299"/>
  <c r="M298"/>
  <c r="L299"/>
  <c r="L298"/>
  <c r="BC298"/>
  <c r="AO298"/>
  <c r="U298"/>
  <c r="BC297"/>
  <c r="BB297"/>
  <c r="BA297"/>
  <c r="AZ297"/>
  <c r="AY297"/>
  <c r="AX297"/>
  <c r="AO297"/>
  <c r="U297"/>
  <c r="BC296"/>
  <c r="AU296"/>
  <c r="BB296"/>
  <c r="AT296"/>
  <c r="AY296"/>
  <c r="AR296"/>
  <c r="AR295"/>
  <c r="AP296"/>
  <c r="AP295"/>
  <c r="AO296"/>
  <c r="AC296"/>
  <c r="AC295"/>
  <c r="AB296"/>
  <c r="AB295"/>
  <c r="AA296"/>
  <c r="AA295"/>
  <c r="X296"/>
  <c r="W296"/>
  <c r="W295"/>
  <c r="U296"/>
  <c r="R296"/>
  <c r="R295"/>
  <c r="Q296"/>
  <c r="Q295"/>
  <c r="P296"/>
  <c r="P295"/>
  <c r="N296"/>
  <c r="N295"/>
  <c r="L296"/>
  <c r="L295"/>
  <c r="BC295"/>
  <c r="AO295"/>
  <c r="U295"/>
  <c r="BC294"/>
  <c r="BB294"/>
  <c r="BA294"/>
  <c r="AZ294"/>
  <c r="AY294"/>
  <c r="AX294"/>
  <c r="AO294"/>
  <c r="U294"/>
  <c r="BC293"/>
  <c r="AU293"/>
  <c r="AT293"/>
  <c r="AY293"/>
  <c r="AR293"/>
  <c r="AP293"/>
  <c r="AO293"/>
  <c r="AC293"/>
  <c r="AB293"/>
  <c r="AB291"/>
  <c r="AA293"/>
  <c r="Z293"/>
  <c r="X293"/>
  <c r="W293"/>
  <c r="U293"/>
  <c r="R293"/>
  <c r="Q293"/>
  <c r="P293"/>
  <c r="O293"/>
  <c r="N293"/>
  <c r="M293"/>
  <c r="L293"/>
  <c r="BC292"/>
  <c r="AU292"/>
  <c r="BB292"/>
  <c r="AT292"/>
  <c r="AY292"/>
  <c r="AS292"/>
  <c r="AR292"/>
  <c r="AP292"/>
  <c r="AO292"/>
  <c r="AC292"/>
  <c r="AB292"/>
  <c r="AA292"/>
  <c r="Z292"/>
  <c r="X292"/>
  <c r="W292"/>
  <c r="U292"/>
  <c r="S292"/>
  <c r="R292"/>
  <c r="R291"/>
  <c r="Q292"/>
  <c r="P292"/>
  <c r="O292"/>
  <c r="N292"/>
  <c r="M292"/>
  <c r="L292"/>
  <c r="BC291"/>
  <c r="AO291"/>
  <c r="U291"/>
  <c r="BC290"/>
  <c r="BB290"/>
  <c r="BA290"/>
  <c r="AZ290"/>
  <c r="AY290"/>
  <c r="AX290"/>
  <c r="AO290"/>
  <c r="U290"/>
  <c r="BC289"/>
  <c r="AU289"/>
  <c r="BB289"/>
  <c r="AT289"/>
  <c r="AY289"/>
  <c r="AS289"/>
  <c r="AR289"/>
  <c r="AP289"/>
  <c r="AO289"/>
  <c r="AC289"/>
  <c r="AB289"/>
  <c r="AA289"/>
  <c r="Z289"/>
  <c r="X289"/>
  <c r="W289"/>
  <c r="U289"/>
  <c r="S289"/>
  <c r="R289"/>
  <c r="Q289"/>
  <c r="P289"/>
  <c r="O289"/>
  <c r="N289"/>
  <c r="M289"/>
  <c r="L289"/>
  <c r="BC288"/>
  <c r="AO288"/>
  <c r="AA288"/>
  <c r="U288"/>
  <c r="P288"/>
  <c r="BC287"/>
  <c r="AO287"/>
  <c r="U287"/>
  <c r="BC286"/>
  <c r="BB286"/>
  <c r="BA286"/>
  <c r="AZ286"/>
  <c r="AY286"/>
  <c r="AX286"/>
  <c r="AO286"/>
  <c r="U286"/>
  <c r="BC285"/>
  <c r="AO285"/>
  <c r="U285"/>
  <c r="BC284"/>
  <c r="BB284"/>
  <c r="BA284"/>
  <c r="AZ284"/>
  <c r="AY284"/>
  <c r="AX284"/>
  <c r="AO284"/>
  <c r="U284"/>
  <c r="BC283"/>
  <c r="AU283"/>
  <c r="AS283"/>
  <c r="AR283"/>
  <c r="AO283"/>
  <c r="AC283"/>
  <c r="AB283"/>
  <c r="AA283"/>
  <c r="Z283"/>
  <c r="X283"/>
  <c r="W283"/>
  <c r="U283"/>
  <c r="S283"/>
  <c r="R283"/>
  <c r="Q283"/>
  <c r="P283"/>
  <c r="N283"/>
  <c r="L283"/>
  <c r="BC282"/>
  <c r="AU282"/>
  <c r="BB282"/>
  <c r="AT282"/>
  <c r="AR282"/>
  <c r="AP282"/>
  <c r="AO282"/>
  <c r="AC282"/>
  <c r="AB282"/>
  <c r="AA282"/>
  <c r="Z282"/>
  <c r="X282"/>
  <c r="W282"/>
  <c r="U282"/>
  <c r="R282"/>
  <c r="Q282"/>
  <c r="P282"/>
  <c r="N282"/>
  <c r="L282"/>
  <c r="BC281"/>
  <c r="AO281"/>
  <c r="U281"/>
  <c r="BC280"/>
  <c r="BB280"/>
  <c r="BA280"/>
  <c r="AZ280"/>
  <c r="AY280"/>
  <c r="AX280"/>
  <c r="AO280"/>
  <c r="U280"/>
  <c r="BC279"/>
  <c r="BB279"/>
  <c r="BA279"/>
  <c r="AZ279"/>
  <c r="AY279"/>
  <c r="AX279"/>
  <c r="AO279"/>
  <c r="U279"/>
  <c r="BC278"/>
  <c r="AO278"/>
  <c r="U278"/>
  <c r="BC277"/>
  <c r="BB277"/>
  <c r="BA277"/>
  <c r="AZ277"/>
  <c r="AY277"/>
  <c r="AX277"/>
  <c r="AO277"/>
  <c r="U277"/>
  <c r="BC276"/>
  <c r="AY276"/>
  <c r="AU276"/>
  <c r="BB276"/>
  <c r="AT276"/>
  <c r="AS276"/>
  <c r="AO276"/>
  <c r="AB276"/>
  <c r="AA276"/>
  <c r="Z276"/>
  <c r="X276"/>
  <c r="U276"/>
  <c r="Q276"/>
  <c r="P276"/>
  <c r="O276"/>
  <c r="N276"/>
  <c r="M276"/>
  <c r="BC275"/>
  <c r="AT275"/>
  <c r="AR275"/>
  <c r="AO275"/>
  <c r="AC275"/>
  <c r="AB275"/>
  <c r="AA275"/>
  <c r="Z275"/>
  <c r="X275"/>
  <c r="W275"/>
  <c r="U275"/>
  <c r="R275"/>
  <c r="Q275"/>
  <c r="N275"/>
  <c r="M275"/>
  <c r="BC274"/>
  <c r="AO274"/>
  <c r="U274"/>
  <c r="BC273"/>
  <c r="BB273"/>
  <c r="BA273"/>
  <c r="AZ273"/>
  <c r="AY273"/>
  <c r="AX273"/>
  <c r="AO273"/>
  <c r="U273"/>
  <c r="BC272"/>
  <c r="BB272"/>
  <c r="BA272"/>
  <c r="AZ272"/>
  <c r="AY272"/>
  <c r="AX272"/>
  <c r="AO272"/>
  <c r="U272"/>
  <c r="BC271"/>
  <c r="AU271"/>
  <c r="BB271"/>
  <c r="AT271"/>
  <c r="AY271"/>
  <c r="AS271"/>
  <c r="AR271"/>
  <c r="AP271"/>
  <c r="AO271"/>
  <c r="AC271"/>
  <c r="AB271"/>
  <c r="AA271"/>
  <c r="Z271"/>
  <c r="X271"/>
  <c r="W271"/>
  <c r="U271"/>
  <c r="S271"/>
  <c r="R271"/>
  <c r="Q271"/>
  <c r="P271"/>
  <c r="O271"/>
  <c r="N271"/>
  <c r="M271"/>
  <c r="L271"/>
  <c r="BC270"/>
  <c r="BB270"/>
  <c r="BA270"/>
  <c r="AZ270"/>
  <c r="AY270"/>
  <c r="AX270"/>
  <c r="AO270"/>
  <c r="U270"/>
  <c r="BC269"/>
  <c r="AO269"/>
  <c r="U269"/>
  <c r="BC268"/>
  <c r="BB268"/>
  <c r="BA268"/>
  <c r="AZ268"/>
  <c r="AY268"/>
  <c r="AX268"/>
  <c r="AO268"/>
  <c r="U268"/>
  <c r="BC267"/>
  <c r="AU267"/>
  <c r="AT267"/>
  <c r="AY267"/>
  <c r="AR267"/>
  <c r="AR266"/>
  <c r="AR264"/>
  <c r="AP267"/>
  <c r="AP266"/>
  <c r="AP264"/>
  <c r="AO267"/>
  <c r="AC267"/>
  <c r="AB267"/>
  <c r="AB266"/>
  <c r="AB264"/>
  <c r="AA267"/>
  <c r="AA266"/>
  <c r="AA264"/>
  <c r="Z267"/>
  <c r="Z266"/>
  <c r="Z264"/>
  <c r="X267"/>
  <c r="W267"/>
  <c r="W266"/>
  <c r="W264"/>
  <c r="U267"/>
  <c r="R267"/>
  <c r="Q267"/>
  <c r="Q266"/>
  <c r="Q264"/>
  <c r="P267"/>
  <c r="P266"/>
  <c r="P264"/>
  <c r="O267"/>
  <c r="O266"/>
  <c r="O264"/>
  <c r="N267"/>
  <c r="N266"/>
  <c r="N264"/>
  <c r="M267"/>
  <c r="M266"/>
  <c r="M264"/>
  <c r="L267"/>
  <c r="L266"/>
  <c r="L264"/>
  <c r="BC266"/>
  <c r="AO266"/>
  <c r="AC266"/>
  <c r="AC264"/>
  <c r="X266"/>
  <c r="U266"/>
  <c r="BC265"/>
  <c r="BB265"/>
  <c r="BA265"/>
  <c r="AZ265"/>
  <c r="AY265"/>
  <c r="AX265"/>
  <c r="AO265"/>
  <c r="U265"/>
  <c r="BC264"/>
  <c r="AO264"/>
  <c r="U264"/>
  <c r="BC263"/>
  <c r="BB263"/>
  <c r="BA263"/>
  <c r="AZ263"/>
  <c r="AY263"/>
  <c r="AX263"/>
  <c r="AO263"/>
  <c r="U263"/>
  <c r="BC262"/>
  <c r="AU262"/>
  <c r="AT262"/>
  <c r="AR262"/>
  <c r="AP262"/>
  <c r="AO262"/>
  <c r="AC262"/>
  <c r="AB262"/>
  <c r="AG262"/>
  <c r="AA262"/>
  <c r="X262"/>
  <c r="W262"/>
  <c r="U262"/>
  <c r="R262"/>
  <c r="Q262"/>
  <c r="P262"/>
  <c r="N262"/>
  <c r="L262"/>
  <c r="BC261"/>
  <c r="AU261"/>
  <c r="BA261"/>
  <c r="AT261"/>
  <c r="AR261"/>
  <c r="AP261"/>
  <c r="AO261"/>
  <c r="AC261"/>
  <c r="AB261"/>
  <c r="AA261"/>
  <c r="Z261"/>
  <c r="X261"/>
  <c r="W261"/>
  <c r="U261"/>
  <c r="R261"/>
  <c r="Q261"/>
  <c r="P261"/>
  <c r="N261"/>
  <c r="L261"/>
  <c r="BC260"/>
  <c r="BB260"/>
  <c r="BA260"/>
  <c r="AZ260"/>
  <c r="AY260"/>
  <c r="AX260"/>
  <c r="AO260"/>
  <c r="U260"/>
  <c r="BC259"/>
  <c r="AU259"/>
  <c r="BA259"/>
  <c r="AT259"/>
  <c r="AY259"/>
  <c r="AS259"/>
  <c r="AR259"/>
  <c r="AP259"/>
  <c r="AO259"/>
  <c r="AC259"/>
  <c r="AB259"/>
  <c r="AA259"/>
  <c r="Z259"/>
  <c r="X259"/>
  <c r="W259"/>
  <c r="U259"/>
  <c r="S259"/>
  <c r="R259"/>
  <c r="Q259"/>
  <c r="P259"/>
  <c r="O259"/>
  <c r="N259"/>
  <c r="L259"/>
  <c r="BC258"/>
  <c r="AO258"/>
  <c r="U258"/>
  <c r="BC257"/>
  <c r="BB257"/>
  <c r="BA257"/>
  <c r="AZ257"/>
  <c r="AY257"/>
  <c r="AX257"/>
  <c r="AO257"/>
  <c r="U257"/>
  <c r="BC256"/>
  <c r="AU256"/>
  <c r="BB256"/>
  <c r="AT256"/>
  <c r="AY256"/>
  <c r="AS256"/>
  <c r="AS255"/>
  <c r="AR256"/>
  <c r="AR255"/>
  <c r="AP256"/>
  <c r="AP255"/>
  <c r="AO256"/>
  <c r="AC256"/>
  <c r="AC255"/>
  <c r="AB256"/>
  <c r="AA256"/>
  <c r="AA255"/>
  <c r="Z256"/>
  <c r="Z255"/>
  <c r="X256"/>
  <c r="W256"/>
  <c r="U256"/>
  <c r="R256"/>
  <c r="R255"/>
  <c r="Q256"/>
  <c r="P256"/>
  <c r="P255"/>
  <c r="O256"/>
  <c r="AD256"/>
  <c r="N256"/>
  <c r="N255"/>
  <c r="M256"/>
  <c r="M255"/>
  <c r="L256"/>
  <c r="L255"/>
  <c r="BC255"/>
  <c r="AO255"/>
  <c r="X255"/>
  <c r="U255"/>
  <c r="BC254"/>
  <c r="BB254"/>
  <c r="BA254"/>
  <c r="AZ254"/>
  <c r="AY254"/>
  <c r="AX254"/>
  <c r="AO254"/>
  <c r="U254"/>
  <c r="BC253"/>
  <c r="AO253"/>
  <c r="U253"/>
  <c r="BC252"/>
  <c r="BB252"/>
  <c r="BA252"/>
  <c r="AZ252"/>
  <c r="AY252"/>
  <c r="AX252"/>
  <c r="AO252"/>
  <c r="U252"/>
  <c r="BC251"/>
  <c r="AU251"/>
  <c r="BB251"/>
  <c r="AT251"/>
  <c r="AR251"/>
  <c r="AP251"/>
  <c r="AO251"/>
  <c r="AC251"/>
  <c r="AB251"/>
  <c r="AA251"/>
  <c r="X251"/>
  <c r="W251"/>
  <c r="AJ251"/>
  <c r="U251"/>
  <c r="R251"/>
  <c r="Q251"/>
  <c r="AF251"/>
  <c r="P251"/>
  <c r="N251"/>
  <c r="L251"/>
  <c r="BC250"/>
  <c r="BB250"/>
  <c r="AU250"/>
  <c r="BA250"/>
  <c r="AT250"/>
  <c r="AY250"/>
  <c r="AR250"/>
  <c r="AP250"/>
  <c r="AO250"/>
  <c r="AC250"/>
  <c r="AB250"/>
  <c r="AA250"/>
  <c r="X250"/>
  <c r="W250"/>
  <c r="U250"/>
  <c r="R250"/>
  <c r="Q250"/>
  <c r="P250"/>
  <c r="O250"/>
  <c r="N250"/>
  <c r="L250"/>
  <c r="BC249"/>
  <c r="AU249"/>
  <c r="BB249"/>
  <c r="AT249"/>
  <c r="AR249"/>
  <c r="AP249"/>
  <c r="AO249"/>
  <c r="AC249"/>
  <c r="AB249"/>
  <c r="AA249"/>
  <c r="X249"/>
  <c r="W249"/>
  <c r="U249"/>
  <c r="R249"/>
  <c r="Q249"/>
  <c r="P249"/>
  <c r="O249"/>
  <c r="N249"/>
  <c r="L249"/>
  <c r="BC248"/>
  <c r="AU248"/>
  <c r="AT248"/>
  <c r="AR248"/>
  <c r="AP248"/>
  <c r="AO248"/>
  <c r="AC248"/>
  <c r="AB248"/>
  <c r="AA248"/>
  <c r="X248"/>
  <c r="W248"/>
  <c r="U248"/>
  <c r="R248"/>
  <c r="Q248"/>
  <c r="P248"/>
  <c r="N248"/>
  <c r="M248"/>
  <c r="L248"/>
  <c r="BC247"/>
  <c r="AU247"/>
  <c r="BB247"/>
  <c r="AT247"/>
  <c r="AY247"/>
  <c r="AR247"/>
  <c r="AP247"/>
  <c r="AO247"/>
  <c r="AC247"/>
  <c r="AB247"/>
  <c r="AA247"/>
  <c r="X247"/>
  <c r="AL247"/>
  <c r="W247"/>
  <c r="U247"/>
  <c r="S247"/>
  <c r="R247"/>
  <c r="Q247"/>
  <c r="P247"/>
  <c r="N247"/>
  <c r="L247"/>
  <c r="BC246"/>
  <c r="AU246"/>
  <c r="BB246"/>
  <c r="AT246"/>
  <c r="AY246"/>
  <c r="AR246"/>
  <c r="AP246"/>
  <c r="AO246"/>
  <c r="AC246"/>
  <c r="AB246"/>
  <c r="AA246"/>
  <c r="X246"/>
  <c r="AL246"/>
  <c r="W246"/>
  <c r="U246"/>
  <c r="S246"/>
  <c r="R246"/>
  <c r="Q246"/>
  <c r="P246"/>
  <c r="AF246"/>
  <c r="N246"/>
  <c r="L246"/>
  <c r="BC245"/>
  <c r="AU245"/>
  <c r="AT245"/>
  <c r="AY245"/>
  <c r="AS245"/>
  <c r="AR245"/>
  <c r="AP245"/>
  <c r="AO245"/>
  <c r="AC245"/>
  <c r="AB245"/>
  <c r="AA245"/>
  <c r="X245"/>
  <c r="AL245"/>
  <c r="W245"/>
  <c r="AJ245"/>
  <c r="U245"/>
  <c r="S245"/>
  <c r="R245"/>
  <c r="Q245"/>
  <c r="P245"/>
  <c r="N245"/>
  <c r="L245"/>
  <c r="BC244"/>
  <c r="AO244"/>
  <c r="U244"/>
  <c r="BC243"/>
  <c r="BB243"/>
  <c r="BA243"/>
  <c r="AZ243"/>
  <c r="AY243"/>
  <c r="AX243"/>
  <c r="AO243"/>
  <c r="U243"/>
  <c r="BC242"/>
  <c r="BB242"/>
  <c r="BA242"/>
  <c r="AZ242"/>
  <c r="AY242"/>
  <c r="AX242"/>
  <c r="AO242"/>
  <c r="U242"/>
  <c r="BC241"/>
  <c r="AU241"/>
  <c r="AU240"/>
  <c r="AT241"/>
  <c r="AR241"/>
  <c r="AR240"/>
  <c r="AP241"/>
  <c r="AP240"/>
  <c r="AO241"/>
  <c r="AC241"/>
  <c r="AC240"/>
  <c r="AB241"/>
  <c r="AB240"/>
  <c r="AA241"/>
  <c r="AA240"/>
  <c r="X241"/>
  <c r="X240"/>
  <c r="W241"/>
  <c r="W240"/>
  <c r="U241"/>
  <c r="R241"/>
  <c r="R240"/>
  <c r="Q241"/>
  <c r="Q240"/>
  <c r="P241"/>
  <c r="P240"/>
  <c r="O241"/>
  <c r="O240"/>
  <c r="N241"/>
  <c r="N240"/>
  <c r="M241"/>
  <c r="M240"/>
  <c r="L241"/>
  <c r="L240"/>
  <c r="BC240"/>
  <c r="AO240"/>
  <c r="U240"/>
  <c r="BC239"/>
  <c r="BB239"/>
  <c r="BA239"/>
  <c r="AZ239"/>
  <c r="AY239"/>
  <c r="AX239"/>
  <c r="AO239"/>
  <c r="U239"/>
  <c r="BC238"/>
  <c r="AU238"/>
  <c r="BB238"/>
  <c r="AT238"/>
  <c r="AR238"/>
  <c r="AP238"/>
  <c r="AO238"/>
  <c r="AC238"/>
  <c r="AB238"/>
  <c r="AA238"/>
  <c r="X238"/>
  <c r="AL238"/>
  <c r="W238"/>
  <c r="U238"/>
  <c r="R238"/>
  <c r="Q238"/>
  <c r="P238"/>
  <c r="N238"/>
  <c r="L238"/>
  <c r="BC237"/>
  <c r="AU237"/>
  <c r="BA237"/>
  <c r="AT237"/>
  <c r="AS237"/>
  <c r="AR237"/>
  <c r="AP237"/>
  <c r="AO237"/>
  <c r="AC237"/>
  <c r="AB237"/>
  <c r="AA237"/>
  <c r="X237"/>
  <c r="W237"/>
  <c r="AJ237"/>
  <c r="U237"/>
  <c r="S237"/>
  <c r="R237"/>
  <c r="Q237"/>
  <c r="P237"/>
  <c r="N237"/>
  <c r="L237"/>
  <c r="BC236"/>
  <c r="AU236"/>
  <c r="BA236"/>
  <c r="AT236"/>
  <c r="AY236"/>
  <c r="AR236"/>
  <c r="AP236"/>
  <c r="AO236"/>
  <c r="AC236"/>
  <c r="AB236"/>
  <c r="AA236"/>
  <c r="X236"/>
  <c r="W236"/>
  <c r="U236"/>
  <c r="R236"/>
  <c r="Q236"/>
  <c r="P236"/>
  <c r="N236"/>
  <c r="L236"/>
  <c r="BC235"/>
  <c r="AU235"/>
  <c r="AT235"/>
  <c r="AY235"/>
  <c r="AS235"/>
  <c r="AR235"/>
  <c r="AP235"/>
  <c r="AO235"/>
  <c r="AC235"/>
  <c r="AB235"/>
  <c r="AA235"/>
  <c r="X235"/>
  <c r="W235"/>
  <c r="AK235"/>
  <c r="U235"/>
  <c r="R235"/>
  <c r="Q235"/>
  <c r="P235"/>
  <c r="O235"/>
  <c r="N235"/>
  <c r="L235"/>
  <c r="BC234"/>
  <c r="AU234"/>
  <c r="AT234"/>
  <c r="AR234"/>
  <c r="AP234"/>
  <c r="AO234"/>
  <c r="AC234"/>
  <c r="AB234"/>
  <c r="AA234"/>
  <c r="X234"/>
  <c r="W234"/>
  <c r="U234"/>
  <c r="R234"/>
  <c r="Q234"/>
  <c r="P234"/>
  <c r="N234"/>
  <c r="M234"/>
  <c r="L234"/>
  <c r="BC233"/>
  <c r="AU233"/>
  <c r="AT233"/>
  <c r="AY233"/>
  <c r="AO233"/>
  <c r="AC233"/>
  <c r="AA233"/>
  <c r="X233"/>
  <c r="U233"/>
  <c r="R233"/>
  <c r="Q233"/>
  <c r="N233"/>
  <c r="L233"/>
  <c r="BC232"/>
  <c r="AU232"/>
  <c r="AT232"/>
  <c r="AY232"/>
  <c r="AS232"/>
  <c r="AP232"/>
  <c r="AO232"/>
  <c r="AB232"/>
  <c r="AA232"/>
  <c r="X232"/>
  <c r="W232"/>
  <c r="U232"/>
  <c r="R232"/>
  <c r="Q232"/>
  <c r="P232"/>
  <c r="N232"/>
  <c r="BC231"/>
  <c r="AU231"/>
  <c r="AT231"/>
  <c r="AY231"/>
  <c r="AR231"/>
  <c r="AP231"/>
  <c r="AO231"/>
  <c r="AC231"/>
  <c r="AB231"/>
  <c r="AA231"/>
  <c r="X231"/>
  <c r="W231"/>
  <c r="U231"/>
  <c r="R231"/>
  <c r="P231"/>
  <c r="N231"/>
  <c r="L231"/>
  <c r="BC230"/>
  <c r="AU230"/>
  <c r="BB230"/>
  <c r="AT230"/>
  <c r="AY230"/>
  <c r="AS230"/>
  <c r="AR230"/>
  <c r="AP230"/>
  <c r="AO230"/>
  <c r="AC230"/>
  <c r="AB230"/>
  <c r="AA230"/>
  <c r="Z230"/>
  <c r="X230"/>
  <c r="AL230"/>
  <c r="W230"/>
  <c r="U230"/>
  <c r="S230"/>
  <c r="R230"/>
  <c r="Q230"/>
  <c r="P230"/>
  <c r="N230"/>
  <c r="M230"/>
  <c r="L230"/>
  <c r="BC229"/>
  <c r="AO229"/>
  <c r="U229"/>
  <c r="BC228"/>
  <c r="BB228"/>
  <c r="BA228"/>
  <c r="AZ228"/>
  <c r="AY228"/>
  <c r="AX228"/>
  <c r="AO228"/>
  <c r="U228"/>
  <c r="BC227"/>
  <c r="AU227"/>
  <c r="BB227"/>
  <c r="AT227"/>
  <c r="AY227"/>
  <c r="AS227"/>
  <c r="AR227"/>
  <c r="AP227"/>
  <c r="AO227"/>
  <c r="AC227"/>
  <c r="AB227"/>
  <c r="AA227"/>
  <c r="Z227"/>
  <c r="X227"/>
  <c r="W227"/>
  <c r="U227"/>
  <c r="R227"/>
  <c r="Q227"/>
  <c r="P227"/>
  <c r="O227"/>
  <c r="N227"/>
  <c r="M227"/>
  <c r="L227"/>
  <c r="BC226"/>
  <c r="AU226"/>
  <c r="BA226"/>
  <c r="AT226"/>
  <c r="AR226"/>
  <c r="AP226"/>
  <c r="AO226"/>
  <c r="AC226"/>
  <c r="AB226"/>
  <c r="AA226"/>
  <c r="Z226"/>
  <c r="X226"/>
  <c r="W226"/>
  <c r="U226"/>
  <c r="S226"/>
  <c r="R226"/>
  <c r="Q226"/>
  <c r="P226"/>
  <c r="AF226"/>
  <c r="O226"/>
  <c r="AD226"/>
  <c r="N226"/>
  <c r="L226"/>
  <c r="BC225"/>
  <c r="AT225"/>
  <c r="AY225"/>
  <c r="AR225"/>
  <c r="AO225"/>
  <c r="AA225"/>
  <c r="X225"/>
  <c r="W225"/>
  <c r="U225"/>
  <c r="L225"/>
  <c r="BC224"/>
  <c r="AU224"/>
  <c r="BA224"/>
  <c r="AT224"/>
  <c r="AY224"/>
  <c r="AR224"/>
  <c r="AP224"/>
  <c r="AO224"/>
  <c r="AC224"/>
  <c r="AB224"/>
  <c r="AA224"/>
  <c r="X224"/>
  <c r="W224"/>
  <c r="U224"/>
  <c r="R224"/>
  <c r="Q224"/>
  <c r="P224"/>
  <c r="N224"/>
  <c r="L224"/>
  <c r="BC223"/>
  <c r="AX223"/>
  <c r="AU223"/>
  <c r="BB223"/>
  <c r="AT223"/>
  <c r="AY223"/>
  <c r="AS223"/>
  <c r="AR223"/>
  <c r="AP223"/>
  <c r="AO223"/>
  <c r="AC223"/>
  <c r="AB223"/>
  <c r="AA223"/>
  <c r="Z223"/>
  <c r="X223"/>
  <c r="AL223"/>
  <c r="W223"/>
  <c r="U223"/>
  <c r="S223"/>
  <c r="R223"/>
  <c r="Q223"/>
  <c r="P223"/>
  <c r="N223"/>
  <c r="M223"/>
  <c r="L223"/>
  <c r="BC222"/>
  <c r="AU222"/>
  <c r="AT222"/>
  <c r="AY222"/>
  <c r="AS222"/>
  <c r="AR222"/>
  <c r="AP222"/>
  <c r="AO222"/>
  <c r="AC222"/>
  <c r="AB222"/>
  <c r="AA222"/>
  <c r="X222"/>
  <c r="W222"/>
  <c r="U222"/>
  <c r="S222"/>
  <c r="R222"/>
  <c r="Q222"/>
  <c r="P222"/>
  <c r="N222"/>
  <c r="L222"/>
  <c r="BC221"/>
  <c r="BB221"/>
  <c r="BA221"/>
  <c r="AZ221"/>
  <c r="AY221"/>
  <c r="AX221"/>
  <c r="AO221"/>
  <c r="U221"/>
  <c r="BC220"/>
  <c r="AO220"/>
  <c r="U220"/>
  <c r="BC219"/>
  <c r="BB219"/>
  <c r="BA219"/>
  <c r="AZ219"/>
  <c r="AY219"/>
  <c r="AX219"/>
  <c r="AO219"/>
  <c r="U219"/>
  <c r="BC218"/>
  <c r="AU218"/>
  <c r="AT218"/>
  <c r="AY218"/>
  <c r="AS218"/>
  <c r="AR218"/>
  <c r="AP218"/>
  <c r="AO218"/>
  <c r="AC218"/>
  <c r="AB218"/>
  <c r="AA218"/>
  <c r="Z218"/>
  <c r="X218"/>
  <c r="W218"/>
  <c r="U218"/>
  <c r="R218"/>
  <c r="Q218"/>
  <c r="P218"/>
  <c r="N218"/>
  <c r="M218"/>
  <c r="L218"/>
  <c r="BC217"/>
  <c r="AU217"/>
  <c r="BA217"/>
  <c r="AT217"/>
  <c r="AS217"/>
  <c r="AR217"/>
  <c r="AP217"/>
  <c r="AO217"/>
  <c r="AC217"/>
  <c r="AB217"/>
  <c r="AA217"/>
  <c r="Z217"/>
  <c r="X217"/>
  <c r="W217"/>
  <c r="U217"/>
  <c r="S217"/>
  <c r="R217"/>
  <c r="Q217"/>
  <c r="P217"/>
  <c r="N217"/>
  <c r="L217"/>
  <c r="BC216"/>
  <c r="AU216"/>
  <c r="BB216"/>
  <c r="AT216"/>
  <c r="AY216"/>
  <c r="AR216"/>
  <c r="AP216"/>
  <c r="AO216"/>
  <c r="AC216"/>
  <c r="AB216"/>
  <c r="AG216"/>
  <c r="AA216"/>
  <c r="X216"/>
  <c r="W216"/>
  <c r="U216"/>
  <c r="S216"/>
  <c r="R216"/>
  <c r="Q216"/>
  <c r="P216"/>
  <c r="N216"/>
  <c r="L216"/>
  <c r="BC215"/>
  <c r="AU215"/>
  <c r="AT215"/>
  <c r="AY215"/>
  <c r="AR215"/>
  <c r="AP215"/>
  <c r="AO215"/>
  <c r="AC215"/>
  <c r="AB215"/>
  <c r="AA215"/>
  <c r="X215"/>
  <c r="AL215"/>
  <c r="W215"/>
  <c r="U215"/>
  <c r="S215"/>
  <c r="R215"/>
  <c r="AX215"/>
  <c r="Q215"/>
  <c r="AF215"/>
  <c r="P215"/>
  <c r="N215"/>
  <c r="L215"/>
  <c r="BC214"/>
  <c r="AO214"/>
  <c r="U214"/>
  <c r="BC213"/>
  <c r="BB213"/>
  <c r="BA213"/>
  <c r="AZ213"/>
  <c r="AY213"/>
  <c r="AX213"/>
  <c r="AO213"/>
  <c r="U213"/>
  <c r="BC212"/>
  <c r="AO212"/>
  <c r="U212"/>
  <c r="BC211"/>
  <c r="BB211"/>
  <c r="BA211"/>
  <c r="AZ211"/>
  <c r="AY211"/>
  <c r="AX211"/>
  <c r="AO211"/>
  <c r="U211"/>
  <c r="BC210"/>
  <c r="AU210"/>
  <c r="BA210"/>
  <c r="AT210"/>
  <c r="AR210"/>
  <c r="AP210"/>
  <c r="AO210"/>
  <c r="AG210"/>
  <c r="AC210"/>
  <c r="AB210"/>
  <c r="AA210"/>
  <c r="Z210"/>
  <c r="X210"/>
  <c r="W210"/>
  <c r="U210"/>
  <c r="R210"/>
  <c r="Q210"/>
  <c r="P210"/>
  <c r="AF210"/>
  <c r="O210"/>
  <c r="N210"/>
  <c r="M210"/>
  <c r="L210"/>
  <c r="BC209"/>
  <c r="BB209"/>
  <c r="AU209"/>
  <c r="AT209"/>
  <c r="AY209"/>
  <c r="AS209"/>
  <c r="AR209"/>
  <c r="AP209"/>
  <c r="AO209"/>
  <c r="AC209"/>
  <c r="AC208"/>
  <c r="AB209"/>
  <c r="AA209"/>
  <c r="X209"/>
  <c r="W209"/>
  <c r="U209"/>
  <c r="R209"/>
  <c r="Q209"/>
  <c r="Q208"/>
  <c r="P209"/>
  <c r="O209"/>
  <c r="N209"/>
  <c r="L209"/>
  <c r="BC208"/>
  <c r="AO208"/>
  <c r="U208"/>
  <c r="BC207"/>
  <c r="BB207"/>
  <c r="BA207"/>
  <c r="AZ207"/>
  <c r="AY207"/>
  <c r="AX207"/>
  <c r="AO207"/>
  <c r="U207"/>
  <c r="BC206"/>
  <c r="AU206"/>
  <c r="BA206"/>
  <c r="AT206"/>
  <c r="AY206"/>
  <c r="AS206"/>
  <c r="AS205"/>
  <c r="AR206"/>
  <c r="AR205"/>
  <c r="AP206"/>
  <c r="AP205"/>
  <c r="AO206"/>
  <c r="AC206"/>
  <c r="AC205"/>
  <c r="AB206"/>
  <c r="AB205"/>
  <c r="AA206"/>
  <c r="AA205"/>
  <c r="X206"/>
  <c r="X205"/>
  <c r="W206"/>
  <c r="U206"/>
  <c r="R206"/>
  <c r="Q206"/>
  <c r="Q205"/>
  <c r="P206"/>
  <c r="N206"/>
  <c r="N205"/>
  <c r="M206"/>
  <c r="L206"/>
  <c r="L205"/>
  <c r="BC205"/>
  <c r="AO205"/>
  <c r="U205"/>
  <c r="BC204"/>
  <c r="BB204"/>
  <c r="BA204"/>
  <c r="AZ204"/>
  <c r="AY204"/>
  <c r="AX204"/>
  <c r="AO204"/>
  <c r="U204"/>
  <c r="BC203"/>
  <c r="AU203"/>
  <c r="BA203"/>
  <c r="AT203"/>
  <c r="AR203"/>
  <c r="AP203"/>
  <c r="AO203"/>
  <c r="AC203"/>
  <c r="AB203"/>
  <c r="AA203"/>
  <c r="X203"/>
  <c r="W203"/>
  <c r="U203"/>
  <c r="R203"/>
  <c r="Q203"/>
  <c r="P203"/>
  <c r="N203"/>
  <c r="L203"/>
  <c r="BC202"/>
  <c r="AU202"/>
  <c r="BA202"/>
  <c r="AT202"/>
  <c r="AR202"/>
  <c r="AP202"/>
  <c r="AO202"/>
  <c r="AC202"/>
  <c r="AB202"/>
  <c r="AA202"/>
  <c r="X202"/>
  <c r="W202"/>
  <c r="U202"/>
  <c r="R202"/>
  <c r="Q202"/>
  <c r="P202"/>
  <c r="N202"/>
  <c r="L202"/>
  <c r="BC201"/>
  <c r="AP201"/>
  <c r="AO201"/>
  <c r="U201"/>
  <c r="L201"/>
  <c r="BC200"/>
  <c r="BB200"/>
  <c r="BA200"/>
  <c r="AZ200"/>
  <c r="AY200"/>
  <c r="AX200"/>
  <c r="AO200"/>
  <c r="U200"/>
  <c r="BC199"/>
  <c r="AO199"/>
  <c r="U199"/>
  <c r="BC198"/>
  <c r="BB198"/>
  <c r="BA198"/>
  <c r="AZ198"/>
  <c r="AY198"/>
  <c r="AX198"/>
  <c r="AO198"/>
  <c r="U198"/>
  <c r="BC197"/>
  <c r="AO197"/>
  <c r="U197"/>
  <c r="U13"/>
  <c r="BC196"/>
  <c r="BB196"/>
  <c r="BA196"/>
  <c r="AZ196"/>
  <c r="AY196"/>
  <c r="AX196"/>
  <c r="AO196"/>
  <c r="U196"/>
  <c r="BC195"/>
  <c r="AO195"/>
  <c r="V195"/>
  <c r="U195"/>
  <c r="BC190"/>
  <c r="BB190"/>
  <c r="BA190"/>
  <c r="AZ190"/>
  <c r="AY190"/>
  <c r="AX190"/>
  <c r="AO190"/>
  <c r="U190"/>
  <c r="BC189"/>
  <c r="BB189"/>
  <c r="BA189"/>
  <c r="AZ189"/>
  <c r="AY189"/>
  <c r="AX189"/>
  <c r="AO189"/>
  <c r="AN189"/>
  <c r="AM189"/>
  <c r="U189"/>
  <c r="BC188"/>
  <c r="BB188"/>
  <c r="BA188"/>
  <c r="AZ188"/>
  <c r="AY188"/>
  <c r="AX188"/>
  <c r="AO188"/>
  <c r="AN188"/>
  <c r="AM188"/>
  <c r="AC188"/>
  <c r="AB188"/>
  <c r="U188"/>
  <c r="Q188"/>
  <c r="P188"/>
  <c r="O188"/>
  <c r="N188"/>
  <c r="M188"/>
  <c r="L188"/>
  <c r="BC187"/>
  <c r="BB187"/>
  <c r="BA187"/>
  <c r="AZ187"/>
  <c r="AY187"/>
  <c r="AX187"/>
  <c r="AO187"/>
  <c r="AN187"/>
  <c r="AM187"/>
  <c r="U187"/>
  <c r="M187"/>
  <c r="M186"/>
  <c r="BC186"/>
  <c r="BB186"/>
  <c r="BA186"/>
  <c r="AZ186"/>
  <c r="AY186"/>
  <c r="AX186"/>
  <c r="AO186"/>
  <c r="AN186"/>
  <c r="AM186"/>
  <c r="AC186"/>
  <c r="AB186"/>
  <c r="U186"/>
  <c r="Q186"/>
  <c r="P186"/>
  <c r="O186"/>
  <c r="N186"/>
  <c r="L186"/>
  <c r="BC185"/>
  <c r="BB185"/>
  <c r="BA185"/>
  <c r="AZ185"/>
  <c r="AY185"/>
  <c r="AX185"/>
  <c r="AO185"/>
  <c r="AN185"/>
  <c r="AM185"/>
  <c r="U185"/>
  <c r="BC184"/>
  <c r="BB184"/>
  <c r="BA184"/>
  <c r="AZ184"/>
  <c r="AY184"/>
  <c r="AX184"/>
  <c r="AO184"/>
  <c r="AN184"/>
  <c r="AM184"/>
  <c r="AL184"/>
  <c r="AK184"/>
  <c r="AJ184"/>
  <c r="AG184"/>
  <c r="AF184"/>
  <c r="U184"/>
  <c r="O184"/>
  <c r="AE184"/>
  <c r="M184"/>
  <c r="BC183"/>
  <c r="AU183"/>
  <c r="AT183"/>
  <c r="AY183"/>
  <c r="AS183"/>
  <c r="AS181"/>
  <c r="AS179"/>
  <c r="AR183"/>
  <c r="AR181"/>
  <c r="AR179"/>
  <c r="AP183"/>
  <c r="AP181"/>
  <c r="AP179"/>
  <c r="AO183"/>
  <c r="AN183"/>
  <c r="AM183"/>
  <c r="AJ183"/>
  <c r="AC183"/>
  <c r="AB183"/>
  <c r="X183"/>
  <c r="X181"/>
  <c r="W183"/>
  <c r="U183"/>
  <c r="Q183"/>
  <c r="P183"/>
  <c r="N183"/>
  <c r="M183"/>
  <c r="L183"/>
  <c r="L181"/>
  <c r="L179"/>
  <c r="BC182"/>
  <c r="BB182"/>
  <c r="BA182"/>
  <c r="AZ182"/>
  <c r="AY182"/>
  <c r="AX182"/>
  <c r="AO182"/>
  <c r="AN182"/>
  <c r="AM182"/>
  <c r="U182"/>
  <c r="BC181"/>
  <c r="AO181"/>
  <c r="AN181"/>
  <c r="AM181"/>
  <c r="W181"/>
  <c r="W179"/>
  <c r="AJ179"/>
  <c r="U181"/>
  <c r="BC180"/>
  <c r="BB180"/>
  <c r="BA180"/>
  <c r="AZ180"/>
  <c r="AY180"/>
  <c r="AX180"/>
  <c r="AO180"/>
  <c r="AN180"/>
  <c r="AM180"/>
  <c r="U180"/>
  <c r="BC179"/>
  <c r="AO179"/>
  <c r="AN179"/>
  <c r="AM179"/>
  <c r="U179"/>
  <c r="BC178"/>
  <c r="BB178"/>
  <c r="BA178"/>
  <c r="AZ178"/>
  <c r="AY178"/>
  <c r="AX178"/>
  <c r="AO178"/>
  <c r="AN178"/>
  <c r="AM178"/>
  <c r="AK178"/>
  <c r="U178"/>
  <c r="BC177"/>
  <c r="BB177"/>
  <c r="BA177"/>
  <c r="AZ177"/>
  <c r="AY177"/>
  <c r="AX177"/>
  <c r="AO177"/>
  <c r="AN177"/>
  <c r="AM177"/>
  <c r="U177"/>
  <c r="BC176"/>
  <c r="BB176"/>
  <c r="BA176"/>
  <c r="AZ176"/>
  <c r="AY176"/>
  <c r="AX176"/>
  <c r="AO176"/>
  <c r="AN176"/>
  <c r="AM176"/>
  <c r="AJ176"/>
  <c r="U176"/>
  <c r="M176"/>
  <c r="M175"/>
  <c r="M174"/>
  <c r="M172"/>
  <c r="BC175"/>
  <c r="AU175"/>
  <c r="BA175"/>
  <c r="AT175"/>
  <c r="AS175"/>
  <c r="AS174"/>
  <c r="AS172"/>
  <c r="AR175"/>
  <c r="AR174"/>
  <c r="AR172"/>
  <c r="AP175"/>
  <c r="AP174"/>
  <c r="AP172"/>
  <c r="AO175"/>
  <c r="AN175"/>
  <c r="AM175"/>
  <c r="AC175"/>
  <c r="AC174"/>
  <c r="AC172"/>
  <c r="AB175"/>
  <c r="AB174"/>
  <c r="AB172"/>
  <c r="X175"/>
  <c r="X174"/>
  <c r="X172"/>
  <c r="W175"/>
  <c r="U175"/>
  <c r="Q175"/>
  <c r="Q174"/>
  <c r="Q172"/>
  <c r="P175"/>
  <c r="P174"/>
  <c r="P172"/>
  <c r="O175"/>
  <c r="N175"/>
  <c r="N174"/>
  <c r="N172"/>
  <c r="L175"/>
  <c r="L174"/>
  <c r="L172"/>
  <c r="BC174"/>
  <c r="AO174"/>
  <c r="AN174"/>
  <c r="AM174"/>
  <c r="U174"/>
  <c r="BC173"/>
  <c r="BB173"/>
  <c r="BA173"/>
  <c r="AZ173"/>
  <c r="AY173"/>
  <c r="AX173"/>
  <c r="AO173"/>
  <c r="AN173"/>
  <c r="AM173"/>
  <c r="U173"/>
  <c r="BC172"/>
  <c r="AO172"/>
  <c r="AN172"/>
  <c r="AM172"/>
  <c r="U172"/>
  <c r="BC171"/>
  <c r="BB171"/>
  <c r="BA171"/>
  <c r="AZ171"/>
  <c r="AY171"/>
  <c r="AX171"/>
  <c r="AO171"/>
  <c r="AN171"/>
  <c r="AM171"/>
  <c r="U171"/>
  <c r="BC170"/>
  <c r="AO170"/>
  <c r="AN170"/>
  <c r="AM170"/>
  <c r="U170"/>
  <c r="U11"/>
  <c r="BC169"/>
  <c r="BB169"/>
  <c r="BA169"/>
  <c r="AZ169"/>
  <c r="AY169"/>
  <c r="AX169"/>
  <c r="AO169"/>
  <c r="AN169"/>
  <c r="AM169"/>
  <c r="U169"/>
  <c r="BC168"/>
  <c r="BB168"/>
  <c r="BA168"/>
  <c r="AZ168"/>
  <c r="AY168"/>
  <c r="AX168"/>
  <c r="AO168"/>
  <c r="AN168"/>
  <c r="AM168"/>
  <c r="AL168"/>
  <c r="AK168"/>
  <c r="AJ168"/>
  <c r="AG168"/>
  <c r="AF168"/>
  <c r="U168"/>
  <c r="O168"/>
  <c r="AE168"/>
  <c r="M168"/>
  <c r="BC167"/>
  <c r="AU167"/>
  <c r="BA167"/>
  <c r="AT167"/>
  <c r="AY167"/>
  <c r="AS167"/>
  <c r="AR167"/>
  <c r="AP167"/>
  <c r="AO167"/>
  <c r="AN167"/>
  <c r="AM167"/>
  <c r="AC167"/>
  <c r="AB167"/>
  <c r="X167"/>
  <c r="AL167"/>
  <c r="W167"/>
  <c r="AJ167"/>
  <c r="U167"/>
  <c r="Q167"/>
  <c r="P167"/>
  <c r="N167"/>
  <c r="L167"/>
  <c r="BC166"/>
  <c r="BB166"/>
  <c r="BA166"/>
  <c r="AZ166"/>
  <c r="AY166"/>
  <c r="AX166"/>
  <c r="AO166"/>
  <c r="AN166"/>
  <c r="AM166"/>
  <c r="AJ166"/>
  <c r="U166"/>
  <c r="BC165"/>
  <c r="BB165"/>
  <c r="BA165"/>
  <c r="AZ165"/>
  <c r="AY165"/>
  <c r="AX165"/>
  <c r="AO165"/>
  <c r="AN165"/>
  <c r="AM165"/>
  <c r="U165"/>
  <c r="BC164"/>
  <c r="BB164"/>
  <c r="BA164"/>
  <c r="AZ164"/>
  <c r="AY164"/>
  <c r="AX164"/>
  <c r="AO164"/>
  <c r="AN164"/>
  <c r="AM164"/>
  <c r="AL164"/>
  <c r="AK164"/>
  <c r="AJ164"/>
  <c r="AG164"/>
  <c r="AF164"/>
  <c r="U164"/>
  <c r="O164"/>
  <c r="AE164"/>
  <c r="M164"/>
  <c r="BC163"/>
  <c r="AU163"/>
  <c r="AT163"/>
  <c r="AS163"/>
  <c r="AR163"/>
  <c r="AR161"/>
  <c r="AP163"/>
  <c r="AP161"/>
  <c r="AO163"/>
  <c r="AN163"/>
  <c r="AM163"/>
  <c r="AC163"/>
  <c r="AB163"/>
  <c r="AB161"/>
  <c r="X163"/>
  <c r="W163"/>
  <c r="U163"/>
  <c r="Q163"/>
  <c r="P163"/>
  <c r="N163"/>
  <c r="L163"/>
  <c r="BC162"/>
  <c r="BB162"/>
  <c r="BA162"/>
  <c r="AZ162"/>
  <c r="AY162"/>
  <c r="AX162"/>
  <c r="AO162"/>
  <c r="AN162"/>
  <c r="AM162"/>
  <c r="U162"/>
  <c r="BC161"/>
  <c r="AO161"/>
  <c r="AN161"/>
  <c r="AM161"/>
  <c r="U161"/>
  <c r="BC160"/>
  <c r="BB160"/>
  <c r="BA160"/>
  <c r="AZ160"/>
  <c r="AY160"/>
  <c r="AX160"/>
  <c r="AO160"/>
  <c r="AN160"/>
  <c r="AM160"/>
  <c r="U160"/>
  <c r="BC159"/>
  <c r="BB159"/>
  <c r="BA159"/>
  <c r="AZ159"/>
  <c r="AY159"/>
  <c r="AX159"/>
  <c r="AO159"/>
  <c r="AN159"/>
  <c r="AM159"/>
  <c r="AK159"/>
  <c r="U159"/>
  <c r="O159"/>
  <c r="M159"/>
  <c r="BC158"/>
  <c r="BB158"/>
  <c r="BA158"/>
  <c r="AZ158"/>
  <c r="AY158"/>
  <c r="AX158"/>
  <c r="AO158"/>
  <c r="AN158"/>
  <c r="AM158"/>
  <c r="AF158"/>
  <c r="U158"/>
  <c r="O158"/>
  <c r="AE158"/>
  <c r="M158"/>
  <c r="BC157"/>
  <c r="AU157"/>
  <c r="AT157"/>
  <c r="AY157"/>
  <c r="AS157"/>
  <c r="AS154"/>
  <c r="AR157"/>
  <c r="AR154"/>
  <c r="AP157"/>
  <c r="AP154"/>
  <c r="AO157"/>
  <c r="AN157"/>
  <c r="AM157"/>
  <c r="AC157"/>
  <c r="AC154"/>
  <c r="AB157"/>
  <c r="X157"/>
  <c r="X154"/>
  <c r="W157"/>
  <c r="W154"/>
  <c r="U157"/>
  <c r="Q157"/>
  <c r="P157"/>
  <c r="N157"/>
  <c r="N154"/>
  <c r="L157"/>
  <c r="L154"/>
  <c r="BC156"/>
  <c r="BB156"/>
  <c r="BA156"/>
  <c r="AZ156"/>
  <c r="AY156"/>
  <c r="AX156"/>
  <c r="AO156"/>
  <c r="AN156"/>
  <c r="AM156"/>
  <c r="U156"/>
  <c r="BC155"/>
  <c r="BB155"/>
  <c r="BA155"/>
  <c r="AZ155"/>
  <c r="AY155"/>
  <c r="AX155"/>
  <c r="AO155"/>
  <c r="AN155"/>
  <c r="AM155"/>
  <c r="U155"/>
  <c r="BC154"/>
  <c r="AO154"/>
  <c r="AN154"/>
  <c r="AM154"/>
  <c r="AB154"/>
  <c r="U154"/>
  <c r="BC153"/>
  <c r="BB153"/>
  <c r="BA153"/>
  <c r="AZ153"/>
  <c r="AY153"/>
  <c r="AX153"/>
  <c r="AO153"/>
  <c r="AN153"/>
  <c r="AM153"/>
  <c r="U153"/>
  <c r="BC152"/>
  <c r="BB152"/>
  <c r="BA152"/>
  <c r="AZ152"/>
  <c r="AY152"/>
  <c r="AX152"/>
  <c r="AO152"/>
  <c r="AN152"/>
  <c r="AM152"/>
  <c r="AL152"/>
  <c r="AK152"/>
  <c r="AJ152"/>
  <c r="AG152"/>
  <c r="AF152"/>
  <c r="U152"/>
  <c r="O152"/>
  <c r="AE152"/>
  <c r="M152"/>
  <c r="BC151"/>
  <c r="BB151"/>
  <c r="BA151"/>
  <c r="AZ151"/>
  <c r="AY151"/>
  <c r="AX151"/>
  <c r="AO151"/>
  <c r="AN151"/>
  <c r="AM151"/>
  <c r="AL151"/>
  <c r="AK151"/>
  <c r="AJ151"/>
  <c r="AG151"/>
  <c r="AF151"/>
  <c r="U151"/>
  <c r="O151"/>
  <c r="AE151"/>
  <c r="M151"/>
  <c r="BC150"/>
  <c r="AU150"/>
  <c r="BB150"/>
  <c r="AT150"/>
  <c r="AY150"/>
  <c r="AS150"/>
  <c r="AR150"/>
  <c r="AP150"/>
  <c r="AO150"/>
  <c r="AN150"/>
  <c r="AM150"/>
  <c r="AC150"/>
  <c r="AB150"/>
  <c r="X150"/>
  <c r="W150"/>
  <c r="U150"/>
  <c r="Q150"/>
  <c r="P150"/>
  <c r="N150"/>
  <c r="L150"/>
  <c r="BC149"/>
  <c r="BB149"/>
  <c r="BA149"/>
  <c r="AZ149"/>
  <c r="AY149"/>
  <c r="AX149"/>
  <c r="AO149"/>
  <c r="AN149"/>
  <c r="AM149"/>
  <c r="U149"/>
  <c r="BC148"/>
  <c r="BB148"/>
  <c r="BA148"/>
  <c r="AZ148"/>
  <c r="AY148"/>
  <c r="AX148"/>
  <c r="AO148"/>
  <c r="AN148"/>
  <c r="AM148"/>
  <c r="AL148"/>
  <c r="AK148"/>
  <c r="AJ148"/>
  <c r="AG148"/>
  <c r="AF148"/>
  <c r="U148"/>
  <c r="O148"/>
  <c r="M148"/>
  <c r="BC147"/>
  <c r="BB147"/>
  <c r="BA147"/>
  <c r="AZ147"/>
  <c r="AY147"/>
  <c r="AX147"/>
  <c r="AO147"/>
  <c r="AN147"/>
  <c r="AM147"/>
  <c r="U147"/>
  <c r="BC146"/>
  <c r="BB146"/>
  <c r="BA146"/>
  <c r="AZ146"/>
  <c r="AY146"/>
  <c r="AX146"/>
  <c r="AO146"/>
  <c r="AN146"/>
  <c r="AM146"/>
  <c r="U146"/>
  <c r="BC145"/>
  <c r="BB145"/>
  <c r="BA145"/>
  <c r="AZ145"/>
  <c r="AY145"/>
  <c r="AX145"/>
  <c r="AO145"/>
  <c r="AN145"/>
  <c r="AM145"/>
  <c r="AL145"/>
  <c r="AK145"/>
  <c r="AJ145"/>
  <c r="AG145"/>
  <c r="AF145"/>
  <c r="U145"/>
  <c r="O145"/>
  <c r="AE145"/>
  <c r="M145"/>
  <c r="BC144"/>
  <c r="AU144"/>
  <c r="BB144"/>
  <c r="AT144"/>
  <c r="AX144"/>
  <c r="AS144"/>
  <c r="AS142"/>
  <c r="AR144"/>
  <c r="AR142"/>
  <c r="AP144"/>
  <c r="AP142"/>
  <c r="AO144"/>
  <c r="AN144"/>
  <c r="AM144"/>
  <c r="AC144"/>
  <c r="AC142"/>
  <c r="AB144"/>
  <c r="AG144"/>
  <c r="X144"/>
  <c r="AL144"/>
  <c r="W144"/>
  <c r="U144"/>
  <c r="Q144"/>
  <c r="P144"/>
  <c r="P142"/>
  <c r="N144"/>
  <c r="N142"/>
  <c r="L144"/>
  <c r="L142"/>
  <c r="BC143"/>
  <c r="BB143"/>
  <c r="BA143"/>
  <c r="AZ143"/>
  <c r="AY143"/>
  <c r="AX143"/>
  <c r="AO143"/>
  <c r="AN143"/>
  <c r="AM143"/>
  <c r="U143"/>
  <c r="BC142"/>
  <c r="AO142"/>
  <c r="AN142"/>
  <c r="AM142"/>
  <c r="U142"/>
  <c r="BC141"/>
  <c r="BB141"/>
  <c r="BA141"/>
  <c r="AZ141"/>
  <c r="AY141"/>
  <c r="AX141"/>
  <c r="AO141"/>
  <c r="AN141"/>
  <c r="AM141"/>
  <c r="AL141"/>
  <c r="AK141"/>
  <c r="U141"/>
  <c r="BC140"/>
  <c r="BB140"/>
  <c r="BA140"/>
  <c r="AZ140"/>
  <c r="AY140"/>
  <c r="AX140"/>
  <c r="AO140"/>
  <c r="AN140"/>
  <c r="AM140"/>
  <c r="AL140"/>
  <c r="AK140"/>
  <c r="AJ140"/>
  <c r="AG140"/>
  <c r="AF140"/>
  <c r="U140"/>
  <c r="O140"/>
  <c r="AE140"/>
  <c r="M140"/>
  <c r="BC139"/>
  <c r="BB139"/>
  <c r="BA139"/>
  <c r="AZ139"/>
  <c r="AY139"/>
  <c r="AX139"/>
  <c r="AO139"/>
  <c r="AN139"/>
  <c r="AM139"/>
  <c r="AL139"/>
  <c r="AK139"/>
  <c r="AJ139"/>
  <c r="AG139"/>
  <c r="AF139"/>
  <c r="U139"/>
  <c r="O139"/>
  <c r="AE139"/>
  <c r="M139"/>
  <c r="M138"/>
  <c r="BC138"/>
  <c r="AU138"/>
  <c r="AT138"/>
  <c r="AY138"/>
  <c r="AS138"/>
  <c r="AR138"/>
  <c r="AP138"/>
  <c r="AO138"/>
  <c r="AN138"/>
  <c r="AM138"/>
  <c r="AC138"/>
  <c r="AB138"/>
  <c r="X138"/>
  <c r="W138"/>
  <c r="U138"/>
  <c r="Q138"/>
  <c r="P138"/>
  <c r="N138"/>
  <c r="L138"/>
  <c r="BC137"/>
  <c r="BB137"/>
  <c r="BA137"/>
  <c r="AZ137"/>
  <c r="AY137"/>
  <c r="AX137"/>
  <c r="AN137"/>
  <c r="AJ137"/>
  <c r="U137"/>
  <c r="BC136"/>
  <c r="BB136"/>
  <c r="BA136"/>
  <c r="AZ136"/>
  <c r="AY136"/>
  <c r="AX136"/>
  <c r="AO136"/>
  <c r="AN136"/>
  <c r="AM136"/>
  <c r="AD136"/>
  <c r="U136"/>
  <c r="BC135"/>
  <c r="BB135"/>
  <c r="BA135"/>
  <c r="AZ135"/>
  <c r="AY135"/>
  <c r="AX135"/>
  <c r="AO135"/>
  <c r="AN135"/>
  <c r="AM135"/>
  <c r="AK135"/>
  <c r="AJ135"/>
  <c r="AG135"/>
  <c r="AF135"/>
  <c r="U135"/>
  <c r="O135"/>
  <c r="AE135"/>
  <c r="M135"/>
  <c r="M134"/>
  <c r="BC134"/>
  <c r="AU134"/>
  <c r="BB134"/>
  <c r="AT134"/>
  <c r="AY134"/>
  <c r="AS134"/>
  <c r="AS132"/>
  <c r="AR134"/>
  <c r="AP134"/>
  <c r="AO134"/>
  <c r="AN134"/>
  <c r="AM134"/>
  <c r="AC134"/>
  <c r="AB134"/>
  <c r="X134"/>
  <c r="W134"/>
  <c r="AJ134"/>
  <c r="U134"/>
  <c r="Q134"/>
  <c r="P134"/>
  <c r="N134"/>
  <c r="L134"/>
  <c r="BC133"/>
  <c r="BB133"/>
  <c r="BA133"/>
  <c r="AZ133"/>
  <c r="AY133"/>
  <c r="AX133"/>
  <c r="AO133"/>
  <c r="AN133"/>
  <c r="AM133"/>
  <c r="U133"/>
  <c r="BC132"/>
  <c r="AO132"/>
  <c r="AN132"/>
  <c r="AM132"/>
  <c r="X132"/>
  <c r="U132"/>
  <c r="BC131"/>
  <c r="BB131"/>
  <c r="BA131"/>
  <c r="AZ131"/>
  <c r="AY131"/>
  <c r="AX131"/>
  <c r="AO131"/>
  <c r="AN131"/>
  <c r="AM131"/>
  <c r="U131"/>
  <c r="BC130"/>
  <c r="AO130"/>
  <c r="AN130"/>
  <c r="AM130"/>
  <c r="U130"/>
  <c r="BC129"/>
  <c r="BB129"/>
  <c r="BA129"/>
  <c r="AZ129"/>
  <c r="AY129"/>
  <c r="AX129"/>
  <c r="AO129"/>
  <c r="AN129"/>
  <c r="AM129"/>
  <c r="U129"/>
  <c r="BC128"/>
  <c r="BB128"/>
  <c r="BA128"/>
  <c r="AZ128"/>
  <c r="AY128"/>
  <c r="AX128"/>
  <c r="AO128"/>
  <c r="AN128"/>
  <c r="AM128"/>
  <c r="AK128"/>
  <c r="AJ128"/>
  <c r="AG128"/>
  <c r="AF128"/>
  <c r="U128"/>
  <c r="O128"/>
  <c r="AE128"/>
  <c r="M128"/>
  <c r="M127"/>
  <c r="BC127"/>
  <c r="AU127"/>
  <c r="BB127"/>
  <c r="AT127"/>
  <c r="AY127"/>
  <c r="AS127"/>
  <c r="AR127"/>
  <c r="AP127"/>
  <c r="AO127"/>
  <c r="AN127"/>
  <c r="AM127"/>
  <c r="AC127"/>
  <c r="AB127"/>
  <c r="X127"/>
  <c r="W127"/>
  <c r="AJ127"/>
  <c r="U127"/>
  <c r="Q127"/>
  <c r="P127"/>
  <c r="N127"/>
  <c r="L127"/>
  <c r="BC126"/>
  <c r="BB126"/>
  <c r="BA126"/>
  <c r="AZ126"/>
  <c r="AY126"/>
  <c r="AX126"/>
  <c r="AO126"/>
  <c r="AN126"/>
  <c r="AM126"/>
  <c r="AJ126"/>
  <c r="U126"/>
  <c r="BC125"/>
  <c r="BB125"/>
  <c r="BA125"/>
  <c r="AZ125"/>
  <c r="AY125"/>
  <c r="AX125"/>
  <c r="AO125"/>
  <c r="AN125"/>
  <c r="AM125"/>
  <c r="U125"/>
  <c r="BC124"/>
  <c r="BB124"/>
  <c r="BA124"/>
  <c r="AZ124"/>
  <c r="AY124"/>
  <c r="AX124"/>
  <c r="AO124"/>
  <c r="AN124"/>
  <c r="AM124"/>
  <c r="AL124"/>
  <c r="AK124"/>
  <c r="AJ124"/>
  <c r="AG124"/>
  <c r="AF124"/>
  <c r="U124"/>
  <c r="O124"/>
  <c r="AE124"/>
  <c r="M124"/>
  <c r="BC123"/>
  <c r="BB123"/>
  <c r="BA123"/>
  <c r="AZ123"/>
  <c r="AY123"/>
  <c r="AX123"/>
  <c r="AO123"/>
  <c r="AN123"/>
  <c r="AM123"/>
  <c r="AK123"/>
  <c r="U123"/>
  <c r="O123"/>
  <c r="M123"/>
  <c r="BC122"/>
  <c r="BB122"/>
  <c r="BA122"/>
  <c r="AZ122"/>
  <c r="AY122"/>
  <c r="AX122"/>
  <c r="AO122"/>
  <c r="AN122"/>
  <c r="AM122"/>
  <c r="U122"/>
  <c r="BC121"/>
  <c r="AU121"/>
  <c r="BB121"/>
  <c r="AT121"/>
  <c r="AX121"/>
  <c r="AS121"/>
  <c r="AR121"/>
  <c r="AP121"/>
  <c r="AO121"/>
  <c r="AN121"/>
  <c r="AM121"/>
  <c r="AC121"/>
  <c r="AB121"/>
  <c r="X121"/>
  <c r="W121"/>
  <c r="U121"/>
  <c r="Q121"/>
  <c r="P121"/>
  <c r="P110"/>
  <c r="N121"/>
  <c r="L121"/>
  <c r="BC120"/>
  <c r="BB120"/>
  <c r="BA120"/>
  <c r="AZ120"/>
  <c r="AY120"/>
  <c r="AX120"/>
  <c r="AO120"/>
  <c r="AN120"/>
  <c r="AM120"/>
  <c r="U120"/>
  <c r="BC119"/>
  <c r="BB119"/>
  <c r="BA119"/>
  <c r="AZ119"/>
  <c r="AY119"/>
  <c r="AX119"/>
  <c r="AO119"/>
  <c r="AN119"/>
  <c r="AM119"/>
  <c r="AL119"/>
  <c r="AK119"/>
  <c r="AJ119"/>
  <c r="AG119"/>
  <c r="AF119"/>
  <c r="U119"/>
  <c r="O119"/>
  <c r="AE119"/>
  <c r="M119"/>
  <c r="BC118"/>
  <c r="BB118"/>
  <c r="BA118"/>
  <c r="AZ118"/>
  <c r="AY118"/>
  <c r="AX118"/>
  <c r="AO118"/>
  <c r="AN118"/>
  <c r="AM118"/>
  <c r="AL118"/>
  <c r="AK118"/>
  <c r="AJ118"/>
  <c r="AG118"/>
  <c r="AF118"/>
  <c r="U118"/>
  <c r="O118"/>
  <c r="AE118"/>
  <c r="M118"/>
  <c r="BC117"/>
  <c r="BB117"/>
  <c r="BA117"/>
  <c r="AZ117"/>
  <c r="AY117"/>
  <c r="AX117"/>
  <c r="AO117"/>
  <c r="AN117"/>
  <c r="AM117"/>
  <c r="AL117"/>
  <c r="AK117"/>
  <c r="AJ117"/>
  <c r="AG117"/>
  <c r="AF117"/>
  <c r="U117"/>
  <c r="O117"/>
  <c r="AE117"/>
  <c r="M117"/>
  <c r="BC116"/>
  <c r="BB116"/>
  <c r="BA116"/>
  <c r="AZ116"/>
  <c r="AY116"/>
  <c r="AX116"/>
  <c r="AO116"/>
  <c r="AN116"/>
  <c r="AM116"/>
  <c r="AL116"/>
  <c r="AK116"/>
  <c r="AJ116"/>
  <c r="AG116"/>
  <c r="AF116"/>
  <c r="U116"/>
  <c r="O116"/>
  <c r="AE116"/>
  <c r="M116"/>
  <c r="BC115"/>
  <c r="AU115"/>
  <c r="AT115"/>
  <c r="AY115"/>
  <c r="AS115"/>
  <c r="AR115"/>
  <c r="AP115"/>
  <c r="AO115"/>
  <c r="AN115"/>
  <c r="AM115"/>
  <c r="AC115"/>
  <c r="AB115"/>
  <c r="X115"/>
  <c r="W115"/>
  <c r="U115"/>
  <c r="Q115"/>
  <c r="P115"/>
  <c r="N115"/>
  <c r="L115"/>
  <c r="BC114"/>
  <c r="BB114"/>
  <c r="BA114"/>
  <c r="AZ114"/>
  <c r="AY114"/>
  <c r="AX114"/>
  <c r="AO114"/>
  <c r="AN114"/>
  <c r="AM114"/>
  <c r="U114"/>
  <c r="BC113"/>
  <c r="BB113"/>
  <c r="BA113"/>
  <c r="AZ113"/>
  <c r="AY113"/>
  <c r="AX113"/>
  <c r="AO113"/>
  <c r="AN113"/>
  <c r="AM113"/>
  <c r="U113"/>
  <c r="O113"/>
  <c r="BC112"/>
  <c r="BB112"/>
  <c r="BA112"/>
  <c r="AZ112"/>
  <c r="AY112"/>
  <c r="AX112"/>
  <c r="AO112"/>
  <c r="AN112"/>
  <c r="AM112"/>
  <c r="AL112"/>
  <c r="AK112"/>
  <c r="AJ112"/>
  <c r="AG112"/>
  <c r="AF112"/>
  <c r="U112"/>
  <c r="O112"/>
  <c r="AE112"/>
  <c r="M112"/>
  <c r="M111"/>
  <c r="BC111"/>
  <c r="AU111"/>
  <c r="AT111"/>
  <c r="AY111"/>
  <c r="AS111"/>
  <c r="AR111"/>
  <c r="AP111"/>
  <c r="AO111"/>
  <c r="AN111"/>
  <c r="AM111"/>
  <c r="AC111"/>
  <c r="AB111"/>
  <c r="X111"/>
  <c r="AL111"/>
  <c r="W111"/>
  <c r="U111"/>
  <c r="Q111"/>
  <c r="P111"/>
  <c r="N111"/>
  <c r="L111"/>
  <c r="L110"/>
  <c r="BC110"/>
  <c r="AO110"/>
  <c r="AN110"/>
  <c r="AM110"/>
  <c r="U110"/>
  <c r="BC109"/>
  <c r="BB109"/>
  <c r="BA109"/>
  <c r="AZ109"/>
  <c r="AY109"/>
  <c r="AX109"/>
  <c r="AO109"/>
  <c r="AN109"/>
  <c r="AM109"/>
  <c r="U109"/>
  <c r="BC108"/>
  <c r="BB108"/>
  <c r="BA108"/>
  <c r="AZ108"/>
  <c r="AY108"/>
  <c r="AX108"/>
  <c r="AO108"/>
  <c r="AN108"/>
  <c r="AM108"/>
  <c r="U108"/>
  <c r="BC107"/>
  <c r="BB107"/>
  <c r="BA107"/>
  <c r="AZ107"/>
  <c r="AY107"/>
  <c r="AX107"/>
  <c r="AO107"/>
  <c r="AN107"/>
  <c r="AM107"/>
  <c r="AC107"/>
  <c r="AB107"/>
  <c r="U107"/>
  <c r="Q107"/>
  <c r="P107"/>
  <c r="O107"/>
  <c r="N107"/>
  <c r="M107"/>
  <c r="L107"/>
  <c r="BC106"/>
  <c r="BB106"/>
  <c r="BA106"/>
  <c r="AZ106"/>
  <c r="AY106"/>
  <c r="AX106"/>
  <c r="AO106"/>
  <c r="AN106"/>
  <c r="AM106"/>
  <c r="U106"/>
  <c r="BC105"/>
  <c r="BB105"/>
  <c r="BA105"/>
  <c r="AZ105"/>
  <c r="AY105"/>
  <c r="AX105"/>
  <c r="AO105"/>
  <c r="AN105"/>
  <c r="AM105"/>
  <c r="AJ105"/>
  <c r="AG105"/>
  <c r="AF105"/>
  <c r="U105"/>
  <c r="O105"/>
  <c r="M105"/>
  <c r="BC104"/>
  <c r="BB104"/>
  <c r="BA104"/>
  <c r="AZ104"/>
  <c r="AY104"/>
  <c r="AX104"/>
  <c r="AO104"/>
  <c r="AN104"/>
  <c r="AM104"/>
  <c r="U104"/>
  <c r="BC103"/>
  <c r="BB103"/>
  <c r="BA103"/>
  <c r="AZ103"/>
  <c r="AY103"/>
  <c r="AX103"/>
  <c r="AO103"/>
  <c r="AN103"/>
  <c r="AM103"/>
  <c r="AK103"/>
  <c r="AJ103"/>
  <c r="AG103"/>
  <c r="AF103"/>
  <c r="U103"/>
  <c r="O103"/>
  <c r="O102"/>
  <c r="M103"/>
  <c r="M102"/>
  <c r="BC102"/>
  <c r="AU102"/>
  <c r="BB102"/>
  <c r="AT102"/>
  <c r="AY102"/>
  <c r="AS102"/>
  <c r="AS101"/>
  <c r="AR102"/>
  <c r="AR101"/>
  <c r="AP102"/>
  <c r="AP101"/>
  <c r="AO102"/>
  <c r="AN102"/>
  <c r="AM102"/>
  <c r="AC102"/>
  <c r="AB102"/>
  <c r="X102"/>
  <c r="X101"/>
  <c r="W102"/>
  <c r="W101"/>
  <c r="U102"/>
  <c r="Q102"/>
  <c r="P102"/>
  <c r="N102"/>
  <c r="L102"/>
  <c r="BC101"/>
  <c r="AO101"/>
  <c r="AN101"/>
  <c r="AM101"/>
  <c r="U101"/>
  <c r="BC100"/>
  <c r="BB100"/>
  <c r="BA100"/>
  <c r="AZ100"/>
  <c r="AY100"/>
  <c r="AX100"/>
  <c r="AO100"/>
  <c r="AN100"/>
  <c r="AM100"/>
  <c r="U100"/>
  <c r="BC99"/>
  <c r="AO99"/>
  <c r="AN99"/>
  <c r="AM99"/>
  <c r="U99"/>
  <c r="BC98"/>
  <c r="BB98"/>
  <c r="BA98"/>
  <c r="AZ98"/>
  <c r="AY98"/>
  <c r="AX98"/>
  <c r="AO98"/>
  <c r="AN98"/>
  <c r="AM98"/>
  <c r="U98"/>
  <c r="BC97"/>
  <c r="BB97"/>
  <c r="BA97"/>
  <c r="AZ97"/>
  <c r="AY97"/>
  <c r="AX97"/>
  <c r="AO97"/>
  <c r="AN97"/>
  <c r="AM97"/>
  <c r="U97"/>
  <c r="O97"/>
  <c r="M97"/>
  <c r="BC96"/>
  <c r="BB96"/>
  <c r="BA96"/>
  <c r="AZ96"/>
  <c r="AY96"/>
  <c r="AX96"/>
  <c r="AO96"/>
  <c r="AN96"/>
  <c r="AM96"/>
  <c r="U96"/>
  <c r="O96"/>
  <c r="M96"/>
  <c r="BC95"/>
  <c r="BB95"/>
  <c r="BA95"/>
  <c r="AZ95"/>
  <c r="AY95"/>
  <c r="AX95"/>
  <c r="AO95"/>
  <c r="AN95"/>
  <c r="AM95"/>
  <c r="AL95"/>
  <c r="AK95"/>
  <c r="U95"/>
  <c r="O95"/>
  <c r="M95"/>
  <c r="BC94"/>
  <c r="BB94"/>
  <c r="BA94"/>
  <c r="AZ94"/>
  <c r="AY94"/>
  <c r="AX94"/>
  <c r="AN94"/>
  <c r="AJ94"/>
  <c r="U94"/>
  <c r="BC93"/>
  <c r="AU93"/>
  <c r="BB93"/>
  <c r="AT93"/>
  <c r="AX93"/>
  <c r="AS93"/>
  <c r="AR93"/>
  <c r="AP93"/>
  <c r="AO93"/>
  <c r="AN93"/>
  <c r="AM93"/>
  <c r="AC93"/>
  <c r="AB93"/>
  <c r="X93"/>
  <c r="U93"/>
  <c r="Q93"/>
  <c r="P93"/>
  <c r="N93"/>
  <c r="L93"/>
  <c r="BC92"/>
  <c r="BB92"/>
  <c r="BA92"/>
  <c r="AZ92"/>
  <c r="AY92"/>
  <c r="AX92"/>
  <c r="AO92"/>
  <c r="AN92"/>
  <c r="AM92"/>
  <c r="U92"/>
  <c r="BC91"/>
  <c r="BB91"/>
  <c r="BA91"/>
  <c r="AZ91"/>
  <c r="AY91"/>
  <c r="AX91"/>
  <c r="AO91"/>
  <c r="AN91"/>
  <c r="AM91"/>
  <c r="U91"/>
  <c r="BC90"/>
  <c r="AU90"/>
  <c r="BA90"/>
  <c r="AT90"/>
  <c r="AY90"/>
  <c r="AS90"/>
  <c r="AR90"/>
  <c r="AP90"/>
  <c r="AO90"/>
  <c r="AN90"/>
  <c r="AM90"/>
  <c r="AC90"/>
  <c r="AB90"/>
  <c r="X90"/>
  <c r="W90"/>
  <c r="W89"/>
  <c r="U90"/>
  <c r="Q90"/>
  <c r="P90"/>
  <c r="O90"/>
  <c r="N90"/>
  <c r="M90"/>
  <c r="L90"/>
  <c r="L89"/>
  <c r="BC89"/>
  <c r="AO89"/>
  <c r="AN89"/>
  <c r="AM89"/>
  <c r="U89"/>
  <c r="BC88"/>
  <c r="BB88"/>
  <c r="BA88"/>
  <c r="AZ88"/>
  <c r="AY88"/>
  <c r="AX88"/>
  <c r="AO88"/>
  <c r="AN88"/>
  <c r="AM88"/>
  <c r="U88"/>
  <c r="BC87"/>
  <c r="BB87"/>
  <c r="BA87"/>
  <c r="AZ87"/>
  <c r="AY87"/>
  <c r="AX87"/>
  <c r="AO87"/>
  <c r="AN87"/>
  <c r="AM87"/>
  <c r="AK87"/>
  <c r="AJ87"/>
  <c r="AG87"/>
  <c r="AF87"/>
  <c r="U87"/>
  <c r="O87"/>
  <c r="AE87"/>
  <c r="BC86"/>
  <c r="AU86"/>
  <c r="BB86"/>
  <c r="AT86"/>
  <c r="AY86"/>
  <c r="AS86"/>
  <c r="AR86"/>
  <c r="AP86"/>
  <c r="AO86"/>
  <c r="AN86"/>
  <c r="AM86"/>
  <c r="AC86"/>
  <c r="AB86"/>
  <c r="X86"/>
  <c r="W86"/>
  <c r="AJ86"/>
  <c r="U86"/>
  <c r="Q86"/>
  <c r="P86"/>
  <c r="N86"/>
  <c r="M86"/>
  <c r="L86"/>
  <c r="BC85"/>
  <c r="BB85"/>
  <c r="BA85"/>
  <c r="AZ85"/>
  <c r="AY85"/>
  <c r="AX85"/>
  <c r="AO85"/>
  <c r="AN85"/>
  <c r="AM85"/>
  <c r="AJ85"/>
  <c r="U85"/>
  <c r="BC84"/>
  <c r="BB84"/>
  <c r="BA84"/>
  <c r="AZ84"/>
  <c r="AY84"/>
  <c r="AX84"/>
  <c r="AO84"/>
  <c r="AN84"/>
  <c r="AM84"/>
  <c r="U84"/>
  <c r="O84"/>
  <c r="AE84"/>
  <c r="M84"/>
  <c r="BC83"/>
  <c r="BB83"/>
  <c r="BA83"/>
  <c r="AZ83"/>
  <c r="AY83"/>
  <c r="AX83"/>
  <c r="AO83"/>
  <c r="AN83"/>
  <c r="AM83"/>
  <c r="AL83"/>
  <c r="AJ83"/>
  <c r="AG83"/>
  <c r="AF83"/>
  <c r="AE83"/>
  <c r="U83"/>
  <c r="O83"/>
  <c r="BC82"/>
  <c r="BB82"/>
  <c r="BA82"/>
  <c r="AZ82"/>
  <c r="AY82"/>
  <c r="AX82"/>
  <c r="AO82"/>
  <c r="AN82"/>
  <c r="AM82"/>
  <c r="U82"/>
  <c r="O82"/>
  <c r="BC81"/>
  <c r="BB81"/>
  <c r="BA81"/>
  <c r="AT81"/>
  <c r="AX81"/>
  <c r="AO81"/>
  <c r="AN81"/>
  <c r="AM81"/>
  <c r="AG81"/>
  <c r="AF81"/>
  <c r="W81"/>
  <c r="AJ81"/>
  <c r="U81"/>
  <c r="O81"/>
  <c r="AD81"/>
  <c r="M81"/>
  <c r="BC80"/>
  <c r="AU80"/>
  <c r="BB80"/>
  <c r="AS80"/>
  <c r="AR80"/>
  <c r="AP80"/>
  <c r="AO80"/>
  <c r="AN80"/>
  <c r="AM80"/>
  <c r="AC80"/>
  <c r="AC74"/>
  <c r="AB80"/>
  <c r="X80"/>
  <c r="T80"/>
  <c r="S80"/>
  <c r="Q80"/>
  <c r="P80"/>
  <c r="N80"/>
  <c r="M80"/>
  <c r="L80"/>
  <c r="BC79"/>
  <c r="BB79"/>
  <c r="BA79"/>
  <c r="AZ79"/>
  <c r="AY79"/>
  <c r="AX79"/>
  <c r="AO79"/>
  <c r="AN79"/>
  <c r="AM79"/>
  <c r="U79"/>
  <c r="BC78"/>
  <c r="BB78"/>
  <c r="BA78"/>
  <c r="AZ78"/>
  <c r="AY78"/>
  <c r="AX78"/>
  <c r="AO78"/>
  <c r="AN78"/>
  <c r="AM78"/>
  <c r="AL78"/>
  <c r="AK78"/>
  <c r="AJ78"/>
  <c r="AG78"/>
  <c r="AF78"/>
  <c r="U78"/>
  <c r="O78"/>
  <c r="AE78"/>
  <c r="M78"/>
  <c r="BC77"/>
  <c r="BB77"/>
  <c r="BA77"/>
  <c r="AT77"/>
  <c r="AZ77"/>
  <c r="AO77"/>
  <c r="AN77"/>
  <c r="AM77"/>
  <c r="AL77"/>
  <c r="AG77"/>
  <c r="W77"/>
  <c r="AJ77"/>
  <c r="U77"/>
  <c r="O77"/>
  <c r="M77"/>
  <c r="M76"/>
  <c r="BC76"/>
  <c r="AU76"/>
  <c r="AS76"/>
  <c r="AR76"/>
  <c r="AP76"/>
  <c r="AO76"/>
  <c r="AN76"/>
  <c r="AM76"/>
  <c r="AC76"/>
  <c r="AB76"/>
  <c r="X76"/>
  <c r="T76"/>
  <c r="T74"/>
  <c r="T72"/>
  <c r="S76"/>
  <c r="Q76"/>
  <c r="P76"/>
  <c r="N76"/>
  <c r="L76"/>
  <c r="BC75"/>
  <c r="BB75"/>
  <c r="BA75"/>
  <c r="AZ75"/>
  <c r="AY75"/>
  <c r="AX75"/>
  <c r="AO75"/>
  <c r="AN75"/>
  <c r="AM75"/>
  <c r="BC74"/>
  <c r="AO74"/>
  <c r="AN74"/>
  <c r="AM74"/>
  <c r="BC73"/>
  <c r="BB73"/>
  <c r="BA73"/>
  <c r="AZ73"/>
  <c r="AY73"/>
  <c r="AX73"/>
  <c r="AO73"/>
  <c r="AN73"/>
  <c r="AM73"/>
  <c r="BC72"/>
  <c r="AO72"/>
  <c r="AN72"/>
  <c r="AM72"/>
  <c r="BC71"/>
  <c r="BB71"/>
  <c r="BA71"/>
  <c r="AZ71"/>
  <c r="AY71"/>
  <c r="AX71"/>
  <c r="AO71"/>
  <c r="AN71"/>
  <c r="AM71"/>
  <c r="U71"/>
  <c r="BC70"/>
  <c r="BB70"/>
  <c r="BA70"/>
  <c r="AZ70"/>
  <c r="AY70"/>
  <c r="AX70"/>
  <c r="AO70"/>
  <c r="AN70"/>
  <c r="AM70"/>
  <c r="U70"/>
  <c r="BC69"/>
  <c r="BB69"/>
  <c r="BA69"/>
  <c r="AZ69"/>
  <c r="AY69"/>
  <c r="AX69"/>
  <c r="AO69"/>
  <c r="AN69"/>
  <c r="AM69"/>
  <c r="AC69"/>
  <c r="AB69"/>
  <c r="U69"/>
  <c r="Q69"/>
  <c r="P69"/>
  <c r="O69"/>
  <c r="N69"/>
  <c r="M69"/>
  <c r="L69"/>
  <c r="BC68"/>
  <c r="BB68"/>
  <c r="BA68"/>
  <c r="AZ68"/>
  <c r="AY68"/>
  <c r="AX68"/>
  <c r="AO68"/>
  <c r="AN68"/>
  <c r="AM68"/>
  <c r="U68"/>
  <c r="BC67"/>
  <c r="BB67"/>
  <c r="BA67"/>
  <c r="AZ67"/>
  <c r="AY67"/>
  <c r="AX67"/>
  <c r="AO67"/>
  <c r="AN67"/>
  <c r="AM67"/>
  <c r="AL67"/>
  <c r="AK67"/>
  <c r="AJ67"/>
  <c r="AG67"/>
  <c r="AF67"/>
  <c r="U67"/>
  <c r="U66"/>
  <c r="O67"/>
  <c r="AE67"/>
  <c r="M67"/>
  <c r="BC66"/>
  <c r="AU66"/>
  <c r="AT66"/>
  <c r="AX66"/>
  <c r="AS66"/>
  <c r="AS64"/>
  <c r="AR66"/>
  <c r="AR64"/>
  <c r="AP66"/>
  <c r="AP64"/>
  <c r="AO66"/>
  <c r="AN66"/>
  <c r="AM66"/>
  <c r="AC66"/>
  <c r="AB66"/>
  <c r="X66"/>
  <c r="AL66"/>
  <c r="W66"/>
  <c r="T66"/>
  <c r="T64"/>
  <c r="S66"/>
  <c r="S64"/>
  <c r="Q66"/>
  <c r="Q64"/>
  <c r="P66"/>
  <c r="N66"/>
  <c r="L66"/>
  <c r="L64"/>
  <c r="BC65"/>
  <c r="BB65"/>
  <c r="BA65"/>
  <c r="AZ65"/>
  <c r="AY65"/>
  <c r="AX65"/>
  <c r="AO65"/>
  <c r="AN65"/>
  <c r="AM65"/>
  <c r="BC64"/>
  <c r="AO64"/>
  <c r="AN64"/>
  <c r="AM64"/>
  <c r="AC64"/>
  <c r="BC63"/>
  <c r="BB63"/>
  <c r="BA63"/>
  <c r="AZ63"/>
  <c r="AY63"/>
  <c r="AX63"/>
  <c r="AO63"/>
  <c r="AN63"/>
  <c r="AM63"/>
  <c r="U63"/>
  <c r="BC62"/>
  <c r="BB62"/>
  <c r="BA62"/>
  <c r="AZ62"/>
  <c r="AY62"/>
  <c r="AX62"/>
  <c r="AO62"/>
  <c r="AN62"/>
  <c r="AM62"/>
  <c r="AL62"/>
  <c r="AK62"/>
  <c r="AJ62"/>
  <c r="AG62"/>
  <c r="AF62"/>
  <c r="AD62"/>
  <c r="U62"/>
  <c r="U61"/>
  <c r="O62"/>
  <c r="AE62"/>
  <c r="M62"/>
  <c r="M61"/>
  <c r="BC61"/>
  <c r="AU61"/>
  <c r="BB61"/>
  <c r="AT61"/>
  <c r="AY61"/>
  <c r="AS61"/>
  <c r="AR61"/>
  <c r="AP61"/>
  <c r="AO61"/>
  <c r="AN61"/>
  <c r="AM61"/>
  <c r="AC61"/>
  <c r="AB61"/>
  <c r="X61"/>
  <c r="W61"/>
  <c r="T61"/>
  <c r="S61"/>
  <c r="Q61"/>
  <c r="P61"/>
  <c r="N61"/>
  <c r="L61"/>
  <c r="BC60"/>
  <c r="BB60"/>
  <c r="BA60"/>
  <c r="AZ60"/>
  <c r="AY60"/>
  <c r="AX60"/>
  <c r="AO60"/>
  <c r="AN60"/>
  <c r="AM60"/>
  <c r="U60"/>
  <c r="BC59"/>
  <c r="BB59"/>
  <c r="BA59"/>
  <c r="AZ59"/>
  <c r="AY59"/>
  <c r="AX59"/>
  <c r="AO59"/>
  <c r="AN59"/>
  <c r="AM59"/>
  <c r="AL59"/>
  <c r="AK59"/>
  <c r="AJ59"/>
  <c r="AG59"/>
  <c r="AF59"/>
  <c r="U59"/>
  <c r="O59"/>
  <c r="M59"/>
  <c r="BC58"/>
  <c r="BB58"/>
  <c r="BA58"/>
  <c r="AZ58"/>
  <c r="AY58"/>
  <c r="AX58"/>
  <c r="AO58"/>
  <c r="AN58"/>
  <c r="AM58"/>
  <c r="AL58"/>
  <c r="AK58"/>
  <c r="AJ58"/>
  <c r="AG58"/>
  <c r="AF58"/>
  <c r="AE58"/>
  <c r="U58"/>
  <c r="O58"/>
  <c r="M58"/>
  <c r="AD58"/>
  <c r="BC57"/>
  <c r="AU57"/>
  <c r="BB57"/>
  <c r="AT57"/>
  <c r="AS57"/>
  <c r="AR57"/>
  <c r="AR55"/>
  <c r="AP57"/>
  <c r="AO57"/>
  <c r="AN57"/>
  <c r="AM57"/>
  <c r="AC57"/>
  <c r="AC55"/>
  <c r="AB57"/>
  <c r="X57"/>
  <c r="W57"/>
  <c r="T57"/>
  <c r="S57"/>
  <c r="Q57"/>
  <c r="P57"/>
  <c r="N57"/>
  <c r="L57"/>
  <c r="BC56"/>
  <c r="BB56"/>
  <c r="BA56"/>
  <c r="AZ56"/>
  <c r="AY56"/>
  <c r="AX56"/>
  <c r="AO56"/>
  <c r="AN56"/>
  <c r="AM56"/>
  <c r="BC55"/>
  <c r="AO55"/>
  <c r="AN55"/>
  <c r="AM55"/>
  <c r="BC54"/>
  <c r="BB54"/>
  <c r="BA54"/>
  <c r="AZ54"/>
  <c r="AY54"/>
  <c r="AX54"/>
  <c r="AO54"/>
  <c r="AN54"/>
  <c r="AM54"/>
  <c r="U54"/>
  <c r="BC53"/>
  <c r="BB53"/>
  <c r="BA53"/>
  <c r="AZ53"/>
  <c r="AY53"/>
  <c r="AX53"/>
  <c r="AO53"/>
  <c r="AN53"/>
  <c r="AM53"/>
  <c r="AJ53"/>
  <c r="U53"/>
  <c r="O53"/>
  <c r="BC52"/>
  <c r="BB52"/>
  <c r="BA52"/>
  <c r="AZ52"/>
  <c r="AY52"/>
  <c r="AX52"/>
  <c r="AO52"/>
  <c r="AN52"/>
  <c r="AM52"/>
  <c r="AJ52"/>
  <c r="AG52"/>
  <c r="AF52"/>
  <c r="O52"/>
  <c r="AE52"/>
  <c r="M52"/>
  <c r="AD52"/>
  <c r="BC51"/>
  <c r="BB51"/>
  <c r="BA51"/>
  <c r="AZ51"/>
  <c r="AY51"/>
  <c r="AX51"/>
  <c r="AO51"/>
  <c r="AN51"/>
  <c r="AM51"/>
  <c r="AL51"/>
  <c r="AK51"/>
  <c r="AJ51"/>
  <c r="AG51"/>
  <c r="AF51"/>
  <c r="O51"/>
  <c r="AE51"/>
  <c r="M51"/>
  <c r="BC50"/>
  <c r="BB50"/>
  <c r="BA50"/>
  <c r="AZ50"/>
  <c r="AY50"/>
  <c r="AX50"/>
  <c r="AO50"/>
  <c r="AN50"/>
  <c r="AM50"/>
  <c r="AL50"/>
  <c r="AK50"/>
  <c r="AJ50"/>
  <c r="AG50"/>
  <c r="AF50"/>
  <c r="O50"/>
  <c r="AE50"/>
  <c r="M50"/>
  <c r="BC49"/>
  <c r="BB49"/>
  <c r="BA49"/>
  <c r="AZ49"/>
  <c r="AY49"/>
  <c r="AX49"/>
  <c r="AO49"/>
  <c r="AN49"/>
  <c r="AM49"/>
  <c r="AL49"/>
  <c r="AK49"/>
  <c r="AJ49"/>
  <c r="AG49"/>
  <c r="AF49"/>
  <c r="O49"/>
  <c r="AE49"/>
  <c r="M49"/>
  <c r="BC48"/>
  <c r="BB48"/>
  <c r="BA48"/>
  <c r="AZ48"/>
  <c r="AY48"/>
  <c r="AX48"/>
  <c r="AO48"/>
  <c r="AN48"/>
  <c r="AM48"/>
  <c r="AL48"/>
  <c r="AK48"/>
  <c r="AJ48"/>
  <c r="AG48"/>
  <c r="AF48"/>
  <c r="O48"/>
  <c r="AE48"/>
  <c r="M48"/>
  <c r="M47"/>
  <c r="BC47"/>
  <c r="AU47"/>
  <c r="BA47"/>
  <c r="AT47"/>
  <c r="AY47"/>
  <c r="AS47"/>
  <c r="AR47"/>
  <c r="AP47"/>
  <c r="AO47"/>
  <c r="AN47"/>
  <c r="AM47"/>
  <c r="AC47"/>
  <c r="AB47"/>
  <c r="X47"/>
  <c r="W47"/>
  <c r="T47"/>
  <c r="S47"/>
  <c r="R47"/>
  <c r="R45"/>
  <c r="R43"/>
  <c r="R41"/>
  <c r="Q47"/>
  <c r="P47"/>
  <c r="N47"/>
  <c r="L47"/>
  <c r="BC46"/>
  <c r="BB46"/>
  <c r="BA46"/>
  <c r="AZ46"/>
  <c r="AY46"/>
  <c r="AX46"/>
  <c r="AO46"/>
  <c r="AN46"/>
  <c r="AM46"/>
  <c r="BC45"/>
  <c r="AO45"/>
  <c r="AN45"/>
  <c r="AM45"/>
  <c r="BC44"/>
  <c r="BB44"/>
  <c r="BA44"/>
  <c r="AZ44"/>
  <c r="AY44"/>
  <c r="AX44"/>
  <c r="AO44"/>
  <c r="AN44"/>
  <c r="AM44"/>
  <c r="BC43"/>
  <c r="AO43"/>
  <c r="AN43"/>
  <c r="AM43"/>
  <c r="BC42"/>
  <c r="BB42"/>
  <c r="BA42"/>
  <c r="AZ42"/>
  <c r="AY42"/>
  <c r="AX42"/>
  <c r="AO42"/>
  <c r="AN42"/>
  <c r="AM42"/>
  <c r="BC41"/>
  <c r="AO41"/>
  <c r="AN41"/>
  <c r="AM41"/>
  <c r="BC36"/>
  <c r="BB36"/>
  <c r="BA36"/>
  <c r="AZ36"/>
  <c r="AY36"/>
  <c r="AX36"/>
  <c r="AO36"/>
  <c r="BC35"/>
  <c r="BB35"/>
  <c r="BA35"/>
  <c r="AZ35"/>
  <c r="AY35"/>
  <c r="AX35"/>
  <c r="AO35"/>
  <c r="BC34"/>
  <c r="BB34"/>
  <c r="BA34"/>
  <c r="AZ34"/>
  <c r="AY34"/>
  <c r="AX34"/>
  <c r="AO34"/>
  <c r="BC33"/>
  <c r="BB33"/>
  <c r="BA33"/>
  <c r="AZ33"/>
  <c r="AY33"/>
  <c r="AX33"/>
  <c r="AO33"/>
  <c r="BC32"/>
  <c r="BB32"/>
  <c r="BA32"/>
  <c r="AZ32"/>
  <c r="AY32"/>
  <c r="AX32"/>
  <c r="AO32"/>
  <c r="BC31"/>
  <c r="BB31"/>
  <c r="BA31"/>
  <c r="AZ31"/>
  <c r="AY31"/>
  <c r="AX31"/>
  <c r="AO31"/>
  <c r="BC30"/>
  <c r="BB30"/>
  <c r="BA30"/>
  <c r="AZ30"/>
  <c r="AY30"/>
  <c r="AX30"/>
  <c r="AO30"/>
  <c r="BC29"/>
  <c r="BB29"/>
  <c r="BA29"/>
  <c r="AZ29"/>
  <c r="AY29"/>
  <c r="AX29"/>
  <c r="AO29"/>
  <c r="AN29"/>
  <c r="AJ29"/>
  <c r="O29"/>
  <c r="M29"/>
  <c r="BC28"/>
  <c r="BB28"/>
  <c r="BA28"/>
  <c r="AZ28"/>
  <c r="AY28"/>
  <c r="AX28"/>
  <c r="AO28"/>
  <c r="AN28"/>
  <c r="AJ28"/>
  <c r="O28"/>
  <c r="M28"/>
  <c r="BC27"/>
  <c r="BB27"/>
  <c r="BA27"/>
  <c r="AZ27"/>
  <c r="AY27"/>
  <c r="AX27"/>
  <c r="AO27"/>
  <c r="AN27"/>
  <c r="AJ27"/>
  <c r="O27"/>
  <c r="M27"/>
  <c r="BC26"/>
  <c r="BB26"/>
  <c r="BA26"/>
  <c r="AZ26"/>
  <c r="AY26"/>
  <c r="AX26"/>
  <c r="AO26"/>
  <c r="AN26"/>
  <c r="AJ26"/>
  <c r="O26"/>
  <c r="M26"/>
  <c r="BC25"/>
  <c r="AQ25"/>
  <c r="AY25"/>
  <c r="AO25"/>
  <c r="AN25"/>
  <c r="V25"/>
  <c r="BC24"/>
  <c r="BB24"/>
  <c r="BA24"/>
  <c r="AZ24"/>
  <c r="AY24"/>
  <c r="AX24"/>
  <c r="AO24"/>
  <c r="AN24"/>
  <c r="BC23"/>
  <c r="BB23"/>
  <c r="BA23"/>
  <c r="AZ23"/>
  <c r="AY23"/>
  <c r="AX23"/>
  <c r="AO23"/>
  <c r="AN23"/>
  <c r="BC22"/>
  <c r="BB22"/>
  <c r="BA22"/>
  <c r="AZ22"/>
  <c r="AY22"/>
  <c r="AX22"/>
  <c r="AO22"/>
  <c r="AN22"/>
  <c r="AK22"/>
  <c r="O22"/>
  <c r="M22"/>
  <c r="BC21"/>
  <c r="BB21"/>
  <c r="BA21"/>
  <c r="AZ21"/>
  <c r="AY21"/>
  <c r="AX21"/>
  <c r="AO21"/>
  <c r="AN21"/>
  <c r="O21"/>
  <c r="BC20"/>
  <c r="BB20"/>
  <c r="BA20"/>
  <c r="AZ20"/>
  <c r="AY20"/>
  <c r="AX20"/>
  <c r="AO20"/>
  <c r="AN20"/>
  <c r="AK20"/>
  <c r="O20"/>
  <c r="M20"/>
  <c r="BC19"/>
  <c r="BB19"/>
  <c r="BA19"/>
  <c r="AZ19"/>
  <c r="AY19"/>
  <c r="AX19"/>
  <c r="AO19"/>
  <c r="AN19"/>
  <c r="O19"/>
  <c r="BC18"/>
  <c r="BB18"/>
  <c r="BA18"/>
  <c r="AZ18"/>
  <c r="AY18"/>
  <c r="AX18"/>
  <c r="AO18"/>
  <c r="AN18"/>
  <c r="BC17"/>
  <c r="BB17"/>
  <c r="BA17"/>
  <c r="AZ17"/>
  <c r="AY17"/>
  <c r="AX17"/>
  <c r="AO17"/>
  <c r="AN17"/>
  <c r="BC16"/>
  <c r="AO16"/>
  <c r="AN16"/>
  <c r="BC15"/>
  <c r="AO15"/>
  <c r="AN15"/>
  <c r="BC14"/>
  <c r="AO14"/>
  <c r="AN14"/>
  <c r="T14"/>
  <c r="BC13"/>
  <c r="AO13"/>
  <c r="AN13"/>
  <c r="V13"/>
  <c r="V15"/>
  <c r="T13"/>
  <c r="BC12"/>
  <c r="AO12"/>
  <c r="AN12"/>
  <c r="BC11"/>
  <c r="AO11"/>
  <c r="AN11"/>
  <c r="V11"/>
  <c r="T11"/>
  <c r="S11"/>
  <c r="R11"/>
  <c r="BC10"/>
  <c r="AO10"/>
  <c r="AN10"/>
  <c r="V10"/>
  <c r="AZ57"/>
  <c r="S309"/>
  <c r="S308"/>
  <c r="S306"/>
  <c r="AS231"/>
  <c r="AS202"/>
  <c r="AS201"/>
  <c r="AS364"/>
  <c r="AS267"/>
  <c r="AS266"/>
  <c r="AS264"/>
  <c r="AS655"/>
  <c r="AF1174"/>
  <c r="Q1173"/>
  <c r="Q1171"/>
  <c r="N537"/>
  <c r="N536"/>
  <c r="N534"/>
  <c r="O315"/>
  <c r="AC655"/>
  <c r="AP1193"/>
  <c r="AP1192"/>
  <c r="AP1190"/>
  <c r="AT64"/>
  <c r="AY64"/>
  <c r="AL138"/>
  <c r="AU132"/>
  <c r="AK150"/>
  <c r="O206"/>
  <c r="O205"/>
  <c r="AF230"/>
  <c r="AG234"/>
  <c r="Q288"/>
  <c r="AG288"/>
  <c r="R302"/>
  <c r="R301"/>
  <c r="BB316"/>
  <c r="L329"/>
  <c r="M336"/>
  <c r="M335"/>
  <c r="M333"/>
  <c r="AD203"/>
  <c r="AS595"/>
  <c r="AS594"/>
  <c r="AS593"/>
  <c r="R639"/>
  <c r="R638"/>
  <c r="O710"/>
  <c r="AD710"/>
  <c r="X894"/>
  <c r="X893"/>
  <c r="AL893"/>
  <c r="AZ918"/>
  <c r="W987"/>
  <c r="M1162"/>
  <c r="AR1193"/>
  <c r="AR1192"/>
  <c r="AR1190"/>
  <c r="AL57"/>
  <c r="AS55"/>
  <c r="AK61"/>
  <c r="L74"/>
  <c r="L72"/>
  <c r="AD116"/>
  <c r="AD123"/>
  <c r="AR232"/>
  <c r="AF233"/>
  <c r="AR233"/>
  <c r="AJ248"/>
  <c r="AC276"/>
  <c r="AC274"/>
  <c r="AC269"/>
  <c r="N281"/>
  <c r="N278"/>
  <c r="L291"/>
  <c r="AD380"/>
  <c r="AX401"/>
  <c r="O234"/>
  <c r="Z234"/>
  <c r="BB418"/>
  <c r="AY480"/>
  <c r="M262"/>
  <c r="AU510"/>
  <c r="M231"/>
  <c r="AR639"/>
  <c r="AR638"/>
  <c r="AF664"/>
  <c r="AZ665"/>
  <c r="L723"/>
  <c r="L722"/>
  <c r="L720"/>
  <c r="AD838"/>
  <c r="AY937"/>
  <c r="AT975"/>
  <c r="AX977"/>
  <c r="AZ1114"/>
  <c r="Y1112"/>
  <c r="AX1194"/>
  <c r="AC1204"/>
  <c r="AC1203"/>
  <c r="AC1201"/>
  <c r="R1010"/>
  <c r="R1009"/>
  <c r="R1007"/>
  <c r="AC1010"/>
  <c r="AC1009"/>
  <c r="AC1007"/>
  <c r="AX1031"/>
  <c r="AT1112"/>
  <c r="AY1112"/>
  <c r="O1149"/>
  <c r="AD1149"/>
  <c r="AF1154"/>
  <c r="AX1162"/>
  <c r="BB167"/>
  <c r="O231"/>
  <c r="AD231"/>
  <c r="L275"/>
  <c r="L274"/>
  <c r="L269"/>
  <c r="M318"/>
  <c r="AY77"/>
  <c r="AL150"/>
  <c r="AS215"/>
  <c r="AP225"/>
  <c r="L232"/>
  <c r="AP258"/>
  <c r="AP253"/>
  <c r="AJ262"/>
  <c r="W276"/>
  <c r="R281"/>
  <c r="R278"/>
  <c r="AT283"/>
  <c r="AY283"/>
  <c r="AB288"/>
  <c r="AB287"/>
  <c r="O291"/>
  <c r="AC329"/>
  <c r="X357"/>
  <c r="AD386"/>
  <c r="AD391"/>
  <c r="Z233"/>
  <c r="O237"/>
  <c r="AE245"/>
  <c r="AD425"/>
  <c r="Z262"/>
  <c r="BA528"/>
  <c r="P586"/>
  <c r="AS618"/>
  <c r="AS617"/>
  <c r="AS616"/>
  <c r="L639"/>
  <c r="L638"/>
  <c r="S741"/>
  <c r="AG879"/>
  <c r="AF894"/>
  <c r="AD1021"/>
  <c r="AX1077"/>
  <c r="S1111"/>
  <c r="S1109"/>
  <c r="BA1121"/>
  <c r="O1135"/>
  <c r="Q1193"/>
  <c r="Q1192"/>
  <c r="M1194"/>
  <c r="P1204"/>
  <c r="AG80"/>
  <c r="U80"/>
  <c r="AR208"/>
  <c r="AY750"/>
  <c r="AG61"/>
  <c r="AX61"/>
  <c r="AP74"/>
  <c r="P101"/>
  <c r="M101"/>
  <c r="AX157"/>
  <c r="M202"/>
  <c r="M201"/>
  <c r="X201"/>
  <c r="M209"/>
  <c r="Q231"/>
  <c r="AG231"/>
  <c r="AS247"/>
  <c r="AG251"/>
  <c r="AK256"/>
  <c r="BA271"/>
  <c r="L276"/>
  <c r="L288"/>
  <c r="L302"/>
  <c r="L301"/>
  <c r="AP302"/>
  <c r="AP301"/>
  <c r="M222"/>
  <c r="O224"/>
  <c r="AK480"/>
  <c r="AP475"/>
  <c r="AP474"/>
  <c r="AP472"/>
  <c r="AP471"/>
  <c r="AC586"/>
  <c r="N639"/>
  <c r="N638"/>
  <c r="AB639"/>
  <c r="AB638"/>
  <c r="AD718"/>
  <c r="Q727"/>
  <c r="O801"/>
  <c r="O800"/>
  <c r="BA816"/>
  <c r="AD1022"/>
  <c r="AD1026"/>
  <c r="V1069"/>
  <c r="L1130"/>
  <c r="W1130"/>
  <c r="AE1133"/>
  <c r="O1198"/>
  <c r="AR276"/>
  <c r="AR274"/>
  <c r="AR269"/>
  <c r="AC281"/>
  <c r="AC278"/>
  <c r="W439"/>
  <c r="M480"/>
  <c r="O262"/>
  <c r="AE262"/>
  <c r="BA61"/>
  <c r="O101"/>
  <c r="M121"/>
  <c r="R225"/>
  <c r="AX225"/>
  <c r="AC232"/>
  <c r="AC229"/>
  <c r="AB233"/>
  <c r="O247"/>
  <c r="P275"/>
  <c r="N288"/>
  <c r="N302"/>
  <c r="N301"/>
  <c r="AR302"/>
  <c r="AR301"/>
  <c r="AJ316"/>
  <c r="O324"/>
  <c r="AE324"/>
  <c r="Z224"/>
  <c r="AD457"/>
  <c r="AF510"/>
  <c r="AF511"/>
  <c r="AD513"/>
  <c r="O564"/>
  <c r="X678"/>
  <c r="X677"/>
  <c r="AL677"/>
  <c r="AR935"/>
  <c r="AR934"/>
  <c r="AR933"/>
  <c r="AR931"/>
  <c r="AR930"/>
  <c r="AD945"/>
  <c r="X1000"/>
  <c r="AL1000"/>
  <c r="AD1025"/>
  <c r="AD1036"/>
  <c r="AK1114"/>
  <c r="AD1151"/>
  <c r="AK1162"/>
  <c r="AE1198"/>
  <c r="P64"/>
  <c r="BB309"/>
  <c r="BA309"/>
  <c r="AB453"/>
  <c r="AF237"/>
  <c r="AA281"/>
  <c r="AA278"/>
  <c r="AF57"/>
  <c r="AU205"/>
  <c r="BA205"/>
  <c r="AJ218"/>
  <c r="AJ232"/>
  <c r="AF248"/>
  <c r="N274"/>
  <c r="N269"/>
  <c r="P281"/>
  <c r="P278"/>
  <c r="AB302"/>
  <c r="AB301"/>
  <c r="AB285"/>
  <c r="O57"/>
  <c r="AE57"/>
  <c r="Q74"/>
  <c r="Q72"/>
  <c r="O76"/>
  <c r="AE81"/>
  <c r="O86"/>
  <c r="AE86"/>
  <c r="AZ102"/>
  <c r="AG111"/>
  <c r="AG115"/>
  <c r="AL121"/>
  <c r="L132"/>
  <c r="L130"/>
  <c r="AF150"/>
  <c r="AD168"/>
  <c r="AD175"/>
  <c r="AT201"/>
  <c r="AY201"/>
  <c r="AX216"/>
  <c r="Q225"/>
  <c r="AG226"/>
  <c r="S227"/>
  <c r="AF256"/>
  <c r="AA274"/>
  <c r="AL283"/>
  <c r="N291"/>
  <c r="X291"/>
  <c r="AS291"/>
  <c r="AP313"/>
  <c r="AX316"/>
  <c r="AY316"/>
  <c r="AK322"/>
  <c r="AL336"/>
  <c r="AF454"/>
  <c r="AD481"/>
  <c r="AX500"/>
  <c r="AY500"/>
  <c r="AJ225"/>
  <c r="BA276"/>
  <c r="AF283"/>
  <c r="AF320"/>
  <c r="M401"/>
  <c r="M247"/>
  <c r="M244"/>
  <c r="Z251"/>
  <c r="AS251"/>
  <c r="AS244"/>
  <c r="O295"/>
  <c r="Y568"/>
  <c r="Y586"/>
  <c r="Z589"/>
  <c r="Z588"/>
  <c r="Z302"/>
  <c r="Z301"/>
  <c r="AU744"/>
  <c r="BA744"/>
  <c r="BB745"/>
  <c r="BA745"/>
  <c r="AZ283"/>
  <c r="AY121"/>
  <c r="BB202"/>
  <c r="AJ282"/>
  <c r="P89"/>
  <c r="AF89"/>
  <c r="AX183"/>
  <c r="BB206"/>
  <c r="AA208"/>
  <c r="O216"/>
  <c r="AD216"/>
  <c r="O217"/>
  <c r="AE217"/>
  <c r="O218"/>
  <c r="AD218"/>
  <c r="AG232"/>
  <c r="AG246"/>
  <c r="O255"/>
  <c r="W291"/>
  <c r="BA314"/>
  <c r="AY321"/>
  <c r="AX321"/>
  <c r="AR329"/>
  <c r="AT335"/>
  <c r="AY335"/>
  <c r="M238"/>
  <c r="BB410"/>
  <c r="S238"/>
  <c r="AE425"/>
  <c r="AD262"/>
  <c r="W76"/>
  <c r="AJ76"/>
  <c r="AB201"/>
  <c r="U47"/>
  <c r="U64"/>
  <c r="AX127"/>
  <c r="X142"/>
  <c r="AK66"/>
  <c r="AB74"/>
  <c r="AB72"/>
  <c r="Q89"/>
  <c r="AD97"/>
  <c r="AD140"/>
  <c r="AX167"/>
  <c r="Q181"/>
  <c r="Q179"/>
  <c r="AX209"/>
  <c r="BB210"/>
  <c r="AK215"/>
  <c r="AF216"/>
  <c r="AA214"/>
  <c r="AE235"/>
  <c r="BB261"/>
  <c r="AU266"/>
  <c r="BB267"/>
  <c r="Q287"/>
  <c r="AJ289"/>
  <c r="M291"/>
  <c r="AE327"/>
  <c r="M330"/>
  <c r="M329"/>
  <c r="AS330"/>
  <c r="AS329"/>
  <c r="AG364"/>
  <c r="Z209"/>
  <c r="AD396"/>
  <c r="AS238"/>
  <c r="M251"/>
  <c r="AD428"/>
  <c r="AJ441"/>
  <c r="AU308"/>
  <c r="BA308"/>
  <c r="S248"/>
  <c r="O590"/>
  <c r="O589"/>
  <c r="O588"/>
  <c r="AE591"/>
  <c r="AE590"/>
  <c r="AE589"/>
  <c r="AE588"/>
  <c r="AS208"/>
  <c r="AC225"/>
  <c r="AD395"/>
  <c r="AE395"/>
  <c r="Z238"/>
  <c r="AR374"/>
  <c r="X408"/>
  <c r="Z236"/>
  <c r="AL632"/>
  <c r="X631"/>
  <c r="AY632"/>
  <c r="AT631"/>
  <c r="AY631"/>
  <c r="AZ323"/>
  <c r="BB323"/>
  <c r="AB89"/>
  <c r="BB47"/>
  <c r="AS110"/>
  <c r="AS99"/>
  <c r="AG134"/>
  <c r="AJ216"/>
  <c r="BB217"/>
  <c r="AX235"/>
  <c r="BA256"/>
  <c r="M296"/>
  <c r="M295"/>
  <c r="S210"/>
  <c r="S208"/>
  <c r="AB475"/>
  <c r="AB474"/>
  <c r="AG474"/>
  <c r="AF480"/>
  <c r="AG511"/>
  <c r="V560"/>
  <c r="Z235"/>
  <c r="AJ631"/>
  <c r="AR628"/>
  <c r="AR613"/>
  <c r="AR678"/>
  <c r="AR677"/>
  <c r="AR675"/>
  <c r="AL689"/>
  <c r="V723"/>
  <c r="V722"/>
  <c r="V720"/>
  <c r="AP723"/>
  <c r="AP722"/>
  <c r="AP720"/>
  <c r="AZ750"/>
  <c r="AJ773"/>
  <c r="BB802"/>
  <c r="AJ833"/>
  <c r="AR832"/>
  <c r="AR830"/>
  <c r="AR821"/>
  <c r="AS834"/>
  <c r="AS833"/>
  <c r="AS832"/>
  <c r="AS830"/>
  <c r="O911"/>
  <c r="AC987"/>
  <c r="AF1001"/>
  <c r="M1001"/>
  <c r="M1000"/>
  <c r="AD1044"/>
  <c r="AU1069"/>
  <c r="AG1074"/>
  <c r="N1069"/>
  <c r="Y1069"/>
  <c r="BA1083"/>
  <c r="M259"/>
  <c r="AD259"/>
  <c r="AD1150"/>
  <c r="AJ571"/>
  <c r="X723"/>
  <c r="AX724"/>
  <c r="AS741"/>
  <c r="AD858"/>
  <c r="AS911"/>
  <c r="AJ1001"/>
  <c r="AR1010"/>
  <c r="AR1009"/>
  <c r="AR1007"/>
  <c r="L1010"/>
  <c r="L1009"/>
  <c r="L1007"/>
  <c r="X1010"/>
  <c r="X1009"/>
  <c r="X1007"/>
  <c r="W1184"/>
  <c r="AJ1194"/>
  <c r="AP1204"/>
  <c r="AP1203"/>
  <c r="AP1201"/>
  <c r="M552"/>
  <c r="AT800"/>
  <c r="AY800"/>
  <c r="BB848"/>
  <c r="AS849"/>
  <c r="AS848"/>
  <c r="AS847"/>
  <c r="AS845"/>
  <c r="AZ879"/>
  <c r="X935"/>
  <c r="X934"/>
  <c r="X933"/>
  <c r="X931"/>
  <c r="AD1018"/>
  <c r="AE1044"/>
  <c r="AT1105"/>
  <c r="AJ1117"/>
  <c r="R1193"/>
  <c r="R1192"/>
  <c r="R1190"/>
  <c r="X1215"/>
  <c r="X1214"/>
  <c r="X1212"/>
  <c r="AF249"/>
  <c r="AJ250"/>
  <c r="AX256"/>
  <c r="AX259"/>
  <c r="X281"/>
  <c r="AU318"/>
  <c r="BB318"/>
  <c r="V357"/>
  <c r="AP357"/>
  <c r="Z225"/>
  <c r="O232"/>
  <c r="AE232"/>
  <c r="M236"/>
  <c r="AD236"/>
  <c r="O236"/>
  <c r="Y439"/>
  <c r="AJ477"/>
  <c r="AJ539"/>
  <c r="AJ552"/>
  <c r="AN598"/>
  <c r="N723"/>
  <c r="N722"/>
  <c r="N720"/>
  <c r="BB793"/>
  <c r="AT894"/>
  <c r="AT893"/>
  <c r="AF992"/>
  <c r="BB1035"/>
  <c r="AJ1042"/>
  <c r="S1081"/>
  <c r="AE1151"/>
  <c r="AD1163"/>
  <c r="O1194"/>
  <c r="O1193"/>
  <c r="Y1193"/>
  <c r="Y1192"/>
  <c r="Y1190"/>
  <c r="AK1209"/>
  <c r="AX238"/>
  <c r="R244"/>
  <c r="AJ247"/>
  <c r="AD248"/>
  <c r="AL261"/>
  <c r="X274"/>
  <c r="AL274"/>
  <c r="AT274"/>
  <c r="AY274"/>
  <c r="Q274"/>
  <c r="Q291"/>
  <c r="AX322"/>
  <c r="AD437"/>
  <c r="N453"/>
  <c r="N452"/>
  <c r="N450"/>
  <c r="Z324"/>
  <c r="Z318"/>
  <c r="AF500"/>
  <c r="N497"/>
  <c r="N495"/>
  <c r="M316"/>
  <c r="AP598"/>
  <c r="V598"/>
  <c r="AT609"/>
  <c r="AR655"/>
  <c r="Q678"/>
  <c r="Q677"/>
  <c r="Q675"/>
  <c r="AC678"/>
  <c r="AC677"/>
  <c r="AC675"/>
  <c r="M224"/>
  <c r="O773"/>
  <c r="O772"/>
  <c r="BB827"/>
  <c r="W858"/>
  <c r="W857"/>
  <c r="W856"/>
  <c r="W854"/>
  <c r="P878"/>
  <c r="AT935"/>
  <c r="AY935"/>
  <c r="O1035"/>
  <c r="AE1035"/>
  <c r="N1081"/>
  <c r="R1112"/>
  <c r="R1111"/>
  <c r="R1109"/>
  <c r="AC1112"/>
  <c r="AD1135"/>
  <c r="S1130"/>
  <c r="AR1142"/>
  <c r="AY1194"/>
  <c r="W475"/>
  <c r="W474"/>
  <c r="AG510"/>
  <c r="AS236"/>
  <c r="AS316"/>
  <c r="O316"/>
  <c r="AD316"/>
  <c r="O989"/>
  <c r="AE989"/>
  <c r="AG992"/>
  <c r="AK1000"/>
  <c r="AP1130"/>
  <c r="M237"/>
  <c r="AD237"/>
  <c r="O238"/>
  <c r="O1162"/>
  <c r="V832"/>
  <c r="V830"/>
  <c r="V821"/>
  <c r="AF943"/>
  <c r="AF995"/>
  <c r="AD997"/>
  <c r="R1000"/>
  <c r="AJ1000"/>
  <c r="M1058"/>
  <c r="M1057"/>
  <c r="M1056"/>
  <c r="M1054"/>
  <c r="AJ1077"/>
  <c r="BB1106"/>
  <c r="AZ1143"/>
  <c r="AE1149"/>
  <c r="AF1175"/>
  <c r="Q1204"/>
  <c r="AG215"/>
  <c r="AR45"/>
  <c r="AC110"/>
  <c r="M150"/>
  <c r="AC288"/>
  <c r="AC287"/>
  <c r="BB299"/>
  <c r="BA299"/>
  <c r="BB336"/>
  <c r="AZ336"/>
  <c r="AG382"/>
  <c r="AE385"/>
  <c r="O225"/>
  <c r="AD385"/>
  <c r="AE427"/>
  <c r="O251"/>
  <c r="AE251"/>
  <c r="P537"/>
  <c r="P536"/>
  <c r="P225"/>
  <c r="P220"/>
  <c r="AB537"/>
  <c r="AB536"/>
  <c r="AB225"/>
  <c r="AP910"/>
  <c r="AP909"/>
  <c r="AP908"/>
  <c r="AP906"/>
  <c r="AP275"/>
  <c r="BA80"/>
  <c r="AS89"/>
  <c r="AK93"/>
  <c r="AE97"/>
  <c r="O115"/>
  <c r="AE115"/>
  <c r="AL115"/>
  <c r="AZ115"/>
  <c r="AZ127"/>
  <c r="AX138"/>
  <c r="O144"/>
  <c r="AE144"/>
  <c r="AD158"/>
  <c r="AT181"/>
  <c r="Q201"/>
  <c r="AG201"/>
  <c r="BB234"/>
  <c r="BA234"/>
  <c r="O560"/>
  <c r="O563"/>
  <c r="O562"/>
  <c r="AD564"/>
  <c r="AK579"/>
  <c r="AP618"/>
  <c r="AP617"/>
  <c r="AP616"/>
  <c r="AP614"/>
  <c r="AP233"/>
  <c r="AP229"/>
  <c r="AX1050"/>
  <c r="AT1049"/>
  <c r="AT1048"/>
  <c r="AY1048"/>
  <c r="AY1050"/>
  <c r="P1171"/>
  <c r="AF1171"/>
  <c r="AF1173"/>
  <c r="AE1204"/>
  <c r="P1203"/>
  <c r="AE1203"/>
  <c r="R10"/>
  <c r="R12"/>
  <c r="L55"/>
  <c r="L45"/>
  <c r="AG102"/>
  <c r="AD124"/>
  <c r="AF127"/>
  <c r="BA127"/>
  <c r="AF134"/>
  <c r="M132"/>
  <c r="BA144"/>
  <c r="AD148"/>
  <c r="AS161"/>
  <c r="BA209"/>
  <c r="AU208"/>
  <c r="BA208"/>
  <c r="AG223"/>
  <c r="AT240"/>
  <c r="AY240"/>
  <c r="AY241"/>
  <c r="W281"/>
  <c r="W278"/>
  <c r="AJ278"/>
  <c r="AJ283"/>
  <c r="L313"/>
  <c r="M376"/>
  <c r="AD379"/>
  <c r="M217"/>
  <c r="AD217"/>
  <c r="AU408"/>
  <c r="W618"/>
  <c r="W617"/>
  <c r="W233"/>
  <c r="AJ233"/>
  <c r="AK619"/>
  <c r="BA765"/>
  <c r="AU764"/>
  <c r="AU763"/>
  <c r="BB763"/>
  <c r="AK1012"/>
  <c r="AY1012"/>
  <c r="AJ1175"/>
  <c r="W1174"/>
  <c r="AJ1174"/>
  <c r="V12"/>
  <c r="T15"/>
  <c r="AJ47"/>
  <c r="AD51"/>
  <c r="O47"/>
  <c r="AD47"/>
  <c r="BA57"/>
  <c r="AL61"/>
  <c r="O66"/>
  <c r="O64"/>
  <c r="N74"/>
  <c r="N72"/>
  <c r="S74"/>
  <c r="S72"/>
  <c r="N89"/>
  <c r="AC89"/>
  <c r="AF93"/>
  <c r="O93"/>
  <c r="O89"/>
  <c r="N101"/>
  <c r="AC101"/>
  <c r="AC99"/>
  <c r="AF115"/>
  <c r="AP132"/>
  <c r="AT142"/>
  <c r="AX142"/>
  <c r="AF144"/>
  <c r="AG150"/>
  <c r="AT154"/>
  <c r="AK157"/>
  <c r="AZ157"/>
  <c r="L161"/>
  <c r="AG167"/>
  <c r="AZ210"/>
  <c r="AE234"/>
  <c r="X258"/>
  <c r="X253"/>
  <c r="AL259"/>
  <c r="AZ296"/>
  <c r="Z329"/>
  <c r="AE369"/>
  <c r="O368"/>
  <c r="AB374"/>
  <c r="Q374"/>
  <c r="AS444"/>
  <c r="AS439"/>
  <c r="AS296"/>
  <c r="AS295"/>
  <c r="BB765"/>
  <c r="AS765"/>
  <c r="AS764"/>
  <c r="AS763"/>
  <c r="AS761"/>
  <c r="AS314"/>
  <c r="AU1193"/>
  <c r="BB1194"/>
  <c r="X664"/>
  <c r="X663"/>
  <c r="AL665"/>
  <c r="BA1216"/>
  <c r="AU1215"/>
  <c r="BB1215"/>
  <c r="AG66"/>
  <c r="AL47"/>
  <c r="AT55"/>
  <c r="N55"/>
  <c r="AY66"/>
  <c r="O80"/>
  <c r="AD80"/>
  <c r="AD95"/>
  <c r="AX102"/>
  <c r="AK111"/>
  <c r="O121"/>
  <c r="AE121"/>
  <c r="AR132"/>
  <c r="AD145"/>
  <c r="Q170"/>
  <c r="Q11"/>
  <c r="BA218"/>
  <c r="BB218"/>
  <c r="AG222"/>
  <c r="N229"/>
  <c r="AL267"/>
  <c r="AX309"/>
  <c r="BA322"/>
  <c r="BB322"/>
  <c r="AA329"/>
  <c r="BB330"/>
  <c r="AU329"/>
  <c r="BA329"/>
  <c r="BA330"/>
  <c r="AZ330"/>
  <c r="W951"/>
  <c r="AK952"/>
  <c r="AB965"/>
  <c r="AB963"/>
  <c r="AP965"/>
  <c r="AP963"/>
  <c r="N110"/>
  <c r="AX331"/>
  <c r="AY331"/>
  <c r="AE383"/>
  <c r="O222"/>
  <c r="AD222"/>
  <c r="S55"/>
  <c r="S45"/>
  <c r="S43"/>
  <c r="M74"/>
  <c r="U76"/>
  <c r="AP89"/>
  <c r="AP72"/>
  <c r="P99"/>
  <c r="AK144"/>
  <c r="O163"/>
  <c r="AE163"/>
  <c r="AB181"/>
  <c r="AB179"/>
  <c r="AB170"/>
  <c r="AB11"/>
  <c r="AG11"/>
  <c r="BA233"/>
  <c r="BB233"/>
  <c r="AZ233"/>
  <c r="AG235"/>
  <c r="N244"/>
  <c r="Z291"/>
  <c r="AE360"/>
  <c r="O202"/>
  <c r="AE202"/>
  <c r="AU537"/>
  <c r="AU536"/>
  <c r="AU225"/>
  <c r="AU220"/>
  <c r="X571"/>
  <c r="X570"/>
  <c r="X568"/>
  <c r="X302"/>
  <c r="AT571"/>
  <c r="AY572"/>
  <c r="AT302"/>
  <c r="AT301"/>
  <c r="Z602"/>
  <c r="Z601"/>
  <c r="Z599"/>
  <c r="Z598"/>
  <c r="Z232"/>
  <c r="AD666"/>
  <c r="M665"/>
  <c r="M664"/>
  <c r="M663"/>
  <c r="M655"/>
  <c r="M331"/>
  <c r="AD331"/>
  <c r="R926"/>
  <c r="R925"/>
  <c r="R924"/>
  <c r="R922"/>
  <c r="R276"/>
  <c r="BB1149"/>
  <c r="AU1142"/>
  <c r="BB1142"/>
  <c r="AY234"/>
  <c r="AK234"/>
  <c r="AP800"/>
  <c r="AP799"/>
  <c r="AP798"/>
  <c r="AP796"/>
  <c r="AP788"/>
  <c r="AP288"/>
  <c r="AP287"/>
  <c r="T55"/>
  <c r="AP55"/>
  <c r="X64"/>
  <c r="AD67"/>
  <c r="AD84"/>
  <c r="AL93"/>
  <c r="AD128"/>
  <c r="BB248"/>
  <c r="BA248"/>
  <c r="AE289"/>
  <c r="AZ293"/>
  <c r="AU291"/>
  <c r="BB291"/>
  <c r="BB293"/>
  <c r="Z202"/>
  <c r="Z201"/>
  <c r="M511"/>
  <c r="M510"/>
  <c r="Q639"/>
  <c r="Q638"/>
  <c r="Q628"/>
  <c r="S696"/>
  <c r="S695"/>
  <c r="S694"/>
  <c r="S692"/>
  <c r="S293"/>
  <c r="P716"/>
  <c r="AF717"/>
  <c r="AP926"/>
  <c r="AP925"/>
  <c r="AP924"/>
  <c r="AP922"/>
  <c r="AP276"/>
  <c r="BB1132"/>
  <c r="BA1132"/>
  <c r="AZ1132"/>
  <c r="P201"/>
  <c r="AE201"/>
  <c r="AG203"/>
  <c r="N208"/>
  <c r="AZ217"/>
  <c r="AG218"/>
  <c r="AE223"/>
  <c r="AA220"/>
  <c r="AE224"/>
  <c r="AG224"/>
  <c r="AL226"/>
  <c r="AL227"/>
  <c r="AL231"/>
  <c r="AL233"/>
  <c r="AA244"/>
  <c r="BA282"/>
  <c r="AK315"/>
  <c r="AR313"/>
  <c r="AB313"/>
  <c r="P326"/>
  <c r="AE326"/>
  <c r="AL330"/>
  <c r="N329"/>
  <c r="AL331"/>
  <c r="AG359"/>
  <c r="AX364"/>
  <c r="AF368"/>
  <c r="AX376"/>
  <c r="M382"/>
  <c r="Y408"/>
  <c r="X453"/>
  <c r="X452"/>
  <c r="X450"/>
  <c r="AT453"/>
  <c r="AY453"/>
  <c r="V453"/>
  <c r="V452"/>
  <c r="V450"/>
  <c r="AP453"/>
  <c r="AP452"/>
  <c r="AP450"/>
  <c r="AE481"/>
  <c r="AX491"/>
  <c r="Y537"/>
  <c r="Y536"/>
  <c r="Y534"/>
  <c r="AX539"/>
  <c r="AL552"/>
  <c r="AP568"/>
  <c r="M572"/>
  <c r="AB628"/>
  <c r="AG628"/>
  <c r="AL682"/>
  <c r="AG773"/>
  <c r="AL1083"/>
  <c r="X1081"/>
  <c r="N1142"/>
  <c r="P244"/>
  <c r="AG248"/>
  <c r="AL250"/>
  <c r="Z258"/>
  <c r="Z253"/>
  <c r="AS258"/>
  <c r="AS253"/>
  <c r="AD261"/>
  <c r="AA269"/>
  <c r="AZ275"/>
  <c r="AP281"/>
  <c r="AP278"/>
  <c r="M313"/>
  <c r="AU313"/>
  <c r="BB313"/>
  <c r="AD320"/>
  <c r="P329"/>
  <c r="AF331"/>
  <c r="AJ359"/>
  <c r="AR357"/>
  <c r="AG389"/>
  <c r="AD392"/>
  <c r="AR408"/>
  <c r="AG418"/>
  <c r="AD422"/>
  <c r="Q439"/>
  <c r="M439"/>
  <c r="AL447"/>
  <c r="P453"/>
  <c r="P452"/>
  <c r="P450"/>
  <c r="AT499"/>
  <c r="AY499"/>
  <c r="O500"/>
  <c r="AE500"/>
  <c r="AL511"/>
  <c r="AU527"/>
  <c r="BB527"/>
  <c r="L560"/>
  <c r="L586"/>
  <c r="W586"/>
  <c r="AO595"/>
  <c r="AO594"/>
  <c r="AO593"/>
  <c r="AL659"/>
  <c r="AX781"/>
  <c r="R780"/>
  <c r="R778"/>
  <c r="R776"/>
  <c r="W910"/>
  <c r="AJ911"/>
  <c r="X1057"/>
  <c r="X1056"/>
  <c r="AJ1071"/>
  <c r="W1069"/>
  <c r="AF1132"/>
  <c r="AF1149"/>
  <c r="L214"/>
  <c r="AR220"/>
  <c r="AJ226"/>
  <c r="BB226"/>
  <c r="AE238"/>
  <c r="AG238"/>
  <c r="Z244"/>
  <c r="AE259"/>
  <c r="BA267"/>
  <c r="P274"/>
  <c r="Z281"/>
  <c r="Z278"/>
  <c r="P287"/>
  <c r="N313"/>
  <c r="AD326"/>
  <c r="AL368"/>
  <c r="AP374"/>
  <c r="AP356"/>
  <c r="AP354"/>
  <c r="V374"/>
  <c r="M389"/>
  <c r="V439"/>
  <c r="AG477"/>
  <c r="AL539"/>
  <c r="L568"/>
  <c r="AZ603"/>
  <c r="N655"/>
  <c r="W688"/>
  <c r="AJ689"/>
  <c r="M710"/>
  <c r="M709"/>
  <c r="M708"/>
  <c r="M706"/>
  <c r="AD711"/>
  <c r="O723"/>
  <c r="AD880"/>
  <c r="AE880"/>
  <c r="O879"/>
  <c r="O878"/>
  <c r="O877"/>
  <c r="W935"/>
  <c r="AJ943"/>
  <c r="AE998"/>
  <c r="O995"/>
  <c r="AE995"/>
  <c r="P1111"/>
  <c r="P1109"/>
  <c r="M1143"/>
  <c r="AD1145"/>
  <c r="AE1145"/>
  <c r="AG1194"/>
  <c r="AP208"/>
  <c r="AJ217"/>
  <c r="AX231"/>
  <c r="AX245"/>
  <c r="W274"/>
  <c r="BA289"/>
  <c r="AD364"/>
  <c r="Z231"/>
  <c r="V408"/>
  <c r="V407"/>
  <c r="V405"/>
  <c r="AR439"/>
  <c r="AC475"/>
  <c r="AC474"/>
  <c r="AC472"/>
  <c r="AC471"/>
  <c r="AD553"/>
  <c r="AD554"/>
  <c r="S564"/>
  <c r="S563"/>
  <c r="S562"/>
  <c r="AY579"/>
  <c r="Z316"/>
  <c r="Z313"/>
  <c r="N598"/>
  <c r="Y598"/>
  <c r="AD1042"/>
  <c r="AD1144"/>
  <c r="O1143"/>
  <c r="AE1144"/>
  <c r="N201"/>
  <c r="AZ206"/>
  <c r="Z214"/>
  <c r="W220"/>
  <c r="AL235"/>
  <c r="AJ238"/>
  <c r="AJ246"/>
  <c r="AG250"/>
  <c r="R274"/>
  <c r="R269"/>
  <c r="M274"/>
  <c r="M269"/>
  <c r="AG283"/>
  <c r="AX314"/>
  <c r="AX315"/>
  <c r="BA323"/>
  <c r="AF324"/>
  <c r="X335"/>
  <c r="X333"/>
  <c r="BB359"/>
  <c r="O480"/>
  <c r="AD480"/>
  <c r="AD485"/>
  <c r="L537"/>
  <c r="L536"/>
  <c r="L534"/>
  <c r="S315"/>
  <c r="AJ598"/>
  <c r="AT678"/>
  <c r="AT677"/>
  <c r="AE682"/>
  <c r="AG682"/>
  <c r="AB678"/>
  <c r="AB677"/>
  <c r="AB675"/>
  <c r="R987"/>
  <c r="R986"/>
  <c r="AX989"/>
  <c r="AC986"/>
  <c r="AC984"/>
  <c r="X1105"/>
  <c r="AL1106"/>
  <c r="L229"/>
  <c r="AL234"/>
  <c r="AC244"/>
  <c r="AL262"/>
  <c r="Q269"/>
  <c r="Z287"/>
  <c r="AK299"/>
  <c r="AC313"/>
  <c r="AK330"/>
  <c r="AS368"/>
  <c r="L374"/>
  <c r="P408"/>
  <c r="N439"/>
  <c r="AR453"/>
  <c r="AR452"/>
  <c r="AR450"/>
  <c r="AX461"/>
  <c r="L475"/>
  <c r="L474"/>
  <c r="L472"/>
  <c r="L471"/>
  <c r="Q509"/>
  <c r="Q508"/>
  <c r="S231"/>
  <c r="AT594"/>
  <c r="AY594"/>
  <c r="AB598"/>
  <c r="N628"/>
  <c r="N613"/>
  <c r="AK665"/>
  <c r="AY665"/>
  <c r="AT716"/>
  <c r="AT715"/>
  <c r="AL717"/>
  <c r="AY717"/>
  <c r="M723"/>
  <c r="M722"/>
  <c r="M720"/>
  <c r="L832"/>
  <c r="L830"/>
  <c r="L821"/>
  <c r="AD895"/>
  <c r="AX935"/>
  <c r="R935"/>
  <c r="R934"/>
  <c r="R933"/>
  <c r="R931"/>
  <c r="AX937"/>
  <c r="BB1185"/>
  <c r="AU1184"/>
  <c r="BA1184"/>
  <c r="AU878"/>
  <c r="BB878"/>
  <c r="V905"/>
  <c r="AD1003"/>
  <c r="AL1012"/>
  <c r="AK1050"/>
  <c r="V1081"/>
  <c r="AD1090"/>
  <c r="AX1105"/>
  <c r="AL1117"/>
  <c r="AL1135"/>
  <c r="Q1142"/>
  <c r="AG1142"/>
  <c r="AB1142"/>
  <c r="R628"/>
  <c r="M640"/>
  <c r="M639"/>
  <c r="M638"/>
  <c r="M628"/>
  <c r="P678"/>
  <c r="P677"/>
  <c r="AG679"/>
  <c r="AF710"/>
  <c r="AE728"/>
  <c r="Q741"/>
  <c r="AX773"/>
  <c r="M768"/>
  <c r="AK781"/>
  <c r="AS781"/>
  <c r="AS780"/>
  <c r="AS778"/>
  <c r="AS776"/>
  <c r="AS768"/>
  <c r="L788"/>
  <c r="N832"/>
  <c r="N830"/>
  <c r="N821"/>
  <c r="Y873"/>
  <c r="N873"/>
  <c r="BA895"/>
  <c r="L935"/>
  <c r="L934"/>
  <c r="L933"/>
  <c r="L931"/>
  <c r="L930"/>
  <c r="AE943"/>
  <c r="AF951"/>
  <c r="AT951"/>
  <c r="AT950"/>
  <c r="AF1012"/>
  <c r="AD1027"/>
  <c r="AE1050"/>
  <c r="L1069"/>
  <c r="L1067"/>
  <c r="L1065"/>
  <c r="L1064"/>
  <c r="L1062"/>
  <c r="AD1075"/>
  <c r="AF1117"/>
  <c r="BB1121"/>
  <c r="AX1149"/>
  <c r="AG1185"/>
  <c r="AX717"/>
  <c r="AB723"/>
  <c r="AB722"/>
  <c r="AB720"/>
  <c r="W723"/>
  <c r="O780"/>
  <c r="L987"/>
  <c r="L986"/>
  <c r="L984"/>
  <c r="AX1035"/>
  <c r="AG1050"/>
  <c r="AC1130"/>
  <c r="AC1129"/>
  <c r="AC1127"/>
  <c r="BB1175"/>
  <c r="S1193"/>
  <c r="S1192"/>
  <c r="S1190"/>
  <c r="AD1199"/>
  <c r="AJ1209"/>
  <c r="AK682"/>
  <c r="Q723"/>
  <c r="AC723"/>
  <c r="AC722"/>
  <c r="AC720"/>
  <c r="R756"/>
  <c r="R755"/>
  <c r="R753"/>
  <c r="AE801"/>
  <c r="BA879"/>
  <c r="N905"/>
  <c r="AX927"/>
  <c r="AU976"/>
  <c r="AZ976"/>
  <c r="V987"/>
  <c r="V986"/>
  <c r="V984"/>
  <c r="S1010"/>
  <c r="S1009"/>
  <c r="S1007"/>
  <c r="AZ1058"/>
  <c r="AP1069"/>
  <c r="X1112"/>
  <c r="V1130"/>
  <c r="N1130"/>
  <c r="N1129"/>
  <c r="N1127"/>
  <c r="L1142"/>
  <c r="L1129"/>
  <c r="L1127"/>
  <c r="V1142"/>
  <c r="O1185"/>
  <c r="AE1185"/>
  <c r="AX1206"/>
  <c r="W568"/>
  <c r="AR568"/>
  <c r="AB586"/>
  <c r="AL598"/>
  <c r="AG619"/>
  <c r="V639"/>
  <c r="V638"/>
  <c r="AP639"/>
  <c r="AP638"/>
  <c r="V678"/>
  <c r="V677"/>
  <c r="V675"/>
  <c r="R723"/>
  <c r="R722"/>
  <c r="R720"/>
  <c r="AP768"/>
  <c r="AY781"/>
  <c r="AZ793"/>
  <c r="AZ859"/>
  <c r="BB879"/>
  <c r="M905"/>
  <c r="AU950"/>
  <c r="BA950"/>
  <c r="AX952"/>
  <c r="AS952"/>
  <c r="AS951"/>
  <c r="AS950"/>
  <c r="AS949"/>
  <c r="AS947"/>
  <c r="L965"/>
  <c r="S977"/>
  <c r="S976"/>
  <c r="S975"/>
  <c r="S973"/>
  <c r="S972"/>
  <c r="Y987"/>
  <c r="Y986"/>
  <c r="Y984"/>
  <c r="AX992"/>
  <c r="AR987"/>
  <c r="AR986"/>
  <c r="AR984"/>
  <c r="AY1001"/>
  <c r="V1010"/>
  <c r="V1009"/>
  <c r="V1007"/>
  <c r="V983"/>
  <c r="V981"/>
  <c r="AJ1050"/>
  <c r="AU1057"/>
  <c r="BB1057"/>
  <c r="BA1058"/>
  <c r="AG1071"/>
  <c r="M1087"/>
  <c r="AZ1106"/>
  <c r="AD1133"/>
  <c r="Y1142"/>
  <c r="AK1149"/>
  <c r="AK1194"/>
  <c r="S1204"/>
  <c r="S1203"/>
  <c r="S1201"/>
  <c r="Y1204"/>
  <c r="Y1203"/>
  <c r="Y1201"/>
  <c r="S723"/>
  <c r="S722"/>
  <c r="S720"/>
  <c r="BB738"/>
  <c r="O741"/>
  <c r="AX750"/>
  <c r="N768"/>
  <c r="AU792"/>
  <c r="BA792"/>
  <c r="AY918"/>
  <c r="AX943"/>
  <c r="AZ1035"/>
  <c r="M1069"/>
  <c r="AF1087"/>
  <c r="AK1101"/>
  <c r="BA1106"/>
  <c r="AK1135"/>
  <c r="AL1149"/>
  <c r="AJ1162"/>
  <c r="AU1174"/>
  <c r="AZ1174"/>
  <c r="AE80"/>
  <c r="X55"/>
  <c r="AL55"/>
  <c r="AD121"/>
  <c r="BB222"/>
  <c r="BA222"/>
  <c r="BB231"/>
  <c r="BA231"/>
  <c r="AU229"/>
  <c r="BB235"/>
  <c r="BA235"/>
  <c r="AY249"/>
  <c r="AX249"/>
  <c r="AX267"/>
  <c r="R266"/>
  <c r="R264"/>
  <c r="AZ410"/>
  <c r="AK410"/>
  <c r="AY410"/>
  <c r="AT408"/>
  <c r="AY408"/>
  <c r="O418"/>
  <c r="AE418"/>
  <c r="AE420"/>
  <c r="AD420"/>
  <c r="O246"/>
  <c r="O244"/>
  <c r="AR509"/>
  <c r="AR508"/>
  <c r="AR497"/>
  <c r="AR495"/>
  <c r="AR487"/>
  <c r="AR288"/>
  <c r="AS130"/>
  <c r="AJ175"/>
  <c r="W174"/>
  <c r="AX210"/>
  <c r="R208"/>
  <c r="AG320"/>
  <c r="AX330"/>
  <c r="R329"/>
  <c r="AE390"/>
  <c r="O389"/>
  <c r="AE389"/>
  <c r="O230"/>
  <c r="AD230"/>
  <c r="AK57"/>
  <c r="AP45"/>
  <c r="O61"/>
  <c r="AE61"/>
  <c r="AB55"/>
  <c r="M66"/>
  <c r="AD78"/>
  <c r="BA86"/>
  <c r="AX90"/>
  <c r="AD96"/>
  <c r="Q101"/>
  <c r="AF101"/>
  <c r="BA102"/>
  <c r="AX115"/>
  <c r="AD119"/>
  <c r="AF121"/>
  <c r="BA121"/>
  <c r="N132"/>
  <c r="N130"/>
  <c r="AC132"/>
  <c r="AC130"/>
  <c r="AZ134"/>
  <c r="AF138"/>
  <c r="AE148"/>
  <c r="AD152"/>
  <c r="AF157"/>
  <c r="AP244"/>
  <c r="AX262"/>
  <c r="AY262"/>
  <c r="AZ644"/>
  <c r="AY644"/>
  <c r="AL644"/>
  <c r="AX644"/>
  <c r="T45"/>
  <c r="T43"/>
  <c r="S376"/>
  <c r="S374"/>
  <c r="S218"/>
  <c r="AD48"/>
  <c r="M57"/>
  <c r="M55"/>
  <c r="AG86"/>
  <c r="AZ90"/>
  <c r="AU101"/>
  <c r="W110"/>
  <c r="W99"/>
  <c r="AJ99"/>
  <c r="AD112"/>
  <c r="AD118"/>
  <c r="O134"/>
  <c r="AD135"/>
  <c r="M144"/>
  <c r="M142"/>
  <c r="AG163"/>
  <c r="AY163"/>
  <c r="AX163"/>
  <c r="AK175"/>
  <c r="P181"/>
  <c r="P179"/>
  <c r="P170"/>
  <c r="P11"/>
  <c r="AD187"/>
  <c r="X264"/>
  <c r="AG47"/>
  <c r="AC45"/>
  <c r="AG57"/>
  <c r="AS45"/>
  <c r="AD59"/>
  <c r="W64"/>
  <c r="AJ64"/>
  <c r="W80"/>
  <c r="AJ80"/>
  <c r="BB90"/>
  <c r="X110"/>
  <c r="AT110"/>
  <c r="O111"/>
  <c r="AZ111"/>
  <c r="AK121"/>
  <c r="AP110"/>
  <c r="AP99"/>
  <c r="AG127"/>
  <c r="AE134"/>
  <c r="AK138"/>
  <c r="P161"/>
  <c r="AK163"/>
  <c r="AU161"/>
  <c r="BB163"/>
  <c r="AY181"/>
  <c r="AX181"/>
  <c r="AR201"/>
  <c r="AR199"/>
  <c r="M220"/>
  <c r="BB232"/>
  <c r="BA232"/>
  <c r="AZ237"/>
  <c r="AY237"/>
  <c r="AL237"/>
  <c r="AX237"/>
  <c r="AK237"/>
  <c r="AG282"/>
  <c r="AF579"/>
  <c r="Q578"/>
  <c r="AK47"/>
  <c r="AD50"/>
  <c r="U57"/>
  <c r="U55"/>
  <c r="AF61"/>
  <c r="AG74"/>
  <c r="AG76"/>
  <c r="AS74"/>
  <c r="AS72"/>
  <c r="AT89"/>
  <c r="AY89"/>
  <c r="AY93"/>
  <c r="L101"/>
  <c r="L99"/>
  <c r="AB110"/>
  <c r="AU110"/>
  <c r="AZ110"/>
  <c r="AE111"/>
  <c r="AX111"/>
  <c r="AK115"/>
  <c r="AR110"/>
  <c r="AT132"/>
  <c r="AT130"/>
  <c r="BA134"/>
  <c r="AK167"/>
  <c r="AX47"/>
  <c r="P55"/>
  <c r="P45"/>
  <c r="AE59"/>
  <c r="AZ61"/>
  <c r="AF64"/>
  <c r="AZ66"/>
  <c r="AU74"/>
  <c r="BB74"/>
  <c r="AR74"/>
  <c r="AR72"/>
  <c r="AR43"/>
  <c r="AR89"/>
  <c r="BA93"/>
  <c r="AF111"/>
  <c r="AG121"/>
  <c r="O127"/>
  <c r="AD127"/>
  <c r="AK127"/>
  <c r="AB132"/>
  <c r="W142"/>
  <c r="AK142"/>
  <c r="AY142"/>
  <c r="AY144"/>
  <c r="AX150"/>
  <c r="Q154"/>
  <c r="AZ202"/>
  <c r="AL202"/>
  <c r="AY202"/>
  <c r="AY210"/>
  <c r="AK210"/>
  <c r="AE250"/>
  <c r="AD250"/>
  <c r="AB274"/>
  <c r="AG274"/>
  <c r="AG275"/>
  <c r="AG564"/>
  <c r="AB560"/>
  <c r="AG560"/>
  <c r="AB563"/>
  <c r="AY1204"/>
  <c r="AK1204"/>
  <c r="AT1203"/>
  <c r="AL1203"/>
  <c r="N64"/>
  <c r="AF80"/>
  <c r="AC72"/>
  <c r="X89"/>
  <c r="M115"/>
  <c r="M110"/>
  <c r="AP130"/>
  <c r="AJ163"/>
  <c r="W161"/>
  <c r="AJ161"/>
  <c r="BA215"/>
  <c r="AU214"/>
  <c r="BA214"/>
  <c r="BB215"/>
  <c r="AZ215"/>
  <c r="AL249"/>
  <c r="AX320"/>
  <c r="AK320"/>
  <c r="AY324"/>
  <c r="AK324"/>
  <c r="AX324"/>
  <c r="AL163"/>
  <c r="AD164"/>
  <c r="O167"/>
  <c r="AU201"/>
  <c r="AL203"/>
  <c r="AX206"/>
  <c r="AK206"/>
  <c r="AK209"/>
  <c r="AZ209"/>
  <c r="AC214"/>
  <c r="AR214"/>
  <c r="AJ222"/>
  <c r="AC220"/>
  <c r="AL225"/>
  <c r="R229"/>
  <c r="AF231"/>
  <c r="AF235"/>
  <c r="AE236"/>
  <c r="AZ236"/>
  <c r="AE237"/>
  <c r="X244"/>
  <c r="AF247"/>
  <c r="AL248"/>
  <c r="AU255"/>
  <c r="BB255"/>
  <c r="AT266"/>
  <c r="AY266"/>
  <c r="AR281"/>
  <c r="AR278"/>
  <c r="AA287"/>
  <c r="L287"/>
  <c r="L285"/>
  <c r="AR291"/>
  <c r="AP291"/>
  <c r="AL296"/>
  <c r="W301"/>
  <c r="P318"/>
  <c r="AS318"/>
  <c r="AL324"/>
  <c r="AD327"/>
  <c r="AR356"/>
  <c r="AR354"/>
  <c r="AE514"/>
  <c r="AD514"/>
  <c r="O511"/>
  <c r="AD315"/>
  <c r="AM598"/>
  <c r="AX618"/>
  <c r="AT617"/>
  <c r="AY617"/>
  <c r="AY618"/>
  <c r="N161"/>
  <c r="AC161"/>
  <c r="AF167"/>
  <c r="AK183"/>
  <c r="AX202"/>
  <c r="AC201"/>
  <c r="AC199"/>
  <c r="O201"/>
  <c r="AA201"/>
  <c r="L208"/>
  <c r="AL217"/>
  <c r="L220"/>
  <c r="AB220"/>
  <c r="BA227"/>
  <c r="AF232"/>
  <c r="AJ235"/>
  <c r="AF236"/>
  <c r="AX247"/>
  <c r="AT244"/>
  <c r="AG249"/>
  <c r="AF250"/>
  <c r="AL251"/>
  <c r="AJ256"/>
  <c r="W258"/>
  <c r="BB259"/>
  <c r="R258"/>
  <c r="R253"/>
  <c r="AZ262"/>
  <c r="AF275"/>
  <c r="AL289"/>
  <c r="AU298"/>
  <c r="BB298"/>
  <c r="AZ299"/>
  <c r="W313"/>
  <c r="AJ314"/>
  <c r="R318"/>
  <c r="R311"/>
  <c r="AC318"/>
  <c r="BB320"/>
  <c r="BA320"/>
  <c r="AZ324"/>
  <c r="AJ327"/>
  <c r="AL327"/>
  <c r="AP329"/>
  <c r="AZ331"/>
  <c r="L357"/>
  <c r="AD419"/>
  <c r="AE419"/>
  <c r="AD461"/>
  <c r="AF477"/>
  <c r="Q475"/>
  <c r="Q474"/>
  <c r="Q472"/>
  <c r="O586"/>
  <c r="AX918"/>
  <c r="R917"/>
  <c r="R916"/>
  <c r="AL201"/>
  <c r="AZ203"/>
  <c r="M208"/>
  <c r="X208"/>
  <c r="AD224"/>
  <c r="AJ231"/>
  <c r="AK231"/>
  <c r="Q244"/>
  <c r="AF244"/>
  <c r="AG245"/>
  <c r="L258"/>
  <c r="L253"/>
  <c r="AD289"/>
  <c r="AR287"/>
  <c r="AR285"/>
  <c r="P291"/>
  <c r="AA291"/>
  <c r="BB382"/>
  <c r="BA382"/>
  <c r="AZ382"/>
  <c r="X499"/>
  <c r="AL500"/>
  <c r="P840"/>
  <c r="M840"/>
  <c r="AL210"/>
  <c r="N214"/>
  <c r="X229"/>
  <c r="O258"/>
  <c r="O253"/>
  <c r="AR258"/>
  <c r="AR253"/>
  <c r="L281"/>
  <c r="L278"/>
  <c r="AR318"/>
  <c r="Q329"/>
  <c r="AF329"/>
  <c r="X329"/>
  <c r="AZ520"/>
  <c r="AT519"/>
  <c r="AX519"/>
  <c r="AY520"/>
  <c r="AO598"/>
  <c r="W722"/>
  <c r="AF163"/>
  <c r="AC181"/>
  <c r="AC179"/>
  <c r="AC170"/>
  <c r="AC11"/>
  <c r="AD184"/>
  <c r="AY203"/>
  <c r="AD209"/>
  <c r="Z208"/>
  <c r="AD215"/>
  <c r="BA216"/>
  <c r="AF217"/>
  <c r="AG217"/>
  <c r="AE218"/>
  <c r="Z220"/>
  <c r="AP220"/>
  <c r="BA223"/>
  <c r="AF224"/>
  <c r="BB224"/>
  <c r="AX233"/>
  <c r="AJ236"/>
  <c r="AF245"/>
  <c r="AZ245"/>
  <c r="AK247"/>
  <c r="AZ251"/>
  <c r="AD255"/>
  <c r="AF289"/>
  <c r="AG289"/>
  <c r="BA292"/>
  <c r="AT295"/>
  <c r="AX295"/>
  <c r="AX296"/>
  <c r="BA315"/>
  <c r="Q313"/>
  <c r="AC357"/>
  <c r="M357"/>
  <c r="AF364"/>
  <c r="AE384"/>
  <c r="AD384"/>
  <c r="BB441"/>
  <c r="BA441"/>
  <c r="AZ441"/>
  <c r="AY444"/>
  <c r="AX444"/>
  <c r="AK444"/>
  <c r="AZ696"/>
  <c r="AY696"/>
  <c r="AT695"/>
  <c r="AX695"/>
  <c r="AX696"/>
  <c r="M157"/>
  <c r="M154"/>
  <c r="Q161"/>
  <c r="BB175"/>
  <c r="N181"/>
  <c r="N179"/>
  <c r="N170"/>
  <c r="N11"/>
  <c r="AZ183"/>
  <c r="BB203"/>
  <c r="AE206"/>
  <c r="AG205"/>
  <c r="P208"/>
  <c r="AB208"/>
  <c r="AG208"/>
  <c r="O208"/>
  <c r="AT214"/>
  <c r="AY214"/>
  <c r="AE215"/>
  <c r="AF222"/>
  <c r="AD223"/>
  <c r="AJ224"/>
  <c r="AZ225"/>
  <c r="AA229"/>
  <c r="AA212"/>
  <c r="AR229"/>
  <c r="AD234"/>
  <c r="AD235"/>
  <c r="AL236"/>
  <c r="BB237"/>
  <c r="AY238"/>
  <c r="AK249"/>
  <c r="BA251"/>
  <c r="AE255"/>
  <c r="AE256"/>
  <c r="AG256"/>
  <c r="Q258"/>
  <c r="N258"/>
  <c r="N253"/>
  <c r="AZ261"/>
  <c r="AL275"/>
  <c r="AX276"/>
  <c r="S291"/>
  <c r="AX293"/>
  <c r="AC291"/>
  <c r="BA293"/>
  <c r="X295"/>
  <c r="AK296"/>
  <c r="AL299"/>
  <c r="X298"/>
  <c r="AZ309"/>
  <c r="BB315"/>
  <c r="AB326"/>
  <c r="AG327"/>
  <c r="R357"/>
  <c r="AS359"/>
  <c r="AS357"/>
  <c r="AD368"/>
  <c r="AY368"/>
  <c r="AX368"/>
  <c r="AF376"/>
  <c r="AF382"/>
  <c r="AE622"/>
  <c r="AD622"/>
  <c r="Q688"/>
  <c r="AF689"/>
  <c r="Q302"/>
  <c r="AF302"/>
  <c r="AC688"/>
  <c r="AC687"/>
  <c r="AC685"/>
  <c r="AC302"/>
  <c r="AC301"/>
  <c r="AS214"/>
  <c r="AP214"/>
  <c r="AX218"/>
  <c r="N220"/>
  <c r="AK225"/>
  <c r="AX227"/>
  <c r="Q229"/>
  <c r="AB229"/>
  <c r="AT229"/>
  <c r="AY229"/>
  <c r="P229"/>
  <c r="W244"/>
  <c r="AJ244"/>
  <c r="AC258"/>
  <c r="AC253"/>
  <c r="AB269"/>
  <c r="BB321"/>
  <c r="BA321"/>
  <c r="AZ321"/>
  <c r="AG331"/>
  <c r="AE368"/>
  <c r="P357"/>
  <c r="AE377"/>
  <c r="O376"/>
  <c r="AD376"/>
  <c r="AE393"/>
  <c r="AD393"/>
  <c r="AE411"/>
  <c r="AD411"/>
  <c r="AB439"/>
  <c r="AY564"/>
  <c r="AX564"/>
  <c r="AT560"/>
  <c r="AX560"/>
  <c r="W678"/>
  <c r="AK678"/>
  <c r="AK679"/>
  <c r="AK376"/>
  <c r="AD378"/>
  <c r="M418"/>
  <c r="AD427"/>
  <c r="AT439"/>
  <c r="AY439"/>
  <c r="AG480"/>
  <c r="S262"/>
  <c r="S258"/>
  <c r="AB509"/>
  <c r="AB508"/>
  <c r="S511"/>
  <c r="S510"/>
  <c r="S509"/>
  <c r="S508"/>
  <c r="AY539"/>
  <c r="AD576"/>
  <c r="AE576"/>
  <c r="AY590"/>
  <c r="L598"/>
  <c r="O619"/>
  <c r="O233"/>
  <c r="AE233"/>
  <c r="AD620"/>
  <c r="AG689"/>
  <c r="AB688"/>
  <c r="BB710"/>
  <c r="AU709"/>
  <c r="BA710"/>
  <c r="BA724"/>
  <c r="AZ724"/>
  <c r="AU723"/>
  <c r="AU722"/>
  <c r="AU720"/>
  <c r="BB724"/>
  <c r="AE1004"/>
  <c r="O1001"/>
  <c r="AE1001"/>
  <c r="AD314"/>
  <c r="AL316"/>
  <c r="AJ320"/>
  <c r="AJ326"/>
  <c r="AZ327"/>
  <c r="N357"/>
  <c r="AL364"/>
  <c r="Y374"/>
  <c r="AC374"/>
  <c r="AC356"/>
  <c r="AC354"/>
  <c r="AD383"/>
  <c r="AE391"/>
  <c r="AE392"/>
  <c r="N408"/>
  <c r="P439"/>
  <c r="AX441"/>
  <c r="AC439"/>
  <c r="AY447"/>
  <c r="R453"/>
  <c r="R452"/>
  <c r="R450"/>
  <c r="AJ454"/>
  <c r="L467"/>
  <c r="L466"/>
  <c r="AX477"/>
  <c r="AZ480"/>
  <c r="L487"/>
  <c r="BB564"/>
  <c r="AU560"/>
  <c r="AK571"/>
  <c r="AX579"/>
  <c r="R578"/>
  <c r="R577"/>
  <c r="AJ579"/>
  <c r="AG598"/>
  <c r="Q618"/>
  <c r="Q617"/>
  <c r="Q616"/>
  <c r="AZ757"/>
  <c r="BB757"/>
  <c r="BA757"/>
  <c r="O778"/>
  <c r="O776"/>
  <c r="AD776"/>
  <c r="AD780"/>
  <c r="BA327"/>
  <c r="AE331"/>
  <c r="AB357"/>
  <c r="Y357"/>
  <c r="R374"/>
  <c r="AS382"/>
  <c r="AS374"/>
  <c r="O382"/>
  <c r="AE382"/>
  <c r="AL389"/>
  <c r="AF401"/>
  <c r="S234"/>
  <c r="M410"/>
  <c r="AZ418"/>
  <c r="AS418"/>
  <c r="AD421"/>
  <c r="AY441"/>
  <c r="R439"/>
  <c r="AJ439"/>
  <c r="AL454"/>
  <c r="M454"/>
  <c r="M453"/>
  <c r="M452"/>
  <c r="M450"/>
  <c r="AX468"/>
  <c r="AK477"/>
  <c r="V475"/>
  <c r="V474"/>
  <c r="V472"/>
  <c r="V471"/>
  <c r="BA480"/>
  <c r="AE511"/>
  <c r="AS528"/>
  <c r="AS527"/>
  <c r="AS526"/>
  <c r="AS524"/>
  <c r="AS523"/>
  <c r="V568"/>
  <c r="AF572"/>
  <c r="AG572"/>
  <c r="Q571"/>
  <c r="AC568"/>
  <c r="AC533"/>
  <c r="AE620"/>
  <c r="AF644"/>
  <c r="V741"/>
  <c r="AP741"/>
  <c r="AG834"/>
  <c r="AB833"/>
  <c r="AG833"/>
  <c r="AU910"/>
  <c r="AU909"/>
  <c r="AU908"/>
  <c r="BA911"/>
  <c r="AE938"/>
  <c r="AD938"/>
  <c r="N374"/>
  <c r="AS389"/>
  <c r="AX410"/>
  <c r="AS454"/>
  <c r="AS453"/>
  <c r="AS452"/>
  <c r="AS450"/>
  <c r="M475"/>
  <c r="Q499"/>
  <c r="AG499"/>
  <c r="AG500"/>
  <c r="AS497"/>
  <c r="AS495"/>
  <c r="AS487"/>
  <c r="Y533"/>
  <c r="AR537"/>
  <c r="AR536"/>
  <c r="AR534"/>
  <c r="AX552"/>
  <c r="AY552"/>
  <c r="AS552"/>
  <c r="O552"/>
  <c r="AD556"/>
  <c r="Q563"/>
  <c r="Q562"/>
  <c r="AF564"/>
  <c r="BA564"/>
  <c r="AK572"/>
  <c r="AR586"/>
  <c r="Z595"/>
  <c r="Z594"/>
  <c r="Z593"/>
  <c r="X715"/>
  <c r="AL716"/>
  <c r="O1101"/>
  <c r="AD1101"/>
  <c r="AE1102"/>
  <c r="AD1102"/>
  <c r="R313"/>
  <c r="AE320"/>
  <c r="AA318"/>
  <c r="AP318"/>
  <c r="L318"/>
  <c r="L311"/>
  <c r="L304"/>
  <c r="L14"/>
  <c r="AE364"/>
  <c r="AK382"/>
  <c r="BB408"/>
  <c r="AP439"/>
  <c r="R563"/>
  <c r="R562"/>
  <c r="AT577"/>
  <c r="AY577"/>
  <c r="AS579"/>
  <c r="AS578"/>
  <c r="AS577"/>
  <c r="S316"/>
  <c r="M579"/>
  <c r="M578"/>
  <c r="M586"/>
  <c r="O598"/>
  <c r="X598"/>
  <c r="AR598"/>
  <c r="AT639"/>
  <c r="AT638"/>
  <c r="AR654"/>
  <c r="BA682"/>
  <c r="BB682"/>
  <c r="AZ682"/>
  <c r="AJ765"/>
  <c r="W764"/>
  <c r="AJ764"/>
  <c r="AR475"/>
  <c r="AR474"/>
  <c r="AR472"/>
  <c r="AR471"/>
  <c r="AJ500"/>
  <c r="AT537"/>
  <c r="AT536"/>
  <c r="AY536"/>
  <c r="BA552"/>
  <c r="AD555"/>
  <c r="AL564"/>
  <c r="Q586"/>
  <c r="AI598"/>
  <c r="AT608"/>
  <c r="AT606"/>
  <c r="AY609"/>
  <c r="AB617"/>
  <c r="X630"/>
  <c r="AJ682"/>
  <c r="AX682"/>
  <c r="AF389"/>
  <c r="AP408"/>
  <c r="AP407"/>
  <c r="AP405"/>
  <c r="X439"/>
  <c r="X407"/>
  <c r="X405"/>
  <c r="AD462"/>
  <c r="O477"/>
  <c r="AS480"/>
  <c r="AS475"/>
  <c r="AS474"/>
  <c r="AS472"/>
  <c r="AS471"/>
  <c r="AD483"/>
  <c r="V497"/>
  <c r="V495"/>
  <c r="AK500"/>
  <c r="AR560"/>
  <c r="AS572"/>
  <c r="AD575"/>
  <c r="W577"/>
  <c r="AK578"/>
  <c r="BA603"/>
  <c r="AU602"/>
  <c r="BB602"/>
  <c r="AS598"/>
  <c r="R613"/>
  <c r="M619"/>
  <c r="W630"/>
  <c r="AY640"/>
  <c r="M679"/>
  <c r="M678"/>
  <c r="M677"/>
  <c r="M675"/>
  <c r="AD680"/>
  <c r="AY689"/>
  <c r="AT688"/>
  <c r="AT709"/>
  <c r="AZ709"/>
  <c r="AY710"/>
  <c r="AY716"/>
  <c r="AC639"/>
  <c r="AC638"/>
  <c r="AC628"/>
  <c r="AC613"/>
  <c r="AS640"/>
  <c r="AS639"/>
  <c r="AS638"/>
  <c r="AE644"/>
  <c r="AX659"/>
  <c r="AX665"/>
  <c r="AE665"/>
  <c r="AZ679"/>
  <c r="X709"/>
  <c r="AL710"/>
  <c r="P727"/>
  <c r="AE727"/>
  <c r="AG727"/>
  <c r="BB727"/>
  <c r="AF728"/>
  <c r="AY757"/>
  <c r="AT756"/>
  <c r="V873"/>
  <c r="AT910"/>
  <c r="AY910"/>
  <c r="AY911"/>
  <c r="AX911"/>
  <c r="AK911"/>
  <c r="AE1013"/>
  <c r="AD1013"/>
  <c r="AZ1093"/>
  <c r="BB1093"/>
  <c r="AU1081"/>
  <c r="BB1081"/>
  <c r="R741"/>
  <c r="AR768"/>
  <c r="BB781"/>
  <c r="AZ781"/>
  <c r="AB800"/>
  <c r="AG801"/>
  <c r="Q840"/>
  <c r="AF840"/>
  <c r="AF841"/>
  <c r="AD842"/>
  <c r="O841"/>
  <c r="O840"/>
  <c r="AE840"/>
  <c r="AT857"/>
  <c r="AY857"/>
  <c r="AY858"/>
  <c r="P877"/>
  <c r="AE877"/>
  <c r="AE878"/>
  <c r="BB894"/>
  <c r="AU893"/>
  <c r="AU892"/>
  <c r="AY987"/>
  <c r="AT986"/>
  <c r="M989"/>
  <c r="AD990"/>
  <c r="Q1081"/>
  <c r="AF1093"/>
  <c r="AG1093"/>
  <c r="AB1081"/>
  <c r="M1185"/>
  <c r="M1184"/>
  <c r="M1183"/>
  <c r="M1181"/>
  <c r="AD1188"/>
  <c r="AZ1206"/>
  <c r="BB1206"/>
  <c r="AU1204"/>
  <c r="BA1204"/>
  <c r="AF552"/>
  <c r="AG552"/>
  <c r="AD565"/>
  <c r="AD584"/>
  <c r="AE598"/>
  <c r="AD598"/>
  <c r="AJ619"/>
  <c r="AD621"/>
  <c r="AP628"/>
  <c r="AP613"/>
  <c r="AT658"/>
  <c r="AX658"/>
  <c r="BA665"/>
  <c r="AP678"/>
  <c r="AP677"/>
  <c r="AP675"/>
  <c r="AX689"/>
  <c r="AK717"/>
  <c r="M741"/>
  <c r="AL745"/>
  <c r="X744"/>
  <c r="X743"/>
  <c r="R772"/>
  <c r="R771"/>
  <c r="R769"/>
  <c r="R768"/>
  <c r="AT772"/>
  <c r="AK773"/>
  <c r="N788"/>
  <c r="AE842"/>
  <c r="R905"/>
  <c r="AD911"/>
  <c r="AE1155"/>
  <c r="O1154"/>
  <c r="AE1154"/>
  <c r="S236"/>
  <c r="S678"/>
  <c r="S677"/>
  <c r="S675"/>
  <c r="AL738"/>
  <c r="X737"/>
  <c r="AE794"/>
  <c r="AD794"/>
  <c r="O793"/>
  <c r="O792"/>
  <c r="O791"/>
  <c r="AE791"/>
  <c r="AF878"/>
  <c r="AE879"/>
  <c r="AD879"/>
  <c r="AS895"/>
  <c r="AS894"/>
  <c r="AS893"/>
  <c r="AS892"/>
  <c r="AS890"/>
  <c r="BB937"/>
  <c r="BA937"/>
  <c r="AZ937"/>
  <c r="AU935"/>
  <c r="AZ935"/>
  <c r="AR963"/>
  <c r="AR965"/>
  <c r="AG579"/>
  <c r="V586"/>
  <c r="AD623"/>
  <c r="AS632"/>
  <c r="AS631"/>
  <c r="AS630"/>
  <c r="Y639"/>
  <c r="Y638"/>
  <c r="Y628"/>
  <c r="Y613"/>
  <c r="O679"/>
  <c r="O678"/>
  <c r="AS678"/>
  <c r="AS677"/>
  <c r="AS675"/>
  <c r="L678"/>
  <c r="L677"/>
  <c r="L675"/>
  <c r="X688"/>
  <c r="Q709"/>
  <c r="AS723"/>
  <c r="AS722"/>
  <c r="AS720"/>
  <c r="AJ789"/>
  <c r="AE792"/>
  <c r="AL849"/>
  <c r="X848"/>
  <c r="X847"/>
  <c r="X859"/>
  <c r="P1042"/>
  <c r="AF1042"/>
  <c r="AE1043"/>
  <c r="AG1049"/>
  <c r="AB1048"/>
  <c r="AB1046"/>
  <c r="AP655"/>
  <c r="O717"/>
  <c r="BB764"/>
  <c r="BA764"/>
  <c r="AC768"/>
  <c r="AY802"/>
  <c r="AK802"/>
  <c r="AL841"/>
  <c r="AY841"/>
  <c r="AE859"/>
  <c r="AD859"/>
  <c r="O894"/>
  <c r="AE894"/>
  <c r="M965"/>
  <c r="AE619"/>
  <c r="P639"/>
  <c r="AF639"/>
  <c r="AU678"/>
  <c r="BB678"/>
  <c r="AK710"/>
  <c r="AE718"/>
  <c r="AC741"/>
  <c r="BB841"/>
  <c r="BA841"/>
  <c r="AZ841"/>
  <c r="AK858"/>
  <c r="P893"/>
  <c r="P892"/>
  <c r="AF892"/>
  <c r="AT926"/>
  <c r="AZ927"/>
  <c r="AY927"/>
  <c r="O951"/>
  <c r="AD951"/>
  <c r="AD1029"/>
  <c r="AE1029"/>
  <c r="P1201"/>
  <c r="AE1201"/>
  <c r="AK757"/>
  <c r="AK792"/>
  <c r="AL802"/>
  <c r="Y832"/>
  <c r="Y830"/>
  <c r="Y859"/>
  <c r="Y858"/>
  <c r="Y857"/>
  <c r="Y856"/>
  <c r="Y854"/>
  <c r="AC905"/>
  <c r="AD912"/>
  <c r="P935"/>
  <c r="AZ943"/>
  <c r="AE944"/>
  <c r="BA952"/>
  <c r="AZ952"/>
  <c r="AF989"/>
  <c r="Q987"/>
  <c r="AG989"/>
  <c r="AB987"/>
  <c r="AE993"/>
  <c r="O992"/>
  <c r="AD992"/>
  <c r="AK1035"/>
  <c r="AJ1035"/>
  <c r="BA1043"/>
  <c r="BB1043"/>
  <c r="AL1074"/>
  <c r="X1069"/>
  <c r="X1067"/>
  <c r="X1065"/>
  <c r="AY1074"/>
  <c r="AT1069"/>
  <c r="N1111"/>
  <c r="N1109"/>
  <c r="AD1117"/>
  <c r="AE1117"/>
  <c r="O1112"/>
  <c r="O1111"/>
  <c r="Q1130"/>
  <c r="Q1129"/>
  <c r="AF1138"/>
  <c r="AG1138"/>
  <c r="AB1130"/>
  <c r="AE1158"/>
  <c r="AD1158"/>
  <c r="AF1204"/>
  <c r="Q1203"/>
  <c r="Y788"/>
  <c r="AC832"/>
  <c r="AC830"/>
  <c r="AC821"/>
  <c r="M834"/>
  <c r="M833"/>
  <c r="AR873"/>
  <c r="BB895"/>
  <c r="L905"/>
  <c r="V935"/>
  <c r="V934"/>
  <c r="V933"/>
  <c r="V931"/>
  <c r="V930"/>
  <c r="O937"/>
  <c r="N935"/>
  <c r="N934"/>
  <c r="N933"/>
  <c r="N931"/>
  <c r="AL943"/>
  <c r="Q965"/>
  <c r="Q963"/>
  <c r="AF1074"/>
  <c r="BB1077"/>
  <c r="BA1077"/>
  <c r="AZ1077"/>
  <c r="M1112"/>
  <c r="M1111"/>
  <c r="M1109"/>
  <c r="W1112"/>
  <c r="AC1193"/>
  <c r="AC1192"/>
  <c r="AC1190"/>
  <c r="AE1206"/>
  <c r="AF682"/>
  <c r="AJ727"/>
  <c r="W741"/>
  <c r="AZ765"/>
  <c r="AG780"/>
  <c r="AT791"/>
  <c r="AZ802"/>
  <c r="AT848"/>
  <c r="AT847"/>
  <c r="AT845"/>
  <c r="W878"/>
  <c r="AJ895"/>
  <c r="AL911"/>
  <c r="AS937"/>
  <c r="M943"/>
  <c r="M283"/>
  <c r="M281"/>
  <c r="M278"/>
  <c r="BB1031"/>
  <c r="BA1031"/>
  <c r="AZ1031"/>
  <c r="AU1056"/>
  <c r="BB1056"/>
  <c r="BA1057"/>
  <c r="AL1112"/>
  <c r="X1111"/>
  <c r="X1109"/>
  <c r="AK1132"/>
  <c r="AB1204"/>
  <c r="AL952"/>
  <c r="X951"/>
  <c r="W963"/>
  <c r="W965"/>
  <c r="AX1101"/>
  <c r="BA1149"/>
  <c r="AL1162"/>
  <c r="X1142"/>
  <c r="Y768"/>
  <c r="AC788"/>
  <c r="AF801"/>
  <c r="AU815"/>
  <c r="AD818"/>
  <c r="AP832"/>
  <c r="AP830"/>
  <c r="AP821"/>
  <c r="AY894"/>
  <c r="AX895"/>
  <c r="AP935"/>
  <c r="AP934"/>
  <c r="AP933"/>
  <c r="AP931"/>
  <c r="AP930"/>
  <c r="AD941"/>
  <c r="Q950"/>
  <c r="AF950"/>
  <c r="AE953"/>
  <c r="AD953"/>
  <c r="AL989"/>
  <c r="AY989"/>
  <c r="AK989"/>
  <c r="BA1001"/>
  <c r="BB1001"/>
  <c r="AZ1001"/>
  <c r="AU1010"/>
  <c r="BB1012"/>
  <c r="BA1012"/>
  <c r="AZ1012"/>
  <c r="AY1083"/>
  <c r="AZ1083"/>
  <c r="AT1081"/>
  <c r="BB1101"/>
  <c r="BA1101"/>
  <c r="AZ1101"/>
  <c r="AJ1106"/>
  <c r="AK1106"/>
  <c r="W1105"/>
  <c r="AJ1105"/>
  <c r="AD1160"/>
  <c r="AE1160"/>
  <c r="BB1209"/>
  <c r="BA1209"/>
  <c r="AS873"/>
  <c r="L873"/>
  <c r="AR905"/>
  <c r="Y905"/>
  <c r="AX1020"/>
  <c r="AL1020"/>
  <c r="AK1020"/>
  <c r="AE1101"/>
  <c r="P1081"/>
  <c r="M1106"/>
  <c r="M1105"/>
  <c r="AD1107"/>
  <c r="AY1121"/>
  <c r="AT1120"/>
  <c r="AX1120"/>
  <c r="AG1171"/>
  <c r="AT1184"/>
  <c r="AY1185"/>
  <c r="AJ1215"/>
  <c r="W1214"/>
  <c r="W1212"/>
  <c r="AJ1212"/>
  <c r="V965"/>
  <c r="N987"/>
  <c r="N986"/>
  <c r="N984"/>
  <c r="N983"/>
  <c r="N981"/>
  <c r="X987"/>
  <c r="X986"/>
  <c r="AD998"/>
  <c r="AX1001"/>
  <c r="W1010"/>
  <c r="AZ1020"/>
  <c r="AD1043"/>
  <c r="AF1049"/>
  <c r="AD1050"/>
  <c r="AZ1074"/>
  <c r="AY1077"/>
  <c r="AD1078"/>
  <c r="AJ1101"/>
  <c r="AX1106"/>
  <c r="AP1112"/>
  <c r="AP1111"/>
  <c r="AP1109"/>
  <c r="AR1112"/>
  <c r="AR1111"/>
  <c r="AR1109"/>
  <c r="AX1135"/>
  <c r="BA1143"/>
  <c r="AD1159"/>
  <c r="AD1162"/>
  <c r="AD1165"/>
  <c r="AF1167"/>
  <c r="AG1167"/>
  <c r="AY1206"/>
  <c r="AX1209"/>
  <c r="AJ952"/>
  <c r="AZ989"/>
  <c r="BA1020"/>
  <c r="AF1035"/>
  <c r="AG1035"/>
  <c r="AR1069"/>
  <c r="BA1074"/>
  <c r="AK1077"/>
  <c r="AE1078"/>
  <c r="AJ1093"/>
  <c r="AG1106"/>
  <c r="AZ1121"/>
  <c r="AR1130"/>
  <c r="AR1129"/>
  <c r="AR1127"/>
  <c r="AR1126"/>
  <c r="AR1124"/>
  <c r="AD1132"/>
  <c r="AJ1135"/>
  <c r="AG1193"/>
  <c r="AL1204"/>
  <c r="AG1206"/>
  <c r="AY1209"/>
  <c r="BA989"/>
  <c r="BA995"/>
  <c r="L983"/>
  <c r="L981"/>
  <c r="Y1010"/>
  <c r="Y1009"/>
  <c r="Y1007"/>
  <c r="AP1010"/>
  <c r="AJ1020"/>
  <c r="AJ1043"/>
  <c r="AF1043"/>
  <c r="AX1049"/>
  <c r="AF1050"/>
  <c r="S1069"/>
  <c r="S1067"/>
  <c r="S1065"/>
  <c r="S1064"/>
  <c r="S1062"/>
  <c r="BB1074"/>
  <c r="AX1083"/>
  <c r="AC1081"/>
  <c r="AP1142"/>
  <c r="AF1168"/>
  <c r="AG1175"/>
  <c r="AU1183"/>
  <c r="BB1183"/>
  <c r="AB1184"/>
  <c r="AZ1185"/>
  <c r="AJ1206"/>
  <c r="AK1206"/>
  <c r="L1204"/>
  <c r="L1203"/>
  <c r="L1201"/>
  <c r="V1204"/>
  <c r="V1203"/>
  <c r="V1201"/>
  <c r="S968"/>
  <c r="S966"/>
  <c r="S965"/>
  <c r="AY1049"/>
  <c r="AZ1105"/>
  <c r="V1111"/>
  <c r="V1109"/>
  <c r="AJ1138"/>
  <c r="AG1154"/>
  <c r="AG1168"/>
  <c r="AG1174"/>
  <c r="BB1184"/>
  <c r="BA1185"/>
  <c r="AD1195"/>
  <c r="AL1206"/>
  <c r="AG1012"/>
  <c r="AT1010"/>
  <c r="AY1010"/>
  <c r="M1012"/>
  <c r="O1020"/>
  <c r="AE1020"/>
  <c r="AP1009"/>
  <c r="AP1007"/>
  <c r="AP983"/>
  <c r="AP981"/>
  <c r="V1067"/>
  <c r="V1065"/>
  <c r="M1093"/>
  <c r="M1081"/>
  <c r="Y1081"/>
  <c r="Y1067"/>
  <c r="Y1065"/>
  <c r="AU1112"/>
  <c r="BA1112"/>
  <c r="AX1114"/>
  <c r="R1130"/>
  <c r="AJ1130"/>
  <c r="Y1130"/>
  <c r="M1130"/>
  <c r="AG1149"/>
  <c r="AZ1149"/>
  <c r="BB1154"/>
  <c r="AG1173"/>
  <c r="AG1198"/>
  <c r="AL1209"/>
  <c r="AX968"/>
  <c r="AJ995"/>
  <c r="AX1000"/>
  <c r="AJ1012"/>
  <c r="AX1012"/>
  <c r="AZ1043"/>
  <c r="AK1049"/>
  <c r="AD1077"/>
  <c r="AR1081"/>
  <c r="AF1101"/>
  <c r="AG1101"/>
  <c r="AL1105"/>
  <c r="Y1111"/>
  <c r="Y1109"/>
  <c r="AD1136"/>
  <c r="S1142"/>
  <c r="AD1155"/>
  <c r="BB1162"/>
  <c r="AF1206"/>
  <c r="AZ1209"/>
  <c r="S602"/>
  <c r="S601"/>
  <c r="S599"/>
  <c r="S232"/>
  <c r="S552"/>
  <c r="S911"/>
  <c r="S910"/>
  <c r="S909"/>
  <c r="S908"/>
  <c r="S906"/>
  <c r="S905"/>
  <c r="S659"/>
  <c r="S658"/>
  <c r="S657"/>
  <c r="S655"/>
  <c r="S241"/>
  <c r="S240"/>
  <c r="S256"/>
  <c r="S255"/>
  <c r="S595"/>
  <c r="S594"/>
  <c r="S593"/>
  <c r="S330"/>
  <c r="S329"/>
  <c r="S410"/>
  <c r="S251"/>
  <c r="S244"/>
  <c r="S444"/>
  <c r="S439"/>
  <c r="S206"/>
  <c r="S205"/>
  <c r="S454"/>
  <c r="S453"/>
  <c r="S452"/>
  <c r="S450"/>
  <c r="S539"/>
  <c r="S632"/>
  <c r="S631"/>
  <c r="S630"/>
  <c r="S757"/>
  <c r="S756"/>
  <c r="S755"/>
  <c r="S753"/>
  <c r="S918"/>
  <c r="S917"/>
  <c r="S916"/>
  <c r="S214"/>
  <c r="S276"/>
  <c r="S201"/>
  <c r="S572"/>
  <c r="S528"/>
  <c r="S527"/>
  <c r="S526"/>
  <c r="S524"/>
  <c r="S523"/>
  <c r="S579"/>
  <c r="S578"/>
  <c r="S577"/>
  <c r="S640"/>
  <c r="S639"/>
  <c r="S638"/>
  <c r="U15"/>
  <c r="S314"/>
  <c r="S324"/>
  <c r="S619"/>
  <c r="S651"/>
  <c r="S650"/>
  <c r="S649"/>
  <c r="S647"/>
  <c r="S781"/>
  <c r="S780"/>
  <c r="S778"/>
  <c r="S776"/>
  <c r="S768"/>
  <c r="S849"/>
  <c r="S848"/>
  <c r="S847"/>
  <c r="S845"/>
  <c r="S267"/>
  <c r="S266"/>
  <c r="S264"/>
  <c r="S321"/>
  <c r="S500"/>
  <c r="S499"/>
  <c r="S418"/>
  <c r="S224"/>
  <c r="S235"/>
  <c r="S480"/>
  <c r="S475"/>
  <c r="S474"/>
  <c r="S472"/>
  <c r="S471"/>
  <c r="S895"/>
  <c r="S894"/>
  <c r="S893"/>
  <c r="S892"/>
  <c r="S890"/>
  <c r="R859"/>
  <c r="R288"/>
  <c r="R287"/>
  <c r="S937"/>
  <c r="S952"/>
  <c r="S951"/>
  <c r="S950"/>
  <c r="S949"/>
  <c r="S947"/>
  <c r="S359"/>
  <c r="S368"/>
  <c r="AJ101"/>
  <c r="AR99"/>
  <c r="AR130"/>
  <c r="L170"/>
  <c r="L11"/>
  <c r="AD186"/>
  <c r="AY130"/>
  <c r="AX130"/>
  <c r="AP170"/>
  <c r="AP11"/>
  <c r="L199"/>
  <c r="AK89"/>
  <c r="AR170"/>
  <c r="AR11"/>
  <c r="AS170"/>
  <c r="AS11"/>
  <c r="AL181"/>
  <c r="X179"/>
  <c r="N212"/>
  <c r="BB132"/>
  <c r="BA132"/>
  <c r="AZ132"/>
  <c r="BA161"/>
  <c r="BB161"/>
  <c r="AE76"/>
  <c r="AD76"/>
  <c r="M181"/>
  <c r="M179"/>
  <c r="M170"/>
  <c r="M11"/>
  <c r="AD134"/>
  <c r="AZ47"/>
  <c r="AD49"/>
  <c r="AJ61"/>
  <c r="AK64"/>
  <c r="AF66"/>
  <c r="BA66"/>
  <c r="AT80"/>
  <c r="AL80"/>
  <c r="AY81"/>
  <c r="AK86"/>
  <c r="AU89"/>
  <c r="AF102"/>
  <c r="Q110"/>
  <c r="AF110"/>
  <c r="BA111"/>
  <c r="BA115"/>
  <c r="AJ121"/>
  <c r="AX132"/>
  <c r="AK134"/>
  <c r="O138"/>
  <c r="AD139"/>
  <c r="AB142"/>
  <c r="AU142"/>
  <c r="AU130"/>
  <c r="AJ144"/>
  <c r="O150"/>
  <c r="AD151"/>
  <c r="BA157"/>
  <c r="AZ163"/>
  <c r="AZ167"/>
  <c r="AX175"/>
  <c r="AD176"/>
  <c r="BA183"/>
  <c r="AP199"/>
  <c r="AE203"/>
  <c r="AF206"/>
  <c r="BB208"/>
  <c r="AD210"/>
  <c r="AK217"/>
  <c r="AX217"/>
  <c r="AL218"/>
  <c r="AL222"/>
  <c r="AK222"/>
  <c r="AZ222"/>
  <c r="BB229"/>
  <c r="BA229"/>
  <c r="AG236"/>
  <c r="AG237"/>
  <c r="AF47"/>
  <c r="AX57"/>
  <c r="AB64"/>
  <c r="AG64"/>
  <c r="AU64"/>
  <c r="BB66"/>
  <c r="AD77"/>
  <c r="AK81"/>
  <c r="AZ81"/>
  <c r="AX86"/>
  <c r="AX89"/>
  <c r="AB101"/>
  <c r="BB111"/>
  <c r="BB115"/>
  <c r="AD117"/>
  <c r="AY132"/>
  <c r="AX134"/>
  <c r="AZ138"/>
  <c r="AZ150"/>
  <c r="P154"/>
  <c r="AF154"/>
  <c r="O157"/>
  <c r="AE157"/>
  <c r="BB157"/>
  <c r="BA163"/>
  <c r="O174"/>
  <c r="AY175"/>
  <c r="O183"/>
  <c r="BB183"/>
  <c r="AF202"/>
  <c r="AX203"/>
  <c r="P205"/>
  <c r="AE205"/>
  <c r="AT205"/>
  <c r="AD206"/>
  <c r="M205"/>
  <c r="W205"/>
  <c r="AJ206"/>
  <c r="AG206"/>
  <c r="AE209"/>
  <c r="AE210"/>
  <c r="P214"/>
  <c r="Q214"/>
  <c r="AB214"/>
  <c r="AY217"/>
  <c r="X220"/>
  <c r="AT220"/>
  <c r="AF223"/>
  <c r="AX224"/>
  <c r="AY57"/>
  <c r="AJ66"/>
  <c r="BA76"/>
  <c r="AE77"/>
  <c r="AL81"/>
  <c r="AJ102"/>
  <c r="AJ111"/>
  <c r="AJ115"/>
  <c r="P132"/>
  <c r="BA138"/>
  <c r="BA150"/>
  <c r="X161"/>
  <c r="AT161"/>
  <c r="AZ161"/>
  <c r="AT174"/>
  <c r="AZ175"/>
  <c r="AJ202"/>
  <c r="W201"/>
  <c r="AG202"/>
  <c r="R205"/>
  <c r="AF209"/>
  <c r="R214"/>
  <c r="AK224"/>
  <c r="AZ224"/>
  <c r="BB266"/>
  <c r="BA266"/>
  <c r="AU264"/>
  <c r="AP285"/>
  <c r="W55"/>
  <c r="X74"/>
  <c r="BB76"/>
  <c r="AX77"/>
  <c r="AZ86"/>
  <c r="AK102"/>
  <c r="Q132"/>
  <c r="AG138"/>
  <c r="BB138"/>
  <c r="AU154"/>
  <c r="AU174"/>
  <c r="AJ181"/>
  <c r="R201"/>
  <c r="AK202"/>
  <c r="AL206"/>
  <c r="AT208"/>
  <c r="AL208"/>
  <c r="AJ209"/>
  <c r="W208"/>
  <c r="AJ208"/>
  <c r="AG209"/>
  <c r="AJ210"/>
  <c r="AL216"/>
  <c r="AK216"/>
  <c r="AZ216"/>
  <c r="AF218"/>
  <c r="AL224"/>
  <c r="AJ230"/>
  <c r="BB240"/>
  <c r="BA240"/>
  <c r="AZ240"/>
  <c r="X130"/>
  <c r="AL130"/>
  <c r="AJ138"/>
  <c r="Q142"/>
  <c r="AF142"/>
  <c r="AJ150"/>
  <c r="AK181"/>
  <c r="AL183"/>
  <c r="X214"/>
  <c r="AY326"/>
  <c r="AK326"/>
  <c r="AX326"/>
  <c r="AU55"/>
  <c r="P74"/>
  <c r="AT76"/>
  <c r="AZ76"/>
  <c r="AK77"/>
  <c r="AF86"/>
  <c r="M93"/>
  <c r="AZ93"/>
  <c r="AT101"/>
  <c r="AZ121"/>
  <c r="W132"/>
  <c r="AZ144"/>
  <c r="AD159"/>
  <c r="M163"/>
  <c r="M167"/>
  <c r="AT179"/>
  <c r="AU181"/>
  <c r="X199"/>
  <c r="AF203"/>
  <c r="AL209"/>
  <c r="AJ215"/>
  <c r="W214"/>
  <c r="AJ223"/>
  <c r="AK223"/>
  <c r="AZ223"/>
  <c r="AZ226"/>
  <c r="AY226"/>
  <c r="AX226"/>
  <c r="AK226"/>
  <c r="AX234"/>
  <c r="AJ234"/>
  <c r="AY244"/>
  <c r="AJ57"/>
  <c r="Q55"/>
  <c r="AF55"/>
  <c r="AK218"/>
  <c r="AZ218"/>
  <c r="AX222"/>
  <c r="AJ249"/>
  <c r="AX251"/>
  <c r="AK251"/>
  <c r="AG259"/>
  <c r="AJ274"/>
  <c r="AX336"/>
  <c r="R335"/>
  <c r="R333"/>
  <c r="AJ333"/>
  <c r="Q220"/>
  <c r="AZ227"/>
  <c r="AG230"/>
  <c r="BB236"/>
  <c r="AZ238"/>
  <c r="AX241"/>
  <c r="AK245"/>
  <c r="AZ250"/>
  <c r="Q255"/>
  <c r="AB255"/>
  <c r="P269"/>
  <c r="AX275"/>
  <c r="AK275"/>
  <c r="Q281"/>
  <c r="AB281"/>
  <c r="P285"/>
  <c r="AL292"/>
  <c r="AB329"/>
  <c r="AG329"/>
  <c r="BB331"/>
  <c r="AK368"/>
  <c r="AJ368"/>
  <c r="AX232"/>
  <c r="AK232"/>
  <c r="AF234"/>
  <c r="BA238"/>
  <c r="AZ246"/>
  <c r="AK248"/>
  <c r="AX248"/>
  <c r="AK250"/>
  <c r="AX250"/>
  <c r="AY251"/>
  <c r="AB258"/>
  <c r="AK261"/>
  <c r="AX261"/>
  <c r="AU274"/>
  <c r="BA275"/>
  <c r="AG287"/>
  <c r="AX289"/>
  <c r="AK289"/>
  <c r="N318"/>
  <c r="N311"/>
  <c r="N304"/>
  <c r="N14"/>
  <c r="X318"/>
  <c r="AL320"/>
  <c r="AG324"/>
  <c r="Q326"/>
  <c r="AF327"/>
  <c r="AL335"/>
  <c r="AX359"/>
  <c r="AK359"/>
  <c r="AT357"/>
  <c r="O359"/>
  <c r="AE361"/>
  <c r="AD361"/>
  <c r="AK230"/>
  <c r="AX230"/>
  <c r="AZ231"/>
  <c r="AZ241"/>
  <c r="AB244"/>
  <c r="AG244"/>
  <c r="BA245"/>
  <c r="BA246"/>
  <c r="AG247"/>
  <c r="AZ247"/>
  <c r="AE248"/>
  <c r="AY248"/>
  <c r="AZ249"/>
  <c r="AT255"/>
  <c r="AL255"/>
  <c r="AZ256"/>
  <c r="AF259"/>
  <c r="AJ261"/>
  <c r="AY261"/>
  <c r="AK262"/>
  <c r="AZ267"/>
  <c r="AT269"/>
  <c r="AJ275"/>
  <c r="AY275"/>
  <c r="AZ276"/>
  <c r="AE283"/>
  <c r="AX283"/>
  <c r="AK283"/>
  <c r="AZ289"/>
  <c r="AK314"/>
  <c r="AZ314"/>
  <c r="AF315"/>
  <c r="AZ316"/>
  <c r="W318"/>
  <c r="AJ335"/>
  <c r="AE359"/>
  <c r="AB356"/>
  <c r="AZ359"/>
  <c r="AD360"/>
  <c r="AX236"/>
  <c r="AK236"/>
  <c r="AF238"/>
  <c r="BA241"/>
  <c r="AD245"/>
  <c r="BB245"/>
  <c r="BA247"/>
  <c r="AZ248"/>
  <c r="BA249"/>
  <c r="AT258"/>
  <c r="AJ259"/>
  <c r="AF282"/>
  <c r="AT281"/>
  <c r="AL281"/>
  <c r="AZ282"/>
  <c r="BB324"/>
  <c r="BA324"/>
  <c r="O329"/>
  <c r="Q357"/>
  <c r="AG357"/>
  <c r="AF359"/>
  <c r="AY359"/>
  <c r="AJ364"/>
  <c r="W357"/>
  <c r="AK364"/>
  <c r="AZ230"/>
  <c r="AL232"/>
  <c r="AZ232"/>
  <c r="AZ235"/>
  <c r="BB241"/>
  <c r="L244"/>
  <c r="AR244"/>
  <c r="W255"/>
  <c r="AL256"/>
  <c r="AU258"/>
  <c r="AU253"/>
  <c r="AK259"/>
  <c r="AF262"/>
  <c r="BA262"/>
  <c r="AF274"/>
  <c r="AX274"/>
  <c r="Z274"/>
  <c r="Z269"/>
  <c r="BB275"/>
  <c r="X313"/>
  <c r="AT313"/>
  <c r="AZ315"/>
  <c r="Q318"/>
  <c r="AB318"/>
  <c r="AX327"/>
  <c r="AK327"/>
  <c r="O335"/>
  <c r="AE336"/>
  <c r="AD336"/>
  <c r="Y407"/>
  <c r="Y405"/>
  <c r="AE226"/>
  <c r="BA230"/>
  <c r="AG233"/>
  <c r="AE247"/>
  <c r="AD251"/>
  <c r="AZ255"/>
  <c r="BB262"/>
  <c r="W269"/>
  <c r="AJ269"/>
  <c r="AX271"/>
  <c r="AK274"/>
  <c r="X278"/>
  <c r="AK282"/>
  <c r="AX282"/>
  <c r="BA283"/>
  <c r="AT291"/>
  <c r="AX292"/>
  <c r="AJ330"/>
  <c r="W329"/>
  <c r="AJ329"/>
  <c r="AL359"/>
  <c r="AK227"/>
  <c r="AZ234"/>
  <c r="AK238"/>
  <c r="AX240"/>
  <c r="AU244"/>
  <c r="AX246"/>
  <c r="AK246"/>
  <c r="BA255"/>
  <c r="P258"/>
  <c r="AA258"/>
  <c r="AA253"/>
  <c r="AZ259"/>
  <c r="AZ271"/>
  <c r="AU281"/>
  <c r="AL282"/>
  <c r="AY282"/>
  <c r="BB283"/>
  <c r="N287"/>
  <c r="N285"/>
  <c r="AZ292"/>
  <c r="BA296"/>
  <c r="AU295"/>
  <c r="AY299"/>
  <c r="AT298"/>
  <c r="AL298"/>
  <c r="AU301"/>
  <c r="BA302"/>
  <c r="P313"/>
  <c r="AA313"/>
  <c r="AT318"/>
  <c r="AZ320"/>
  <c r="AY320"/>
  <c r="AZ322"/>
  <c r="AL326"/>
  <c r="AY327"/>
  <c r="AU269"/>
  <c r="AT308"/>
  <c r="AU326"/>
  <c r="AD365"/>
  <c r="AD369"/>
  <c r="W374"/>
  <c r="AD377"/>
  <c r="AK389"/>
  <c r="AX389"/>
  <c r="AD394"/>
  <c r="AJ401"/>
  <c r="W407"/>
  <c r="AL408"/>
  <c r="O410"/>
  <c r="AE410"/>
  <c r="AS410"/>
  <c r="AJ418"/>
  <c r="AE426"/>
  <c r="AD426"/>
  <c r="AL441"/>
  <c r="BB447"/>
  <c r="BA447"/>
  <c r="AZ447"/>
  <c r="AL453"/>
  <c r="AD455"/>
  <c r="AJ499"/>
  <c r="W510"/>
  <c r="AJ511"/>
  <c r="BA562"/>
  <c r="BB562"/>
  <c r="AS560"/>
  <c r="AS563"/>
  <c r="AS562"/>
  <c r="AZ364"/>
  <c r="AZ368"/>
  <c r="X374"/>
  <c r="AT374"/>
  <c r="AZ376"/>
  <c r="AJ382"/>
  <c r="AD390"/>
  <c r="AD402"/>
  <c r="AJ410"/>
  <c r="AL418"/>
  <c r="AE424"/>
  <c r="AD424"/>
  <c r="L439"/>
  <c r="L407"/>
  <c r="L405"/>
  <c r="BB444"/>
  <c r="AU439"/>
  <c r="BA444"/>
  <c r="AZ444"/>
  <c r="O454"/>
  <c r="AE454"/>
  <c r="AT452"/>
  <c r="AL452"/>
  <c r="AY467"/>
  <c r="AX467"/>
  <c r="AC497"/>
  <c r="AC495"/>
  <c r="AC487"/>
  <c r="S560"/>
  <c r="AU335"/>
  <c r="AJ336"/>
  <c r="BA364"/>
  <c r="BA368"/>
  <c r="AU374"/>
  <c r="BA376"/>
  <c r="AX382"/>
  <c r="AZ389"/>
  <c r="O401"/>
  <c r="AZ401"/>
  <c r="Q453"/>
  <c r="AG454"/>
  <c r="AU453"/>
  <c r="BB454"/>
  <c r="BA454"/>
  <c r="AZ454"/>
  <c r="P475"/>
  <c r="AF475"/>
  <c r="AE477"/>
  <c r="AY475"/>
  <c r="AT474"/>
  <c r="Y497"/>
  <c r="Y495"/>
  <c r="Y487"/>
  <c r="X526"/>
  <c r="AT527"/>
  <c r="AZ528"/>
  <c r="AY528"/>
  <c r="AX528"/>
  <c r="AY606"/>
  <c r="AT329"/>
  <c r="AU357"/>
  <c r="P374"/>
  <c r="P356"/>
  <c r="BA389"/>
  <c r="BA401"/>
  <c r="AD412"/>
  <c r="AE414"/>
  <c r="AD414"/>
  <c r="N487"/>
  <c r="AT490"/>
  <c r="AY491"/>
  <c r="AE501"/>
  <c r="AD501"/>
  <c r="R534"/>
  <c r="AU688"/>
  <c r="BB689"/>
  <c r="BA689"/>
  <c r="AZ689"/>
  <c r="AG401"/>
  <c r="AE433"/>
  <c r="AD433"/>
  <c r="Q471"/>
  <c r="AX480"/>
  <c r="AJ480"/>
  <c r="V487"/>
  <c r="AP497"/>
  <c r="AP495"/>
  <c r="AP487"/>
  <c r="AY664"/>
  <c r="AX664"/>
  <c r="AK664"/>
  <c r="AT663"/>
  <c r="BB664"/>
  <c r="BA664"/>
  <c r="AZ664"/>
  <c r="AU663"/>
  <c r="AK316"/>
  <c r="AK331"/>
  <c r="BA336"/>
  <c r="Q408"/>
  <c r="AF410"/>
  <c r="AG410"/>
  <c r="AB408"/>
  <c r="W453"/>
  <c r="AJ461"/>
  <c r="AU509"/>
  <c r="BB510"/>
  <c r="BA510"/>
  <c r="AP593"/>
  <c r="AP586"/>
  <c r="AJ376"/>
  <c r="BB398"/>
  <c r="BA398"/>
  <c r="BA408"/>
  <c r="R408"/>
  <c r="R407"/>
  <c r="R405"/>
  <c r="AC408"/>
  <c r="AC407"/>
  <c r="AC405"/>
  <c r="AY418"/>
  <c r="AX418"/>
  <c r="AK418"/>
  <c r="O444"/>
  <c r="AD445"/>
  <c r="AB452"/>
  <c r="AG453"/>
  <c r="AY466"/>
  <c r="AT464"/>
  <c r="AX466"/>
  <c r="W472"/>
  <c r="AU499"/>
  <c r="BB500"/>
  <c r="BA500"/>
  <c r="AZ500"/>
  <c r="X536"/>
  <c r="BB468"/>
  <c r="BA468"/>
  <c r="AZ468"/>
  <c r="AL475"/>
  <c r="X474"/>
  <c r="R487"/>
  <c r="BB619"/>
  <c r="BA619"/>
  <c r="AZ619"/>
  <c r="AU618"/>
  <c r="AK447"/>
  <c r="AK454"/>
  <c r="AX454"/>
  <c r="R475"/>
  <c r="R474"/>
  <c r="R472"/>
  <c r="R471"/>
  <c r="AU491"/>
  <c r="BB492"/>
  <c r="P499"/>
  <c r="BB505"/>
  <c r="P509"/>
  <c r="X510"/>
  <c r="AT510"/>
  <c r="AZ510"/>
  <c r="BB511"/>
  <c r="AX520"/>
  <c r="Q570"/>
  <c r="AF578"/>
  <c r="Q577"/>
  <c r="AF577"/>
  <c r="AX590"/>
  <c r="R589"/>
  <c r="R588"/>
  <c r="S586"/>
  <c r="AF598"/>
  <c r="W598"/>
  <c r="AY461"/>
  <c r="AY468"/>
  <c r="AL477"/>
  <c r="AY477"/>
  <c r="AD482"/>
  <c r="P571"/>
  <c r="AF571"/>
  <c r="AS586"/>
  <c r="P598"/>
  <c r="AZ477"/>
  <c r="AD478"/>
  <c r="AB534"/>
  <c r="M537"/>
  <c r="AK539"/>
  <c r="W537"/>
  <c r="BA539"/>
  <c r="AD562"/>
  <c r="AD563"/>
  <c r="AJ564"/>
  <c r="W560"/>
  <c r="AJ560"/>
  <c r="BB572"/>
  <c r="BA572"/>
  <c r="AZ572"/>
  <c r="AU571"/>
  <c r="BB579"/>
  <c r="BA579"/>
  <c r="AZ579"/>
  <c r="AU578"/>
  <c r="X586"/>
  <c r="AA598"/>
  <c r="R609"/>
  <c r="AX610"/>
  <c r="BB632"/>
  <c r="AZ632"/>
  <c r="AU631"/>
  <c r="BA632"/>
  <c r="BB640"/>
  <c r="AZ640"/>
  <c r="AU639"/>
  <c r="BA640"/>
  <c r="AE717"/>
  <c r="AD717"/>
  <c r="O716"/>
  <c r="BA461"/>
  <c r="AD477"/>
  <c r="BA477"/>
  <c r="AX492"/>
  <c r="AU504"/>
  <c r="AK511"/>
  <c r="AX511"/>
  <c r="AL528"/>
  <c r="BB539"/>
  <c r="AK552"/>
  <c r="AK564"/>
  <c r="AJ570"/>
  <c r="N586"/>
  <c r="N533"/>
  <c r="Q598"/>
  <c r="AK598"/>
  <c r="Q614"/>
  <c r="AU475"/>
  <c r="AY492"/>
  <c r="AY537"/>
  <c r="AC598"/>
  <c r="AZ492"/>
  <c r="AZ505"/>
  <c r="AZ511"/>
  <c r="AD512"/>
  <c r="Q536"/>
  <c r="AF537"/>
  <c r="AG537"/>
  <c r="AD560"/>
  <c r="W563"/>
  <c r="P560"/>
  <c r="P563"/>
  <c r="AE564"/>
  <c r="AP563"/>
  <c r="AP562"/>
  <c r="AP560"/>
  <c r="AB570"/>
  <c r="AG571"/>
  <c r="AG578"/>
  <c r="AB577"/>
  <c r="AL579"/>
  <c r="AG586"/>
  <c r="AX595"/>
  <c r="R594"/>
  <c r="R593"/>
  <c r="S598"/>
  <c r="AL619"/>
  <c r="X618"/>
  <c r="BA527"/>
  <c r="AU526"/>
  <c r="BB537"/>
  <c r="AS539"/>
  <c r="BA563"/>
  <c r="BB563"/>
  <c r="AE573"/>
  <c r="AD573"/>
  <c r="O572"/>
  <c r="AE572"/>
  <c r="X577"/>
  <c r="AL577"/>
  <c r="AL578"/>
  <c r="AD580"/>
  <c r="O579"/>
  <c r="AF586"/>
  <c r="AZ564"/>
  <c r="BB590"/>
  <c r="BB595"/>
  <c r="AF619"/>
  <c r="AE623"/>
  <c r="AX640"/>
  <c r="Q655"/>
  <c r="X675"/>
  <c r="Q687"/>
  <c r="AF688"/>
  <c r="X722"/>
  <c r="X563"/>
  <c r="AT563"/>
  <c r="AJ572"/>
  <c r="AX572"/>
  <c r="AX619"/>
  <c r="W655"/>
  <c r="V655"/>
  <c r="O677"/>
  <c r="AF709"/>
  <c r="Q708"/>
  <c r="Q713"/>
  <c r="AJ632"/>
  <c r="O632"/>
  <c r="AD636"/>
  <c r="AX639"/>
  <c r="AK639"/>
  <c r="AJ640"/>
  <c r="L655"/>
  <c r="AY678"/>
  <c r="AB687"/>
  <c r="AG688"/>
  <c r="W687"/>
  <c r="BB709"/>
  <c r="BA709"/>
  <c r="AU708"/>
  <c r="AK715"/>
  <c r="AT713"/>
  <c r="AY715"/>
  <c r="AT588"/>
  <c r="AU589"/>
  <c r="AU594"/>
  <c r="AT602"/>
  <c r="V628"/>
  <c r="V613"/>
  <c r="AJ639"/>
  <c r="W638"/>
  <c r="AL664"/>
  <c r="AT675"/>
  <c r="AY677"/>
  <c r="AZ678"/>
  <c r="AU677"/>
  <c r="BA678"/>
  <c r="AD682"/>
  <c r="W713"/>
  <c r="BB716"/>
  <c r="AZ716"/>
  <c r="BA716"/>
  <c r="AU715"/>
  <c r="BB722"/>
  <c r="M603"/>
  <c r="AX603"/>
  <c r="AU609"/>
  <c r="P618"/>
  <c r="AF618"/>
  <c r="Y655"/>
  <c r="Y654"/>
  <c r="AX679"/>
  <c r="R678"/>
  <c r="R677"/>
  <c r="R675"/>
  <c r="AJ679"/>
  <c r="O688"/>
  <c r="AE688"/>
  <c r="AE689"/>
  <c r="AD689"/>
  <c r="AE690"/>
  <c r="AD690"/>
  <c r="AG708"/>
  <c r="AB706"/>
  <c r="AZ590"/>
  <c r="AZ595"/>
  <c r="AY603"/>
  <c r="AZ610"/>
  <c r="AD641"/>
  <c r="O640"/>
  <c r="AX651"/>
  <c r="BB659"/>
  <c r="BA659"/>
  <c r="AU658"/>
  <c r="AZ659"/>
  <c r="O663"/>
  <c r="P687"/>
  <c r="AG716"/>
  <c r="AB715"/>
  <c r="BA610"/>
  <c r="AJ630"/>
  <c r="L628"/>
  <c r="L613"/>
  <c r="P663"/>
  <c r="AE664"/>
  <c r="AB663"/>
  <c r="AG664"/>
  <c r="AT671"/>
  <c r="AZ672"/>
  <c r="AY672"/>
  <c r="AX672"/>
  <c r="AY651"/>
  <c r="BB665"/>
  <c r="AL679"/>
  <c r="AY679"/>
  <c r="AK688"/>
  <c r="AZ710"/>
  <c r="BA717"/>
  <c r="AD728"/>
  <c r="X736"/>
  <c r="N741"/>
  <c r="W753"/>
  <c r="L768"/>
  <c r="X771"/>
  <c r="AB791"/>
  <c r="AG792"/>
  <c r="AX801"/>
  <c r="R800"/>
  <c r="AT737"/>
  <c r="AY738"/>
  <c r="Q769"/>
  <c r="AF792"/>
  <c r="Q791"/>
  <c r="AK632"/>
  <c r="AX632"/>
  <c r="X639"/>
  <c r="AK640"/>
  <c r="R657"/>
  <c r="X658"/>
  <c r="AF665"/>
  <c r="BA679"/>
  <c r="R688"/>
  <c r="R687"/>
  <c r="R685"/>
  <c r="AK689"/>
  <c r="P715"/>
  <c r="AF715"/>
  <c r="AL727"/>
  <c r="O771"/>
  <c r="AD772"/>
  <c r="AG665"/>
  <c r="AE679"/>
  <c r="BB679"/>
  <c r="AG710"/>
  <c r="AF716"/>
  <c r="AG717"/>
  <c r="Q722"/>
  <c r="AX738"/>
  <c r="X741"/>
  <c r="P771"/>
  <c r="AF771"/>
  <c r="AE772"/>
  <c r="P776"/>
  <c r="AX780"/>
  <c r="AT778"/>
  <c r="AY780"/>
  <c r="V788"/>
  <c r="AT650"/>
  <c r="AF679"/>
  <c r="W709"/>
  <c r="AX710"/>
  <c r="R709"/>
  <c r="R708"/>
  <c r="R706"/>
  <c r="AY724"/>
  <c r="AT723"/>
  <c r="AD727"/>
  <c r="AD756"/>
  <c r="O755"/>
  <c r="AG771"/>
  <c r="AB769"/>
  <c r="Q776"/>
  <c r="AF778"/>
  <c r="AJ791"/>
  <c r="AR788"/>
  <c r="AZ727"/>
  <c r="AY727"/>
  <c r="AY749"/>
  <c r="AX749"/>
  <c r="AT748"/>
  <c r="AU771"/>
  <c r="BB772"/>
  <c r="BA772"/>
  <c r="AT702"/>
  <c r="AY703"/>
  <c r="BB717"/>
  <c r="AZ717"/>
  <c r="V768"/>
  <c r="AX703"/>
  <c r="AG709"/>
  <c r="AJ710"/>
  <c r="AJ717"/>
  <c r="AX727"/>
  <c r="L741"/>
  <c r="AZ745"/>
  <c r="AY745"/>
  <c r="AT744"/>
  <c r="AZ744"/>
  <c r="AX745"/>
  <c r="AK745"/>
  <c r="AJ772"/>
  <c r="W771"/>
  <c r="AE710"/>
  <c r="AK716"/>
  <c r="BB744"/>
  <c r="AU761"/>
  <c r="AL773"/>
  <c r="AY773"/>
  <c r="AE780"/>
  <c r="BA781"/>
  <c r="AF793"/>
  <c r="P800"/>
  <c r="AD824"/>
  <c r="AJ826"/>
  <c r="R824"/>
  <c r="R822"/>
  <c r="AZ738"/>
  <c r="AD757"/>
  <c r="W763"/>
  <c r="AX765"/>
  <c r="AZ773"/>
  <c r="AD774"/>
  <c r="W780"/>
  <c r="AK780"/>
  <c r="AF780"/>
  <c r="AD781"/>
  <c r="AY791"/>
  <c r="AK791"/>
  <c r="AJ792"/>
  <c r="AJ793"/>
  <c r="AX793"/>
  <c r="X801"/>
  <c r="AD801"/>
  <c r="M800"/>
  <c r="M799"/>
  <c r="M798"/>
  <c r="M796"/>
  <c r="M788"/>
  <c r="AU814"/>
  <c r="BB815"/>
  <c r="BA815"/>
  <c r="AS821"/>
  <c r="R716"/>
  <c r="R715"/>
  <c r="R713"/>
  <c r="AU737"/>
  <c r="AJ757"/>
  <c r="BA763"/>
  <c r="AT764"/>
  <c r="AK765"/>
  <c r="AY765"/>
  <c r="AF772"/>
  <c r="AD773"/>
  <c r="BA773"/>
  <c r="AB778"/>
  <c r="X780"/>
  <c r="AU780"/>
  <c r="AX791"/>
  <c r="AK793"/>
  <c r="AY793"/>
  <c r="AD802"/>
  <c r="AX802"/>
  <c r="W822"/>
  <c r="AU756"/>
  <c r="AG772"/>
  <c r="AE773"/>
  <c r="BB773"/>
  <c r="AS802"/>
  <c r="AS801"/>
  <c r="AJ756"/>
  <c r="AF773"/>
  <c r="AJ781"/>
  <c r="O799"/>
  <c r="AY845"/>
  <c r="AX845"/>
  <c r="AK756"/>
  <c r="AG793"/>
  <c r="AJ802"/>
  <c r="AU743"/>
  <c r="AE833"/>
  <c r="P832"/>
  <c r="AX792"/>
  <c r="S802"/>
  <c r="S801"/>
  <c r="AX816"/>
  <c r="AK816"/>
  <c r="AT815"/>
  <c r="AZ815"/>
  <c r="AK841"/>
  <c r="AJ841"/>
  <c r="AB857"/>
  <c r="AG858"/>
  <c r="W801"/>
  <c r="AK801"/>
  <c r="O822"/>
  <c r="AT826"/>
  <c r="AX848"/>
  <c r="AK848"/>
  <c r="AY848"/>
  <c r="X814"/>
  <c r="AY816"/>
  <c r="AU826"/>
  <c r="AE834"/>
  <c r="AY840"/>
  <c r="AU847"/>
  <c r="AZ848"/>
  <c r="AU801"/>
  <c r="AL816"/>
  <c r="AZ816"/>
  <c r="AD826"/>
  <c r="X830"/>
  <c r="Q832"/>
  <c r="AF834"/>
  <c r="S834"/>
  <c r="S833"/>
  <c r="S832"/>
  <c r="S830"/>
  <c r="AZ840"/>
  <c r="BA849"/>
  <c r="AZ849"/>
  <c r="P856"/>
  <c r="R858"/>
  <c r="S873"/>
  <c r="AD833"/>
  <c r="O832"/>
  <c r="AG841"/>
  <c r="AB840"/>
  <c r="AG840"/>
  <c r="AJ849"/>
  <c r="AX849"/>
  <c r="Q857"/>
  <c r="AF858"/>
  <c r="AL859"/>
  <c r="X858"/>
  <c r="AD827"/>
  <c r="AX827"/>
  <c r="AT833"/>
  <c r="AL833"/>
  <c r="AL834"/>
  <c r="AJ834"/>
  <c r="AX834"/>
  <c r="AD835"/>
  <c r="W840"/>
  <c r="BB840"/>
  <c r="AX841"/>
  <c r="R840"/>
  <c r="R832"/>
  <c r="R830"/>
  <c r="AJ848"/>
  <c r="AK849"/>
  <c r="R873"/>
  <c r="O816"/>
  <c r="AJ827"/>
  <c r="AD828"/>
  <c r="AF833"/>
  <c r="AU833"/>
  <c r="AK834"/>
  <c r="AZ834"/>
  <c r="AL840"/>
  <c r="AJ847"/>
  <c r="W845"/>
  <c r="AJ845"/>
  <c r="Y821"/>
  <c r="AK827"/>
  <c r="AZ827"/>
  <c r="AD834"/>
  <c r="BB834"/>
  <c r="AY847"/>
  <c r="AX847"/>
  <c r="AK847"/>
  <c r="M848"/>
  <c r="AD849"/>
  <c r="P876"/>
  <c r="AF876"/>
  <c r="M873"/>
  <c r="AE858"/>
  <c r="BB858"/>
  <c r="AC873"/>
  <c r="Q906"/>
  <c r="W909"/>
  <c r="AJ910"/>
  <c r="AL910"/>
  <c r="X909"/>
  <c r="AB949"/>
  <c r="AG950"/>
  <c r="O857"/>
  <c r="AE857"/>
  <c r="AU857"/>
  <c r="AP873"/>
  <c r="AL879"/>
  <c r="AX887"/>
  <c r="AK887"/>
  <c r="AT886"/>
  <c r="AY887"/>
  <c r="AZ893"/>
  <c r="W877"/>
  <c r="AJ878"/>
  <c r="BB887"/>
  <c r="BA887"/>
  <c r="AU886"/>
  <c r="AJ894"/>
  <c r="W893"/>
  <c r="AK893"/>
  <c r="P909"/>
  <c r="Q874"/>
  <c r="AY893"/>
  <c r="AX893"/>
  <c r="AT892"/>
  <c r="AF910"/>
  <c r="AB909"/>
  <c r="AG910"/>
  <c r="O876"/>
  <c r="AD877"/>
  <c r="AF877"/>
  <c r="AG878"/>
  <c r="AB877"/>
  <c r="AT878"/>
  <c r="AL878"/>
  <c r="AY879"/>
  <c r="AX879"/>
  <c r="AK879"/>
  <c r="AJ887"/>
  <c r="AT916"/>
  <c r="AZ917"/>
  <c r="AY917"/>
  <c r="AB893"/>
  <c r="AG894"/>
  <c r="AZ858"/>
  <c r="W885"/>
  <c r="AJ886"/>
  <c r="AX917"/>
  <c r="Q931"/>
  <c r="AF935"/>
  <c r="P934"/>
  <c r="AF934"/>
  <c r="AT949"/>
  <c r="AY950"/>
  <c r="AX950"/>
  <c r="X877"/>
  <c r="AD878"/>
  <c r="X886"/>
  <c r="AL887"/>
  <c r="AT925"/>
  <c r="AZ926"/>
  <c r="AY926"/>
  <c r="AX926"/>
  <c r="AK894"/>
  <c r="AX894"/>
  <c r="AE895"/>
  <c r="AZ911"/>
  <c r="AT934"/>
  <c r="AK943"/>
  <c r="BA943"/>
  <c r="O963"/>
  <c r="O965"/>
  <c r="Y963"/>
  <c r="Y930"/>
  <c r="Y965"/>
  <c r="S983"/>
  <c r="S981"/>
  <c r="W986"/>
  <c r="AK986"/>
  <c r="AK987"/>
  <c r="AD952"/>
  <c r="X965"/>
  <c r="X963"/>
  <c r="BB976"/>
  <c r="AB1007"/>
  <c r="AZ894"/>
  <c r="AE911"/>
  <c r="BB911"/>
  <c r="AJ937"/>
  <c r="AF937"/>
  <c r="AL975"/>
  <c r="X973"/>
  <c r="W976"/>
  <c r="AJ977"/>
  <c r="BA894"/>
  <c r="AF911"/>
  <c r="W934"/>
  <c r="AE951"/>
  <c r="AX951"/>
  <c r="R963"/>
  <c r="R930"/>
  <c r="R965"/>
  <c r="AC963"/>
  <c r="AC930"/>
  <c r="AC965"/>
  <c r="AK895"/>
  <c r="AG911"/>
  <c r="AD944"/>
  <c r="BA951"/>
  <c r="AZ951"/>
  <c r="N965"/>
  <c r="N963"/>
  <c r="AY975"/>
  <c r="AX975"/>
  <c r="AG951"/>
  <c r="AY951"/>
  <c r="AT973"/>
  <c r="AC983"/>
  <c r="AC981"/>
  <c r="AK935"/>
  <c r="AG937"/>
  <c r="AB935"/>
  <c r="P965"/>
  <c r="Q949"/>
  <c r="O950"/>
  <c r="S963"/>
  <c r="AY968"/>
  <c r="AB986"/>
  <c r="P987"/>
  <c r="AT1009"/>
  <c r="M1020"/>
  <c r="W1046"/>
  <c r="AJ1046"/>
  <c r="AJ1048"/>
  <c r="AT1046"/>
  <c r="AX1048"/>
  <c r="AU1054"/>
  <c r="BA1056"/>
  <c r="AF1058"/>
  <c r="Q1057"/>
  <c r="AG1058"/>
  <c r="AB1057"/>
  <c r="AG1105"/>
  <c r="AE1015"/>
  <c r="AD1015"/>
  <c r="P1046"/>
  <c r="X1054"/>
  <c r="AY1216"/>
  <c r="AX1216"/>
  <c r="AT1215"/>
  <c r="AL1215"/>
  <c r="AT966"/>
  <c r="AK976"/>
  <c r="AX976"/>
  <c r="AJ992"/>
  <c r="AZ992"/>
  <c r="AG995"/>
  <c r="AE1014"/>
  <c r="AD1014"/>
  <c r="AF1020"/>
  <c r="AG1020"/>
  <c r="AF1048"/>
  <c r="BB1050"/>
  <c r="BA1050"/>
  <c r="AZ1050"/>
  <c r="AU1049"/>
  <c r="AF1077"/>
  <c r="Q1069"/>
  <c r="AG1077"/>
  <c r="AB1069"/>
  <c r="AL976"/>
  <c r="O977"/>
  <c r="AZ977"/>
  <c r="AL992"/>
  <c r="BB992"/>
  <c r="AZ1000"/>
  <c r="AG1001"/>
  <c r="P1010"/>
  <c r="AK1010"/>
  <c r="AY1042"/>
  <c r="AK1042"/>
  <c r="AX1042"/>
  <c r="AG1042"/>
  <c r="BA977"/>
  <c r="AD989"/>
  <c r="AY995"/>
  <c r="AK995"/>
  <c r="AX995"/>
  <c r="P1000"/>
  <c r="BA1000"/>
  <c r="Q1010"/>
  <c r="AG1010"/>
  <c r="AL1010"/>
  <c r="W1009"/>
  <c r="AL1042"/>
  <c r="O1049"/>
  <c r="AJ1049"/>
  <c r="AJ1058"/>
  <c r="Q1000"/>
  <c r="AK1048"/>
  <c r="AE1049"/>
  <c r="AU987"/>
  <c r="AD993"/>
  <c r="M995"/>
  <c r="M987"/>
  <c r="AZ995"/>
  <c r="O1012"/>
  <c r="AL1050"/>
  <c r="X1049"/>
  <c r="AX1058"/>
  <c r="AY992"/>
  <c r="AK992"/>
  <c r="AK1001"/>
  <c r="AD1004"/>
  <c r="AE1037"/>
  <c r="AD1037"/>
  <c r="AE1042"/>
  <c r="Q1046"/>
  <c r="AE1052"/>
  <c r="AD1052"/>
  <c r="O1058"/>
  <c r="AE1060"/>
  <c r="AD1060"/>
  <c r="BB1042"/>
  <c r="AK1058"/>
  <c r="AY1058"/>
  <c r="AL1071"/>
  <c r="AE1077"/>
  <c r="P1069"/>
  <c r="AP1081"/>
  <c r="AP1067"/>
  <c r="AP1065"/>
  <c r="AC1111"/>
  <c r="AC1109"/>
  <c r="AY1069"/>
  <c r="AK1069"/>
  <c r="AT1067"/>
  <c r="AL1067"/>
  <c r="AY1071"/>
  <c r="AK1071"/>
  <c r="AX1071"/>
  <c r="AL1138"/>
  <c r="X1130"/>
  <c r="BB1010"/>
  <c r="AG1043"/>
  <c r="W1057"/>
  <c r="AT1057"/>
  <c r="AL1057"/>
  <c r="AL1069"/>
  <c r="BB1069"/>
  <c r="BA1069"/>
  <c r="AZ1069"/>
  <c r="R1069"/>
  <c r="AX1069"/>
  <c r="AC1069"/>
  <c r="AC1067"/>
  <c r="AC1065"/>
  <c r="AY1081"/>
  <c r="AK1081"/>
  <c r="AL1087"/>
  <c r="Q1111"/>
  <c r="AF1112"/>
  <c r="AB1111"/>
  <c r="AG1112"/>
  <c r="N1126"/>
  <c r="N1124"/>
  <c r="AD1016"/>
  <c r="AD1028"/>
  <c r="AX1043"/>
  <c r="AJ1074"/>
  <c r="AE1106"/>
  <c r="P1105"/>
  <c r="AF1105"/>
  <c r="O1105"/>
  <c r="AZ1042"/>
  <c r="AK1043"/>
  <c r="AY1043"/>
  <c r="AL1081"/>
  <c r="AY1087"/>
  <c r="AK1087"/>
  <c r="AX1087"/>
  <c r="AF1106"/>
  <c r="BB1105"/>
  <c r="BA1105"/>
  <c r="M1193"/>
  <c r="M1192"/>
  <c r="M1190"/>
  <c r="AD1198"/>
  <c r="W1193"/>
  <c r="AJ1198"/>
  <c r="AL1043"/>
  <c r="BB1120"/>
  <c r="BA1120"/>
  <c r="AY1168"/>
  <c r="AK1168"/>
  <c r="AX1168"/>
  <c r="AT1167"/>
  <c r="BB1071"/>
  <c r="AE1075"/>
  <c r="AK1083"/>
  <c r="BA1093"/>
  <c r="AE1098"/>
  <c r="AY1105"/>
  <c r="BB1117"/>
  <c r="AB1129"/>
  <c r="AG1132"/>
  <c r="Q1190"/>
  <c r="AE1135"/>
  <c r="AX1143"/>
  <c r="AJ1143"/>
  <c r="R1142"/>
  <c r="BB1168"/>
  <c r="BA1168"/>
  <c r="AZ1168"/>
  <c r="P1192"/>
  <c r="AF1192"/>
  <c r="AE1194"/>
  <c r="AE1196"/>
  <c r="AD1196"/>
  <c r="O1087"/>
  <c r="AF1135"/>
  <c r="AY1138"/>
  <c r="AK1138"/>
  <c r="AT1130"/>
  <c r="AX1138"/>
  <c r="M1154"/>
  <c r="AJ1154"/>
  <c r="W1142"/>
  <c r="AU1167"/>
  <c r="O1175"/>
  <c r="AZ1184"/>
  <c r="AT1183"/>
  <c r="AZ1183"/>
  <c r="AB1192"/>
  <c r="AF1193"/>
  <c r="AF1194"/>
  <c r="O1071"/>
  <c r="AD1088"/>
  <c r="AX1112"/>
  <c r="AX1117"/>
  <c r="AJ1132"/>
  <c r="BB1138"/>
  <c r="BA1138"/>
  <c r="AZ1138"/>
  <c r="AU1130"/>
  <c r="AU1192"/>
  <c r="BB1193"/>
  <c r="BA1193"/>
  <c r="AZ1198"/>
  <c r="AL1198"/>
  <c r="AT1193"/>
  <c r="AY1198"/>
  <c r="AK1198"/>
  <c r="AX1198"/>
  <c r="AD1072"/>
  <c r="AZ1087"/>
  <c r="O1093"/>
  <c r="AX1093"/>
  <c r="AD1096"/>
  <c r="AK1112"/>
  <c r="AK1117"/>
  <c r="AD1118"/>
  <c r="AF1162"/>
  <c r="AE1162"/>
  <c r="P1142"/>
  <c r="AF1142"/>
  <c r="AE1164"/>
  <c r="AD1164"/>
  <c r="AE1169"/>
  <c r="AD1169"/>
  <c r="O1168"/>
  <c r="AJ1203"/>
  <c r="AX1204"/>
  <c r="AJ1204"/>
  <c r="AD1215"/>
  <c r="O1214"/>
  <c r="AE1216"/>
  <c r="AD1216"/>
  <c r="AZ1071"/>
  <c r="O1074"/>
  <c r="AX1074"/>
  <c r="R1081"/>
  <c r="AJ1081"/>
  <c r="BA1087"/>
  <c r="AK1093"/>
  <c r="AD1094"/>
  <c r="AD1097"/>
  <c r="AZ1117"/>
  <c r="AZ1154"/>
  <c r="AL1154"/>
  <c r="AY1154"/>
  <c r="AK1154"/>
  <c r="AX1154"/>
  <c r="AT1142"/>
  <c r="AJ1168"/>
  <c r="W1167"/>
  <c r="AJ1167"/>
  <c r="AL1171"/>
  <c r="AY1171"/>
  <c r="AX1171"/>
  <c r="AL1173"/>
  <c r="AY1173"/>
  <c r="AX1173"/>
  <c r="AL1174"/>
  <c r="AY1174"/>
  <c r="AX1174"/>
  <c r="AZ1175"/>
  <c r="AL1175"/>
  <c r="AY1175"/>
  <c r="AK1175"/>
  <c r="AX1175"/>
  <c r="L1193"/>
  <c r="L1192"/>
  <c r="L1190"/>
  <c r="V1193"/>
  <c r="V1192"/>
  <c r="V1190"/>
  <c r="AJ1201"/>
  <c r="AJ1214"/>
  <c r="AE1215"/>
  <c r="P1214"/>
  <c r="AK1074"/>
  <c r="P1130"/>
  <c r="AX1132"/>
  <c r="AE1139"/>
  <c r="AD1139"/>
  <c r="O1138"/>
  <c r="AL1168"/>
  <c r="AE1159"/>
  <c r="AF1185"/>
  <c r="AX1185"/>
  <c r="BA1206"/>
  <c r="BB1216"/>
  <c r="AZ1135"/>
  <c r="AE1143"/>
  <c r="AZ1162"/>
  <c r="AL1194"/>
  <c r="AZ1194"/>
  <c r="AE1132"/>
  <c r="BA1135"/>
  <c r="AF1143"/>
  <c r="P1184"/>
  <c r="BA1194"/>
  <c r="AG1143"/>
  <c r="AJ1149"/>
  <c r="AJ1216"/>
  <c r="AD1217"/>
  <c r="AZ1216"/>
  <c r="AE1217"/>
  <c r="AK1143"/>
  <c r="S497"/>
  <c r="S495"/>
  <c r="S487"/>
  <c r="AS313"/>
  <c r="AS229"/>
  <c r="AY301"/>
  <c r="AX301"/>
  <c r="W677"/>
  <c r="AK677"/>
  <c r="AL374"/>
  <c r="AX1203"/>
  <c r="AU1181"/>
  <c r="AD1194"/>
  <c r="X892"/>
  <c r="AK709"/>
  <c r="AJ678"/>
  <c r="AY639"/>
  <c r="O142"/>
  <c r="AD142"/>
  <c r="O74"/>
  <c r="S408"/>
  <c r="Y1129"/>
  <c r="Y1127"/>
  <c r="Y1126"/>
  <c r="Y1124"/>
  <c r="BA1142"/>
  <c r="AZ302"/>
  <c r="AG269"/>
  <c r="AU199"/>
  <c r="AD202"/>
  <c r="AD144"/>
  <c r="AC1126"/>
  <c r="AC1124"/>
  <c r="Z229"/>
  <c r="Z212"/>
  <c r="AD1035"/>
  <c r="AD723"/>
  <c r="W1067"/>
  <c r="W1065"/>
  <c r="AJ302"/>
  <c r="AE231"/>
  <c r="AF225"/>
  <c r="AD208"/>
  <c r="AL64"/>
  <c r="BA1183"/>
  <c r="AX1010"/>
  <c r="O709"/>
  <c r="O618"/>
  <c r="AT534"/>
  <c r="AY534"/>
  <c r="AL537"/>
  <c r="AB472"/>
  <c r="O318"/>
  <c r="AD318"/>
  <c r="AK302"/>
  <c r="AL258"/>
  <c r="AE216"/>
  <c r="S313"/>
  <c r="M1010"/>
  <c r="M1009"/>
  <c r="M1007"/>
  <c r="AC654"/>
  <c r="AE208"/>
  <c r="O161"/>
  <c r="AE161"/>
  <c r="M99"/>
  <c r="AF11"/>
  <c r="AE47"/>
  <c r="AF287"/>
  <c r="R220"/>
  <c r="AJ220"/>
  <c r="AX709"/>
  <c r="AX589"/>
  <c r="AD619"/>
  <c r="AC353"/>
  <c r="AL663"/>
  <c r="AL439"/>
  <c r="X269"/>
  <c r="AL269"/>
  <c r="AX302"/>
  <c r="AF288"/>
  <c r="AK214"/>
  <c r="M199"/>
  <c r="AS199"/>
  <c r="AT45"/>
  <c r="AP1129"/>
  <c r="AP1127"/>
  <c r="AP1126"/>
  <c r="AP1124"/>
  <c r="AX772"/>
  <c r="AL678"/>
  <c r="AL295"/>
  <c r="AC311"/>
  <c r="AC304"/>
  <c r="AC14"/>
  <c r="AJ301"/>
  <c r="BB205"/>
  <c r="AX64"/>
  <c r="AF677"/>
  <c r="AL142"/>
  <c r="AX244"/>
  <c r="AR983"/>
  <c r="AR981"/>
  <c r="AD238"/>
  <c r="Z285"/>
  <c r="M374"/>
  <c r="M356"/>
  <c r="M354"/>
  <c r="AX537"/>
  <c r="AG475"/>
  <c r="AX536"/>
  <c r="AK475"/>
  <c r="AL357"/>
  <c r="AD57"/>
  <c r="X45"/>
  <c r="AL45"/>
  <c r="R285"/>
  <c r="N407"/>
  <c r="N405"/>
  <c r="AY302"/>
  <c r="AJ723"/>
  <c r="AR311"/>
  <c r="AR304"/>
  <c r="AR14"/>
  <c r="AE586"/>
  <c r="AS43"/>
  <c r="U74"/>
  <c r="U72"/>
  <c r="AP212"/>
  <c r="AE225"/>
  <c r="M311"/>
  <c r="M304"/>
  <c r="M14"/>
  <c r="AJ1010"/>
  <c r="AD1105"/>
  <c r="AJ987"/>
  <c r="AG722"/>
  <c r="AS408"/>
  <c r="AS407"/>
  <c r="AS405"/>
  <c r="Q301"/>
  <c r="AF301"/>
  <c r="AT199"/>
  <c r="M832"/>
  <c r="M830"/>
  <c r="AE93"/>
  <c r="AP905"/>
  <c r="AX453"/>
  <c r="L533"/>
  <c r="AF987"/>
  <c r="Q986"/>
  <c r="AL935"/>
  <c r="AL737"/>
  <c r="N654"/>
  <c r="AE716"/>
  <c r="AJ374"/>
  <c r="AE258"/>
  <c r="BA298"/>
  <c r="AF74"/>
  <c r="AX214"/>
  <c r="AP654"/>
  <c r="AG618"/>
  <c r="AA199"/>
  <c r="AL894"/>
  <c r="N199"/>
  <c r="BA220"/>
  <c r="BB220"/>
  <c r="AK1174"/>
  <c r="BA1081"/>
  <c r="AZ1215"/>
  <c r="BA935"/>
  <c r="AT909"/>
  <c r="AX909"/>
  <c r="BB893"/>
  <c r="AJ859"/>
  <c r="AD791"/>
  <c r="BB723"/>
  <c r="AT593"/>
  <c r="AT630"/>
  <c r="AX630"/>
  <c r="AK577"/>
  <c r="AU467"/>
  <c r="BB467"/>
  <c r="AF318"/>
  <c r="O313"/>
  <c r="O311"/>
  <c r="AE311"/>
  <c r="AD244"/>
  <c r="AK301"/>
  <c r="AJ110"/>
  <c r="AD150"/>
  <c r="BA1174"/>
  <c r="AX499"/>
  <c r="AL89"/>
  <c r="V1129"/>
  <c r="V1127"/>
  <c r="V1126"/>
  <c r="V1124"/>
  <c r="AG225"/>
  <c r="AS910"/>
  <c r="AS909"/>
  <c r="AS908"/>
  <c r="AS906"/>
  <c r="AS905"/>
  <c r="AS275"/>
  <c r="AS274"/>
  <c r="AS269"/>
  <c r="R1129"/>
  <c r="R1127"/>
  <c r="R1126"/>
  <c r="R1124"/>
  <c r="AG1046"/>
  <c r="AZ950"/>
  <c r="AK910"/>
  <c r="BA893"/>
  <c r="O789"/>
  <c r="AK631"/>
  <c r="AJ618"/>
  <c r="AD389"/>
  <c r="AZ308"/>
  <c r="AF326"/>
  <c r="AU306"/>
  <c r="BA306"/>
  <c r="AG72"/>
  <c r="AG110"/>
  <c r="AG229"/>
  <c r="AC285"/>
  <c r="AK233"/>
  <c r="AG723"/>
  <c r="Q497"/>
  <c r="Q495"/>
  <c r="AD247"/>
  <c r="AE89"/>
  <c r="O910"/>
  <c r="O275"/>
  <c r="P311"/>
  <c r="W229"/>
  <c r="AJ229"/>
  <c r="BB950"/>
  <c r="AX910"/>
  <c r="AD793"/>
  <c r="AE778"/>
  <c r="AJ753"/>
  <c r="AX594"/>
  <c r="AX631"/>
  <c r="P638"/>
  <c r="AF638"/>
  <c r="AK618"/>
  <c r="AK499"/>
  <c r="AJ475"/>
  <c r="AT333"/>
  <c r="AL333"/>
  <c r="BA318"/>
  <c r="AJ281"/>
  <c r="AK244"/>
  <c r="AZ220"/>
  <c r="AL631"/>
  <c r="AZ408"/>
  <c r="U45"/>
  <c r="M130"/>
  <c r="AD1143"/>
  <c r="AG374"/>
  <c r="N1067"/>
  <c r="N1065"/>
  <c r="N1064"/>
  <c r="N1062"/>
  <c r="AD295"/>
  <c r="AL499"/>
  <c r="Z311"/>
  <c r="Z304"/>
  <c r="O1184"/>
  <c r="AD1020"/>
  <c r="AU949"/>
  <c r="AD792"/>
  <c r="AT799"/>
  <c r="AY799"/>
  <c r="O722"/>
  <c r="AJ755"/>
  <c r="AD418"/>
  <c r="L212"/>
  <c r="AZ201"/>
  <c r="AG132"/>
  <c r="AB130"/>
  <c r="BA74"/>
  <c r="M1067"/>
  <c r="M1065"/>
  <c r="AU1067"/>
  <c r="AZ1067"/>
  <c r="BA537"/>
  <c r="M258"/>
  <c r="V356"/>
  <c r="V354"/>
  <c r="V353"/>
  <c r="AJ1184"/>
  <c r="W1183"/>
  <c r="AD296"/>
  <c r="AX577"/>
  <c r="AJ142"/>
  <c r="AZ1081"/>
  <c r="AE793"/>
  <c r="BA723"/>
  <c r="BA722"/>
  <c r="AK408"/>
  <c r="AD382"/>
  <c r="AX335"/>
  <c r="V1064"/>
  <c r="V1062"/>
  <c r="W1173"/>
  <c r="AK1173"/>
  <c r="AL847"/>
  <c r="AS654"/>
  <c r="AD330"/>
  <c r="P407"/>
  <c r="P405"/>
  <c r="AE66"/>
  <c r="AU212"/>
  <c r="BB212"/>
  <c r="BB329"/>
  <c r="S1129"/>
  <c r="S1127"/>
  <c r="S1126"/>
  <c r="S1124"/>
  <c r="AS628"/>
  <c r="AJ578"/>
  <c r="AK1105"/>
  <c r="AD1106"/>
  <c r="AP1064"/>
  <c r="AP1062"/>
  <c r="AX859"/>
  <c r="AY608"/>
  <c r="BB308"/>
  <c r="AF208"/>
  <c r="AU72"/>
  <c r="AX987"/>
  <c r="AF161"/>
  <c r="BA291"/>
  <c r="AS311"/>
  <c r="AS304"/>
  <c r="AS14"/>
  <c r="AR407"/>
  <c r="AR405"/>
  <c r="AR353"/>
  <c r="Z199"/>
  <c r="O214"/>
  <c r="AE214"/>
  <c r="R984"/>
  <c r="R983"/>
  <c r="R981"/>
  <c r="AX986"/>
  <c r="AU975"/>
  <c r="AL848"/>
  <c r="AT856"/>
  <c r="AY856"/>
  <c r="AE677"/>
  <c r="AD1185"/>
  <c r="BA976"/>
  <c r="AZ772"/>
  <c r="AY772"/>
  <c r="AX688"/>
  <c r="P253"/>
  <c r="AE253"/>
  <c r="Q199"/>
  <c r="AL205"/>
  <c r="S302"/>
  <c r="S301"/>
  <c r="S253"/>
  <c r="M1064"/>
  <c r="M1062"/>
  <c r="AE992"/>
  <c r="AX578"/>
  <c r="AD225"/>
  <c r="M509"/>
  <c r="M508"/>
  <c r="M497"/>
  <c r="M495"/>
  <c r="M487"/>
  <c r="M288"/>
  <c r="M287"/>
  <c r="AL302"/>
  <c r="X301"/>
  <c r="AL301"/>
  <c r="N99"/>
  <c r="AP274"/>
  <c r="AP269"/>
  <c r="AY154"/>
  <c r="AX154"/>
  <c r="AX1081"/>
  <c r="BB910"/>
  <c r="X845"/>
  <c r="AL845"/>
  <c r="AD800"/>
  <c r="AD778"/>
  <c r="AK439"/>
  <c r="AG509"/>
  <c r="AD500"/>
  <c r="AU311"/>
  <c r="S654"/>
  <c r="AG1081"/>
  <c r="AG617"/>
  <c r="AZ537"/>
  <c r="N356"/>
  <c r="N354"/>
  <c r="N353"/>
  <c r="N352"/>
  <c r="O220"/>
  <c r="AD220"/>
  <c r="M214"/>
  <c r="AD214"/>
  <c r="BA225"/>
  <c r="BB225"/>
  <c r="AE480"/>
  <c r="AY55"/>
  <c r="AX55"/>
  <c r="O1000"/>
  <c r="AD1000"/>
  <c r="AZ910"/>
  <c r="BA909"/>
  <c r="AD664"/>
  <c r="AZ602"/>
  <c r="O499"/>
  <c r="AE499"/>
  <c r="BA313"/>
  <c r="AK154"/>
  <c r="S318"/>
  <c r="AD841"/>
  <c r="N45"/>
  <c r="L43"/>
  <c r="AE222"/>
  <c r="W950"/>
  <c r="AJ951"/>
  <c r="AD1001"/>
  <c r="AK951"/>
  <c r="BA910"/>
  <c r="BB909"/>
  <c r="AK857"/>
  <c r="AF678"/>
  <c r="AJ577"/>
  <c r="AL161"/>
  <c r="AG675"/>
  <c r="R568"/>
  <c r="AJ568"/>
  <c r="AL110"/>
  <c r="M571"/>
  <c r="M570"/>
  <c r="M568"/>
  <c r="M302"/>
  <c r="M301"/>
  <c r="AU791"/>
  <c r="AZ791"/>
  <c r="AZ792"/>
  <c r="BB792"/>
  <c r="AG1130"/>
  <c r="P890"/>
  <c r="AF890"/>
  <c r="AT771"/>
  <c r="AZ771"/>
  <c r="AD665"/>
  <c r="P675"/>
  <c r="AF675"/>
  <c r="AX475"/>
  <c r="AP353"/>
  <c r="AD115"/>
  <c r="O475"/>
  <c r="O474"/>
  <c r="O472"/>
  <c r="O471"/>
  <c r="AP311"/>
  <c r="AP304"/>
  <c r="AP14"/>
  <c r="AR212"/>
  <c r="AR197"/>
  <c r="AU1214"/>
  <c r="BA1215"/>
  <c r="AL772"/>
  <c r="AF201"/>
  <c r="V533"/>
  <c r="O199"/>
  <c r="AE199"/>
  <c r="BB1174"/>
  <c r="AU1173"/>
  <c r="AJ935"/>
  <c r="AK772"/>
  <c r="AG677"/>
  <c r="AF1130"/>
  <c r="L1126"/>
  <c r="L1124"/>
  <c r="AD943"/>
  <c r="AJ840"/>
  <c r="AG678"/>
  <c r="AE678"/>
  <c r="AF509"/>
  <c r="AX439"/>
  <c r="AE244"/>
  <c r="S275"/>
  <c r="Y1064"/>
  <c r="Y1062"/>
  <c r="O987"/>
  <c r="AF258"/>
  <c r="L356"/>
  <c r="L354"/>
  <c r="L353"/>
  <c r="BA878"/>
  <c r="AU877"/>
  <c r="AY571"/>
  <c r="AT570"/>
  <c r="AX571"/>
  <c r="Y983"/>
  <c r="Y981"/>
  <c r="O1109"/>
  <c r="AD1109"/>
  <c r="AE1111"/>
  <c r="AD1111"/>
  <c r="L10"/>
  <c r="L12"/>
  <c r="L41"/>
  <c r="AK560"/>
  <c r="AZ560"/>
  <c r="R586"/>
  <c r="AJ586"/>
  <c r="BB110"/>
  <c r="AB45"/>
  <c r="P199"/>
  <c r="S537"/>
  <c r="S536"/>
  <c r="S534"/>
  <c r="X950"/>
  <c r="AL951"/>
  <c r="AS935"/>
  <c r="AS934"/>
  <c r="AS933"/>
  <c r="AS931"/>
  <c r="AS930"/>
  <c r="AS282"/>
  <c r="AS281"/>
  <c r="AS278"/>
  <c r="AU934"/>
  <c r="AZ934"/>
  <c r="BB935"/>
  <c r="AT657"/>
  <c r="AY657"/>
  <c r="AY658"/>
  <c r="AL715"/>
  <c r="X713"/>
  <c r="AL713"/>
  <c r="R356"/>
  <c r="R354"/>
  <c r="R353"/>
  <c r="AE376"/>
  <c r="AD840"/>
  <c r="AD511"/>
  <c r="O510"/>
  <c r="BB201"/>
  <c r="BA201"/>
  <c r="AE167"/>
  <c r="AK110"/>
  <c r="AC43"/>
  <c r="AD246"/>
  <c r="AE246"/>
  <c r="W74"/>
  <c r="AL560"/>
  <c r="AU99"/>
  <c r="AZ1112"/>
  <c r="BB1112"/>
  <c r="AL987"/>
  <c r="AK840"/>
  <c r="AE776"/>
  <c r="AD678"/>
  <c r="AP533"/>
  <c r="AX617"/>
  <c r="AJ474"/>
  <c r="AK229"/>
  <c r="AD201"/>
  <c r="AG1184"/>
  <c r="AB1183"/>
  <c r="AD937"/>
  <c r="O935"/>
  <c r="AE937"/>
  <c r="O282"/>
  <c r="X1064"/>
  <c r="X1062"/>
  <c r="AG987"/>
  <c r="AZ1204"/>
  <c r="AU1203"/>
  <c r="BB1204"/>
  <c r="AF1081"/>
  <c r="M577"/>
  <c r="BA560"/>
  <c r="BB560"/>
  <c r="W720"/>
  <c r="AJ720"/>
  <c r="AJ722"/>
  <c r="AE841"/>
  <c r="AC212"/>
  <c r="AC197"/>
  <c r="AC13"/>
  <c r="AC15"/>
  <c r="AD283"/>
  <c r="AK1203"/>
  <c r="AT1201"/>
  <c r="AY1203"/>
  <c r="AE230"/>
  <c r="O229"/>
  <c r="AE229"/>
  <c r="AJ174"/>
  <c r="W172"/>
  <c r="AY1120"/>
  <c r="AT1111"/>
  <c r="AZ1120"/>
  <c r="AE552"/>
  <c r="AD552"/>
  <c r="AL1142"/>
  <c r="AJ1142"/>
  <c r="N930"/>
  <c r="AG1000"/>
  <c r="AX840"/>
  <c r="AK845"/>
  <c r="AF727"/>
  <c r="AJ688"/>
  <c r="M654"/>
  <c r="AT616"/>
  <c r="N197"/>
  <c r="N13"/>
  <c r="N15"/>
  <c r="AF374"/>
  <c r="AG258"/>
  <c r="X356"/>
  <c r="X354"/>
  <c r="AX229"/>
  <c r="AZ229"/>
  <c r="S628"/>
  <c r="S199"/>
  <c r="AR1067"/>
  <c r="AR1065"/>
  <c r="AR1064"/>
  <c r="AR1062"/>
  <c r="AB1203"/>
  <c r="AG1204"/>
  <c r="X708"/>
  <c r="AL709"/>
  <c r="M474"/>
  <c r="M408"/>
  <c r="M407"/>
  <c r="M405"/>
  <c r="M353"/>
  <c r="AF229"/>
  <c r="AY695"/>
  <c r="AZ695"/>
  <c r="AT694"/>
  <c r="AE127"/>
  <c r="X99"/>
  <c r="AL266"/>
  <c r="T41"/>
  <c r="T10"/>
  <c r="T12"/>
  <c r="T16"/>
  <c r="T25"/>
  <c r="P723"/>
  <c r="AF723"/>
  <c r="AG508"/>
  <c r="BA101"/>
  <c r="O1142"/>
  <c r="AE1142"/>
  <c r="AF1203"/>
  <c r="Q1201"/>
  <c r="AD1112"/>
  <c r="X687"/>
  <c r="AL688"/>
  <c r="AY756"/>
  <c r="AT755"/>
  <c r="AX756"/>
  <c r="M618"/>
  <c r="M617"/>
  <c r="M616"/>
  <c r="M614"/>
  <c r="M613"/>
  <c r="M233"/>
  <c r="AD233"/>
  <c r="AS571"/>
  <c r="AS570"/>
  <c r="AS568"/>
  <c r="AS302"/>
  <c r="AS301"/>
  <c r="AG161"/>
  <c r="AT407"/>
  <c r="AK407"/>
  <c r="S10"/>
  <c r="S12"/>
  <c r="S41"/>
  <c r="AG1048"/>
  <c r="AD679"/>
  <c r="V654"/>
  <c r="AY560"/>
  <c r="AA311"/>
  <c r="AA304"/>
  <c r="M161"/>
  <c r="BB101"/>
  <c r="AD167"/>
  <c r="M935"/>
  <c r="M934"/>
  <c r="M933"/>
  <c r="M931"/>
  <c r="M930"/>
  <c r="W1171"/>
  <c r="AE1112"/>
  <c r="AD894"/>
  <c r="O893"/>
  <c r="AB799"/>
  <c r="AG800"/>
  <c r="AY709"/>
  <c r="AT708"/>
  <c r="AX708"/>
  <c r="AR533"/>
  <c r="AZ519"/>
  <c r="AY519"/>
  <c r="AT518"/>
  <c r="AL229"/>
  <c r="AJ313"/>
  <c r="AA285"/>
  <c r="AL244"/>
  <c r="AG563"/>
  <c r="AB562"/>
  <c r="AG562"/>
  <c r="AD111"/>
  <c r="O110"/>
  <c r="AD66"/>
  <c r="M64"/>
  <c r="M45"/>
  <c r="AB199"/>
  <c r="AG199"/>
  <c r="AF1046"/>
  <c r="AU1111"/>
  <c r="AU1109"/>
  <c r="AZ1057"/>
  <c r="AB616"/>
  <c r="R304"/>
  <c r="R14"/>
  <c r="AF205"/>
  <c r="AP43"/>
  <c r="AP41"/>
  <c r="S571"/>
  <c r="S570"/>
  <c r="S568"/>
  <c r="AT789"/>
  <c r="AJ1112"/>
  <c r="W1111"/>
  <c r="AF893"/>
  <c r="AY986"/>
  <c r="AT984"/>
  <c r="AT687"/>
  <c r="AY688"/>
  <c r="Y356"/>
  <c r="Y354"/>
  <c r="Y353"/>
  <c r="Y352"/>
  <c r="AG302"/>
  <c r="AY295"/>
  <c r="AK295"/>
  <c r="AJ258"/>
  <c r="AZ214"/>
  <c r="BB214"/>
  <c r="AY110"/>
  <c r="AX110"/>
  <c r="AU1009"/>
  <c r="AZ1010"/>
  <c r="BA1010"/>
  <c r="AT264"/>
  <c r="AZ264"/>
  <c r="AX266"/>
  <c r="AK617"/>
  <c r="AZ266"/>
  <c r="BA110"/>
  <c r="AY1184"/>
  <c r="AX1184"/>
  <c r="AU601"/>
  <c r="BA602"/>
  <c r="O537"/>
  <c r="AD537"/>
  <c r="AS356"/>
  <c r="AS354"/>
  <c r="O55"/>
  <c r="O45"/>
  <c r="AD61"/>
  <c r="AL132"/>
  <c r="S225"/>
  <c r="S220"/>
  <c r="S821"/>
  <c r="S274"/>
  <c r="S269"/>
  <c r="S618"/>
  <c r="S617"/>
  <c r="S616"/>
  <c r="S614"/>
  <c r="S233"/>
  <c r="S229"/>
  <c r="S357"/>
  <c r="S356"/>
  <c r="S354"/>
  <c r="S935"/>
  <c r="S934"/>
  <c r="S933"/>
  <c r="S931"/>
  <c r="S930"/>
  <c r="S282"/>
  <c r="S281"/>
  <c r="S278"/>
  <c r="BB130"/>
  <c r="BA130"/>
  <c r="AZ130"/>
  <c r="M986"/>
  <c r="M984"/>
  <c r="M983"/>
  <c r="M981"/>
  <c r="Q984"/>
  <c r="AC352"/>
  <c r="AD1138"/>
  <c r="AE1138"/>
  <c r="O1130"/>
  <c r="AE1130"/>
  <c r="AD1168"/>
  <c r="AE1168"/>
  <c r="O1167"/>
  <c r="W1129"/>
  <c r="AY1183"/>
  <c r="AT1181"/>
  <c r="AZ1181"/>
  <c r="AX1183"/>
  <c r="AD1087"/>
  <c r="O1081"/>
  <c r="AG1129"/>
  <c r="AB1127"/>
  <c r="Q1109"/>
  <c r="AF1109"/>
  <c r="AF1111"/>
  <c r="AL1130"/>
  <c r="X1129"/>
  <c r="P1067"/>
  <c r="AJ1009"/>
  <c r="W1007"/>
  <c r="AJ1007"/>
  <c r="AD995"/>
  <c r="P1009"/>
  <c r="AG1069"/>
  <c r="AB1067"/>
  <c r="Q1056"/>
  <c r="AF1057"/>
  <c r="X972"/>
  <c r="AL973"/>
  <c r="P933"/>
  <c r="Q873"/>
  <c r="BA892"/>
  <c r="AZ892"/>
  <c r="BB892"/>
  <c r="AU890"/>
  <c r="AU856"/>
  <c r="BB857"/>
  <c r="AZ857"/>
  <c r="BA857"/>
  <c r="X857"/>
  <c r="AL858"/>
  <c r="W832"/>
  <c r="AJ822"/>
  <c r="BB771"/>
  <c r="AU769"/>
  <c r="BA771"/>
  <c r="P722"/>
  <c r="AF776"/>
  <c r="AZ650"/>
  <c r="AY650"/>
  <c r="AX650"/>
  <c r="AT649"/>
  <c r="Q720"/>
  <c r="AG720"/>
  <c r="AF722"/>
  <c r="Q789"/>
  <c r="AF791"/>
  <c r="AE663"/>
  <c r="P655"/>
  <c r="AF655"/>
  <c r="AD663"/>
  <c r="O655"/>
  <c r="BA609"/>
  <c r="AU608"/>
  <c r="AZ609"/>
  <c r="BB609"/>
  <c r="AY588"/>
  <c r="AX588"/>
  <c r="AT586"/>
  <c r="AL586"/>
  <c r="AX678"/>
  <c r="Q706"/>
  <c r="AF706"/>
  <c r="AF708"/>
  <c r="AD709"/>
  <c r="AE709"/>
  <c r="O708"/>
  <c r="AF663"/>
  <c r="AD579"/>
  <c r="O578"/>
  <c r="AG570"/>
  <c r="AB568"/>
  <c r="AB533"/>
  <c r="AU570"/>
  <c r="BB571"/>
  <c r="BA571"/>
  <c r="AZ571"/>
  <c r="AY616"/>
  <c r="AX616"/>
  <c r="AT614"/>
  <c r="AE401"/>
  <c r="AD401"/>
  <c r="AY374"/>
  <c r="AX374"/>
  <c r="AK374"/>
  <c r="AG472"/>
  <c r="AB471"/>
  <c r="AG471"/>
  <c r="AD410"/>
  <c r="O408"/>
  <c r="BB295"/>
  <c r="BA295"/>
  <c r="AZ295"/>
  <c r="BB281"/>
  <c r="BA281"/>
  <c r="AZ281"/>
  <c r="AU278"/>
  <c r="AX313"/>
  <c r="AK313"/>
  <c r="AY313"/>
  <c r="AT311"/>
  <c r="AZ311"/>
  <c r="AZ313"/>
  <c r="W253"/>
  <c r="AJ253"/>
  <c r="AJ255"/>
  <c r="AT278"/>
  <c r="AY281"/>
  <c r="AK281"/>
  <c r="AX281"/>
  <c r="AL199"/>
  <c r="AK132"/>
  <c r="AJ132"/>
  <c r="W130"/>
  <c r="AE74"/>
  <c r="P72"/>
  <c r="AL214"/>
  <c r="X212"/>
  <c r="AY174"/>
  <c r="AX174"/>
  <c r="AT172"/>
  <c r="AK174"/>
  <c r="P212"/>
  <c r="AY205"/>
  <c r="AK205"/>
  <c r="AZ205"/>
  <c r="AX205"/>
  <c r="BB64"/>
  <c r="BA64"/>
  <c r="AZ64"/>
  <c r="AG142"/>
  <c r="AE64"/>
  <c r="AE150"/>
  <c r="AL76"/>
  <c r="AD1214"/>
  <c r="O1212"/>
  <c r="AD1212"/>
  <c r="M1142"/>
  <c r="AD1154"/>
  <c r="AT933"/>
  <c r="AL934"/>
  <c r="AK934"/>
  <c r="AY934"/>
  <c r="AX934"/>
  <c r="AL886"/>
  <c r="X885"/>
  <c r="AD876"/>
  <c r="O874"/>
  <c r="O856"/>
  <c r="AE856"/>
  <c r="AD857"/>
  <c r="AD816"/>
  <c r="O815"/>
  <c r="O830"/>
  <c r="AD830"/>
  <c r="AD832"/>
  <c r="BA826"/>
  <c r="BB826"/>
  <c r="AZ826"/>
  <c r="AU824"/>
  <c r="AB832"/>
  <c r="AY815"/>
  <c r="AK815"/>
  <c r="AT814"/>
  <c r="AL814"/>
  <c r="AX815"/>
  <c r="P830"/>
  <c r="AE832"/>
  <c r="AL815"/>
  <c r="AJ824"/>
  <c r="AT769"/>
  <c r="AE771"/>
  <c r="P769"/>
  <c r="AF769"/>
  <c r="P713"/>
  <c r="AF713"/>
  <c r="O639"/>
  <c r="AD640"/>
  <c r="W628"/>
  <c r="AJ628"/>
  <c r="AJ638"/>
  <c r="AS537"/>
  <c r="AS536"/>
  <c r="AS534"/>
  <c r="AS225"/>
  <c r="AS220"/>
  <c r="AS212"/>
  <c r="AJ537"/>
  <c r="AK537"/>
  <c r="W536"/>
  <c r="R655"/>
  <c r="R654"/>
  <c r="BA618"/>
  <c r="BB618"/>
  <c r="AZ618"/>
  <c r="AU617"/>
  <c r="AT472"/>
  <c r="AY474"/>
  <c r="AX474"/>
  <c r="AK474"/>
  <c r="BA335"/>
  <c r="AZ335"/>
  <c r="AU333"/>
  <c r="BB335"/>
  <c r="BB244"/>
  <c r="BA244"/>
  <c r="AZ244"/>
  <c r="X311"/>
  <c r="AL313"/>
  <c r="AJ357"/>
  <c r="W356"/>
  <c r="AD329"/>
  <c r="AE329"/>
  <c r="S407"/>
  <c r="S405"/>
  <c r="AJ214"/>
  <c r="AU179"/>
  <c r="BB181"/>
  <c r="BA181"/>
  <c r="AZ181"/>
  <c r="BB55"/>
  <c r="BA55"/>
  <c r="AU45"/>
  <c r="AZ55"/>
  <c r="BA174"/>
  <c r="AZ174"/>
  <c r="AU172"/>
  <c r="BB174"/>
  <c r="AY161"/>
  <c r="AX161"/>
  <c r="AK161"/>
  <c r="O172"/>
  <c r="AD174"/>
  <c r="AS41"/>
  <c r="AS10"/>
  <c r="AS12"/>
  <c r="P1183"/>
  <c r="AE1184"/>
  <c r="AF1184"/>
  <c r="AY1167"/>
  <c r="AK1167"/>
  <c r="AX1167"/>
  <c r="O1192"/>
  <c r="AD1193"/>
  <c r="AD1012"/>
  <c r="O1010"/>
  <c r="AF1010"/>
  <c r="Q1009"/>
  <c r="AF1069"/>
  <c r="Q1067"/>
  <c r="AT908"/>
  <c r="AZ908"/>
  <c r="AY909"/>
  <c r="AY886"/>
  <c r="AK886"/>
  <c r="AT885"/>
  <c r="AX886"/>
  <c r="W908"/>
  <c r="AJ909"/>
  <c r="M847"/>
  <c r="AD848"/>
  <c r="BA801"/>
  <c r="AU800"/>
  <c r="BB801"/>
  <c r="AZ801"/>
  <c r="AU288"/>
  <c r="AY826"/>
  <c r="AK826"/>
  <c r="AX826"/>
  <c r="AT824"/>
  <c r="O798"/>
  <c r="AD799"/>
  <c r="AS800"/>
  <c r="AS799"/>
  <c r="AS798"/>
  <c r="AS796"/>
  <c r="AS788"/>
  <c r="AS288"/>
  <c r="AS287"/>
  <c r="AL801"/>
  <c r="X800"/>
  <c r="AD789"/>
  <c r="AE789"/>
  <c r="AZ748"/>
  <c r="AY748"/>
  <c r="AX748"/>
  <c r="AX723"/>
  <c r="AK723"/>
  <c r="AT722"/>
  <c r="AY723"/>
  <c r="AL658"/>
  <c r="X657"/>
  <c r="AG791"/>
  <c r="AB789"/>
  <c r="M602"/>
  <c r="M601"/>
  <c r="M599"/>
  <c r="M598"/>
  <c r="M232"/>
  <c r="BB715"/>
  <c r="AU713"/>
  <c r="AZ715"/>
  <c r="BA715"/>
  <c r="BB677"/>
  <c r="AU675"/>
  <c r="BA677"/>
  <c r="AZ677"/>
  <c r="AY630"/>
  <c r="AY563"/>
  <c r="AX563"/>
  <c r="AK563"/>
  <c r="AT562"/>
  <c r="BB536"/>
  <c r="AZ536"/>
  <c r="BA536"/>
  <c r="AU534"/>
  <c r="O715"/>
  <c r="AE715"/>
  <c r="AD716"/>
  <c r="AU630"/>
  <c r="BB631"/>
  <c r="BA631"/>
  <c r="AZ631"/>
  <c r="BB499"/>
  <c r="BA499"/>
  <c r="AZ499"/>
  <c r="AB450"/>
  <c r="AX408"/>
  <c r="AU687"/>
  <c r="BB688"/>
  <c r="BA688"/>
  <c r="AZ688"/>
  <c r="AD499"/>
  <c r="AZ357"/>
  <c r="AU356"/>
  <c r="BB357"/>
  <c r="BA357"/>
  <c r="AU452"/>
  <c r="BB453"/>
  <c r="AZ453"/>
  <c r="BA453"/>
  <c r="AY291"/>
  <c r="AX291"/>
  <c r="BB253"/>
  <c r="BA253"/>
  <c r="O333"/>
  <c r="AD335"/>
  <c r="AG281"/>
  <c r="AB278"/>
  <c r="AG255"/>
  <c r="AB253"/>
  <c r="AX179"/>
  <c r="AK179"/>
  <c r="AY179"/>
  <c r="AX101"/>
  <c r="AK101"/>
  <c r="AT99"/>
  <c r="AY101"/>
  <c r="BA154"/>
  <c r="AZ154"/>
  <c r="BB154"/>
  <c r="BB264"/>
  <c r="BA264"/>
  <c r="Q45"/>
  <c r="AY220"/>
  <c r="AK220"/>
  <c r="O132"/>
  <c r="AD138"/>
  <c r="AD205"/>
  <c r="AL179"/>
  <c r="L197"/>
  <c r="AE1074"/>
  <c r="AD1074"/>
  <c r="AU1190"/>
  <c r="BB1192"/>
  <c r="BA1192"/>
  <c r="AY1130"/>
  <c r="AK1130"/>
  <c r="AX1130"/>
  <c r="AT1129"/>
  <c r="AD1184"/>
  <c r="O1183"/>
  <c r="AE1105"/>
  <c r="AY1057"/>
  <c r="AK1057"/>
  <c r="AX1057"/>
  <c r="AT1056"/>
  <c r="AD1049"/>
  <c r="O1048"/>
  <c r="BA1054"/>
  <c r="BB1054"/>
  <c r="O949"/>
  <c r="AD950"/>
  <c r="W933"/>
  <c r="AJ934"/>
  <c r="X984"/>
  <c r="AL986"/>
  <c r="AX925"/>
  <c r="AT924"/>
  <c r="AZ925"/>
  <c r="AY925"/>
  <c r="X876"/>
  <c r="AX916"/>
  <c r="AY916"/>
  <c r="AZ916"/>
  <c r="X890"/>
  <c r="AL892"/>
  <c r="P908"/>
  <c r="W876"/>
  <c r="AJ877"/>
  <c r="AG949"/>
  <c r="AB947"/>
  <c r="AF857"/>
  <c r="Q856"/>
  <c r="X812"/>
  <c r="AD822"/>
  <c r="BB780"/>
  <c r="BA780"/>
  <c r="AZ780"/>
  <c r="AU778"/>
  <c r="AZ764"/>
  <c r="AY764"/>
  <c r="AK764"/>
  <c r="AT763"/>
  <c r="AX764"/>
  <c r="BB761"/>
  <c r="BA761"/>
  <c r="W769"/>
  <c r="AJ771"/>
  <c r="AT701"/>
  <c r="AY702"/>
  <c r="AX702"/>
  <c r="AZ702"/>
  <c r="AT776"/>
  <c r="AY778"/>
  <c r="AX778"/>
  <c r="Q768"/>
  <c r="X734"/>
  <c r="AT670"/>
  <c r="AZ671"/>
  <c r="AX671"/>
  <c r="AY671"/>
  <c r="BB658"/>
  <c r="AZ658"/>
  <c r="AU657"/>
  <c r="AU655"/>
  <c r="BA658"/>
  <c r="AY713"/>
  <c r="AK713"/>
  <c r="AX713"/>
  <c r="AJ687"/>
  <c r="W685"/>
  <c r="AL563"/>
  <c r="X562"/>
  <c r="Q685"/>
  <c r="Q654"/>
  <c r="AF687"/>
  <c r="Q534"/>
  <c r="AF536"/>
  <c r="AU577"/>
  <c r="BB578"/>
  <c r="BA578"/>
  <c r="AZ578"/>
  <c r="M536"/>
  <c r="AJ453"/>
  <c r="W452"/>
  <c r="BB663"/>
  <c r="BA663"/>
  <c r="AZ663"/>
  <c r="AX329"/>
  <c r="AK329"/>
  <c r="AL329"/>
  <c r="AY329"/>
  <c r="BB439"/>
  <c r="AU407"/>
  <c r="BA439"/>
  <c r="AZ439"/>
  <c r="W509"/>
  <c r="AJ510"/>
  <c r="W288"/>
  <c r="AZ291"/>
  <c r="AB354"/>
  <c r="AL318"/>
  <c r="AZ274"/>
  <c r="BA274"/>
  <c r="BB274"/>
  <c r="Q278"/>
  <c r="AF278"/>
  <c r="AF281"/>
  <c r="AF255"/>
  <c r="Q253"/>
  <c r="AY208"/>
  <c r="AK208"/>
  <c r="AZ208"/>
  <c r="AX208"/>
  <c r="AL220"/>
  <c r="BB89"/>
  <c r="BA89"/>
  <c r="AZ89"/>
  <c r="Q99"/>
  <c r="AF99"/>
  <c r="AE138"/>
  <c r="P1129"/>
  <c r="AY1142"/>
  <c r="AK1142"/>
  <c r="AX1142"/>
  <c r="AU1129"/>
  <c r="BB1130"/>
  <c r="AZ1130"/>
  <c r="BA1130"/>
  <c r="AD1071"/>
  <c r="AE1071"/>
  <c r="O1069"/>
  <c r="AE1069"/>
  <c r="BB1181"/>
  <c r="BA1181"/>
  <c r="P1190"/>
  <c r="AF1190"/>
  <c r="AE1192"/>
  <c r="AJ1057"/>
  <c r="W1056"/>
  <c r="AE1012"/>
  <c r="AU1048"/>
  <c r="BB1049"/>
  <c r="BA1049"/>
  <c r="AZ1049"/>
  <c r="AZ966"/>
  <c r="AY966"/>
  <c r="AT963"/>
  <c r="AX966"/>
  <c r="AT965"/>
  <c r="Q947"/>
  <c r="AF947"/>
  <c r="AF949"/>
  <c r="AZ909"/>
  <c r="AZ878"/>
  <c r="AY878"/>
  <c r="AT877"/>
  <c r="AL877"/>
  <c r="AX878"/>
  <c r="AK878"/>
  <c r="AG909"/>
  <c r="AB908"/>
  <c r="AJ893"/>
  <c r="W892"/>
  <c r="Q905"/>
  <c r="AU845"/>
  <c r="BB847"/>
  <c r="BA847"/>
  <c r="AZ847"/>
  <c r="W800"/>
  <c r="AJ801"/>
  <c r="X778"/>
  <c r="AL780"/>
  <c r="AJ763"/>
  <c r="W761"/>
  <c r="AJ761"/>
  <c r="AF800"/>
  <c r="P799"/>
  <c r="AE800"/>
  <c r="X769"/>
  <c r="AY602"/>
  <c r="AX602"/>
  <c r="AT601"/>
  <c r="AD632"/>
  <c r="O631"/>
  <c r="AL723"/>
  <c r="AD572"/>
  <c r="O571"/>
  <c r="O302"/>
  <c r="AU524"/>
  <c r="BB526"/>
  <c r="BA526"/>
  <c r="P562"/>
  <c r="AE563"/>
  <c r="AF563"/>
  <c r="AU474"/>
  <c r="BB475"/>
  <c r="AZ475"/>
  <c r="BA475"/>
  <c r="W616"/>
  <c r="AK616"/>
  <c r="AJ617"/>
  <c r="AZ504"/>
  <c r="BA504"/>
  <c r="BB504"/>
  <c r="AG534"/>
  <c r="Q568"/>
  <c r="BB491"/>
  <c r="AU490"/>
  <c r="BA491"/>
  <c r="AZ491"/>
  <c r="O439"/>
  <c r="AD439"/>
  <c r="AD444"/>
  <c r="AX407"/>
  <c r="AG408"/>
  <c r="AB407"/>
  <c r="AY490"/>
  <c r="AT488"/>
  <c r="AX490"/>
  <c r="AT526"/>
  <c r="AZ527"/>
  <c r="AX527"/>
  <c r="AY527"/>
  <c r="BB374"/>
  <c r="BA374"/>
  <c r="AZ374"/>
  <c r="AY452"/>
  <c r="AX452"/>
  <c r="AK452"/>
  <c r="AT450"/>
  <c r="AU466"/>
  <c r="L464"/>
  <c r="AU464"/>
  <c r="AJ407"/>
  <c r="W405"/>
  <c r="AY318"/>
  <c r="AZ318"/>
  <c r="AX318"/>
  <c r="AK318"/>
  <c r="AZ301"/>
  <c r="BB301"/>
  <c r="BA301"/>
  <c r="BB311"/>
  <c r="BA311"/>
  <c r="AY255"/>
  <c r="AT253"/>
  <c r="AK255"/>
  <c r="AX255"/>
  <c r="AE335"/>
  <c r="AF220"/>
  <c r="AG220"/>
  <c r="AD93"/>
  <c r="M89"/>
  <c r="X72"/>
  <c r="AG326"/>
  <c r="AY199"/>
  <c r="AD157"/>
  <c r="O154"/>
  <c r="AD154"/>
  <c r="AR41"/>
  <c r="AR10"/>
  <c r="AR12"/>
  <c r="O1174"/>
  <c r="AE1175"/>
  <c r="AE1193"/>
  <c r="AF1129"/>
  <c r="Q1127"/>
  <c r="AZ1142"/>
  <c r="AE1087"/>
  <c r="AL1167"/>
  <c r="AC1064"/>
  <c r="AC1062"/>
  <c r="AK1067"/>
  <c r="AY1067"/>
  <c r="AT1065"/>
  <c r="AE1109"/>
  <c r="O1057"/>
  <c r="AE1058"/>
  <c r="AD1058"/>
  <c r="AF1000"/>
  <c r="AY1215"/>
  <c r="AX1215"/>
  <c r="AT1214"/>
  <c r="AX1009"/>
  <c r="AT1007"/>
  <c r="AY1009"/>
  <c r="AK1009"/>
  <c r="AZ1009"/>
  <c r="AL1009"/>
  <c r="BB975"/>
  <c r="BA975"/>
  <c r="AZ975"/>
  <c r="AU973"/>
  <c r="AJ986"/>
  <c r="W984"/>
  <c r="AE950"/>
  <c r="AJ885"/>
  <c r="W884"/>
  <c r="AB876"/>
  <c r="AG877"/>
  <c r="AF909"/>
  <c r="BA833"/>
  <c r="AU832"/>
  <c r="BB833"/>
  <c r="AZ833"/>
  <c r="AX833"/>
  <c r="AT832"/>
  <c r="AK833"/>
  <c r="AY833"/>
  <c r="AX858"/>
  <c r="R857"/>
  <c r="AJ858"/>
  <c r="AF832"/>
  <c r="Q830"/>
  <c r="AG778"/>
  <c r="AB776"/>
  <c r="AG776"/>
  <c r="AX716"/>
  <c r="AG769"/>
  <c r="AZ723"/>
  <c r="O769"/>
  <c r="AD771"/>
  <c r="AL639"/>
  <c r="X638"/>
  <c r="W675"/>
  <c r="AJ675"/>
  <c r="AJ677"/>
  <c r="AX677"/>
  <c r="AZ594"/>
  <c r="AU593"/>
  <c r="BA594"/>
  <c r="BB594"/>
  <c r="AX715"/>
  <c r="L654"/>
  <c r="O675"/>
  <c r="AD675"/>
  <c r="AD677"/>
  <c r="AL722"/>
  <c r="X720"/>
  <c r="AL675"/>
  <c r="AG616"/>
  <c r="AB614"/>
  <c r="AG577"/>
  <c r="AF560"/>
  <c r="AE560"/>
  <c r="Q613"/>
  <c r="AG536"/>
  <c r="AT509"/>
  <c r="AZ509"/>
  <c r="AY510"/>
  <c r="AX510"/>
  <c r="AK510"/>
  <c r="AT288"/>
  <c r="W471"/>
  <c r="AJ471"/>
  <c r="AJ472"/>
  <c r="AU508"/>
  <c r="AU497"/>
  <c r="BB509"/>
  <c r="BA509"/>
  <c r="AL527"/>
  <c r="Q452"/>
  <c r="AF453"/>
  <c r="O374"/>
  <c r="AD374"/>
  <c r="AK453"/>
  <c r="BB326"/>
  <c r="AZ326"/>
  <c r="BA326"/>
  <c r="AG301"/>
  <c r="AG318"/>
  <c r="Q356"/>
  <c r="AF357"/>
  <c r="AX258"/>
  <c r="AK258"/>
  <c r="AY258"/>
  <c r="AK269"/>
  <c r="AY269"/>
  <c r="AX269"/>
  <c r="O357"/>
  <c r="AD359"/>
  <c r="AZ329"/>
  <c r="AB311"/>
  <c r="W45"/>
  <c r="AK45"/>
  <c r="AK55"/>
  <c r="AJ55"/>
  <c r="AK201"/>
  <c r="AJ201"/>
  <c r="W199"/>
  <c r="P304"/>
  <c r="AJ205"/>
  <c r="AP197"/>
  <c r="X170"/>
  <c r="P1212"/>
  <c r="AE1212"/>
  <c r="AE1214"/>
  <c r="AE1093"/>
  <c r="AD1093"/>
  <c r="AT1192"/>
  <c r="AX1193"/>
  <c r="AZ1193"/>
  <c r="AY1193"/>
  <c r="AK1193"/>
  <c r="AL1193"/>
  <c r="BB1167"/>
  <c r="BA1167"/>
  <c r="AZ1167"/>
  <c r="AB1109"/>
  <c r="AG1111"/>
  <c r="R1067"/>
  <c r="AJ1069"/>
  <c r="AU986"/>
  <c r="BB987"/>
  <c r="BA987"/>
  <c r="AZ987"/>
  <c r="AD977"/>
  <c r="O976"/>
  <c r="AB1056"/>
  <c r="AG1057"/>
  <c r="AX1046"/>
  <c r="AY1046"/>
  <c r="AK1046"/>
  <c r="P986"/>
  <c r="AY973"/>
  <c r="AX973"/>
  <c r="AT972"/>
  <c r="AU947"/>
  <c r="BB949"/>
  <c r="BA949"/>
  <c r="AZ949"/>
  <c r="AT854"/>
  <c r="P854"/>
  <c r="AB856"/>
  <c r="AG857"/>
  <c r="S800"/>
  <c r="S799"/>
  <c r="S798"/>
  <c r="S796"/>
  <c r="S788"/>
  <c r="S288"/>
  <c r="S287"/>
  <c r="BB743"/>
  <c r="BA743"/>
  <c r="AU741"/>
  <c r="BA756"/>
  <c r="AZ756"/>
  <c r="AU755"/>
  <c r="BB756"/>
  <c r="BA737"/>
  <c r="AU736"/>
  <c r="BB737"/>
  <c r="AZ737"/>
  <c r="BA814"/>
  <c r="AZ814"/>
  <c r="AU812"/>
  <c r="BB814"/>
  <c r="W708"/>
  <c r="AJ709"/>
  <c r="AY737"/>
  <c r="AX737"/>
  <c r="AT736"/>
  <c r="AB655"/>
  <c r="AG663"/>
  <c r="BA720"/>
  <c r="BB720"/>
  <c r="AJ715"/>
  <c r="AY593"/>
  <c r="AX593"/>
  <c r="AJ716"/>
  <c r="AG687"/>
  <c r="AB685"/>
  <c r="AL618"/>
  <c r="X617"/>
  <c r="W562"/>
  <c r="AJ562"/>
  <c r="AJ563"/>
  <c r="BA639"/>
  <c r="AU638"/>
  <c r="BB639"/>
  <c r="AZ639"/>
  <c r="AE571"/>
  <c r="P570"/>
  <c r="AZ563"/>
  <c r="X509"/>
  <c r="AL510"/>
  <c r="X288"/>
  <c r="AL536"/>
  <c r="X534"/>
  <c r="AF499"/>
  <c r="X524"/>
  <c r="AL526"/>
  <c r="P474"/>
  <c r="AB497"/>
  <c r="AY308"/>
  <c r="AT306"/>
  <c r="AX308"/>
  <c r="AY298"/>
  <c r="AX298"/>
  <c r="AK298"/>
  <c r="AZ298"/>
  <c r="AZ258"/>
  <c r="BB258"/>
  <c r="BA258"/>
  <c r="AL291"/>
  <c r="AY357"/>
  <c r="AT356"/>
  <c r="AL356"/>
  <c r="AX357"/>
  <c r="AK357"/>
  <c r="Q311"/>
  <c r="BA199"/>
  <c r="BB199"/>
  <c r="AZ199"/>
  <c r="AF132"/>
  <c r="Q130"/>
  <c r="AE132"/>
  <c r="P130"/>
  <c r="Q285"/>
  <c r="AF285"/>
  <c r="AG214"/>
  <c r="AB212"/>
  <c r="AZ101"/>
  <c r="AZ80"/>
  <c r="AY80"/>
  <c r="AX80"/>
  <c r="AK80"/>
  <c r="AG45"/>
  <c r="AD163"/>
  <c r="BB72"/>
  <c r="BA72"/>
  <c r="AG1192"/>
  <c r="AB1190"/>
  <c r="AG1190"/>
  <c r="W1192"/>
  <c r="AJ1193"/>
  <c r="X1048"/>
  <c r="AL1049"/>
  <c r="AB984"/>
  <c r="AG986"/>
  <c r="AB934"/>
  <c r="AG935"/>
  <c r="W975"/>
  <c r="AJ976"/>
  <c r="AT947"/>
  <c r="AY949"/>
  <c r="AX949"/>
  <c r="AG893"/>
  <c r="AB892"/>
  <c r="BB908"/>
  <c r="AU906"/>
  <c r="BA908"/>
  <c r="AT890"/>
  <c r="AX892"/>
  <c r="AK892"/>
  <c r="AY892"/>
  <c r="BA886"/>
  <c r="AZ886"/>
  <c r="AU885"/>
  <c r="BB886"/>
  <c r="X908"/>
  <c r="P874"/>
  <c r="AE876"/>
  <c r="W778"/>
  <c r="AJ780"/>
  <c r="AX744"/>
  <c r="AK744"/>
  <c r="AL744"/>
  <c r="AT743"/>
  <c r="AY744"/>
  <c r="AD755"/>
  <c r="O753"/>
  <c r="AD753"/>
  <c r="O720"/>
  <c r="AD720"/>
  <c r="AD722"/>
  <c r="R799"/>
  <c r="R798"/>
  <c r="R796"/>
  <c r="R788"/>
  <c r="AX800"/>
  <c r="AG715"/>
  <c r="AB713"/>
  <c r="AG713"/>
  <c r="P685"/>
  <c r="O687"/>
  <c r="AE687"/>
  <c r="AD688"/>
  <c r="AE618"/>
  <c r="P617"/>
  <c r="AJ713"/>
  <c r="AX675"/>
  <c r="AY675"/>
  <c r="AZ589"/>
  <c r="AU588"/>
  <c r="BA589"/>
  <c r="BB589"/>
  <c r="BB708"/>
  <c r="AU706"/>
  <c r="BA708"/>
  <c r="AY638"/>
  <c r="AX638"/>
  <c r="AK638"/>
  <c r="AD618"/>
  <c r="O617"/>
  <c r="AX609"/>
  <c r="R608"/>
  <c r="P534"/>
  <c r="P508"/>
  <c r="X472"/>
  <c r="AL474"/>
  <c r="AY464"/>
  <c r="AX464"/>
  <c r="Q407"/>
  <c r="AF408"/>
  <c r="AY663"/>
  <c r="AX663"/>
  <c r="AK663"/>
  <c r="O453"/>
  <c r="AD454"/>
  <c r="BB269"/>
  <c r="BA269"/>
  <c r="AZ269"/>
  <c r="AL253"/>
  <c r="P354"/>
  <c r="AJ408"/>
  <c r="W311"/>
  <c r="AJ318"/>
  <c r="AF269"/>
  <c r="AX76"/>
  <c r="AK76"/>
  <c r="AT74"/>
  <c r="AY76"/>
  <c r="AX201"/>
  <c r="R199"/>
  <c r="AF214"/>
  <c r="Q212"/>
  <c r="AF212"/>
  <c r="O181"/>
  <c r="AD183"/>
  <c r="AB99"/>
  <c r="AG101"/>
  <c r="AT212"/>
  <c r="BB142"/>
  <c r="BA142"/>
  <c r="AZ142"/>
  <c r="AY45"/>
  <c r="AX45"/>
  <c r="AG55"/>
  <c r="AD74"/>
  <c r="O72"/>
  <c r="BA212"/>
  <c r="S311"/>
  <c r="S304"/>
  <c r="S14"/>
  <c r="AS353"/>
  <c r="Z197"/>
  <c r="Z195"/>
  <c r="AG99"/>
  <c r="S285"/>
  <c r="AD313"/>
  <c r="AX333"/>
  <c r="N195"/>
  <c r="S533"/>
  <c r="U43"/>
  <c r="AY333"/>
  <c r="AA197"/>
  <c r="AA195"/>
  <c r="AR352"/>
  <c r="AR349"/>
  <c r="AL562"/>
  <c r="AX220"/>
  <c r="AE318"/>
  <c r="AD161"/>
  <c r="O986"/>
  <c r="AD986"/>
  <c r="AK675"/>
  <c r="AC195"/>
  <c r="AK771"/>
  <c r="R212"/>
  <c r="R197"/>
  <c r="AL771"/>
  <c r="AE142"/>
  <c r="AS285"/>
  <c r="AS197"/>
  <c r="AX771"/>
  <c r="AX534"/>
  <c r="AY771"/>
  <c r="V352"/>
  <c r="V349"/>
  <c r="AP352"/>
  <c r="AP349"/>
  <c r="AK856"/>
  <c r="AZ708"/>
  <c r="AE987"/>
  <c r="AG1109"/>
  <c r="BB306"/>
  <c r="AD199"/>
  <c r="AZ1111"/>
  <c r="AU304"/>
  <c r="BA1111"/>
  <c r="AT798"/>
  <c r="AT796"/>
  <c r="BA467"/>
  <c r="AL630"/>
  <c r="AS533"/>
  <c r="AS352"/>
  <c r="AS349"/>
  <c r="AD987"/>
  <c r="AJ1183"/>
  <c r="W1181"/>
  <c r="AJ1181"/>
  <c r="BB1111"/>
  <c r="AE1000"/>
  <c r="AZ467"/>
  <c r="P628"/>
  <c r="AT628"/>
  <c r="AK628"/>
  <c r="AE275"/>
  <c r="O274"/>
  <c r="AD275"/>
  <c r="AJ1173"/>
  <c r="AL909"/>
  <c r="AZ306"/>
  <c r="AE475"/>
  <c r="AE154"/>
  <c r="AF253"/>
  <c r="AK630"/>
  <c r="AK909"/>
  <c r="W212"/>
  <c r="AJ212"/>
  <c r="Y349"/>
  <c r="AD475"/>
  <c r="N43"/>
  <c r="O909"/>
  <c r="AE910"/>
  <c r="AD910"/>
  <c r="AZ1065"/>
  <c r="N349"/>
  <c r="BA1067"/>
  <c r="BB1067"/>
  <c r="AU1065"/>
  <c r="AE723"/>
  <c r="AF199"/>
  <c r="M253"/>
  <c r="AD253"/>
  <c r="AD258"/>
  <c r="O212"/>
  <c r="AE212"/>
  <c r="L352"/>
  <c r="L349"/>
  <c r="AT568"/>
  <c r="AK570"/>
  <c r="AY570"/>
  <c r="AX570"/>
  <c r="AE220"/>
  <c r="AG253"/>
  <c r="P197"/>
  <c r="P13"/>
  <c r="BB877"/>
  <c r="AU876"/>
  <c r="BA877"/>
  <c r="AJ950"/>
  <c r="W949"/>
  <c r="AK950"/>
  <c r="AB43"/>
  <c r="Q930"/>
  <c r="BA791"/>
  <c r="BB791"/>
  <c r="AU789"/>
  <c r="AG685"/>
  <c r="AG278"/>
  <c r="BA1214"/>
  <c r="AU1212"/>
  <c r="BB1214"/>
  <c r="BA1173"/>
  <c r="BB1173"/>
  <c r="AU1171"/>
  <c r="AZ1173"/>
  <c r="M285"/>
  <c r="O536"/>
  <c r="AE537"/>
  <c r="AT685"/>
  <c r="AY687"/>
  <c r="AX687"/>
  <c r="AK687"/>
  <c r="O892"/>
  <c r="AD893"/>
  <c r="AE893"/>
  <c r="AZ1203"/>
  <c r="BB1203"/>
  <c r="AU1201"/>
  <c r="BA1203"/>
  <c r="AB1181"/>
  <c r="AG1181"/>
  <c r="AG1183"/>
  <c r="AJ74"/>
  <c r="W72"/>
  <c r="AJ72"/>
  <c r="O288"/>
  <c r="O509"/>
  <c r="AD510"/>
  <c r="AE510"/>
  <c r="AY984"/>
  <c r="AX984"/>
  <c r="AB1201"/>
  <c r="AG1201"/>
  <c r="AG1203"/>
  <c r="AB654"/>
  <c r="AG654"/>
  <c r="AG947"/>
  <c r="AP10"/>
  <c r="AP12"/>
  <c r="AP16"/>
  <c r="AP25"/>
  <c r="AU599"/>
  <c r="BB601"/>
  <c r="BA601"/>
  <c r="AX657"/>
  <c r="AY264"/>
  <c r="AX264"/>
  <c r="AF1201"/>
  <c r="AL264"/>
  <c r="AT655"/>
  <c r="AY655"/>
  <c r="AF130"/>
  <c r="AJ1171"/>
  <c r="AK1171"/>
  <c r="AT405"/>
  <c r="AY407"/>
  <c r="AL407"/>
  <c r="AT1109"/>
  <c r="AT1064"/>
  <c r="AY1111"/>
  <c r="AL1111"/>
  <c r="AK1111"/>
  <c r="AX1111"/>
  <c r="AK1201"/>
  <c r="AY1201"/>
  <c r="AL1201"/>
  <c r="AX1201"/>
  <c r="AC41"/>
  <c r="AC10"/>
  <c r="AC12"/>
  <c r="AC16"/>
  <c r="AC25"/>
  <c r="BB934"/>
  <c r="AU933"/>
  <c r="BA934"/>
  <c r="BA1009"/>
  <c r="AU1007"/>
  <c r="BB1009"/>
  <c r="AJ1111"/>
  <c r="W1109"/>
  <c r="AY708"/>
  <c r="AT706"/>
  <c r="AY755"/>
  <c r="AT753"/>
  <c r="AX755"/>
  <c r="AK755"/>
  <c r="M472"/>
  <c r="AD474"/>
  <c r="AE282"/>
  <c r="O281"/>
  <c r="AD282"/>
  <c r="S212"/>
  <c r="S197"/>
  <c r="AD55"/>
  <c r="AE55"/>
  <c r="R533"/>
  <c r="AJ172"/>
  <c r="W170"/>
  <c r="S613"/>
  <c r="AY789"/>
  <c r="AK789"/>
  <c r="AX789"/>
  <c r="AZ789"/>
  <c r="AD110"/>
  <c r="O99"/>
  <c r="AE110"/>
  <c r="AT516"/>
  <c r="AZ518"/>
  <c r="AY518"/>
  <c r="AX518"/>
  <c r="O934"/>
  <c r="AE935"/>
  <c r="AD935"/>
  <c r="BB99"/>
  <c r="BA99"/>
  <c r="AG799"/>
  <c r="AB798"/>
  <c r="AL687"/>
  <c r="X685"/>
  <c r="AL685"/>
  <c r="AT692"/>
  <c r="AY694"/>
  <c r="AX694"/>
  <c r="AZ694"/>
  <c r="X706"/>
  <c r="AL706"/>
  <c r="AL708"/>
  <c r="AD64"/>
  <c r="X949"/>
  <c r="AL950"/>
  <c r="S353"/>
  <c r="BA655"/>
  <c r="BB655"/>
  <c r="AR195"/>
  <c r="AR13"/>
  <c r="AR15"/>
  <c r="W776"/>
  <c r="AJ776"/>
  <c r="AJ778"/>
  <c r="W973"/>
  <c r="AJ975"/>
  <c r="AK975"/>
  <c r="AJ1192"/>
  <c r="W1190"/>
  <c r="AJ1190"/>
  <c r="AG212"/>
  <c r="AB197"/>
  <c r="X508"/>
  <c r="AL509"/>
  <c r="AY736"/>
  <c r="AT734"/>
  <c r="AX736"/>
  <c r="AB1054"/>
  <c r="AG1056"/>
  <c r="X11"/>
  <c r="BB466"/>
  <c r="BA466"/>
  <c r="AZ466"/>
  <c r="AD571"/>
  <c r="O570"/>
  <c r="AE570"/>
  <c r="W890"/>
  <c r="AJ890"/>
  <c r="AJ892"/>
  <c r="AJ288"/>
  <c r="W287"/>
  <c r="AK778"/>
  <c r="P906"/>
  <c r="AF908"/>
  <c r="AL984"/>
  <c r="O1181"/>
  <c r="AD1181"/>
  <c r="AD1183"/>
  <c r="AE675"/>
  <c r="AX722"/>
  <c r="AK722"/>
  <c r="AT720"/>
  <c r="AY722"/>
  <c r="AZ722"/>
  <c r="O1009"/>
  <c r="AE1009"/>
  <c r="AD1010"/>
  <c r="AD45"/>
  <c r="AE45"/>
  <c r="AG706"/>
  <c r="P768"/>
  <c r="AE769"/>
  <c r="BB856"/>
  <c r="AU854"/>
  <c r="BA856"/>
  <c r="AZ856"/>
  <c r="AG1067"/>
  <c r="AB1065"/>
  <c r="O616"/>
  <c r="AD617"/>
  <c r="AE474"/>
  <c r="P472"/>
  <c r="AF474"/>
  <c r="AJ984"/>
  <c r="AK984"/>
  <c r="X471"/>
  <c r="AL472"/>
  <c r="AB41"/>
  <c r="AB10"/>
  <c r="AT354"/>
  <c r="AL354"/>
  <c r="AY356"/>
  <c r="AX356"/>
  <c r="AK356"/>
  <c r="AG856"/>
  <c r="AB854"/>
  <c r="AT508"/>
  <c r="AZ508"/>
  <c r="AX509"/>
  <c r="AK509"/>
  <c r="AY509"/>
  <c r="AK832"/>
  <c r="AY832"/>
  <c r="AX832"/>
  <c r="AT830"/>
  <c r="AL832"/>
  <c r="AY74"/>
  <c r="AX74"/>
  <c r="AK74"/>
  <c r="AT72"/>
  <c r="AL72"/>
  <c r="AZ74"/>
  <c r="BA706"/>
  <c r="BB706"/>
  <c r="AZ706"/>
  <c r="AG892"/>
  <c r="AB890"/>
  <c r="AG890"/>
  <c r="X523"/>
  <c r="BA741"/>
  <c r="BB741"/>
  <c r="O975"/>
  <c r="AD976"/>
  <c r="AP13"/>
  <c r="AP15"/>
  <c r="AP195"/>
  <c r="O356"/>
  <c r="AD357"/>
  <c r="AE357"/>
  <c r="Q354"/>
  <c r="AF356"/>
  <c r="BB508"/>
  <c r="BA508"/>
  <c r="AF830"/>
  <c r="AG876"/>
  <c r="AB874"/>
  <c r="BB973"/>
  <c r="BA973"/>
  <c r="AZ973"/>
  <c r="AU972"/>
  <c r="AY1007"/>
  <c r="AK1007"/>
  <c r="AX1007"/>
  <c r="AL1007"/>
  <c r="AL74"/>
  <c r="AX253"/>
  <c r="AY253"/>
  <c r="AK253"/>
  <c r="AY450"/>
  <c r="AX450"/>
  <c r="AL450"/>
  <c r="BB490"/>
  <c r="AZ490"/>
  <c r="AU488"/>
  <c r="BA490"/>
  <c r="AX799"/>
  <c r="W799"/>
  <c r="AJ800"/>
  <c r="AK800"/>
  <c r="AZ965"/>
  <c r="AY965"/>
  <c r="AX965"/>
  <c r="AU1046"/>
  <c r="BB1048"/>
  <c r="BA1048"/>
  <c r="AZ1048"/>
  <c r="AZ1129"/>
  <c r="BB1129"/>
  <c r="BA1129"/>
  <c r="AU1127"/>
  <c r="AG356"/>
  <c r="Q533"/>
  <c r="AG533"/>
  <c r="AF534"/>
  <c r="AJ769"/>
  <c r="O1046"/>
  <c r="AD1048"/>
  <c r="AE1048"/>
  <c r="BB1190"/>
  <c r="BA1190"/>
  <c r="O130"/>
  <c r="AD130"/>
  <c r="AD132"/>
  <c r="O304"/>
  <c r="AE304"/>
  <c r="AD311"/>
  <c r="BB687"/>
  <c r="AU685"/>
  <c r="AZ687"/>
  <c r="BA687"/>
  <c r="O713"/>
  <c r="AD713"/>
  <c r="AD715"/>
  <c r="AD232"/>
  <c r="M229"/>
  <c r="AL800"/>
  <c r="X799"/>
  <c r="M845"/>
  <c r="AD847"/>
  <c r="P1181"/>
  <c r="AF1183"/>
  <c r="AE1183"/>
  <c r="BB179"/>
  <c r="BA179"/>
  <c r="AZ179"/>
  <c r="AT471"/>
  <c r="AY472"/>
  <c r="AX472"/>
  <c r="AK472"/>
  <c r="AJ536"/>
  <c r="W534"/>
  <c r="AK536"/>
  <c r="AE830"/>
  <c r="P821"/>
  <c r="BA890"/>
  <c r="AZ890"/>
  <c r="BB890"/>
  <c r="P931"/>
  <c r="AF933"/>
  <c r="AY1181"/>
  <c r="AX1181"/>
  <c r="AU905"/>
  <c r="BA906"/>
  <c r="BB906"/>
  <c r="Q1126"/>
  <c r="AF508"/>
  <c r="BB593"/>
  <c r="AZ593"/>
  <c r="BA593"/>
  <c r="O1056"/>
  <c r="AE1057"/>
  <c r="AD1057"/>
  <c r="M72"/>
  <c r="M43"/>
  <c r="AD89"/>
  <c r="AG407"/>
  <c r="AB405"/>
  <c r="AB353"/>
  <c r="AE562"/>
  <c r="AF562"/>
  <c r="AL769"/>
  <c r="AG908"/>
  <c r="AB906"/>
  <c r="O984"/>
  <c r="AG354"/>
  <c r="AJ509"/>
  <c r="W508"/>
  <c r="AD536"/>
  <c r="M534"/>
  <c r="AY670"/>
  <c r="AX670"/>
  <c r="AZ670"/>
  <c r="AT668"/>
  <c r="BB778"/>
  <c r="AU776"/>
  <c r="AU768"/>
  <c r="BA778"/>
  <c r="AZ778"/>
  <c r="Q854"/>
  <c r="AF854"/>
  <c r="AF856"/>
  <c r="X874"/>
  <c r="W931"/>
  <c r="AJ933"/>
  <c r="AX1129"/>
  <c r="AK1129"/>
  <c r="AY1129"/>
  <c r="AT1127"/>
  <c r="BB356"/>
  <c r="BA356"/>
  <c r="AZ356"/>
  <c r="AU354"/>
  <c r="P497"/>
  <c r="AD172"/>
  <c r="W354"/>
  <c r="AJ356"/>
  <c r="AE374"/>
  <c r="O638"/>
  <c r="AD639"/>
  <c r="AE639"/>
  <c r="AL212"/>
  <c r="AK311"/>
  <c r="AY311"/>
  <c r="AX311"/>
  <c r="AG568"/>
  <c r="Q788"/>
  <c r="AF789"/>
  <c r="AJ832"/>
  <c r="W830"/>
  <c r="P1007"/>
  <c r="AC349"/>
  <c r="AK212"/>
  <c r="AY212"/>
  <c r="AX212"/>
  <c r="AG614"/>
  <c r="AB613"/>
  <c r="AG613"/>
  <c r="P195"/>
  <c r="AJ311"/>
  <c r="W304"/>
  <c r="AY743"/>
  <c r="AX743"/>
  <c r="AK743"/>
  <c r="AT741"/>
  <c r="AZ741"/>
  <c r="AL743"/>
  <c r="P873"/>
  <c r="AE874"/>
  <c r="AB933"/>
  <c r="AG934"/>
  <c r="P568"/>
  <c r="P533"/>
  <c r="X616"/>
  <c r="AL617"/>
  <c r="AZ743"/>
  <c r="AX1192"/>
  <c r="AT1190"/>
  <c r="AZ1190"/>
  <c r="AY1192"/>
  <c r="AK1192"/>
  <c r="AL1192"/>
  <c r="AL720"/>
  <c r="O768"/>
  <c r="AD768"/>
  <c r="AD769"/>
  <c r="W882"/>
  <c r="AJ882"/>
  <c r="AJ884"/>
  <c r="O179"/>
  <c r="AD179"/>
  <c r="AD181"/>
  <c r="P616"/>
  <c r="AE617"/>
  <c r="AF617"/>
  <c r="Q304"/>
  <c r="AF311"/>
  <c r="AX306"/>
  <c r="AT304"/>
  <c r="AZ304"/>
  <c r="AY306"/>
  <c r="BB736"/>
  <c r="BA736"/>
  <c r="AZ736"/>
  <c r="AU734"/>
  <c r="P984"/>
  <c r="R1065"/>
  <c r="AX1065"/>
  <c r="AJ1067"/>
  <c r="Q450"/>
  <c r="AF450"/>
  <c r="AF452"/>
  <c r="O1173"/>
  <c r="AE1174"/>
  <c r="AX199"/>
  <c r="AX526"/>
  <c r="AT524"/>
  <c r="AL524"/>
  <c r="AY526"/>
  <c r="AF570"/>
  <c r="AJ616"/>
  <c r="W614"/>
  <c r="AK614"/>
  <c r="AZ526"/>
  <c r="AD631"/>
  <c r="O630"/>
  <c r="AZ963"/>
  <c r="AY963"/>
  <c r="AX963"/>
  <c r="AD1069"/>
  <c r="O1067"/>
  <c r="AE1067"/>
  <c r="BA304"/>
  <c r="BB304"/>
  <c r="AU14"/>
  <c r="AF685"/>
  <c r="AL736"/>
  <c r="AY776"/>
  <c r="AX776"/>
  <c r="AL890"/>
  <c r="AY1056"/>
  <c r="AK1056"/>
  <c r="AX1056"/>
  <c r="AT1054"/>
  <c r="AT983"/>
  <c r="AZ1056"/>
  <c r="AL1056"/>
  <c r="BB534"/>
  <c r="AZ534"/>
  <c r="BA534"/>
  <c r="BB675"/>
  <c r="BA675"/>
  <c r="AZ675"/>
  <c r="AG789"/>
  <c r="BB288"/>
  <c r="AZ288"/>
  <c r="BA288"/>
  <c r="AU287"/>
  <c r="AJ908"/>
  <c r="W906"/>
  <c r="AT906"/>
  <c r="AZ906"/>
  <c r="AX908"/>
  <c r="AK908"/>
  <c r="AY908"/>
  <c r="O1190"/>
  <c r="AD1190"/>
  <c r="AD1192"/>
  <c r="BB45"/>
  <c r="BA45"/>
  <c r="AU43"/>
  <c r="AZ45"/>
  <c r="AZ333"/>
  <c r="BB333"/>
  <c r="BA333"/>
  <c r="AT812"/>
  <c r="AZ812"/>
  <c r="AY814"/>
  <c r="AX814"/>
  <c r="AK814"/>
  <c r="X43"/>
  <c r="AZ608"/>
  <c r="BB608"/>
  <c r="BA608"/>
  <c r="AU606"/>
  <c r="AE722"/>
  <c r="P720"/>
  <c r="AE720"/>
  <c r="AE1010"/>
  <c r="AG1127"/>
  <c r="AJ1129"/>
  <c r="W1127"/>
  <c r="AL638"/>
  <c r="X628"/>
  <c r="AZ212"/>
  <c r="AF407"/>
  <c r="Q405"/>
  <c r="AF405"/>
  <c r="X906"/>
  <c r="AL908"/>
  <c r="AY890"/>
  <c r="AX890"/>
  <c r="AK890"/>
  <c r="AL534"/>
  <c r="X533"/>
  <c r="Q197"/>
  <c r="AJ45"/>
  <c r="W43"/>
  <c r="AT287"/>
  <c r="AY288"/>
  <c r="AK288"/>
  <c r="AX288"/>
  <c r="R856"/>
  <c r="AJ857"/>
  <c r="AX857"/>
  <c r="BA832"/>
  <c r="AZ832"/>
  <c r="AU830"/>
  <c r="BB832"/>
  <c r="AX1214"/>
  <c r="AT1212"/>
  <c r="AL1214"/>
  <c r="AZ1214"/>
  <c r="AY1214"/>
  <c r="AK1065"/>
  <c r="AY1065"/>
  <c r="AL1065"/>
  <c r="AR16"/>
  <c r="AR25"/>
  <c r="AJ1056"/>
  <c r="W1054"/>
  <c r="AJ1054"/>
  <c r="BB657"/>
  <c r="BA657"/>
  <c r="AZ657"/>
  <c r="AL734"/>
  <c r="AD949"/>
  <c r="O947"/>
  <c r="AE949"/>
  <c r="L13"/>
  <c r="L15"/>
  <c r="L16"/>
  <c r="L25"/>
  <c r="L195"/>
  <c r="AD333"/>
  <c r="AE333"/>
  <c r="AG452"/>
  <c r="AF1067"/>
  <c r="Q1065"/>
  <c r="AU616"/>
  <c r="BB617"/>
  <c r="BA617"/>
  <c r="AZ617"/>
  <c r="O854"/>
  <c r="AE854"/>
  <c r="AD856"/>
  <c r="AE72"/>
  <c r="AF72"/>
  <c r="P43"/>
  <c r="AD578"/>
  <c r="O577"/>
  <c r="AD577"/>
  <c r="AF720"/>
  <c r="X856"/>
  <c r="AL857"/>
  <c r="AE1167"/>
  <c r="AD1167"/>
  <c r="AJ199"/>
  <c r="P353"/>
  <c r="O452"/>
  <c r="AE453"/>
  <c r="AD453"/>
  <c r="AB983"/>
  <c r="AG984"/>
  <c r="W706"/>
  <c r="AJ708"/>
  <c r="AK708"/>
  <c r="AY854"/>
  <c r="AK854"/>
  <c r="R606"/>
  <c r="AX608"/>
  <c r="AU586"/>
  <c r="BB588"/>
  <c r="AZ588"/>
  <c r="BA588"/>
  <c r="X353"/>
  <c r="AG497"/>
  <c r="AB495"/>
  <c r="AZ947"/>
  <c r="BB947"/>
  <c r="BA947"/>
  <c r="AB768"/>
  <c r="AG768"/>
  <c r="AX1067"/>
  <c r="AK199"/>
  <c r="AJ405"/>
  <c r="AK405"/>
  <c r="AY488"/>
  <c r="AX488"/>
  <c r="AX601"/>
  <c r="AT599"/>
  <c r="AY601"/>
  <c r="AZ601"/>
  <c r="AE799"/>
  <c r="P798"/>
  <c r="AF799"/>
  <c r="BB845"/>
  <c r="BA845"/>
  <c r="AZ845"/>
  <c r="P1127"/>
  <c r="BB407"/>
  <c r="BA407"/>
  <c r="AU405"/>
  <c r="AZ407"/>
  <c r="AZ924"/>
  <c r="AY924"/>
  <c r="AX924"/>
  <c r="AT922"/>
  <c r="AG130"/>
  <c r="AF45"/>
  <c r="Q43"/>
  <c r="AG43"/>
  <c r="AK99"/>
  <c r="AY99"/>
  <c r="AX99"/>
  <c r="AZ99"/>
  <c r="AL99"/>
  <c r="AZ253"/>
  <c r="AX628"/>
  <c r="AY628"/>
  <c r="AL657"/>
  <c r="X655"/>
  <c r="AY885"/>
  <c r="AX885"/>
  <c r="AK885"/>
  <c r="AT884"/>
  <c r="AL311"/>
  <c r="X304"/>
  <c r="AT768"/>
  <c r="AY769"/>
  <c r="AX769"/>
  <c r="AK769"/>
  <c r="AD815"/>
  <c r="O814"/>
  <c r="AD874"/>
  <c r="AX933"/>
  <c r="AT931"/>
  <c r="AK933"/>
  <c r="AY933"/>
  <c r="AL933"/>
  <c r="AU568"/>
  <c r="AU533"/>
  <c r="BB570"/>
  <c r="AZ570"/>
  <c r="BA570"/>
  <c r="AD655"/>
  <c r="AT647"/>
  <c r="AT613"/>
  <c r="AZ649"/>
  <c r="AY649"/>
  <c r="AX649"/>
  <c r="AF873"/>
  <c r="AL972"/>
  <c r="AL1129"/>
  <c r="X1127"/>
  <c r="AG285"/>
  <c r="Q487"/>
  <c r="O685"/>
  <c r="AD685"/>
  <c r="AD687"/>
  <c r="BB885"/>
  <c r="AU884"/>
  <c r="BA885"/>
  <c r="AZ885"/>
  <c r="AY947"/>
  <c r="AX947"/>
  <c r="X1046"/>
  <c r="AL1046"/>
  <c r="AL1048"/>
  <c r="X287"/>
  <c r="AL288"/>
  <c r="BB638"/>
  <c r="AZ638"/>
  <c r="BA638"/>
  <c r="BB812"/>
  <c r="BA812"/>
  <c r="AU753"/>
  <c r="BB755"/>
  <c r="BA755"/>
  <c r="AZ755"/>
  <c r="AY972"/>
  <c r="AX972"/>
  <c r="AU984"/>
  <c r="BB986"/>
  <c r="BA986"/>
  <c r="AZ986"/>
  <c r="BB1109"/>
  <c r="BA1109"/>
  <c r="P14"/>
  <c r="AG311"/>
  <c r="AB304"/>
  <c r="BB524"/>
  <c r="AU523"/>
  <c r="AZ524"/>
  <c r="BA524"/>
  <c r="X776"/>
  <c r="AL776"/>
  <c r="AL778"/>
  <c r="AT876"/>
  <c r="AL876"/>
  <c r="AY877"/>
  <c r="AK877"/>
  <c r="AX877"/>
  <c r="AZ877"/>
  <c r="BB577"/>
  <c r="AZ577"/>
  <c r="BA577"/>
  <c r="AJ685"/>
  <c r="AK685"/>
  <c r="AF768"/>
  <c r="AX763"/>
  <c r="AT761"/>
  <c r="AY763"/>
  <c r="AK763"/>
  <c r="AZ763"/>
  <c r="AD798"/>
  <c r="O796"/>
  <c r="AU799"/>
  <c r="BA800"/>
  <c r="AZ800"/>
  <c r="BB800"/>
  <c r="AF1009"/>
  <c r="Q1007"/>
  <c r="AG1009"/>
  <c r="AB830"/>
  <c r="AG832"/>
  <c r="AJ130"/>
  <c r="AK130"/>
  <c r="AX278"/>
  <c r="AK278"/>
  <c r="AY278"/>
  <c r="AL278"/>
  <c r="AY614"/>
  <c r="AX614"/>
  <c r="AY586"/>
  <c r="AX586"/>
  <c r="AK586"/>
  <c r="BB769"/>
  <c r="BA769"/>
  <c r="AZ769"/>
  <c r="AF874"/>
  <c r="AD1081"/>
  <c r="AE1081"/>
  <c r="AF986"/>
  <c r="BB464"/>
  <c r="AZ464"/>
  <c r="BA464"/>
  <c r="BA474"/>
  <c r="AZ474"/>
  <c r="BB474"/>
  <c r="AU472"/>
  <c r="O301"/>
  <c r="AD302"/>
  <c r="AE302"/>
  <c r="W450"/>
  <c r="AJ450"/>
  <c r="AJ452"/>
  <c r="AF628"/>
  <c r="AY701"/>
  <c r="AZ701"/>
  <c r="AX701"/>
  <c r="AT699"/>
  <c r="AJ876"/>
  <c r="W874"/>
  <c r="AZ1192"/>
  <c r="AZ452"/>
  <c r="BB452"/>
  <c r="AU450"/>
  <c r="BA452"/>
  <c r="BA497"/>
  <c r="AU495"/>
  <c r="BB497"/>
  <c r="AU628"/>
  <c r="BB630"/>
  <c r="BA630"/>
  <c r="AZ630"/>
  <c r="AX562"/>
  <c r="AK562"/>
  <c r="AY562"/>
  <c r="AZ562"/>
  <c r="BA713"/>
  <c r="BB713"/>
  <c r="AZ713"/>
  <c r="AX824"/>
  <c r="AK824"/>
  <c r="AY824"/>
  <c r="AT822"/>
  <c r="AU170"/>
  <c r="BB172"/>
  <c r="BA172"/>
  <c r="AZ172"/>
  <c r="AU822"/>
  <c r="AZ824"/>
  <c r="BB824"/>
  <c r="BA824"/>
  <c r="X884"/>
  <c r="AL885"/>
  <c r="AD1142"/>
  <c r="M1129"/>
  <c r="M1127"/>
  <c r="M1126"/>
  <c r="M1124"/>
  <c r="AY172"/>
  <c r="AX172"/>
  <c r="AT170"/>
  <c r="AL170"/>
  <c r="AK172"/>
  <c r="BA278"/>
  <c r="BB278"/>
  <c r="AZ278"/>
  <c r="O407"/>
  <c r="AE408"/>
  <c r="AD408"/>
  <c r="O706"/>
  <c r="AD708"/>
  <c r="AE708"/>
  <c r="P654"/>
  <c r="AE655"/>
  <c r="Q1054"/>
  <c r="AF1054"/>
  <c r="AF1056"/>
  <c r="P1065"/>
  <c r="O1129"/>
  <c r="AE1129"/>
  <c r="AD1130"/>
  <c r="AF984"/>
  <c r="AS195"/>
  <c r="AS13"/>
  <c r="AS15"/>
  <c r="AS16"/>
  <c r="AS25"/>
  <c r="R13"/>
  <c r="R15"/>
  <c r="R16"/>
  <c r="R25"/>
  <c r="AX25"/>
  <c r="R195"/>
  <c r="U41"/>
  <c r="U10"/>
  <c r="U12"/>
  <c r="U16"/>
  <c r="U25"/>
  <c r="AZ1109"/>
  <c r="AE986"/>
  <c r="AY798"/>
  <c r="AX798"/>
  <c r="O908"/>
  <c r="AD909"/>
  <c r="AE909"/>
  <c r="BB1065"/>
  <c r="BA1065"/>
  <c r="N41"/>
  <c r="N10"/>
  <c r="N12"/>
  <c r="N16"/>
  <c r="N25"/>
  <c r="AE713"/>
  <c r="Q983"/>
  <c r="AL628"/>
  <c r="AE274"/>
  <c r="AD274"/>
  <c r="O269"/>
  <c r="AU1064"/>
  <c r="BB1212"/>
  <c r="BA1212"/>
  <c r="AT654"/>
  <c r="W947"/>
  <c r="AJ949"/>
  <c r="AK949"/>
  <c r="BB1171"/>
  <c r="BA1171"/>
  <c r="AZ1171"/>
  <c r="BA789"/>
  <c r="BB789"/>
  <c r="BA876"/>
  <c r="AU874"/>
  <c r="BB876"/>
  <c r="AY568"/>
  <c r="AK568"/>
  <c r="AT533"/>
  <c r="AL533"/>
  <c r="AX568"/>
  <c r="AL568"/>
  <c r="S195"/>
  <c r="S13"/>
  <c r="S15"/>
  <c r="S16"/>
  <c r="S25"/>
  <c r="AE1190"/>
  <c r="AL1109"/>
  <c r="AX1109"/>
  <c r="AY1109"/>
  <c r="AK1109"/>
  <c r="AE892"/>
  <c r="AD892"/>
  <c r="O890"/>
  <c r="BB1007"/>
  <c r="BA1007"/>
  <c r="AZ1007"/>
  <c r="AX753"/>
  <c r="AY753"/>
  <c r="AK753"/>
  <c r="BB599"/>
  <c r="BA599"/>
  <c r="AK655"/>
  <c r="AZ655"/>
  <c r="AY516"/>
  <c r="AX516"/>
  <c r="AZ516"/>
  <c r="AY405"/>
  <c r="AL405"/>
  <c r="AX405"/>
  <c r="AZ1201"/>
  <c r="BB1201"/>
  <c r="BA1201"/>
  <c r="AX655"/>
  <c r="S352"/>
  <c r="S349"/>
  <c r="AJ170"/>
  <c r="W11"/>
  <c r="AJ11"/>
  <c r="O278"/>
  <c r="AE281"/>
  <c r="AD281"/>
  <c r="AY706"/>
  <c r="AX706"/>
  <c r="AU931"/>
  <c r="AZ931"/>
  <c r="BB933"/>
  <c r="BA933"/>
  <c r="AZ933"/>
  <c r="O508"/>
  <c r="AD509"/>
  <c r="AE509"/>
  <c r="AY685"/>
  <c r="AX685"/>
  <c r="W768"/>
  <c r="AJ768"/>
  <c r="AD99"/>
  <c r="AE99"/>
  <c r="AD288"/>
  <c r="O287"/>
  <c r="O285"/>
  <c r="AE288"/>
  <c r="AB1126"/>
  <c r="AB1124"/>
  <c r="AG450"/>
  <c r="AK776"/>
  <c r="AZ692"/>
  <c r="AY692"/>
  <c r="AX692"/>
  <c r="AJ1109"/>
  <c r="W1064"/>
  <c r="W1062"/>
  <c r="O534"/>
  <c r="AE534"/>
  <c r="AE536"/>
  <c r="AB796"/>
  <c r="AG798"/>
  <c r="O170"/>
  <c r="AD170"/>
  <c r="AL949"/>
  <c r="X947"/>
  <c r="O933"/>
  <c r="AD934"/>
  <c r="AE934"/>
  <c r="M471"/>
  <c r="AD471"/>
  <c r="AD472"/>
  <c r="AX613"/>
  <c r="AY613"/>
  <c r="BA533"/>
  <c r="BB533"/>
  <c r="AZ533"/>
  <c r="AY654"/>
  <c r="AX654"/>
  <c r="AY983"/>
  <c r="AX983"/>
  <c r="AT981"/>
  <c r="AD814"/>
  <c r="O812"/>
  <c r="AD812"/>
  <c r="Q981"/>
  <c r="AU821"/>
  <c r="BB822"/>
  <c r="BA822"/>
  <c r="AZ822"/>
  <c r="BB753"/>
  <c r="BA753"/>
  <c r="AZ753"/>
  <c r="BB450"/>
  <c r="BA450"/>
  <c r="AZ450"/>
  <c r="AG830"/>
  <c r="AB821"/>
  <c r="AU798"/>
  <c r="BA799"/>
  <c r="BB799"/>
  <c r="AZ799"/>
  <c r="AZ984"/>
  <c r="AU983"/>
  <c r="BB984"/>
  <c r="BA984"/>
  <c r="AL1127"/>
  <c r="X1126"/>
  <c r="AD72"/>
  <c r="AB981"/>
  <c r="AG983"/>
  <c r="AD854"/>
  <c r="O821"/>
  <c r="AE821"/>
  <c r="AJ906"/>
  <c r="W905"/>
  <c r="AJ905"/>
  <c r="AD1067"/>
  <c r="O1065"/>
  <c r="AE1065"/>
  <c r="W613"/>
  <c r="AJ613"/>
  <c r="AJ614"/>
  <c r="O1171"/>
  <c r="AE1171"/>
  <c r="AE1173"/>
  <c r="AE130"/>
  <c r="P15"/>
  <c r="W930"/>
  <c r="AJ930"/>
  <c r="AJ931"/>
  <c r="P930"/>
  <c r="AF931"/>
  <c r="AG874"/>
  <c r="AB873"/>
  <c r="AG873"/>
  <c r="AF354"/>
  <c r="Q353"/>
  <c r="AG353"/>
  <c r="AL471"/>
  <c r="AD616"/>
  <c r="O614"/>
  <c r="AE768"/>
  <c r="AY822"/>
  <c r="AK822"/>
  <c r="AX822"/>
  <c r="AT821"/>
  <c r="AD1129"/>
  <c r="O1127"/>
  <c r="AE1127"/>
  <c r="BB768"/>
  <c r="BA768"/>
  <c r="AZ768"/>
  <c r="AD796"/>
  <c r="O654"/>
  <c r="AD654"/>
  <c r="AZ922"/>
  <c r="AY922"/>
  <c r="AX922"/>
  <c r="P1126"/>
  <c r="AF1126"/>
  <c r="AT1062"/>
  <c r="AY1064"/>
  <c r="AL1064"/>
  <c r="AZ668"/>
  <c r="AY668"/>
  <c r="AX668"/>
  <c r="BB905"/>
  <c r="BA905"/>
  <c r="AX471"/>
  <c r="AK471"/>
  <c r="AY471"/>
  <c r="AD845"/>
  <c r="M821"/>
  <c r="AJ799"/>
  <c r="W798"/>
  <c r="AK799"/>
  <c r="AK450"/>
  <c r="AG1065"/>
  <c r="AB1064"/>
  <c r="AY720"/>
  <c r="AX720"/>
  <c r="AK720"/>
  <c r="AZ720"/>
  <c r="W972"/>
  <c r="AJ973"/>
  <c r="AK973"/>
  <c r="AJ874"/>
  <c r="W873"/>
  <c r="AJ873"/>
  <c r="AT874"/>
  <c r="AL874"/>
  <c r="AY876"/>
  <c r="AX876"/>
  <c r="AK876"/>
  <c r="AZ876"/>
  <c r="P1064"/>
  <c r="AD301"/>
  <c r="AE301"/>
  <c r="AY931"/>
  <c r="AK931"/>
  <c r="AX931"/>
  <c r="AT930"/>
  <c r="AL931"/>
  <c r="AL655"/>
  <c r="X654"/>
  <c r="AL654"/>
  <c r="AZ830"/>
  <c r="BB830"/>
  <c r="BA830"/>
  <c r="BB606"/>
  <c r="BA606"/>
  <c r="AZ606"/>
  <c r="AU598"/>
  <c r="AY812"/>
  <c r="AX812"/>
  <c r="AK812"/>
  <c r="BB287"/>
  <c r="BA287"/>
  <c r="AZ287"/>
  <c r="AU285"/>
  <c r="AY1054"/>
  <c r="AK1054"/>
  <c r="AX1054"/>
  <c r="AZ1054"/>
  <c r="AL1054"/>
  <c r="AL616"/>
  <c r="X614"/>
  <c r="AY741"/>
  <c r="AX741"/>
  <c r="AK741"/>
  <c r="AL741"/>
  <c r="W353"/>
  <c r="AJ354"/>
  <c r="AX796"/>
  <c r="AY796"/>
  <c r="AT788"/>
  <c r="M41"/>
  <c r="M10"/>
  <c r="M12"/>
  <c r="AL799"/>
  <c r="X798"/>
  <c r="BB685"/>
  <c r="BA685"/>
  <c r="AZ685"/>
  <c r="AF533"/>
  <c r="Q821"/>
  <c r="AF821"/>
  <c r="W983"/>
  <c r="AL508"/>
  <c r="X497"/>
  <c r="BB495"/>
  <c r="BA495"/>
  <c r="AY761"/>
  <c r="AK761"/>
  <c r="AX761"/>
  <c r="AZ761"/>
  <c r="BB628"/>
  <c r="AZ628"/>
  <c r="BA628"/>
  <c r="X882"/>
  <c r="X873"/>
  <c r="AL884"/>
  <c r="BB170"/>
  <c r="BA170"/>
  <c r="AU11"/>
  <c r="AZ170"/>
  <c r="AU471"/>
  <c r="BB472"/>
  <c r="BA472"/>
  <c r="AZ472"/>
  <c r="AF1007"/>
  <c r="AG1007"/>
  <c r="BA523"/>
  <c r="BB523"/>
  <c r="AY768"/>
  <c r="AX768"/>
  <c r="AK768"/>
  <c r="AY599"/>
  <c r="AX599"/>
  <c r="AT598"/>
  <c r="AZ599"/>
  <c r="AT285"/>
  <c r="AY287"/>
  <c r="AK287"/>
  <c r="AX287"/>
  <c r="AJ1127"/>
  <c r="W1126"/>
  <c r="AE616"/>
  <c r="P614"/>
  <c r="AF616"/>
  <c r="AJ830"/>
  <c r="W821"/>
  <c r="AY1127"/>
  <c r="AK1127"/>
  <c r="AX1127"/>
  <c r="AT1126"/>
  <c r="BB1046"/>
  <c r="BA1046"/>
  <c r="AZ1046"/>
  <c r="AD356"/>
  <c r="O354"/>
  <c r="AE356"/>
  <c r="AY354"/>
  <c r="AX354"/>
  <c r="AK354"/>
  <c r="AT353"/>
  <c r="AL353"/>
  <c r="O568"/>
  <c r="AE568"/>
  <c r="AD570"/>
  <c r="AB195"/>
  <c r="AG197"/>
  <c r="AB13"/>
  <c r="AZ616"/>
  <c r="AU614"/>
  <c r="BA616"/>
  <c r="BB616"/>
  <c r="W41"/>
  <c r="AJ41"/>
  <c r="AJ43"/>
  <c r="W10"/>
  <c r="BB14"/>
  <c r="BA14"/>
  <c r="AY524"/>
  <c r="AX524"/>
  <c r="AT523"/>
  <c r="AZ523"/>
  <c r="R1064"/>
  <c r="AX1064"/>
  <c r="AJ1065"/>
  <c r="AY304"/>
  <c r="AX304"/>
  <c r="AK304"/>
  <c r="AT14"/>
  <c r="AZ14"/>
  <c r="AD984"/>
  <c r="X768"/>
  <c r="AL768"/>
  <c r="AF654"/>
  <c r="W533"/>
  <c r="AJ534"/>
  <c r="AK534"/>
  <c r="AD229"/>
  <c r="M212"/>
  <c r="BA1127"/>
  <c r="BB1127"/>
  <c r="AZ1127"/>
  <c r="AU1126"/>
  <c r="BB488"/>
  <c r="AU487"/>
  <c r="BA488"/>
  <c r="AZ488"/>
  <c r="BA972"/>
  <c r="AZ972"/>
  <c r="BB972"/>
  <c r="AB12"/>
  <c r="O43"/>
  <c r="AG1054"/>
  <c r="AE685"/>
  <c r="AD706"/>
  <c r="AE706"/>
  <c r="AL304"/>
  <c r="X14"/>
  <c r="P41"/>
  <c r="AE43"/>
  <c r="P10"/>
  <c r="BB568"/>
  <c r="AZ568"/>
  <c r="BA568"/>
  <c r="AG495"/>
  <c r="AB487"/>
  <c r="AG487"/>
  <c r="BB586"/>
  <c r="AZ586"/>
  <c r="BA586"/>
  <c r="O450"/>
  <c r="AD452"/>
  <c r="AE452"/>
  <c r="AL856"/>
  <c r="X854"/>
  <c r="Q1064"/>
  <c r="AF1065"/>
  <c r="AD947"/>
  <c r="AE947"/>
  <c r="AF568"/>
  <c r="AL906"/>
  <c r="X905"/>
  <c r="O628"/>
  <c r="AD630"/>
  <c r="M533"/>
  <c r="AB905"/>
  <c r="AG905"/>
  <c r="AG906"/>
  <c r="O1054"/>
  <c r="AE1056"/>
  <c r="AD1056"/>
  <c r="AF1127"/>
  <c r="AD304"/>
  <c r="O14"/>
  <c r="AD14"/>
  <c r="AD1046"/>
  <c r="AE1046"/>
  <c r="AY508"/>
  <c r="AX508"/>
  <c r="AK508"/>
  <c r="AT497"/>
  <c r="P471"/>
  <c r="AE472"/>
  <c r="AF472"/>
  <c r="AZ854"/>
  <c r="BB854"/>
  <c r="BA854"/>
  <c r="P905"/>
  <c r="AF906"/>
  <c r="AK170"/>
  <c r="AY170"/>
  <c r="AX170"/>
  <c r="AT11"/>
  <c r="AY699"/>
  <c r="AZ699"/>
  <c r="AX699"/>
  <c r="AG304"/>
  <c r="AB14"/>
  <c r="AT882"/>
  <c r="AK884"/>
  <c r="AY884"/>
  <c r="AX884"/>
  <c r="BB405"/>
  <c r="BA405"/>
  <c r="AZ405"/>
  <c r="AJ706"/>
  <c r="AK706"/>
  <c r="AF197"/>
  <c r="Q195"/>
  <c r="AF195"/>
  <c r="Q13"/>
  <c r="X41"/>
  <c r="X10"/>
  <c r="P983"/>
  <c r="AE984"/>
  <c r="AY1190"/>
  <c r="AK1190"/>
  <c r="AX1190"/>
  <c r="AL1190"/>
  <c r="AG933"/>
  <c r="AB931"/>
  <c r="AJ304"/>
  <c r="W14"/>
  <c r="AJ14"/>
  <c r="P495"/>
  <c r="AF497"/>
  <c r="Q1124"/>
  <c r="AL812"/>
  <c r="AX830"/>
  <c r="AK830"/>
  <c r="AY830"/>
  <c r="AL830"/>
  <c r="AG854"/>
  <c r="O1007"/>
  <c r="AD1007"/>
  <c r="AD1009"/>
  <c r="AU654"/>
  <c r="Q41"/>
  <c r="AG41"/>
  <c r="AF43"/>
  <c r="Q10"/>
  <c r="AD407"/>
  <c r="O405"/>
  <c r="AE407"/>
  <c r="X285"/>
  <c r="AL287"/>
  <c r="AZ884"/>
  <c r="BA884"/>
  <c r="BB884"/>
  <c r="AU882"/>
  <c r="AX647"/>
  <c r="AY647"/>
  <c r="AZ647"/>
  <c r="P796"/>
  <c r="AE798"/>
  <c r="AF798"/>
  <c r="AX606"/>
  <c r="R598"/>
  <c r="AY1212"/>
  <c r="AX1212"/>
  <c r="AL1212"/>
  <c r="AZ1212"/>
  <c r="R854"/>
  <c r="AJ856"/>
  <c r="AX856"/>
  <c r="BB43"/>
  <c r="BA43"/>
  <c r="AU41"/>
  <c r="AU10"/>
  <c r="AY906"/>
  <c r="AX906"/>
  <c r="AK906"/>
  <c r="AT905"/>
  <c r="AZ905"/>
  <c r="BB734"/>
  <c r="AZ734"/>
  <c r="BA734"/>
  <c r="AF304"/>
  <c r="Q14"/>
  <c r="AF14"/>
  <c r="W654"/>
  <c r="AJ654"/>
  <c r="AD638"/>
  <c r="AE638"/>
  <c r="AU353"/>
  <c r="BA354"/>
  <c r="AZ354"/>
  <c r="BB354"/>
  <c r="BB776"/>
  <c r="BA776"/>
  <c r="AZ776"/>
  <c r="AJ508"/>
  <c r="W497"/>
  <c r="AG405"/>
  <c r="AE1181"/>
  <c r="AF1181"/>
  <c r="O973"/>
  <c r="AD975"/>
  <c r="AY72"/>
  <c r="AX72"/>
  <c r="AK72"/>
  <c r="AZ72"/>
  <c r="AT43"/>
  <c r="AL43"/>
  <c r="X983"/>
  <c r="W285"/>
  <c r="AJ287"/>
  <c r="AY734"/>
  <c r="AX734"/>
  <c r="AD269"/>
  <c r="AE269"/>
  <c r="BB1064"/>
  <c r="BA1064"/>
  <c r="AU1062"/>
  <c r="AZ1064"/>
  <c r="AD908"/>
  <c r="O906"/>
  <c r="AE908"/>
  <c r="BB874"/>
  <c r="BA874"/>
  <c r="AJ947"/>
  <c r="AK947"/>
  <c r="AY533"/>
  <c r="AX533"/>
  <c r="O931"/>
  <c r="AD933"/>
  <c r="AE933"/>
  <c r="O11"/>
  <c r="AD11"/>
  <c r="AE654"/>
  <c r="AL947"/>
  <c r="X930"/>
  <c r="AL930"/>
  <c r="AE287"/>
  <c r="AD287"/>
  <c r="AD508"/>
  <c r="AE508"/>
  <c r="O497"/>
  <c r="AD534"/>
  <c r="AG981"/>
  <c r="AD278"/>
  <c r="AE278"/>
  <c r="O788"/>
  <c r="AD788"/>
  <c r="AD890"/>
  <c r="AE890"/>
  <c r="O873"/>
  <c r="AG1126"/>
  <c r="AK1064"/>
  <c r="AG796"/>
  <c r="AB788"/>
  <c r="AG788"/>
  <c r="AU930"/>
  <c r="BB931"/>
  <c r="BA931"/>
  <c r="AJ285"/>
  <c r="W197"/>
  <c r="AE471"/>
  <c r="AF471"/>
  <c r="AG13"/>
  <c r="AB15"/>
  <c r="AB16"/>
  <c r="AB25"/>
  <c r="X613"/>
  <c r="AL613"/>
  <c r="AL614"/>
  <c r="AY43"/>
  <c r="AK43"/>
  <c r="AT41"/>
  <c r="AT10"/>
  <c r="AL10"/>
  <c r="AX43"/>
  <c r="AU12"/>
  <c r="BB10"/>
  <c r="BA10"/>
  <c r="BB882"/>
  <c r="AZ882"/>
  <c r="BA882"/>
  <c r="AU873"/>
  <c r="P12"/>
  <c r="M197"/>
  <c r="AD212"/>
  <c r="O983"/>
  <c r="AJ10"/>
  <c r="W12"/>
  <c r="AJ983"/>
  <c r="W981"/>
  <c r="AJ981"/>
  <c r="AB1062"/>
  <c r="AG1064"/>
  <c r="AL1126"/>
  <c r="X1124"/>
  <c r="O972"/>
  <c r="AD972"/>
  <c r="AD973"/>
  <c r="AJ854"/>
  <c r="R821"/>
  <c r="AX821"/>
  <c r="AX854"/>
  <c r="AD405"/>
  <c r="AE405"/>
  <c r="AJ1126"/>
  <c r="W1124"/>
  <c r="AJ1124"/>
  <c r="BB11"/>
  <c r="BA11"/>
  <c r="AZ11"/>
  <c r="AZ43"/>
  <c r="AF10"/>
  <c r="Q12"/>
  <c r="P487"/>
  <c r="AF495"/>
  <c r="AG1124"/>
  <c r="AF905"/>
  <c r="AY497"/>
  <c r="AX497"/>
  <c r="AK497"/>
  <c r="AT495"/>
  <c r="AZ497"/>
  <c r="M352"/>
  <c r="M349"/>
  <c r="AD43"/>
  <c r="O41"/>
  <c r="AD41"/>
  <c r="O10"/>
  <c r="AE10"/>
  <c r="R1062"/>
  <c r="AJ1062"/>
  <c r="AJ1064"/>
  <c r="AG195"/>
  <c r="O353"/>
  <c r="AD354"/>
  <c r="AE354"/>
  <c r="AJ353"/>
  <c r="P1124"/>
  <c r="AY981"/>
  <c r="AX981"/>
  <c r="AG12"/>
  <c r="AY788"/>
  <c r="AX788"/>
  <c r="AJ972"/>
  <c r="AK972"/>
  <c r="BA798"/>
  <c r="BB798"/>
  <c r="AZ798"/>
  <c r="AU796"/>
  <c r="BB353"/>
  <c r="BA353"/>
  <c r="AZ353"/>
  <c r="Q15"/>
  <c r="AF15"/>
  <c r="AF13"/>
  <c r="Q1062"/>
  <c r="AF1064"/>
  <c r="BB487"/>
  <c r="BA487"/>
  <c r="AX523"/>
  <c r="AY523"/>
  <c r="AE1007"/>
  <c r="AF41"/>
  <c r="AK11"/>
  <c r="AX11"/>
  <c r="AY11"/>
  <c r="AD628"/>
  <c r="AE628"/>
  <c r="AL854"/>
  <c r="X821"/>
  <c r="AL821"/>
  <c r="AL14"/>
  <c r="AG10"/>
  <c r="AD568"/>
  <c r="O533"/>
  <c r="AL882"/>
  <c r="AL11"/>
  <c r="AD614"/>
  <c r="O613"/>
  <c r="AD613"/>
  <c r="AF930"/>
  <c r="AD821"/>
  <c r="AG821"/>
  <c r="BB821"/>
  <c r="BA821"/>
  <c r="AZ821"/>
  <c r="AK983"/>
  <c r="AE796"/>
  <c r="P788"/>
  <c r="AF796"/>
  <c r="P981"/>
  <c r="AL905"/>
  <c r="AL523"/>
  <c r="AD285"/>
  <c r="AE285"/>
  <c r="O197"/>
  <c r="AY874"/>
  <c r="AX874"/>
  <c r="AK874"/>
  <c r="AT873"/>
  <c r="AL873"/>
  <c r="AZ874"/>
  <c r="AJ798"/>
  <c r="W796"/>
  <c r="AK798"/>
  <c r="O1126"/>
  <c r="AD1127"/>
  <c r="BA983"/>
  <c r="AZ983"/>
  <c r="AU981"/>
  <c r="BB983"/>
  <c r="AF983"/>
  <c r="W495"/>
  <c r="AJ497"/>
  <c r="BA41"/>
  <c r="BB41"/>
  <c r="AZ41"/>
  <c r="AY905"/>
  <c r="AX905"/>
  <c r="AK905"/>
  <c r="AZ654"/>
  <c r="BA654"/>
  <c r="BB654"/>
  <c r="BB1126"/>
  <c r="BA1126"/>
  <c r="AZ1126"/>
  <c r="AU1124"/>
  <c r="AJ533"/>
  <c r="AK533"/>
  <c r="AY14"/>
  <c r="AK14"/>
  <c r="AX14"/>
  <c r="AX353"/>
  <c r="AK353"/>
  <c r="AY353"/>
  <c r="AX285"/>
  <c r="AK285"/>
  <c r="AY285"/>
  <c r="AT197"/>
  <c r="AL285"/>
  <c r="X197"/>
  <c r="AG931"/>
  <c r="AB930"/>
  <c r="AG930"/>
  <c r="X12"/>
  <c r="AY882"/>
  <c r="AK882"/>
  <c r="AX882"/>
  <c r="AD1054"/>
  <c r="AE1054"/>
  <c r="BA614"/>
  <c r="AU613"/>
  <c r="AZ614"/>
  <c r="BB614"/>
  <c r="AE614"/>
  <c r="P613"/>
  <c r="AF614"/>
  <c r="BB471"/>
  <c r="BA471"/>
  <c r="AZ471"/>
  <c r="BB598"/>
  <c r="BA598"/>
  <c r="AZ598"/>
  <c r="AY1062"/>
  <c r="AK1062"/>
  <c r="AL1062"/>
  <c r="AF981"/>
  <c r="AK654"/>
  <c r="AL41"/>
  <c r="AG14"/>
  <c r="AY1126"/>
  <c r="AK1126"/>
  <c r="AX1126"/>
  <c r="AT1124"/>
  <c r="AX598"/>
  <c r="AY598"/>
  <c r="AL497"/>
  <c r="X495"/>
  <c r="AL798"/>
  <c r="X796"/>
  <c r="BA285"/>
  <c r="BB285"/>
  <c r="AZ285"/>
  <c r="AU197"/>
  <c r="P1062"/>
  <c r="AK821"/>
  <c r="AY821"/>
  <c r="Q352"/>
  <c r="AF353"/>
  <c r="AE14"/>
  <c r="AK613"/>
  <c r="AL983"/>
  <c r="X981"/>
  <c r="AL981"/>
  <c r="AD450"/>
  <c r="AE450"/>
  <c r="AX930"/>
  <c r="AY930"/>
  <c r="AK930"/>
  <c r="O1064"/>
  <c r="AD1065"/>
  <c r="P352"/>
  <c r="BA1062"/>
  <c r="AZ1062"/>
  <c r="BB1062"/>
  <c r="O905"/>
  <c r="AD906"/>
  <c r="AE906"/>
  <c r="AE41"/>
  <c r="AK981"/>
  <c r="AE497"/>
  <c r="AD497"/>
  <c r="O495"/>
  <c r="AF1062"/>
  <c r="AD873"/>
  <c r="AE873"/>
  <c r="BA930"/>
  <c r="BB930"/>
  <c r="AZ930"/>
  <c r="AD931"/>
  <c r="O930"/>
  <c r="AE931"/>
  <c r="R352"/>
  <c r="R349"/>
  <c r="AJ821"/>
  <c r="AG1062"/>
  <c r="M195"/>
  <c r="M13"/>
  <c r="M15"/>
  <c r="M16"/>
  <c r="M25"/>
  <c r="AL796"/>
  <c r="X788"/>
  <c r="AL788"/>
  <c r="BB613"/>
  <c r="BA613"/>
  <c r="AZ613"/>
  <c r="AJ495"/>
  <c r="W487"/>
  <c r="AD1126"/>
  <c r="O1124"/>
  <c r="AD1124"/>
  <c r="AD533"/>
  <c r="AE533"/>
  <c r="AD353"/>
  <c r="AE353"/>
  <c r="P16"/>
  <c r="P25"/>
  <c r="Q349"/>
  <c r="AF352"/>
  <c r="AD1064"/>
  <c r="O1062"/>
  <c r="AD1062"/>
  <c r="AE1064"/>
  <c r="AX1062"/>
  <c r="AB352"/>
  <c r="AD197"/>
  <c r="O195"/>
  <c r="O13"/>
  <c r="AE197"/>
  <c r="AE788"/>
  <c r="AF788"/>
  <c r="AY495"/>
  <c r="AX495"/>
  <c r="AK495"/>
  <c r="AT487"/>
  <c r="AZ495"/>
  <c r="AF487"/>
  <c r="BB12"/>
  <c r="BA12"/>
  <c r="AG15"/>
  <c r="AL495"/>
  <c r="X487"/>
  <c r="BB1124"/>
  <c r="BA1124"/>
  <c r="AZ1124"/>
  <c r="W788"/>
  <c r="AJ796"/>
  <c r="AK796"/>
  <c r="AE1126"/>
  <c r="BB873"/>
  <c r="BA873"/>
  <c r="AZ873"/>
  <c r="AU195"/>
  <c r="BB197"/>
  <c r="BA197"/>
  <c r="AZ197"/>
  <c r="AU13"/>
  <c r="P349"/>
  <c r="AE1124"/>
  <c r="AF12"/>
  <c r="Q16"/>
  <c r="Q25"/>
  <c r="AJ12"/>
  <c r="AT12"/>
  <c r="AL12"/>
  <c r="AY10"/>
  <c r="AK10"/>
  <c r="AX10"/>
  <c r="AL197"/>
  <c r="X195"/>
  <c r="X13"/>
  <c r="AF1124"/>
  <c r="AE613"/>
  <c r="AF613"/>
  <c r="BB981"/>
  <c r="BA981"/>
  <c r="AZ981"/>
  <c r="AZ796"/>
  <c r="AU788"/>
  <c r="BB796"/>
  <c r="BA796"/>
  <c r="O12"/>
  <c r="AD10"/>
  <c r="AL1124"/>
  <c r="AY41"/>
  <c r="AX41"/>
  <c r="AK41"/>
  <c r="AY197"/>
  <c r="AT195"/>
  <c r="AK197"/>
  <c r="AX197"/>
  <c r="AT13"/>
  <c r="O981"/>
  <c r="AD981"/>
  <c r="AD983"/>
  <c r="W195"/>
  <c r="AJ195"/>
  <c r="AJ197"/>
  <c r="W13"/>
  <c r="AX873"/>
  <c r="AK873"/>
  <c r="AY873"/>
  <c r="AY1124"/>
  <c r="AK1124"/>
  <c r="AX1124"/>
  <c r="AE983"/>
  <c r="AZ10"/>
  <c r="AD905"/>
  <c r="AE905"/>
  <c r="AZ12"/>
  <c r="AD930"/>
  <c r="AE930"/>
  <c r="AD495"/>
  <c r="O487"/>
  <c r="AE495"/>
  <c r="AL195"/>
  <c r="AD12"/>
  <c r="AL487"/>
  <c r="X352"/>
  <c r="W15"/>
  <c r="AJ13"/>
  <c r="AY195"/>
  <c r="AK195"/>
  <c r="AX195"/>
  <c r="BA13"/>
  <c r="BB13"/>
  <c r="AZ13"/>
  <c r="AU15"/>
  <c r="AE1062"/>
  <c r="O15"/>
  <c r="AD13"/>
  <c r="AE13"/>
  <c r="AY12"/>
  <c r="AX12"/>
  <c r="AK12"/>
  <c r="BB788"/>
  <c r="AZ788"/>
  <c r="BA788"/>
  <c r="AU352"/>
  <c r="X15"/>
  <c r="AL13"/>
  <c r="AY487"/>
  <c r="AX487"/>
  <c r="AK487"/>
  <c r="AT352"/>
  <c r="AZ487"/>
  <c r="AD195"/>
  <c r="AE195"/>
  <c r="AF349"/>
  <c r="AJ788"/>
  <c r="AK788"/>
  <c r="AE12"/>
  <c r="BA195"/>
  <c r="BB195"/>
  <c r="AZ195"/>
  <c r="AB349"/>
  <c r="AG349"/>
  <c r="AG352"/>
  <c r="AJ487"/>
  <c r="W352"/>
  <c r="AT15"/>
  <c r="AT16"/>
  <c r="AY13"/>
  <c r="AK13"/>
  <c r="AX13"/>
  <c r="AE981"/>
  <c r="AD487"/>
  <c r="O352"/>
  <c r="AE487"/>
  <c r="AY16"/>
  <c r="AX16"/>
  <c r="AJ352"/>
  <c r="W349"/>
  <c r="AJ349"/>
  <c r="AD15"/>
  <c r="AE15"/>
  <c r="BB15"/>
  <c r="BA15"/>
  <c r="AZ15"/>
  <c r="AU16"/>
  <c r="AJ15"/>
  <c r="W16"/>
  <c r="AL15"/>
  <c r="X16"/>
  <c r="X25"/>
  <c r="AL352"/>
  <c r="X349"/>
  <c r="AZ352"/>
  <c r="AU349"/>
  <c r="BB352"/>
  <c r="BA352"/>
  <c r="AY352"/>
  <c r="AT349"/>
  <c r="AK352"/>
  <c r="AX352"/>
  <c r="AY15"/>
  <c r="AK15"/>
  <c r="AX15"/>
  <c r="O16"/>
  <c r="O25"/>
  <c r="AL349"/>
  <c r="AE352"/>
  <c r="AD352"/>
  <c r="O349"/>
  <c r="AY349"/>
  <c r="AX349"/>
  <c r="AK349"/>
  <c r="W25"/>
  <c r="AJ16"/>
  <c r="BB349"/>
  <c r="BA349"/>
  <c r="AZ349"/>
  <c r="AU25"/>
  <c r="BB16"/>
  <c r="BA16"/>
  <c r="AZ16"/>
  <c r="AK16"/>
  <c r="AD349"/>
  <c r="AE349"/>
  <c r="AK25"/>
  <c r="AJ25"/>
  <c r="BA25"/>
  <c r="BB25"/>
  <c r="AZ25"/>
</calcChain>
</file>

<file path=xl/comments1.xml><?xml version="1.0" encoding="utf-8"?>
<comments xmlns="http://schemas.openxmlformats.org/spreadsheetml/2006/main">
  <authors>
    <author>mzaninovic</author>
    <author>User</author>
  </authors>
  <commentList>
    <comment ref="W20" authorId="0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Povrat zajma u drž prorač.</t>
        </r>
      </text>
    </comment>
    <comment ref="L7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Muzej-izložbe-33.000
Muzej-edukat.-20.000
</t>
        </r>
      </text>
    </comment>
    <comment ref="M7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Muzej-izložbe-33.000
Muzej-edukat.-20.000
</t>
        </r>
      </text>
    </comment>
    <comment ref="N7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Općina-fisk.izr.-420.000
Muzej-arheolog..-50.000
Muzej-restauracije- 12.000
Muzej-rib.brod-20.000
Muzej-katalog-5.000
Knjižnica-prip.-6.000
Vrtić-13.560
za drva - 14.700</t>
        </r>
      </text>
    </comment>
    <comment ref="O7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Općina-fisk.izr.-420.000
Muzej-arheolog..-50.000
Muzej-restauracije- 12.000
Muzej-rib.brod-20.000
Muzej-katalog-5.000
Knjižnica-prip.-6.000
Vrtić-13.560
za drva - 14.700</t>
        </r>
      </text>
    </comment>
    <comment ref="P7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za drva - 200
Muzej-7.400</t>
        </r>
      </text>
    </comment>
    <comment ref="Q7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Fisk.izravnj.-210.539,04
za drva - 200
Dj.vrtić - 7.400
Tvrđava Vrb.-33.180,7</t>
        </r>
      </text>
    </comment>
    <comment ref="R7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Fisk.izravnj.-210.539,04
za drva - 200
Dj.vrtić - 7.400
Tvrđava Vrb.-33.180,7</t>
        </r>
      </text>
    </comment>
    <comment ref="W77" authorId="0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muzej 59500
izbori 24600
vrtić 73000</t>
        </r>
      </text>
    </comment>
    <comment ref="AT77" authorId="0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muzej 40000
Crkva tvrđava 44000
fis održ d.v 100000
</t>
        </r>
      </text>
    </comment>
    <comment ref="L7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soc.pom.drva-12.600
Muzej-rest.-10.000
Lok.izbori-98.629
crkva Gdinj-8.000</t>
        </r>
      </text>
    </comment>
    <comment ref="M7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soc.pom.drva-12.600
Muzej-rest.-10.000
Lok.izbori-98.629
crkva Gdinj-8.000</t>
        </r>
      </text>
    </comment>
    <comment ref="N7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Vrtić-15.000
</t>
        </r>
      </text>
    </comment>
    <comment ref="O7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Vrtić-15.000
</t>
        </r>
      </text>
    </comment>
    <comment ref="P7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Vrtić-2.000
Muzej-2000
</t>
        </r>
      </text>
    </comment>
    <comment ref="Q7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Vrtić-2.000
Muzej-7.000
</t>
        </r>
      </text>
    </comment>
    <comment ref="R7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Vrtić-2.000
Muzej-7.000
</t>
        </r>
      </text>
    </comment>
    <comment ref="W78" authorId="0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vrtić
</t>
        </r>
      </text>
    </comment>
    <comment ref="L81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Muzej Vinogr.zb.-1.500.000
most Vrboska -500.000
Knjižnica-knjige-32.000</t>
        </r>
      </text>
    </comment>
    <comment ref="M81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Muzej Vinogr.zb.-1.500.000
most Vrboska -500.000
Knjižnica-knjige-32.000</t>
        </r>
      </text>
    </comment>
    <comment ref="N81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Muzej-interijer-100.000
Riva -420.000
Knjižnica-knjige-35.000</t>
        </r>
      </text>
    </comment>
    <comment ref="O81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Muzej-interijer-100.000
Riva -420.000
Knjižnica-knjige-35.000</t>
        </r>
      </text>
    </comment>
    <comment ref="P81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Knjižnica-knjige-4.700
Dj.vrtić - 358.300</t>
        </r>
      </text>
    </comment>
    <comment ref="Q81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Knjižnica-knjige-8.600
Muzej-kuća Dobrović-33.358,79
Sportski objekti-56.739,78</t>
        </r>
      </text>
    </comment>
    <comment ref="R81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Knjižnica-knjige-8.600
Muzej-kuća Dobrović-33.358,79
Sportski objekti-56.739,78</t>
        </r>
      </text>
    </comment>
    <comment ref="W81" authorId="0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Komp Biogrenline stara ambulanta 69570
Knjižnica 9700
trg Fabrio 67500
</t>
        </r>
      </text>
    </comment>
    <comment ref="AT81" authorId="0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knjižnica 10000
muzej 150000
za vrtić 500000
opremanje vrtića 28000
</t>
        </r>
      </text>
    </comment>
    <comment ref="N83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šetnica-100.000
</t>
        </r>
      </text>
    </comment>
    <comment ref="O83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šetnica-100.000
</t>
        </r>
      </text>
    </comment>
    <comment ref="P83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šetnica</t>
        </r>
      </text>
    </comment>
    <comment ref="Q83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šetnica-Jelkom</t>
        </r>
      </text>
    </comment>
    <comment ref="R83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šetnica-Jelkom</t>
        </r>
      </text>
    </comment>
    <comment ref="AT83" authorId="0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vrtić opremanje</t>
        </r>
      </text>
    </comment>
    <comment ref="L84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Stg-judo-20.000</t>
        </r>
      </text>
    </comment>
    <comment ref="M84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Stg-judo-20.000</t>
        </r>
      </text>
    </comment>
    <comment ref="N84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Stg-judo-20.000</t>
        </r>
      </text>
    </comment>
    <comment ref="O84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Stg-judo-20.000</t>
        </r>
      </text>
    </comment>
    <comment ref="L8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šetnica Iga-400.000
</t>
        </r>
      </text>
    </comment>
    <comment ref="M8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šetnica Iga-400.000
</t>
        </r>
      </text>
    </comment>
    <comment ref="N8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Šetnica Iga-508.281
Staza bioraznolikosti-500.000</t>
        </r>
      </text>
    </comment>
    <comment ref="O8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Šetnica Iga-508.281
Staza bioraznolikosti-500.000</t>
        </r>
      </text>
    </comment>
    <comment ref="P8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Staza bioraznolikosti-66.400
Ribarski muzej Vrb.-199.000</t>
        </r>
      </text>
    </comment>
    <comment ref="Q8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Ribarski muzej Vrb.-200.400</t>
        </r>
      </text>
    </comment>
    <comment ref="R8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Ribarski muzej Vrb.-200.400</t>
        </r>
      </text>
    </comment>
    <comment ref="W87" authorId="0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FLAG rib. Muzej
</t>
        </r>
      </text>
    </comment>
    <comment ref="L95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Rec.dv.
otpadomjeri</t>
        </r>
      </text>
    </comment>
    <comment ref="M95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Rec.dv.
otpadomjeri</t>
        </r>
      </text>
    </comment>
    <comment ref="N95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oprema- 195.000</t>
        </r>
      </text>
    </comment>
    <comment ref="O95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oprema- 195.000</t>
        </r>
      </text>
    </comment>
    <comment ref="P95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deponij-150.000
ex.ambul.-159.250</t>
        </r>
      </text>
    </comment>
    <comment ref="Q95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ex.ambul.-159.250</t>
        </r>
      </text>
    </comment>
    <comment ref="R95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ex.ambul.-159.250</t>
        </r>
      </text>
    </comment>
    <comment ref="W95" authorId="0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Stara ambulanta
</t>
        </r>
      </text>
    </comment>
    <comment ref="AT95" authorId="0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fond deponij
</t>
        </r>
      </text>
    </comment>
    <comment ref="L9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Most Vrboska</t>
        </r>
      </text>
    </comment>
    <comment ref="M9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Most Vrboska</t>
        </r>
      </text>
    </comment>
    <comment ref="N9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most Vrb.-300.000</t>
        </r>
      </text>
    </comment>
    <comment ref="O9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most Vrb.-300.000</t>
        </r>
      </text>
    </comment>
    <comment ref="P9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Q9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R9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L14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Vrtić-535.000
Knjižnica-15.000
Muzej-15.000</t>
        </r>
      </text>
    </comment>
    <comment ref="M14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Vrtić-535.000
Knjižnica-15.000
Muzej-15.000</t>
        </r>
      </text>
    </comment>
    <comment ref="N14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Vrtić-700.000
Knjižnica-15.000
Muzej-5.000</t>
        </r>
      </text>
    </comment>
    <comment ref="O14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Vrtić-700.000
Knjižnica-15.000
Muzej-5.000</t>
        </r>
      </text>
    </comment>
    <comment ref="P14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Vrtić-745.000
Knjižnica-15.000
Muzej-10.000</t>
        </r>
      </text>
    </comment>
    <comment ref="Q14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Vrtić-105.000
Knjižnica-2.000
Muzej-6.000</t>
        </r>
      </text>
    </comment>
    <comment ref="R14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Vrtić-105.000
Knjižnica-2.000
Muzej-6.000</t>
        </r>
      </text>
    </comment>
    <comment ref="W148" authorId="0">
      <text>
        <r>
          <rPr>
            <sz val="9"/>
            <color indexed="81"/>
            <rFont val="Tahoma"/>
            <family val="2"/>
            <charset val="238"/>
          </rPr>
          <t xml:space="preserve">
Vrtić-121.000
Knjižnica-2.000
Muzej-6.000</t>
        </r>
      </text>
    </comment>
    <comment ref="AT148" authorId="0">
      <text>
        <r>
          <rPr>
            <sz val="9"/>
            <color indexed="81"/>
            <rFont val="Tahoma"/>
            <family val="2"/>
            <charset val="238"/>
          </rPr>
          <t xml:space="preserve">
Vrtić-135.000
Knjižnica-2.000
Muzej-6.000</t>
        </r>
      </text>
    </comment>
    <comment ref="L159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UPU Gromin D.
UPU Raskovica</t>
        </r>
      </text>
    </comment>
    <comment ref="M159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UPU Gromin D.
UPU Raskovica</t>
        </r>
      </text>
    </comment>
    <comment ref="N159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UPU </t>
        </r>
      </text>
    </comment>
    <comment ref="O159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UPU </t>
        </r>
      </text>
    </comment>
    <comment ref="P159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UPU </t>
        </r>
      </text>
    </comment>
    <comment ref="Q159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UPU </t>
        </r>
      </text>
    </comment>
    <comment ref="R159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UPU </t>
        </r>
      </text>
    </comment>
    <comment ref="N16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Hrv.vode</t>
        </r>
      </text>
    </comment>
    <comment ref="O16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Hrv.vode</t>
        </r>
      </text>
    </comment>
    <comment ref="P16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Hrv.vode
</t>
        </r>
      </text>
    </comment>
    <comment ref="Q16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Hrv.vode
</t>
        </r>
      </text>
    </comment>
    <comment ref="R168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Hrv.vode
</t>
        </r>
      </text>
    </comment>
    <comment ref="P17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1450x220=319.000
+ 101.000</t>
        </r>
      </text>
    </comment>
    <comment ref="Q17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1450x220=319.000
+ 101.000</t>
        </r>
      </text>
    </comment>
    <comment ref="R17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1450x220=319.000
+ 101.000</t>
        </r>
      </text>
    </comment>
    <comment ref="AU39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Načelnik?
</t>
        </r>
      </text>
    </comment>
    <comment ref="S457" authorId="0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klime</t>
        </r>
      </text>
    </comment>
    <comment ref="S459" authorId="0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umo neurofeedback
</t>
        </r>
      </text>
    </comment>
    <comment ref="AU459" authorId="0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40000 oprema ex ambulanta
48000 oprema vrtić
</t>
        </r>
      </text>
    </comment>
    <comment ref="AU483" authorId="0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1% por na doh
5% por na promet
</t>
        </r>
      </text>
    </comment>
    <comment ref="W512" authorId="0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za sezonce 20000
</t>
        </r>
      </text>
    </comment>
    <comment ref="L57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Min.-500.000
Lučka u.-500.000
tur.prist.-120.000
SDŽ-200.000</t>
        </r>
      </text>
    </comment>
    <comment ref="M57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Min.-500.000
Lučka u.-500.000
tur.prist.-120.000
SDŽ-200.000</t>
        </r>
      </text>
    </comment>
    <comment ref="P583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trg Fabrio Vrb.-37.660</t>
        </r>
      </text>
    </comment>
    <comment ref="Q583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trg Fabrio Vrb.-35.660</t>
        </r>
      </text>
    </comment>
    <comment ref="R583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trg Fabrio Vrb.-35.660</t>
        </r>
      </text>
    </comment>
    <comment ref="L584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Lag-400.000</t>
        </r>
      </text>
    </comment>
    <comment ref="M584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Lag-400.000</t>
        </r>
      </text>
    </comment>
    <comment ref="N584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SDŽ-100.000</t>
        </r>
      </text>
    </comment>
    <comment ref="O584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SDŽ-100.000</t>
        </r>
      </text>
    </comment>
    <comment ref="P591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Sidrišta Soline i Zečevo</t>
        </r>
      </text>
    </comment>
    <comment ref="Q591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Mul Pokrvenik-20.000
Pontoni-20.000</t>
        </r>
      </text>
    </comment>
    <comment ref="R591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Mul Pokrvenik-20.000
Pontoni-20.000</t>
        </r>
      </text>
    </comment>
    <comment ref="AU59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Šetnica Šćedro
</t>
        </r>
      </text>
    </comment>
    <comment ref="N59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SDŽ-120.000</t>
        </r>
      </text>
    </comment>
    <comment ref="O59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SDŽ-120.000</t>
        </r>
      </text>
    </comment>
    <comment ref="L63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Jelsa plus-oborinska od.</t>
        </r>
      </text>
    </comment>
    <comment ref="M63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Jelsa plus-oborinska od.</t>
        </r>
      </text>
    </comment>
    <comment ref="N63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Jelsa plus-oborinska od.</t>
        </r>
      </text>
    </comment>
    <comment ref="O63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Jelsa plus-oborinska od.</t>
        </r>
      </text>
    </comment>
    <comment ref="P63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Jelsa plus-oborinska od.</t>
        </r>
      </text>
    </comment>
    <comment ref="Q63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Jelsa plus-oborinska od.</t>
        </r>
      </text>
    </comment>
    <comment ref="R63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Jelsa plus-oborinska od.</t>
        </r>
      </text>
    </comment>
    <comment ref="N641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suf.75%FZOEU-1.500.000</t>
        </r>
      </text>
    </comment>
    <comment ref="O641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suf.75%FZOEU-1.500.000</t>
        </r>
      </text>
    </comment>
    <comment ref="P641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suf.75%FZOEU-150.000</t>
        </r>
      </text>
    </comment>
    <comment ref="Q641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suf.75%FZOEU-150.000</t>
        </r>
      </text>
    </comment>
    <comment ref="R641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suf.75%FZOEU-150.000</t>
        </r>
      </text>
    </comment>
    <comment ref="P759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FZOEU-159.000</t>
        </r>
      </text>
    </comment>
    <comment ref="Q759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FZOEU-159.000</t>
        </r>
      </text>
    </comment>
    <comment ref="R759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FZOEU-159.000</t>
        </r>
      </text>
    </comment>
    <comment ref="P76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Flag-199.000
</t>
        </r>
      </text>
    </comment>
    <comment ref="Q76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Flag-498.000
</t>
        </r>
      </text>
    </comment>
    <comment ref="R76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Flag-498.000
</t>
        </r>
      </text>
    </comment>
    <comment ref="L83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TZJ-290.000
TZV-50.000</t>
        </r>
      </text>
    </comment>
    <comment ref="M83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TZJ-290.000
TZV-50.000</t>
        </r>
      </text>
    </comment>
    <comment ref="Q83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TZ Jelsa 80.000
TZ Vrboska - 7.000</t>
        </r>
      </text>
    </comment>
    <comment ref="R836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TZ Jelsa 80.000
TZ Vrboska - 7.000</t>
        </r>
      </text>
    </comment>
    <comment ref="AU850" authorId="0">
      <text>
        <r>
          <rPr>
            <b/>
            <sz val="9"/>
            <color indexed="81"/>
            <rFont val="Tahoma"/>
            <family val="2"/>
            <charset val="238"/>
          </rPr>
          <t>mzaninovic:</t>
        </r>
        <r>
          <rPr>
            <sz val="9"/>
            <color indexed="81"/>
            <rFont val="Tahoma"/>
            <family val="2"/>
            <charset val="238"/>
          </rPr>
          <t xml:space="preserve">
fzoeu
</t>
        </r>
      </text>
    </comment>
    <comment ref="L1165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monografija o Jelsi-50.000
edukativni pr.-27.000</t>
        </r>
      </text>
    </comment>
    <comment ref="M1165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monografija o Jelsi-50.000
edukativni pr.-27.000</t>
        </r>
      </text>
    </comment>
    <comment ref="N1165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Rib.muzej,privr.-10.000
radionice-10.000</t>
        </r>
      </text>
    </comment>
    <comment ref="O1165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Rib.muzej,privr.-10.000
radionice-10.000</t>
        </r>
      </text>
    </comment>
    <comment ref="P1165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Rib.muzej,privr.-10.000
radionice-10.000</t>
        </r>
      </text>
    </comment>
    <comment ref="L121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zgrada-1.578.476
sred.min.-1.500.000
projekt okoliš-18.750</t>
        </r>
      </text>
    </comment>
    <comment ref="M121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zgrada-1.578.476
sred.min.-1.500.000
projekt okoliš-18.750</t>
        </r>
      </text>
    </comment>
    <comment ref="N121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okoliš-450.000
projekt okoliš-18.750
Nadzor-18.730
interijer-100.000</t>
        </r>
      </text>
    </comment>
    <comment ref="O121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okoliš-450.000
projekt okoliš-18.750
Nadzor-18.730
interijer-100.000</t>
        </r>
      </text>
    </comment>
    <comment ref="P121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okoliš-450.000
projekt okoliš-18.750
Nadzor-18.730
interijer-100.000</t>
        </r>
      </text>
    </comment>
    <comment ref="Q121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okoliš-450.000
projekt okoliš-18.750
Nadzor-18.730
interijer-100.000</t>
        </r>
      </text>
    </comment>
    <comment ref="R1217" authorId="1">
      <text>
        <r>
          <rPr>
            <b/>
            <sz val="10"/>
            <color indexed="81"/>
            <rFont val="Tahoma"/>
            <family val="2"/>
            <charset val="238"/>
          </rPr>
          <t>User:</t>
        </r>
        <r>
          <rPr>
            <sz val="10"/>
            <color indexed="81"/>
            <rFont val="Tahoma"/>
            <family val="2"/>
            <charset val="238"/>
          </rPr>
          <t xml:space="preserve">
okoliš-450.000
projekt okoliš-18.750
Nadzor-18.730
interijer-100.000</t>
        </r>
      </text>
    </comment>
  </commentList>
</comments>
</file>

<file path=xl/sharedStrings.xml><?xml version="1.0" encoding="utf-8"?>
<sst xmlns="http://schemas.openxmlformats.org/spreadsheetml/2006/main" count="1512" uniqueCount="916">
  <si>
    <t>I. OPĆI DIO</t>
  </si>
  <si>
    <t>A. RAČUN PRIHODA I RASHODA</t>
  </si>
  <si>
    <t>Prihodi poslovanja</t>
  </si>
  <si>
    <t>Prihodi od prodaje nefinancijske imovine</t>
  </si>
  <si>
    <t>Ukupno prihodi</t>
  </si>
  <si>
    <t>Rashodi poslovanja</t>
  </si>
  <si>
    <t>Rashodi za nabavu nefinancijske imovine</t>
  </si>
  <si>
    <t>Ukupno rashodi i izdaci</t>
  </si>
  <si>
    <t xml:space="preserve">Razlika </t>
  </si>
  <si>
    <t>PRIHODI</t>
  </si>
  <si>
    <t>Kto</t>
  </si>
  <si>
    <t>UKUPNO PRIHODI</t>
  </si>
  <si>
    <t>PRIHODI POSLOVANJA</t>
  </si>
  <si>
    <t>PRIHODI OD POREZA</t>
  </si>
  <si>
    <t>Porez i prirez na dohodak</t>
  </si>
  <si>
    <t>Por.i pr.na dohodak od nesamost.rada</t>
  </si>
  <si>
    <t>Por.i pr.na dohodak od samostalnih djelat.</t>
  </si>
  <si>
    <t>Por.i pr.na dohodak od imovine i imov.prava</t>
  </si>
  <si>
    <t>Por.i pr.na dohodak od kapitala</t>
  </si>
  <si>
    <t>Por.i pr.na dohodak-god.prijava</t>
  </si>
  <si>
    <t>Por.i pr.na dohodak - nadzor</t>
  </si>
  <si>
    <t>POREZI NA IMOVINU</t>
  </si>
  <si>
    <t>Stalni porezi na nepokretnu imovinu</t>
  </si>
  <si>
    <t>Porez na kuće za odmor</t>
  </si>
  <si>
    <t>Porez na korištenje javnih površina</t>
  </si>
  <si>
    <t>Povremeni porezi na imovinu</t>
  </si>
  <si>
    <t>Porez na promet nekretnina</t>
  </si>
  <si>
    <t>POREZI NA ROBU I USLUGE</t>
  </si>
  <si>
    <t>Porez na promet</t>
  </si>
  <si>
    <t>Porez na potrošnju</t>
  </si>
  <si>
    <t>Porez na kor.dobara ili izvođenje aktivnosti</t>
  </si>
  <si>
    <t>Porez na tvrtku odnosno naziv</t>
  </si>
  <si>
    <t>POMOĆI</t>
  </si>
  <si>
    <t>POMOĆI IZ PRORAČUNA</t>
  </si>
  <si>
    <t>Tekuće pomoći iz proračuna</t>
  </si>
  <si>
    <t>Tekuće pomoći iz državnog proračuna</t>
  </si>
  <si>
    <t>Tekuće pomoći iz županijskog proračuna</t>
  </si>
  <si>
    <t>Kapitalne pomoći iz proračuna</t>
  </si>
  <si>
    <t>Kapitalne pomoći iz državnog proračuna</t>
  </si>
  <si>
    <t>Kapitalne pomoći iz županijskog proračuna</t>
  </si>
  <si>
    <t>POMOĆI OD OST. OST.SUBJ.UNUTAR O. DRŽ.</t>
  </si>
  <si>
    <t>PRIHODI OD IMOVINE</t>
  </si>
  <si>
    <t>PRIHODI OD FINANCIJSKE IMOVINE</t>
  </si>
  <si>
    <t>Kamate na oroč.sred. i depozite po viđenju</t>
  </si>
  <si>
    <t>Kamate na depozite po viđenju</t>
  </si>
  <si>
    <t>Prihodi od zateznih kamata</t>
  </si>
  <si>
    <t>Prihodi od dobiti trg.dr.,banaka i ost.fin.inst.</t>
  </si>
  <si>
    <t>Prihodi od dobiti trgovačkih dr.u javnom sektoru</t>
  </si>
  <si>
    <t>PRIHODI OD NEFINANCIJSKE IMOVINE</t>
  </si>
  <si>
    <t>Naknada za koncesije</t>
  </si>
  <si>
    <t>Naknada za koncesiju na pomorskom dobru</t>
  </si>
  <si>
    <t>Naknade za ostale koncesije</t>
  </si>
  <si>
    <t>Prihodi od zakupa i iznajmljivanja imovine</t>
  </si>
  <si>
    <t>Prihodi od zakupa poslovnih objekata</t>
  </si>
  <si>
    <t>PRIHODI OD PRODAJE ROBA I USLUGA</t>
  </si>
  <si>
    <t>ADMINISTRATIVNE (UPRAVNE) PRISTOJBE</t>
  </si>
  <si>
    <t>Državne upravne i sudske pristojbe</t>
  </si>
  <si>
    <t>Državne upravne pristojbe</t>
  </si>
  <si>
    <t>Ostale pristojbe</t>
  </si>
  <si>
    <t>Prihodi od boravišne pristojbe - TZ O.Jelsa</t>
  </si>
  <si>
    <t>Prihodi od boravišne pristojbe - TZ mj.Vrboska</t>
  </si>
  <si>
    <t>PRIHODI PO POSEBNIM PROPISIMA</t>
  </si>
  <si>
    <t>Prihodi vodoprivrede</t>
  </si>
  <si>
    <t>Vodni doprinos</t>
  </si>
  <si>
    <t>Doprinosi za šume</t>
  </si>
  <si>
    <t>Ostali nespomenuti prihodi</t>
  </si>
  <si>
    <t>KOMUNALNI DOPRINOSI I NAKNADE</t>
  </si>
  <si>
    <t>Komunalni doprinos</t>
  </si>
  <si>
    <t>Komunalna naknada</t>
  </si>
  <si>
    <t>OSTALI PRIHODI</t>
  </si>
  <si>
    <t>DONACIJE OD PRAVNIH I FIZIČKIH OSOBA</t>
  </si>
  <si>
    <t>Tekuće donacije</t>
  </si>
  <si>
    <t>Kapitalne donacije</t>
  </si>
  <si>
    <t>KAZNE, UPRAVNE MJERE I OSTALI PRIHODI</t>
  </si>
  <si>
    <t>KAZNE I UPRAVNE MJERE</t>
  </si>
  <si>
    <t>Ostale kazne</t>
  </si>
  <si>
    <t>Ostali prihodi</t>
  </si>
  <si>
    <t>PRIHODI OD PRODAJE NEFINANC.IMOVINE</t>
  </si>
  <si>
    <t>PR.OD PRODAJE NEPROIZV.IMOVINE</t>
  </si>
  <si>
    <t>PR.OD PRODAJE MATERIJALNE IMOVINE</t>
  </si>
  <si>
    <t>Zemljište</t>
  </si>
  <si>
    <t>Prihodi od prodaje građevinskog zemljišta</t>
  </si>
  <si>
    <t>PR.OD PRODAJE PROIZVEDENE IMOVINE</t>
  </si>
  <si>
    <t>PR.OD PRODAJE GRAĐEVINSKIH OBJEKATA</t>
  </si>
  <si>
    <t>Stambeni objekti</t>
  </si>
  <si>
    <t>Pr.od prod.stanova za koje postoji stanarsko p.</t>
  </si>
  <si>
    <t>Pr.od prod.ostalih stambenih objekata</t>
  </si>
  <si>
    <t>Poslovni objekti</t>
  </si>
  <si>
    <t>Prihodi od prod.ost.građevinskih objekata</t>
  </si>
  <si>
    <t>Ostali građevinski objekti</t>
  </si>
  <si>
    <t>Ostali nesp.građevinski objekti</t>
  </si>
  <si>
    <t>RASHODI</t>
  </si>
  <si>
    <t xml:space="preserve">Rashodi
</t>
  </si>
  <si>
    <t>UKUPNO RASHODI</t>
  </si>
  <si>
    <t>RASHODI POSLOVANJA</t>
  </si>
  <si>
    <t>RASHODI ZA ZAPOSLENE</t>
  </si>
  <si>
    <t>Plaće</t>
  </si>
  <si>
    <t>Plaće za redovan rad</t>
  </si>
  <si>
    <t>Plaće za prekovremeni rad</t>
  </si>
  <si>
    <t>Ostali rashodi za zaposlene</t>
  </si>
  <si>
    <t>Doprinosi na plaće</t>
  </si>
  <si>
    <t>Doprinosi za zdravstveno osiguranje</t>
  </si>
  <si>
    <t>Doprinosi za zapošljavanje</t>
  </si>
  <si>
    <t>MATERIJALNI RASHODI</t>
  </si>
  <si>
    <t>Naknade troškova zaposlenima</t>
  </si>
  <si>
    <t>Službena putovanja</t>
  </si>
  <si>
    <t>Nakn.za prijevoz, rad na terenu i odvojeni život</t>
  </si>
  <si>
    <t>Stručno usavršavanje zaposlenika</t>
  </si>
  <si>
    <t>Rashodi za materijal i energiju</t>
  </si>
  <si>
    <t>Uredski materijal i ostali materijalni rashodi</t>
  </si>
  <si>
    <t>Energija</t>
  </si>
  <si>
    <t>Mat.i dijelovi za tek.i investicijsko održavanje</t>
  </si>
  <si>
    <t>Sitan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</si>
  <si>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</si>
  <si>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</si>
  <si>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</si>
  <si>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</si>
  <si>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</si>
  <si>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</si>
  <si>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Veterinarske usluge</t>
  </si>
  <si>
    <t>Intelektualne i osobne usluge</t>
  </si>
  <si>
    <t>Računalne usluge</t>
  </si>
  <si>
    <t>Ostale usluge</t>
  </si>
  <si>
    <t>Ostali nespomenuti rashodi poslovanja</t>
  </si>
  <si>
    <t>Nak.za rad predstavničkih i izvr.tijela, povj.i sl.</t>
  </si>
  <si>
    <t>Premije osiguranja</t>
  </si>
  <si>
    <t>Reprezentacija</t>
  </si>
  <si>
    <t>Članarine</t>
  </si>
  <si>
    <t>FINANCIJSKI RASHODI</t>
  </si>
  <si>
    <t>Ostali financijski rashodi</t>
  </si>
  <si>
    <t>Bankarske usluge i usluge platnog prometa</t>
  </si>
  <si>
    <t>Negativne tečajne razlike</t>
  </si>
  <si>
    <t>Zatezne kamate iz poslovnih odnosa</t>
  </si>
  <si>
    <t>Ostali nespomenuti financijski rashodi</t>
  </si>
  <si>
    <t>SUBVENCIJE</t>
  </si>
  <si>
    <t>Subv.trg.dr.,poljopr. i obrt.izvan jav.sekt.</t>
  </si>
  <si>
    <t>Subv.poljoprivrednicima i obrtnicima</t>
  </si>
  <si>
    <t>POMOĆI DANE U INOZ.I UNUTAR O.PRORAČ.</t>
  </si>
  <si>
    <t>Pomoći unutar općeg proračuna</t>
  </si>
  <si>
    <t>Tekuće pomoći unutar općeg proračuna</t>
  </si>
  <si>
    <t>NAKNADE GRAĐANIMA I KUĆANSTVIMA</t>
  </si>
  <si>
    <t>Ost.naknade građanima i kuć.iz proračuna</t>
  </si>
  <si>
    <t>Naknade građanima i kućanstvima u novcu</t>
  </si>
  <si>
    <t>Naknade građanima i kućanstvima u naravi</t>
  </si>
  <si>
    <t>OSTALI RASHODI</t>
  </si>
  <si>
    <t>Tekuće donacije u novcu</t>
  </si>
  <si>
    <t>Tekuće donacije u naravi</t>
  </si>
  <si>
    <t>Kapitalne donacije neprofitnim organizacijama</t>
  </si>
  <si>
    <t>Kazne, penali i naknade štete</t>
  </si>
  <si>
    <t>Naknade štete pravnim i fizičkim osobama</t>
  </si>
  <si>
    <t>Izvanredni rashodi</t>
  </si>
  <si>
    <t>Nepredviđeni rash.do visine prorač.pričuve</t>
  </si>
  <si>
    <t>Kapitalne pomoći</t>
  </si>
  <si>
    <t>Kapit.pom.kred.i ost.fin.in.te trg.dr.u javnom sek.</t>
  </si>
  <si>
    <t>RASHODI ZA NABAVU NEFINANC. IMOVINE</t>
  </si>
  <si>
    <t>RASH.ZA NAB.PROIZV.DUGOTRAJ.IMOVINE</t>
  </si>
  <si>
    <t>Građevinski objekti</t>
  </si>
  <si>
    <t>Ceste, želj. i ostali prometni objekti</t>
  </si>
  <si>
    <t>Postrojenja i oprema</t>
  </si>
  <si>
    <t>Uredska oprema i namještaj</t>
  </si>
  <si>
    <t>Komunikacijska oprema</t>
  </si>
  <si>
    <t>Uređaji, strojevi i oprema za ost.namjene</t>
  </si>
  <si>
    <t>Knjige, umjetnička djela i ost.izložb.vrijednosti</t>
  </si>
  <si>
    <t>Knjige</t>
  </si>
  <si>
    <t>Nematerijalna proizv. Imovina</t>
  </si>
  <si>
    <t>Ulaganja u računalne programe</t>
  </si>
  <si>
    <t>Umjetnička, literarna i znanstvena djela</t>
  </si>
  <si>
    <t>RASHODI ZA DOD. ULAGANJA NA NEFIN.IMOV.</t>
  </si>
  <si>
    <t>Dodatna ulag.na građevinskim objektima</t>
  </si>
  <si>
    <t>II. POSEBNI DIO</t>
  </si>
  <si>
    <t>Poz.</t>
  </si>
  <si>
    <t>Funkc.</t>
  </si>
  <si>
    <t>Račun</t>
  </si>
  <si>
    <t>Naziv računa</t>
  </si>
  <si>
    <t>JEDINSTVENA UPRAVA,</t>
  </si>
  <si>
    <t>PREDSTAVNIČKA I IZVRŠNA TIJELA</t>
  </si>
  <si>
    <t>OPĆINSKO VIJEĆE, NAČELNIK</t>
  </si>
  <si>
    <t>Aktivnost: Rad općinske uprave i administracije</t>
  </si>
  <si>
    <t>PLAĆE</t>
  </si>
  <si>
    <t>001-1</t>
  </si>
  <si>
    <t>OSTALI RASHODI ZA ZAPOSLENE</t>
  </si>
  <si>
    <t>DOPRINOSI NA PLAĆE</t>
  </si>
  <si>
    <t>Doprinosi za zdravstveno osig.</t>
  </si>
  <si>
    <t>NAKNADE TROŠKOVA ZAPOSL.</t>
  </si>
  <si>
    <t>Naknade za prijevoz</t>
  </si>
  <si>
    <t>008-1</t>
  </si>
  <si>
    <t>Korištenje priv.autom.u sl.svrhe</t>
  </si>
  <si>
    <t>RASHODI ZA MATERIJAL I ENER.</t>
  </si>
  <si>
    <t>Uredski mat.i ostali mat.rashodi</t>
  </si>
  <si>
    <t>Mat. i dij.za tek.i invest.održ.</t>
  </si>
  <si>
    <t>Sitan inventar</t>
  </si>
  <si>
    <t>RASHODI ZA USLUGE</t>
  </si>
  <si>
    <t>Usluge tek.i investicij.održavanja</t>
  </si>
  <si>
    <t>OSTALI NESP.RASHODI POSL.</t>
  </si>
  <si>
    <t>Aktivnost: Opće usluge i pričuva</t>
  </si>
  <si>
    <t>125-1</t>
  </si>
  <si>
    <t>Zakupnine zemljišta</t>
  </si>
  <si>
    <t>125-2</t>
  </si>
  <si>
    <t>Najamnine poslovnih prostora</t>
  </si>
  <si>
    <t>OSTALI NESPOM.RASH.POSL.</t>
  </si>
  <si>
    <t>Nakn.za rad pred.i izvrš.tijela, povjeren.i sl.</t>
  </si>
  <si>
    <t>122-1</t>
  </si>
  <si>
    <t>Rashodi za ''Dan općine''</t>
  </si>
  <si>
    <t>126-8</t>
  </si>
  <si>
    <t>Rashodi za javna priznanja</t>
  </si>
  <si>
    <t>129-6</t>
  </si>
  <si>
    <t>Rashodi za darove OŠ Jelsa</t>
  </si>
  <si>
    <t>Ostali nesp.rashodi poslovanja</t>
  </si>
  <si>
    <t>KAZNE, PENALI I NAKNADE ŠTETE</t>
  </si>
  <si>
    <t>127-8</t>
  </si>
  <si>
    <t>Naknade šteta pravnim i fizičkim osobama</t>
  </si>
  <si>
    <t>IZVANREDNI RASHODI</t>
  </si>
  <si>
    <t>K.projekt: Opremanje i informatizacija</t>
  </si>
  <si>
    <t>RASHODI ZA NAB.NEF.IMOVINE</t>
  </si>
  <si>
    <t>PROIZV.DUGOTRAJNA IMOVINA</t>
  </si>
  <si>
    <t>POSTROJENJA I OPREMA</t>
  </si>
  <si>
    <t>029-1</t>
  </si>
  <si>
    <t>Oprema za ostale namjene</t>
  </si>
  <si>
    <t>NEMATERIJALNA PR.IMOVINA</t>
  </si>
  <si>
    <t>Ulaganja u računarske programe</t>
  </si>
  <si>
    <t>Aktivnost: Financijski poslovi</t>
  </si>
  <si>
    <t>OSTALI FINANCIJSKI RASHODI</t>
  </si>
  <si>
    <t>Bankarske usluge i usl.pl.prometa</t>
  </si>
  <si>
    <t>128-1</t>
  </si>
  <si>
    <t>Zatezne kamate iz posl.odnosa</t>
  </si>
  <si>
    <t>127-7</t>
  </si>
  <si>
    <t>Rashodi za usl.porezne uprave</t>
  </si>
  <si>
    <t>128-3</t>
  </si>
  <si>
    <t>128-2</t>
  </si>
  <si>
    <t>Aktivnost: Potpora održav. reda i sigurnosti</t>
  </si>
  <si>
    <t>OSTALE USLUGE</t>
  </si>
  <si>
    <t>Aktivnost: Protupožarna i civilna zaštita</t>
  </si>
  <si>
    <t>OSTALI RASHODI POSLOVANJA</t>
  </si>
  <si>
    <t>127-4</t>
  </si>
  <si>
    <t>128-4</t>
  </si>
  <si>
    <t>Rashodi za civilnu zaštitu</t>
  </si>
  <si>
    <t>TEKUĆE DONACIJE</t>
  </si>
  <si>
    <t>Donacije DVD-ima - % prorač.prihoda</t>
  </si>
  <si>
    <t>158-1</t>
  </si>
  <si>
    <t>Donacije DVD-u Jelsa</t>
  </si>
  <si>
    <t>K.projekt: Izgradnja objekata protupož.zaštite</t>
  </si>
  <si>
    <t>RASHODI ZA NAB.NEFIN.IMOVINE</t>
  </si>
  <si>
    <t>RASH.ZA NAB.PR.DUGOTR.IMOV.</t>
  </si>
  <si>
    <t>GRAĐEVINSKI OBJEKTI</t>
  </si>
  <si>
    <t>Aktivnost: Poticaji poljoprivred.,obrt. i malim poduzet.</t>
  </si>
  <si>
    <t>SUBV.TRG.DR.,POLJOPR.I OBRTN.IZVAN J.SEKT.</t>
  </si>
  <si>
    <t>SDŽ-Fond za razvoj poljoprivrede</t>
  </si>
  <si>
    <t>175-4</t>
  </si>
  <si>
    <t>Aktivnost: Održavanje cesta i javnih površina</t>
  </si>
  <si>
    <t>RASHODI ZA MAT.I ENERGIJU</t>
  </si>
  <si>
    <t>078-0</t>
  </si>
  <si>
    <t>Mat.i dij.za održavanje</t>
  </si>
  <si>
    <t>Mat.i dij.za održ.-Jelsa</t>
  </si>
  <si>
    <t>Mat.i dij.za održ.-Vrboska</t>
  </si>
  <si>
    <t>Mat.i dij.za održ.-Zavala</t>
  </si>
  <si>
    <t>Mat.i dij.za održ.-I.Dolac</t>
  </si>
  <si>
    <t>Mat.i dij.za održ.-Svirče</t>
  </si>
  <si>
    <t>Mat.i dij.za održ.-Pitve</t>
  </si>
  <si>
    <t>Mat.i dij.za održ.-Vrisnik</t>
  </si>
  <si>
    <t>Mat.i dij.za održ.-Poljica</t>
  </si>
  <si>
    <t>Mat.i dij.za održ.-Zastražišće</t>
  </si>
  <si>
    <t>Mat.i dij.za održ.-Gdinj</t>
  </si>
  <si>
    <t>Usl.tek.i inv.održ.cesta</t>
  </si>
  <si>
    <t>098-0</t>
  </si>
  <si>
    <t>102-0</t>
  </si>
  <si>
    <t>Ost.usl.tekućeg i investicijskog održavanja</t>
  </si>
  <si>
    <t>102-2</t>
  </si>
  <si>
    <t>Usl.rekonstr.kanala oborinske odvodnje</t>
  </si>
  <si>
    <t>102-1</t>
  </si>
  <si>
    <t>Geodetske usluge</t>
  </si>
  <si>
    <t>Aktivnost: Održavanje pomorskog dobra</t>
  </si>
  <si>
    <t>098-4</t>
  </si>
  <si>
    <t>096-1</t>
  </si>
  <si>
    <t xml:space="preserve">Geodetsko-katastarske usl. </t>
  </si>
  <si>
    <t>K.projekt: Izgradnja cesta i jav.površina</t>
  </si>
  <si>
    <t>KAPITALNE POMOĆI</t>
  </si>
  <si>
    <t>172-1</t>
  </si>
  <si>
    <t>172-4</t>
  </si>
  <si>
    <t>172-0</t>
  </si>
  <si>
    <t>RASHODI ZA NAB.PROIZV.DUGOTR.IMOVINE</t>
  </si>
  <si>
    <t>186-2</t>
  </si>
  <si>
    <t>186-3</t>
  </si>
  <si>
    <t>Izgradnja trga i spom.križonoši Jelsa</t>
  </si>
  <si>
    <t>186-4</t>
  </si>
  <si>
    <t>172-3</t>
  </si>
  <si>
    <t>Aktivnost: Promicanje turizma</t>
  </si>
  <si>
    <t>120-5</t>
  </si>
  <si>
    <t>Ostali izdaci za promicanje turizma</t>
  </si>
  <si>
    <t>K. Projekt: Program ''Etno-eko''</t>
  </si>
  <si>
    <t>KAPITALNE DONACIJE</t>
  </si>
  <si>
    <t>120-8</t>
  </si>
  <si>
    <t>Udruga ''Humac''-za obnovu sela ''Humac''</t>
  </si>
  <si>
    <t>Aktivnost: Čišćenje, deratizacija i dezinsekcija</t>
  </si>
  <si>
    <t>Deratizacija i dezinsekcija</t>
  </si>
  <si>
    <t>112-1</t>
  </si>
  <si>
    <t>Čišć.javnih površina-Jelsa i Vrboska</t>
  </si>
  <si>
    <t>113-1</t>
  </si>
  <si>
    <t>Ostale komunalne usluge</t>
  </si>
  <si>
    <t>113-3</t>
  </si>
  <si>
    <t>113-4</t>
  </si>
  <si>
    <t>Izrada plana gospodarenja otpadom</t>
  </si>
  <si>
    <t>K.projekt: Izgr.objekata i kupnja opreme za zaštitu okoliša</t>
  </si>
  <si>
    <t>179-2</t>
  </si>
  <si>
    <t>171-1</t>
  </si>
  <si>
    <t>RASHODI ZA NAB. PR.DUG.IMOVINE</t>
  </si>
  <si>
    <t>Aktivnost: Izrada planova</t>
  </si>
  <si>
    <t>116-2</t>
  </si>
  <si>
    <t>Geodetsko-katastarske usluge</t>
  </si>
  <si>
    <t>RASHODI ZA PR.DUG.IMOVINU</t>
  </si>
  <si>
    <t>NEMAT.PROIZVEDENA IMOVINA</t>
  </si>
  <si>
    <t>Prostorni planovi i studije</t>
  </si>
  <si>
    <t>K.projekt: Opskrba vodom - razvoj mreže</t>
  </si>
  <si>
    <t>Aktivnost: Održavanje javne rasvjete</t>
  </si>
  <si>
    <t>RASHODI ZA MAT. I ENERGIJU</t>
  </si>
  <si>
    <t>Usluge tek.i inv.održ.jav.rasvjete</t>
  </si>
  <si>
    <t>K.projekt: Postavljanje javne rasvjete</t>
  </si>
  <si>
    <t>Aktivnost: Održavanje parkova i zelenih površina</t>
  </si>
  <si>
    <t>097-1</t>
  </si>
  <si>
    <t>Usl.tek.i inv.održ.parkova</t>
  </si>
  <si>
    <t>Aktivnost: Opskrba vodom za javne potrebe</t>
  </si>
  <si>
    <t>Opskrba vodom</t>
  </si>
  <si>
    <t xml:space="preserve">Aktivnost: Održavanje zgrada </t>
  </si>
  <si>
    <t>Mat.i dij.za tek.i inv.održ.zgrada</t>
  </si>
  <si>
    <t>Usl.tek.i inv.održ.zgrada</t>
  </si>
  <si>
    <t>RASH.ZA NAB.NEFIN.IMOVINE</t>
  </si>
  <si>
    <t>RASH.ZA NAB.PR.DUG.IMOVINE</t>
  </si>
  <si>
    <t>K.projekt: Uređenje groblja</t>
  </si>
  <si>
    <t>090-8</t>
  </si>
  <si>
    <t>Izgradnja groblja</t>
  </si>
  <si>
    <t>Aktivnost: Izdaci za zdravstvenu djelatnost</t>
  </si>
  <si>
    <t>OST.NESPOM.RASHODI POSLOVANJA</t>
  </si>
  <si>
    <t>135-4</t>
  </si>
  <si>
    <t>Ostali izdaci za zdravstvenu djelatnost</t>
  </si>
  <si>
    <t>Aktivnost: Donacije za zdravstvenu djelatnost</t>
  </si>
  <si>
    <t>Klub žena ''Vita pharos'' Jelsa</t>
  </si>
  <si>
    <t>139-1</t>
  </si>
  <si>
    <t>Ostale donacije za zdravstvenu djelatnost</t>
  </si>
  <si>
    <t>RASH.ZA NAB.NEF.IMOVINE</t>
  </si>
  <si>
    <t>Aktivnost: Tekuće donacije sportskim udrugama</t>
  </si>
  <si>
    <t>098-3</t>
  </si>
  <si>
    <t>Tekuće donacije sportskim društ.</t>
  </si>
  <si>
    <t>Šahovski klub Jelsa</t>
  </si>
  <si>
    <t>Veslački klub Jelsa</t>
  </si>
  <si>
    <t>Rukometni klub Jelsa</t>
  </si>
  <si>
    <t>NK Jelsa - redovna djelatnost</t>
  </si>
  <si>
    <t>NK Vrisnik</t>
  </si>
  <si>
    <t>NK ''Sošk'' Svirče</t>
  </si>
  <si>
    <t>NK ''Vatra'' Poljica</t>
  </si>
  <si>
    <t>Ostale sportske aktivnosti</t>
  </si>
  <si>
    <t>Aktivnost: Muzejska djelatnost</t>
  </si>
  <si>
    <t>Najamnina za Ribarski muzej Vrb.</t>
  </si>
  <si>
    <t>Aktivnost: Ostale kulturne aktivnosti</t>
  </si>
  <si>
    <t>OSTALI NESP.RASHODI POSLOVANJA</t>
  </si>
  <si>
    <t>114-4</t>
  </si>
  <si>
    <t>126-6</t>
  </si>
  <si>
    <t>127-3</t>
  </si>
  <si>
    <t>114-3</t>
  </si>
  <si>
    <t>Ostale kulturne aktivnosti</t>
  </si>
  <si>
    <t>POMOĆI UNUTAR OPĆEG PRORAČUNA</t>
  </si>
  <si>
    <t>Grad Stari Grad-sufinanc. ''Agencije Polje''</t>
  </si>
  <si>
    <t>Aktivnost: Održavanje spomenika kulture</t>
  </si>
  <si>
    <t>Usl.održ.crkve tvrđave Vrboska</t>
  </si>
  <si>
    <t>109-1</t>
  </si>
  <si>
    <t>Aktivnost: Donacije ustanovama i udrug. u kulturi</t>
  </si>
  <si>
    <t>Matica Hrvatska o.Jelsa</t>
  </si>
  <si>
    <t>DPKB Vrboska</t>
  </si>
  <si>
    <t>162-1</t>
  </si>
  <si>
    <t xml:space="preserve">Udruga ''Humac'' </t>
  </si>
  <si>
    <t>162-3</t>
  </si>
  <si>
    <t>Ostale donacije za kulturu</t>
  </si>
  <si>
    <t>162-4</t>
  </si>
  <si>
    <t>KUD Jelsa</t>
  </si>
  <si>
    <t>Aktivnost: Potpore vjerskim zajednicama</t>
  </si>
  <si>
    <t>Tekuće donacije vjerskim zaj.</t>
  </si>
  <si>
    <t>Aktivnost: Potpore političkim strankama</t>
  </si>
  <si>
    <t>141-1</t>
  </si>
  <si>
    <t>Političkim str.za zastup.u vijeću</t>
  </si>
  <si>
    <t>140-3</t>
  </si>
  <si>
    <t>Udruga maslinara</t>
  </si>
  <si>
    <t>140-5</t>
  </si>
  <si>
    <t>Aktivnost: Donacije školama</t>
  </si>
  <si>
    <t>Osnovna škola Jelsa</t>
  </si>
  <si>
    <t>Srednja škola o.Jelsa</t>
  </si>
  <si>
    <t>Aktivnost: Pomoći građanima i kućanstvima</t>
  </si>
  <si>
    <t>NAKNADE GRAĐANIMA I KUĆ.</t>
  </si>
  <si>
    <t>NAKN.GRAĐ.I KUĆ.IZ PRORAČ.</t>
  </si>
  <si>
    <t>Naknade građ.i kuć.u novcu</t>
  </si>
  <si>
    <t>Pomoć obiteljima i kućanstvima</t>
  </si>
  <si>
    <t>Pomoć invalidima i hendik.osob.</t>
  </si>
  <si>
    <t>Naknade građ.i kuć.u naravi</t>
  </si>
  <si>
    <t>Stanovanje</t>
  </si>
  <si>
    <t>Aktivnost: Donacije org.i udrugama socijalne skrbi</t>
  </si>
  <si>
    <t>Crveni križ Hvar</t>
  </si>
  <si>
    <t>165-1</t>
  </si>
  <si>
    <t>Udruga slijepih SDŽ</t>
  </si>
  <si>
    <t>165-2</t>
  </si>
  <si>
    <t>Udruga gluhih SDŽ</t>
  </si>
  <si>
    <t>165-3</t>
  </si>
  <si>
    <t>HVIDR-a o.Hvar-Stari Grad</t>
  </si>
  <si>
    <t>165-4</t>
  </si>
  <si>
    <t>U.osoba s invalid.o.Hvara</t>
  </si>
  <si>
    <t>DJEČJI VRTIĆ JELSA</t>
  </si>
  <si>
    <t>Aktivnost: Odgojno i administrat.tehničko osoblje</t>
  </si>
  <si>
    <t>Doprinos za zapošljavanje</t>
  </si>
  <si>
    <t>NAKNADE TROŠK.ZAPOSLENIMA</t>
  </si>
  <si>
    <t>037-1</t>
  </si>
  <si>
    <t>RASHODI ZA MATERIJAL I ENERGIJU</t>
  </si>
  <si>
    <t>Mat. i djelovi za tek. i inv. održavanje</t>
  </si>
  <si>
    <t>038-2</t>
  </si>
  <si>
    <t>Mat.za djecu s posebnim potrebama</t>
  </si>
  <si>
    <t>038-1</t>
  </si>
  <si>
    <t>Usl.tek.i invest.održavanja</t>
  </si>
  <si>
    <t>Aktivnost: Darovi djeci</t>
  </si>
  <si>
    <t>Tekuće donacije za dječje darove</t>
  </si>
  <si>
    <t>K.projekt: Nabavka opreme</t>
  </si>
  <si>
    <t>043-1</t>
  </si>
  <si>
    <t>OPĆINSKA KNJIŽNICA I ČITAONICA JELSA</t>
  </si>
  <si>
    <t>Aktivnost: Izvršna tijela i administracija</t>
  </si>
  <si>
    <t>NAKNADA TROŠKOVA ZAPOSL.</t>
  </si>
  <si>
    <t>Uredski mat. i ost.mat.izdaci</t>
  </si>
  <si>
    <t>Usluge telefona, pošte</t>
  </si>
  <si>
    <t>Usl.tekućeg održavanja opreme</t>
  </si>
  <si>
    <t>Usluge platnog prometa</t>
  </si>
  <si>
    <t>K.projekt: Nabava i izgradnja objekata i opreme</t>
  </si>
  <si>
    <t>RASH.ZA NAB.PROIZV.DUG.IM.</t>
  </si>
  <si>
    <t>KNJIGE, UMJ.DJ.I OST.VRIJ.</t>
  </si>
  <si>
    <t>069</t>
  </si>
  <si>
    <t>Knjige u knjižnicama</t>
  </si>
  <si>
    <t>RASH.ZA DOD.ULAG.NA NEF.IMOVINI</t>
  </si>
  <si>
    <t>DOD.ULAGANJA NA GRAĐ.OBJEKTIMA</t>
  </si>
  <si>
    <t>066</t>
  </si>
  <si>
    <t>Izgradnja knjižnice</t>
  </si>
  <si>
    <t>MUZEJ OPĆINE JELSA</t>
  </si>
  <si>
    <t>K.projekt: Nabava opreme</t>
  </si>
  <si>
    <t>Mat. za tekuće održavanje</t>
  </si>
  <si>
    <t>KAMATE ZA PRIMLJENE KREDITE I ZAJMOVE</t>
  </si>
  <si>
    <t>Kam.za primlj.kred.od kred.i fin.instit.izvan j.s.</t>
  </si>
  <si>
    <t>Kamate za primljene kredite i zajmove</t>
  </si>
  <si>
    <t>K.projekt: Potic.korištenja obnovlj.izvora energije u kućan.</t>
  </si>
  <si>
    <t>Kapitalne donacije građanima i kućanstvima</t>
  </si>
  <si>
    <t>140-7</t>
  </si>
  <si>
    <t>021-1</t>
  </si>
  <si>
    <t>Zdravstvene i vet.usluge</t>
  </si>
  <si>
    <t>Prihodi od iznajmljivanja stamb.objekata</t>
  </si>
  <si>
    <t>025</t>
  </si>
  <si>
    <t>Pristojbe i naknade</t>
  </si>
  <si>
    <t>'Jelkom''-za opremu</t>
  </si>
  <si>
    <t>Udruga Trim-Vrboska</t>
  </si>
  <si>
    <t>Naknada za korištenje nefinancijske imovine</t>
  </si>
  <si>
    <t>Ostali prihodi od nefinancijske imovine</t>
  </si>
  <si>
    <t>Ost.prih.od nefin.imovine-nakn.za legalizaciju</t>
  </si>
  <si>
    <t>Udruga Lantina Vrboska</t>
  </si>
  <si>
    <t>162-5</t>
  </si>
  <si>
    <t>162-6</t>
  </si>
  <si>
    <t>Dalmatinska klapa Kaštilac Vrboska</t>
  </si>
  <si>
    <t>113-5</t>
  </si>
  <si>
    <t>Čišćenje plaža</t>
  </si>
  <si>
    <t>189-2</t>
  </si>
  <si>
    <t>K.projekt: Izgradnja doma za starije i nemoćne</t>
  </si>
  <si>
    <t>Aktivnost: Održavanje objekata</t>
  </si>
  <si>
    <t>Aktivnost: Održavanje pokretnih kulturnih dobara</t>
  </si>
  <si>
    <t>039-1</t>
  </si>
  <si>
    <t>Zdravstvene usluge</t>
  </si>
  <si>
    <t>Zdravstvene i veterinarske usluge</t>
  </si>
  <si>
    <t>162-7</t>
  </si>
  <si>
    <t>Pjevačko društvo Jelšonski kantaduri</t>
  </si>
  <si>
    <t>Udruga Hvarski vinari</t>
  </si>
  <si>
    <t>Ostale donacije za socijalnu skrb</t>
  </si>
  <si>
    <t>Usl.tek.i inv.održavanja igrališta i dvorane</t>
  </si>
  <si>
    <t>RAZDJEL 001</t>
  </si>
  <si>
    <t>00101</t>
  </si>
  <si>
    <t xml:space="preserve">I JEDINSTVENI UPRAVNI ODJEL            30419 </t>
  </si>
  <si>
    <t>G.PROGRAM A01</t>
  </si>
  <si>
    <t>Program 1001 - Izvršna uprava i administracija</t>
  </si>
  <si>
    <t>A100001</t>
  </si>
  <si>
    <t>A100002</t>
  </si>
  <si>
    <t>K100003</t>
  </si>
  <si>
    <t>Program 1002 - Izvršavanje financijskih obveza</t>
  </si>
  <si>
    <t>Program 1003 - Javni red i sigurnost</t>
  </si>
  <si>
    <t>Program 1004 - Poticaj razvoju poduzetništva</t>
  </si>
  <si>
    <t>Program 1005 - Održ.i izgr.cesta, luka i jav.pov.</t>
  </si>
  <si>
    <t>K100004</t>
  </si>
  <si>
    <t>Program 1006 - Promicanje i razvoj turizma</t>
  </si>
  <si>
    <t>K100002</t>
  </si>
  <si>
    <t xml:space="preserve">Program 1007 - Zaštita okoliša </t>
  </si>
  <si>
    <t>Program 1008 - Unapređ.stanovanja i zajednice</t>
  </si>
  <si>
    <t>A100003</t>
  </si>
  <si>
    <t>K100010</t>
  </si>
  <si>
    <t>A100005</t>
  </si>
  <si>
    <t>A100006</t>
  </si>
  <si>
    <t>A100007</t>
  </si>
  <si>
    <t>K100009</t>
  </si>
  <si>
    <t>Program 1009 - Unapređenje zdravstva</t>
  </si>
  <si>
    <t>Program 1010 - Poticaj unapređ. i razvoju sporta</t>
  </si>
  <si>
    <t>Program 1011 -Donac.i program.djelat.u kulturi</t>
  </si>
  <si>
    <t>A100004</t>
  </si>
  <si>
    <t>Program 1012 -Religijske i druge službe zajednice</t>
  </si>
  <si>
    <t>Program 1013 - Unapređenje školstava</t>
  </si>
  <si>
    <t>Program 1014 - Socijalna skrb i socijalne pomoći</t>
  </si>
  <si>
    <t>00102</t>
  </si>
  <si>
    <t>G.PROGRAM B01</t>
  </si>
  <si>
    <t>Program 1001 - Predškolski odgoj</t>
  </si>
  <si>
    <t>00103</t>
  </si>
  <si>
    <t>30427</t>
  </si>
  <si>
    <t>G.PROGRAM C01</t>
  </si>
  <si>
    <t>Program 1001 - Knjižnička djelatnost</t>
  </si>
  <si>
    <t>00104</t>
  </si>
  <si>
    <t>47220</t>
  </si>
  <si>
    <t>G.PROGRAM D01</t>
  </si>
  <si>
    <t>Program 1001 - Muzejska djelatnost</t>
  </si>
  <si>
    <t>Udruga Prijatelji otoka Šćedro</t>
  </si>
  <si>
    <t>128-9</t>
  </si>
  <si>
    <t>199-1</t>
  </si>
  <si>
    <t>Usl.tek.i inv.održavanja plaža i luka</t>
  </si>
  <si>
    <t>Tek.pomoći od ost.subj.unutar općeg prorač.</t>
  </si>
  <si>
    <t>Kapit.pomoći od ost.subj.unutar općeg pror.</t>
  </si>
  <si>
    <t>Tek.pomoći od HZZ-a</t>
  </si>
  <si>
    <t>021-2</t>
  </si>
  <si>
    <t>Nakn.troškova osobama izvan radnog odnosa</t>
  </si>
  <si>
    <t>NAKN.TR.OSOBAMA IZVAN RAD.ODNOSA</t>
  </si>
  <si>
    <t>Nakn.troškova osobama izvan rad.odnosa</t>
  </si>
  <si>
    <t>124-1</t>
  </si>
  <si>
    <t>124-2</t>
  </si>
  <si>
    <t>K100001</t>
  </si>
  <si>
    <t>Rashodi za prijateljske općine</t>
  </si>
  <si>
    <t>Kapitalne pomoći - Fond za zaštitu okoliša</t>
  </si>
  <si>
    <t>Kapitalne pomoći -Lučka uprava SDŽ</t>
  </si>
  <si>
    <t>NEMAT.PROIZV.IMOVINA</t>
  </si>
  <si>
    <t>Ulaganja u račun.programe</t>
  </si>
  <si>
    <t>Bankarske usluge i usl.platnog prometa</t>
  </si>
  <si>
    <t>Medicinska i laboratorijska oprema</t>
  </si>
  <si>
    <t xml:space="preserve">GLAVA </t>
  </si>
  <si>
    <t>125-3</t>
  </si>
  <si>
    <t>053-1</t>
  </si>
  <si>
    <t>Mat.i dijelovi za tek.i invest.održavanje</t>
  </si>
  <si>
    <t>054-1</t>
  </si>
  <si>
    <t>062-1</t>
  </si>
  <si>
    <t>Ostale nespomenute usluge</t>
  </si>
  <si>
    <t>OSTALI NESPOMENUTI RASH. POSLOVANJA</t>
  </si>
  <si>
    <t>Ost.nespomenuti rashodi poslovanja</t>
  </si>
  <si>
    <t>UHBDDR - Jelsa</t>
  </si>
  <si>
    <t>Udruga obrtnika otoka Hvara</t>
  </si>
  <si>
    <t>Udruga veterana Mj.odred ''Zvir''-otok Hvar</t>
  </si>
  <si>
    <t>142-1</t>
  </si>
  <si>
    <t>142-2</t>
  </si>
  <si>
    <t>162-9</t>
  </si>
  <si>
    <t>Udruga ''Karnevol Jelsa'' -Jelsa</t>
  </si>
  <si>
    <t>067</t>
  </si>
  <si>
    <t>Aktivnost: Održavanje sportskih objekata</t>
  </si>
  <si>
    <t>GLAVA</t>
  </si>
  <si>
    <t>Nepredviđeni rash.-pror.zaliha</t>
  </si>
  <si>
    <t>Intelektualne usluge-izrada projekata</t>
  </si>
  <si>
    <t>Rash.za izr.planova i dr.struč.poslove</t>
  </si>
  <si>
    <t>Doprinos za zdravstveno osig.</t>
  </si>
  <si>
    <t>Sufin.za izd.knjiga</t>
  </si>
  <si>
    <t>Izvršeno</t>
  </si>
  <si>
    <t>Jelkom''-za san.deponija</t>
  </si>
  <si>
    <t>Kapit.donacije građ.i kućan.</t>
  </si>
  <si>
    <t>Kapitalne pomoći-Žup.uprava za ceste</t>
  </si>
  <si>
    <t>125-4</t>
  </si>
  <si>
    <t>Intel.usl.-elaborat katastra vodova EKI</t>
  </si>
  <si>
    <t>POMOĆI DANE U INOZ.I UNUT. O.PRORAČ.</t>
  </si>
  <si>
    <t>K.projekt: Sufin.gradnje i opremanja škola</t>
  </si>
  <si>
    <t>POMOĆI PRORAČ.KORISN.DR.PRORAČUNA</t>
  </si>
  <si>
    <t>Kapit.pomoći prorač.korisnicima dr.proračuna</t>
  </si>
  <si>
    <t>Pomoći prorač.korisnicima dr.proračuna</t>
  </si>
  <si>
    <t>164-2</t>
  </si>
  <si>
    <t>Tek.pomoći prorač.korisnicima dr.proračuna</t>
  </si>
  <si>
    <t>Tek. pomoći prorač.korisnicima dr.proračuna</t>
  </si>
  <si>
    <t>Program 1016 - Unapređenje predškolskog odgoja</t>
  </si>
  <si>
    <t>K.projekt: Izgradnja dječjeg vrtića Jelsa</t>
  </si>
  <si>
    <t>RASHODI ZA NAB.PROIZV.DUGOTR.IMOV.</t>
  </si>
  <si>
    <t>RASHODI ZA NAB.NEFINANC.IMOVINE</t>
  </si>
  <si>
    <t>200</t>
  </si>
  <si>
    <t>Izgradnja dječjeg vrtića u Jelsi</t>
  </si>
  <si>
    <t>165-8</t>
  </si>
  <si>
    <t>026-1</t>
  </si>
  <si>
    <t>Rashodi za radionice</t>
  </si>
  <si>
    <t>026-2</t>
  </si>
  <si>
    <t>Rashodi za el.priključke</t>
  </si>
  <si>
    <t>Deponij Prapatna</t>
  </si>
  <si>
    <t>179-8</t>
  </si>
  <si>
    <t>179-7</t>
  </si>
  <si>
    <t>Ostala oprema</t>
  </si>
  <si>
    <t>POMOĆI PRORAČ.KORISNICIMA DR.PRORAČ.</t>
  </si>
  <si>
    <t>162-0</t>
  </si>
  <si>
    <t>Klapa Veli Kamik Svirče</t>
  </si>
  <si>
    <t>140-0</t>
  </si>
  <si>
    <t>158-3</t>
  </si>
  <si>
    <t>Donacije Hrv.gorskoj sl.spašavanja Split</t>
  </si>
  <si>
    <t>Aktivnost: Potpore ostalim udrugama i org.</t>
  </si>
  <si>
    <t>Ostale potpore udrugama i org.</t>
  </si>
  <si>
    <t>142-3</t>
  </si>
  <si>
    <t>Ekološka udruga za održivi razvoj Jelsa</t>
  </si>
  <si>
    <t>Kapit.pom. iz drž.prorač.-porez na doh.-otoci</t>
  </si>
  <si>
    <t>Zbirka Juraj Dobrović</t>
  </si>
  <si>
    <t>Zbirka Marina Franičevića u Vrisniku</t>
  </si>
  <si>
    <t xml:space="preserve">Premije osiguranja </t>
  </si>
  <si>
    <t>Aktivnost: Izložbe</t>
  </si>
  <si>
    <t>Uredski mat.i ost.materijalni rashodi</t>
  </si>
  <si>
    <t>Materijal i sirovine</t>
  </si>
  <si>
    <t>Usl.telefona, pošte i prijevoza</t>
  </si>
  <si>
    <t>Usl.promidžbe i informiranja</t>
  </si>
  <si>
    <t>OST. NESPOMENUTI RASHODI POSLOVANJA</t>
  </si>
  <si>
    <t>214-1</t>
  </si>
  <si>
    <t>214-2</t>
  </si>
  <si>
    <t>058-1</t>
  </si>
  <si>
    <t>132-1</t>
  </si>
  <si>
    <t>Pomoć umirovljenicima</t>
  </si>
  <si>
    <t>OPĆINSKOG VIJEĆA</t>
  </si>
  <si>
    <t>Aktivnost: Ost.materijalni i fin.rashodi</t>
  </si>
  <si>
    <t>Oprema za održ.i zaštitu</t>
  </si>
  <si>
    <t>Ost.nakn.za kor.nef.imovine-EKI</t>
  </si>
  <si>
    <t>229-1</t>
  </si>
  <si>
    <t>030-1</t>
  </si>
  <si>
    <t>Medicinska oprema</t>
  </si>
  <si>
    <t>Prihodi od zakupa poljoprivred.zemljišta</t>
  </si>
  <si>
    <t>090-9</t>
  </si>
  <si>
    <t xml:space="preserve">    PREDSJEDNIK</t>
  </si>
  <si>
    <t>014-1</t>
  </si>
  <si>
    <t>Služb.,radna i zaštitna odjeća i obuća</t>
  </si>
  <si>
    <t>Služb.,radna i zašt.odjeća i obuć</t>
  </si>
  <si>
    <t>Ost.nespom.financ.rashodi</t>
  </si>
  <si>
    <t>Udruga Održivi otok, Jelsa</t>
  </si>
  <si>
    <t>Udruga ''Perle'' - Stari Grad</t>
  </si>
  <si>
    <t>139-2</t>
  </si>
  <si>
    <t>Udruga dijalizir.i transplatir.bol.SDŽ</t>
  </si>
  <si>
    <t>165-9</t>
  </si>
  <si>
    <t>161-2</t>
  </si>
  <si>
    <t>Proračun</t>
  </si>
  <si>
    <t>Članarina LAG Škoji</t>
  </si>
  <si>
    <t>K.projekt: Izgradnja sportskih objekata</t>
  </si>
  <si>
    <t>252-1</t>
  </si>
  <si>
    <t>252-2</t>
  </si>
  <si>
    <t>Ost.nespomen.rashodi</t>
  </si>
  <si>
    <t>229-2</t>
  </si>
  <si>
    <t>Rashodi za izbore</t>
  </si>
  <si>
    <t>169-1</t>
  </si>
  <si>
    <t>'Jelkom''-za reciklažno dvorište</t>
  </si>
  <si>
    <t>K100011</t>
  </si>
  <si>
    <t>RASHODI ZA NAB.PROIZVED.DUGOTR.IM.</t>
  </si>
  <si>
    <t>199-2</t>
  </si>
  <si>
    <t>K.projekt: Izgradnja objekata i postroj.obn.izvora energije</t>
  </si>
  <si>
    <t>Izgradnja javnih površina-otkup zem.,projekti</t>
  </si>
  <si>
    <t>251-1</t>
  </si>
  <si>
    <t>Zaštita i restauracija muzejske građe</t>
  </si>
  <si>
    <t>214-3</t>
  </si>
  <si>
    <t>Izgradnja objekata protupož.zaštite</t>
  </si>
  <si>
    <t>Obnova zgrade ''ex.Mašinoprojekt''</t>
  </si>
  <si>
    <t>K100012</t>
  </si>
  <si>
    <t>K.projekt: Obnova zgrade ''Društveni dom''</t>
  </si>
  <si>
    <t>Ostale subvencije poljopr.,obrt.i malim poduz.</t>
  </si>
  <si>
    <t>Izgr.doma za starije i nemoćne</t>
  </si>
  <si>
    <t>Izgr.dnevnog boravka za starije i nemoćne</t>
  </si>
  <si>
    <t>175-5</t>
  </si>
  <si>
    <t>Sufinanciranje manifest.''Noćnjak''</t>
  </si>
  <si>
    <t>134-1</t>
  </si>
  <si>
    <t>025-1</t>
  </si>
  <si>
    <t>Tr.sudskih postupaka</t>
  </si>
  <si>
    <t>Troškovi sudskih postupaka</t>
  </si>
  <si>
    <t>125-5</t>
  </si>
  <si>
    <t>Ostale opće usluge</t>
  </si>
  <si>
    <t>Prihodi od prodaje proizvoda i usluga</t>
  </si>
  <si>
    <t>Naknade tr.osobama izvan rad.odnosa</t>
  </si>
  <si>
    <t>Ostale naknade troškova zaposlenima</t>
  </si>
  <si>
    <t>Manjak prihoda od nefin.imovine - Općina Jelsa</t>
  </si>
  <si>
    <t>Višak prihoda poslovanja - Dječji vrtić Jelsa</t>
  </si>
  <si>
    <t>Reciklažno dvorište</t>
  </si>
  <si>
    <t>Izgr.sportskih objekata</t>
  </si>
  <si>
    <t>127-0</t>
  </si>
  <si>
    <t>189-3</t>
  </si>
  <si>
    <t>K.projekt: Sanacija vinogradarske zbirke Pitve</t>
  </si>
  <si>
    <t>RASH.ZA DOD.ULAG.NA NEFIN.IMOVINI</t>
  </si>
  <si>
    <t>DODATNA ULAG.NA GRAĐEV.OBJEKTIMA</t>
  </si>
  <si>
    <t>Sanacija vinogradarske zbirke Pitve</t>
  </si>
  <si>
    <t>Muzej križonoše Jelsa</t>
  </si>
  <si>
    <t>K100013</t>
  </si>
  <si>
    <t>K.projekt: Adriatic ribarski muzej</t>
  </si>
  <si>
    <t>Adriatic ribarski muzej</t>
  </si>
  <si>
    <t>Tekuće donacije građanima</t>
  </si>
  <si>
    <t>K100005</t>
  </si>
  <si>
    <t>K100006</t>
  </si>
  <si>
    <t>001-2</t>
  </si>
  <si>
    <t>Plaće za javne radove</t>
  </si>
  <si>
    <t>004-1</t>
  </si>
  <si>
    <t>Ost.rash.za zaposl.-javni radovi</t>
  </si>
  <si>
    <t>006-1</t>
  </si>
  <si>
    <t>Dopr.za zdr.o.-javni radovi</t>
  </si>
  <si>
    <t>007-1</t>
  </si>
  <si>
    <t>Dopr.za zapošlj.-javni radovi</t>
  </si>
  <si>
    <t>179-9</t>
  </si>
  <si>
    <t>091-1</t>
  </si>
  <si>
    <t>Prihodi od spom.rente</t>
  </si>
  <si>
    <t>Naknada za ekspl.miner.sirovina</t>
  </si>
  <si>
    <t>Prihodi od pozitivnih teč.razlika</t>
  </si>
  <si>
    <t>Ostali prihodi od zakupa i iznajmlj.imovine</t>
  </si>
  <si>
    <t>Sanacija kuće Dobrović</t>
  </si>
  <si>
    <t>091-2</t>
  </si>
  <si>
    <t>Izgradnja cesta-otkup zemljišta,projekti</t>
  </si>
  <si>
    <t>Izgradnja mosta u Vrboskoj</t>
  </si>
  <si>
    <t>K.projekt: Izgradnja luka,sidrišta</t>
  </si>
  <si>
    <t>Izgradnja luka,  sidrišta</t>
  </si>
  <si>
    <t>186-5</t>
  </si>
  <si>
    <t>128-5</t>
  </si>
  <si>
    <t>Izgradnja groblja-zemljište,projekti</t>
  </si>
  <si>
    <t>Suf.Doma zdravlja SDŽ</t>
  </si>
  <si>
    <t>Kapitalne pomoći školi</t>
  </si>
  <si>
    <t>Rashodi za skulpture</t>
  </si>
  <si>
    <t>Usl.tek.i inv.održ.-Jelsa,Vrboska,Zavala, I.Dol.</t>
  </si>
  <si>
    <t>186-6</t>
  </si>
  <si>
    <t>Izgradnja šetnice u Jelsi Kanun-Iga</t>
  </si>
  <si>
    <t>200-1</t>
  </si>
  <si>
    <t>Izgradnja dječjeg vrtića u Vrboskoj</t>
  </si>
  <si>
    <t>Kapit.pom.temeljem prij.EU sredstava</t>
  </si>
  <si>
    <t>Pomoći temeljem prij.EU sredstava</t>
  </si>
  <si>
    <t>Usl.tek.i invest.održavanja-za jaslice</t>
  </si>
  <si>
    <t>219-1</t>
  </si>
  <si>
    <t>2021.</t>
  </si>
  <si>
    <t>Manjak/višak prihoda posl. - Opć.knjižnica i čit.Jelsa</t>
  </si>
  <si>
    <t>Manjak/višak prihoda posl.- Muzej Općine Jelsa</t>
  </si>
  <si>
    <t>Prihodi od zamjene nekretnina-Jelkom</t>
  </si>
  <si>
    <t>K.projekt: Kupnja zemljišta</t>
  </si>
  <si>
    <t>NEPROIZV.DUGOTRAJNA IMOVINA</t>
  </si>
  <si>
    <t>MATERIJALNA IMOVINA-PRIRODNA BOGAT.</t>
  </si>
  <si>
    <t>RASH.ZA NAB.NEPROIZV.DUGOTRAJ.IM.</t>
  </si>
  <si>
    <t>Materijalna imovina-prirodna bogatstva</t>
  </si>
  <si>
    <t>Naknada za zemljište</t>
  </si>
  <si>
    <t>026-4</t>
  </si>
  <si>
    <t>Rashodi za zaštitu životinja</t>
  </si>
  <si>
    <t>031-1</t>
  </si>
  <si>
    <t>158-4</t>
  </si>
  <si>
    <t>164-3</t>
  </si>
  <si>
    <t>Ostale pomoći</t>
  </si>
  <si>
    <t>Donacije DVD-u Jelsa-za vatr.vozilo,oprema</t>
  </si>
  <si>
    <t>Grad,Galešnik</t>
  </si>
  <si>
    <t>026-5</t>
  </si>
  <si>
    <t>Elektrifikacija uvala Gdinj i Zastražišće</t>
  </si>
  <si>
    <t>135-5</t>
  </si>
  <si>
    <t>026-6</t>
  </si>
  <si>
    <t>Rashodi za legalizaciju infrastrukture</t>
  </si>
  <si>
    <t>2022.</t>
  </si>
  <si>
    <t>5/4</t>
  </si>
  <si>
    <t>Funkcijska klasifikacija</t>
  </si>
  <si>
    <t>01-Opće javne usluge</t>
  </si>
  <si>
    <t>02-Obrana</t>
  </si>
  <si>
    <t>03-Javni red i sigurnost</t>
  </si>
  <si>
    <t>04-Ekonomski poslovi</t>
  </si>
  <si>
    <t>05-Zaštita okoliša</t>
  </si>
  <si>
    <t>06-Usluge unapr.stanovanja i zajednice</t>
  </si>
  <si>
    <t>07-Zdravstvo</t>
  </si>
  <si>
    <t>08-Rekreacija, kultura i religija</t>
  </si>
  <si>
    <t>09-Obrazovanje</t>
  </si>
  <si>
    <t>10-Socijalna zaštita</t>
  </si>
  <si>
    <t>Kapitalne pomoći iz grad.proračuna</t>
  </si>
  <si>
    <t>114-5</t>
  </si>
  <si>
    <t>Grad Stari Grad-integr.proj.starogr.polja</t>
  </si>
  <si>
    <t>Doprinos za zapošljavanje os.s inval.</t>
  </si>
  <si>
    <t>Zajam Drž.pror.-po osn.povrata poreza na doh.-8471</t>
  </si>
  <si>
    <t>Zajam Drž.pro.-po osn.odgođ.pl. poreza na doh.-8471</t>
  </si>
  <si>
    <t>Povrat zajma Drž.pr.-po osn.povrata por.na doh.-5471</t>
  </si>
  <si>
    <t>Povrat zajma Drž.pr.-po osn.odg.pl. por.na doh.-5471</t>
  </si>
  <si>
    <t>2023.</t>
  </si>
  <si>
    <t>Sunčana elektrana ''Sportska dv.Pelinje''</t>
  </si>
  <si>
    <t>NEMATERIJALNA PROIZVEDENA IMOVINA</t>
  </si>
  <si>
    <t>K.projekt: Zaštita bioraznolikosti i krajolika</t>
  </si>
  <si>
    <t>179-0</t>
  </si>
  <si>
    <t>Za kanalizacijski sustav-oborinska odvodnja</t>
  </si>
  <si>
    <t>Knjižnični programi</t>
  </si>
  <si>
    <t>064-2</t>
  </si>
  <si>
    <t>235-1</t>
  </si>
  <si>
    <t>Nab. tradicijskog broda</t>
  </si>
  <si>
    <t>REPUBLIKA HRVATSKA</t>
  </si>
  <si>
    <t>SPLITSKO-DALMATINSKA ŽUPANIJA</t>
  </si>
  <si>
    <t xml:space="preserve">                                                                           </t>
  </si>
  <si>
    <t xml:space="preserve">       </t>
  </si>
  <si>
    <t>OPĆINA JELSA</t>
  </si>
  <si>
    <t>Općinsko vijeće</t>
  </si>
  <si>
    <t>Izgradnja luka-projektna dok.</t>
  </si>
  <si>
    <t>Gradske i opć.upravne pristojbe</t>
  </si>
  <si>
    <t>Manjak prihoda od nefin.imov. iz pr.god.-Općina Jelsa</t>
  </si>
  <si>
    <t>Višak prihoda iz pr.god.-prorač.korisnici</t>
  </si>
  <si>
    <t>4/2</t>
  </si>
  <si>
    <t>Jure Gurdulić dipl.oec.</t>
  </si>
  <si>
    <t>2024.</t>
  </si>
  <si>
    <t>109-2</t>
  </si>
  <si>
    <t>Usl.održ.kulturnih dobara</t>
  </si>
  <si>
    <t>091-3</t>
  </si>
  <si>
    <t>Obnova zgrade ''ex.stara ambulanta''</t>
  </si>
  <si>
    <t>Suf.nabavke zdr.opreme</t>
  </si>
  <si>
    <t>Izvršeno 2021.</t>
  </si>
  <si>
    <t>Ispravak rezultata posl.-povrat sred.Drž.proračun</t>
  </si>
  <si>
    <t>Reprezentacija-načelnik</t>
  </si>
  <si>
    <t>Reprezentacija-predsj.OV</t>
  </si>
  <si>
    <t>172-9</t>
  </si>
  <si>
    <t>Staza bioraznolikosti Jelsa</t>
  </si>
  <si>
    <t>Gradina</t>
  </si>
  <si>
    <t>Proračun  2023.</t>
  </si>
  <si>
    <t>€</t>
  </si>
  <si>
    <t>Proračun 2023.</t>
  </si>
  <si>
    <t>Izgradnja javnih površina</t>
  </si>
  <si>
    <t>K100015</t>
  </si>
  <si>
    <t>K.projekt: Otkup zgrade HZJZ u Jelsi</t>
  </si>
  <si>
    <t>090-32</t>
  </si>
  <si>
    <t>Otkup zgrade HZJZ u Jelsi</t>
  </si>
  <si>
    <t>Zgrada društv.doma Gdinj</t>
  </si>
  <si>
    <t>Zgrada Pitve</t>
  </si>
  <si>
    <t>Vrboska-javni WC i tuševi</t>
  </si>
  <si>
    <t>Ostale općinske zgrade</t>
  </si>
  <si>
    <t>'Hv.vodovod''-sufinanc.</t>
  </si>
  <si>
    <t>Igralište Vrisnik</t>
  </si>
  <si>
    <t>Jelsa-Pelinje</t>
  </si>
  <si>
    <t>Suf.radnih bilj. za OŠ</t>
  </si>
  <si>
    <t>Održavanje objekata</t>
  </si>
  <si>
    <t>Izvršeno  2022.</t>
  </si>
  <si>
    <t>'Jelkom''-za ceste</t>
  </si>
  <si>
    <t>'Jelkom'' - izgr.trga i spom.križonoši Jelsa</t>
  </si>
  <si>
    <t>Stipendije učenicima i studentima</t>
  </si>
  <si>
    <t>Izvršeno 2022.</t>
  </si>
  <si>
    <t>Rashodi za kulturno-zab.manifestacije TZ</t>
  </si>
  <si>
    <t>Rash.za kult.-zab.manifest.</t>
  </si>
  <si>
    <t>Manjak/višak prihoda  iz preth. god.</t>
  </si>
  <si>
    <t>Manjak/višak prihoda za prij u sljedeće razd.</t>
  </si>
  <si>
    <t>Izmjene  2023.</t>
  </si>
  <si>
    <t>Izmjene 2023.</t>
  </si>
  <si>
    <t>Izmjene</t>
  </si>
  <si>
    <t>'Jelkom''-za javnu rasvjetu</t>
  </si>
  <si>
    <t>kn</t>
  </si>
  <si>
    <t>Izvršeno 2023.</t>
  </si>
  <si>
    <t>Column12</t>
  </si>
  <si>
    <t>Izvršeno 2024.</t>
  </si>
  <si>
    <t>do 31.10.</t>
  </si>
  <si>
    <t>ostale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</si>
  <si>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</si>
  <si>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</si>
  <si>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</si>
  <si>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</si>
  <si>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</si>
  <si>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</si>
  <si>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</si>
  <si>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</si>
  <si>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</si>
  <si>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</si>
  <si>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</si>
  <si>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Column13</t>
  </si>
  <si>
    <t>Column14</t>
  </si>
  <si>
    <t>Column15</t>
  </si>
  <si>
    <t>Column16</t>
  </si>
  <si>
    <t>Column17</t>
  </si>
  <si>
    <t>Prihodi od prodaje ostalih zemljišta</t>
  </si>
  <si>
    <r>
      <rPr>
        <sz val="8"/>
        <rFont val="Arial"/>
        <family val="2"/>
        <charset val="238"/>
      </rPr>
      <t>Prihodi od bor. Prist. za noćenje na pl. obj</t>
    </r>
    <r>
      <rPr>
        <b/>
        <sz val="8"/>
        <rFont val="Arial"/>
        <family val="2"/>
      </rPr>
      <t>.</t>
    </r>
  </si>
  <si>
    <t>Proračun 2024</t>
  </si>
  <si>
    <t>Ribarski muzej- interijer</t>
  </si>
  <si>
    <t>Kuća Dobrović- interijer</t>
  </si>
  <si>
    <t>Izmjene 2024.</t>
  </si>
  <si>
    <t>Projekcija 2026.</t>
  </si>
  <si>
    <t>3/1</t>
  </si>
  <si>
    <t>4/3</t>
  </si>
  <si>
    <t>formula</t>
  </si>
  <si>
    <t>61-2</t>
  </si>
  <si>
    <t>61-3</t>
  </si>
  <si>
    <t>611-2</t>
  </si>
  <si>
    <t>611-3</t>
  </si>
  <si>
    <t>611-4</t>
  </si>
  <si>
    <t>611-5</t>
  </si>
  <si>
    <t>61-1</t>
  </si>
  <si>
    <t>61-4</t>
  </si>
  <si>
    <t>63-1</t>
  </si>
  <si>
    <t>63-3</t>
  </si>
  <si>
    <t>142-0</t>
  </si>
  <si>
    <t>135-0</t>
  </si>
  <si>
    <t>160-0</t>
  </si>
  <si>
    <t>146-0</t>
  </si>
  <si>
    <t>Izvršenje</t>
  </si>
  <si>
    <t>do 30.06.</t>
  </si>
  <si>
    <t>Prihodi od prodaje državnih biljega</t>
  </si>
  <si>
    <t>Kapit.pomoći od ost.subj.izvan općeg pror.</t>
  </si>
  <si>
    <t>Izgradnja Centra za upravljanje rizicima</t>
  </si>
  <si>
    <t>Porez na nekretnine</t>
  </si>
  <si>
    <t>Energetska učinkovitost DV Jelsa</t>
  </si>
  <si>
    <t>IZMJENE I DOPUNE PRORAČUNA OPĆINE JELSA ZA 2025.GOD.- OBRAZLOŽENJE</t>
  </si>
  <si>
    <t>202</t>
  </si>
  <si>
    <t>200-2</t>
  </si>
  <si>
    <t>Rebalans</t>
  </si>
  <si>
    <t>Projekcija 2027.</t>
  </si>
  <si>
    <t>3/2</t>
  </si>
  <si>
    <t>IND.</t>
  </si>
  <si>
    <t>1</t>
  </si>
  <si>
    <t>5</t>
  </si>
  <si>
    <t>6</t>
  </si>
  <si>
    <t>7</t>
  </si>
  <si>
    <t>2</t>
  </si>
  <si>
    <t>3</t>
  </si>
  <si>
    <t>52</t>
  </si>
  <si>
    <t>53</t>
  </si>
  <si>
    <t>54</t>
  </si>
  <si>
    <t>55</t>
  </si>
  <si>
    <t>73</t>
  </si>
  <si>
    <t>8</t>
  </si>
  <si>
    <t>9</t>
  </si>
  <si>
    <t>10</t>
  </si>
  <si>
    <t>11</t>
  </si>
  <si>
    <t>12</t>
  </si>
  <si>
    <t>13</t>
  </si>
  <si>
    <t>56</t>
  </si>
  <si>
    <t>77</t>
  </si>
  <si>
    <t>88</t>
  </si>
  <si>
    <t>99</t>
  </si>
  <si>
    <t>100</t>
  </si>
  <si>
    <t>101</t>
  </si>
  <si>
    <t>Donacija kućište za kameru za kontrolu brzine</t>
  </si>
  <si>
    <t>PO ORGANIZACIJSKOJ, PROGRAMSKOJ  I FUNKCIJSKOJ KLASIFIKACIJI</t>
  </si>
  <si>
    <t>KLASA:400-06/25-01/2</t>
  </si>
  <si>
    <t>URBROJ:2181-26-25-3</t>
  </si>
  <si>
    <t>PREDSJEDNIK</t>
  </si>
  <si>
    <t>Jure Gurdulić, dipl.oec.</t>
  </si>
  <si>
    <t xml:space="preserve">Jelsa, 28. srpnja 2025.g. </t>
  </si>
</sst>
</file>

<file path=xl/styles.xml><?xml version="1.0" encoding="utf-8"?>
<styleSheet xmlns="http://schemas.openxmlformats.org/spreadsheetml/2006/main">
  <numFmts count="2">
    <numFmt numFmtId="164" formatCode="[&lt;=999]0000;s\t\a\nd\a\rd"/>
    <numFmt numFmtId="165" formatCode="#,##0\ _k_n"/>
  </numFmts>
  <fonts count="33">
    <font>
      <sz val="10"/>
      <name val="Arial"/>
      <charset val="238"/>
    </font>
    <font>
      <b/>
      <sz val="8"/>
      <name val="Arial"/>
      <family val="2"/>
    </font>
    <font>
      <b/>
      <sz val="8"/>
      <name val="Arial Narrow"/>
      <family val="2"/>
    </font>
    <font>
      <b/>
      <sz val="8"/>
      <name val="Arial Narrow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</font>
    <font>
      <sz val="8"/>
      <name val="Arial Narrow"/>
      <family val="2"/>
    </font>
    <font>
      <sz val="8"/>
      <name val="Arial Narrow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10"/>
      <name val="Arial Narrow"/>
      <family val="2"/>
      <charset val="238"/>
    </font>
    <font>
      <b/>
      <sz val="10"/>
      <name val="Arial Narrow"/>
      <family val="2"/>
    </font>
    <font>
      <sz val="11"/>
      <name val="Palatino Linotype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6"/>
      <name val="Arial"/>
      <family val="2"/>
      <charset val="238"/>
    </font>
    <font>
      <b/>
      <sz val="6"/>
      <name val="Arial Narrow"/>
      <family val="2"/>
      <charset val="238"/>
    </font>
    <font>
      <sz val="6"/>
      <name val="Arial"/>
      <family val="2"/>
      <charset val="238"/>
    </font>
    <font>
      <sz val="6"/>
      <name val="Arial Narrow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Arial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9" fillId="0" borderId="0"/>
    <xf numFmtId="0" fontId="9" fillId="0" borderId="0"/>
  </cellStyleXfs>
  <cellXfs count="664">
    <xf numFmtId="0" fontId="0" fillId="0" borderId="0" xfId="0"/>
    <xf numFmtId="1" fontId="1" fillId="0" borderId="0" xfId="0" applyNumberFormat="1" applyFont="1"/>
    <xf numFmtId="0" fontId="1" fillId="0" borderId="0" xfId="0" applyFont="1"/>
    <xf numFmtId="0" fontId="2" fillId="0" borderId="0" xfId="0" applyFont="1"/>
    <xf numFmtId="0" fontId="3" fillId="0" borderId="0" xfId="0" applyFont="1"/>
    <xf numFmtId="1" fontId="5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" fontId="1" fillId="0" borderId="1" xfId="0" applyNumberFormat="1" applyFont="1" applyBorder="1"/>
    <xf numFmtId="1" fontId="1" fillId="0" borderId="2" xfId="0" applyNumberFormat="1" applyFont="1" applyBorder="1"/>
    <xf numFmtId="0" fontId="1" fillId="0" borderId="1" xfId="0" applyFont="1" applyBorder="1"/>
    <xf numFmtId="0" fontId="2" fillId="0" borderId="2" xfId="0" applyFont="1" applyBorder="1"/>
    <xf numFmtId="0" fontId="1" fillId="0" borderId="2" xfId="0" applyFont="1" applyBorder="1"/>
    <xf numFmtId="0" fontId="1" fillId="0" borderId="3" xfId="0" applyFont="1" applyBorder="1"/>
    <xf numFmtId="1" fontId="1" fillId="0" borderId="4" xfId="0" applyNumberFormat="1" applyFont="1" applyBorder="1"/>
    <xf numFmtId="0" fontId="1" fillId="0" borderId="5" xfId="0" applyFont="1" applyBorder="1"/>
    <xf numFmtId="0" fontId="2" fillId="0" borderId="4" xfId="0" applyFont="1" applyBorder="1"/>
    <xf numFmtId="0" fontId="1" fillId="0" borderId="4" xfId="0" applyFont="1" applyBorder="1"/>
    <xf numFmtId="0" fontId="1" fillId="0" borderId="6" xfId="0" applyFont="1" applyBorder="1" applyAlignment="1">
      <alignment horizontal="left"/>
    </xf>
    <xf numFmtId="1" fontId="1" fillId="0" borderId="7" xfId="0" applyNumberFormat="1" applyFont="1" applyBorder="1"/>
    <xf numFmtId="0" fontId="1" fillId="0" borderId="7" xfId="0" applyFont="1" applyBorder="1"/>
    <xf numFmtId="0" fontId="2" fillId="0" borderId="7" xfId="0" applyFont="1" applyBorder="1"/>
    <xf numFmtId="0" fontId="2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" fontId="1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" fontId="1" fillId="2" borderId="7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7" xfId="0" applyFont="1" applyFill="1" applyBorder="1"/>
    <xf numFmtId="1" fontId="5" fillId="0" borderId="7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7" xfId="0" applyFont="1" applyBorder="1"/>
    <xf numFmtId="1" fontId="1" fillId="3" borderId="7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7" xfId="0" applyFont="1" applyFill="1" applyBorder="1"/>
    <xf numFmtId="0" fontId="6" fillId="0" borderId="1" xfId="0" applyFont="1" applyBorder="1" applyAlignment="1">
      <alignment horizontal="left"/>
    </xf>
    <xf numFmtId="1" fontId="1" fillId="4" borderId="7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7" xfId="0" applyFont="1" applyFill="1" applyBorder="1"/>
    <xf numFmtId="1" fontId="1" fillId="0" borderId="7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" fontId="5" fillId="5" borderId="7" xfId="0" applyNumberFormat="1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5" borderId="7" xfId="0" applyFont="1" applyFill="1" applyBorder="1"/>
    <xf numFmtId="1" fontId="1" fillId="6" borderId="7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7" xfId="0" applyFont="1" applyFill="1" applyBorder="1"/>
    <xf numFmtId="1" fontId="5" fillId="0" borderId="7" xfId="0" applyNumberFormat="1" applyFont="1" applyBorder="1"/>
    <xf numFmtId="0" fontId="6" fillId="0" borderId="1" xfId="0" applyFont="1" applyBorder="1"/>
    <xf numFmtId="0" fontId="6" fillId="0" borderId="2" xfId="0" applyFont="1" applyBorder="1"/>
    <xf numFmtId="0" fontId="5" fillId="0" borderId="3" xfId="0" applyFont="1" applyBorder="1"/>
    <xf numFmtId="0" fontId="2" fillId="0" borderId="1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" fontId="5" fillId="2" borderId="7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1" fontId="1" fillId="0" borderId="7" xfId="0" applyNumberFormat="1" applyFont="1" applyBorder="1" applyAlignment="1">
      <alignment horizontal="center" wrapText="1"/>
    </xf>
    <xf numFmtId="1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8" xfId="0" applyFont="1" applyBorder="1"/>
    <xf numFmtId="0" fontId="2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" fontId="1" fillId="0" borderId="5" xfId="0" applyNumberFormat="1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6" fillId="0" borderId="7" xfId="0" applyFont="1" applyBorder="1"/>
    <xf numFmtId="0" fontId="2" fillId="0" borderId="7" xfId="0" applyFont="1" applyBorder="1" applyAlignment="1">
      <alignment horizontal="left"/>
    </xf>
    <xf numFmtId="0" fontId="1" fillId="0" borderId="12" xfId="0" applyFont="1" applyBorder="1"/>
    <xf numFmtId="0" fontId="1" fillId="0" borderId="7" xfId="0" applyFont="1" applyBorder="1" applyAlignment="1">
      <alignment horizontal="left"/>
    </xf>
    <xf numFmtId="1" fontId="1" fillId="2" borderId="11" xfId="0" applyNumberFormat="1" applyFont="1" applyFill="1" applyBorder="1"/>
    <xf numFmtId="1" fontId="1" fillId="2" borderId="0" xfId="0" applyNumberFormat="1" applyFont="1" applyFill="1"/>
    <xf numFmtId="0" fontId="1" fillId="2" borderId="8" xfId="0" applyFont="1" applyFill="1" applyBorder="1"/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1" fontId="5" fillId="2" borderId="13" xfId="0" applyNumberFormat="1" applyFont="1" applyFill="1" applyBorder="1"/>
    <xf numFmtId="1" fontId="5" fillId="2" borderId="12" xfId="0" applyNumberFormat="1" applyFont="1" applyFill="1" applyBorder="1"/>
    <xf numFmtId="0" fontId="2" fillId="2" borderId="12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12" xfId="0" applyFont="1" applyFill="1" applyBorder="1"/>
    <xf numFmtId="1" fontId="5" fillId="4" borderId="2" xfId="0" applyNumberFormat="1" applyFont="1" applyFill="1" applyBorder="1"/>
    <xf numFmtId="0" fontId="5" fillId="4" borderId="7" xfId="0" applyFont="1" applyFill="1" applyBorder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/>
    <xf numFmtId="1" fontId="5" fillId="3" borderId="2" xfId="0" applyNumberFormat="1" applyFont="1" applyFill="1" applyBorder="1"/>
    <xf numFmtId="0" fontId="5" fillId="3" borderId="7" xfId="0" applyFont="1" applyFill="1" applyBorder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5" fillId="5" borderId="7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164" fontId="6" fillId="0" borderId="3" xfId="0" applyNumberFormat="1" applyFont="1" applyBorder="1" applyAlignment="1">
      <alignment horizontal="left"/>
    </xf>
    <xf numFmtId="164" fontId="6" fillId="5" borderId="3" xfId="0" applyNumberFormat="1" applyFont="1" applyFill="1" applyBorder="1" applyAlignment="1">
      <alignment horizontal="left"/>
    </xf>
    <xf numFmtId="164" fontId="2" fillId="0" borderId="3" xfId="0" applyNumberFormat="1" applyFont="1" applyBorder="1" applyAlignment="1">
      <alignment horizontal="left"/>
    </xf>
    <xf numFmtId="164" fontId="6" fillId="0" borderId="6" xfId="0" applyNumberFormat="1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8" xfId="0" applyFont="1" applyBorder="1"/>
    <xf numFmtId="1" fontId="5" fillId="0" borderId="7" xfId="0" applyNumberFormat="1" applyFont="1" applyBorder="1" applyAlignment="1">
      <alignment horizontal="center"/>
    </xf>
    <xf numFmtId="164" fontId="6" fillId="5" borderId="14" xfId="0" applyNumberFormat="1" applyFont="1" applyFill="1" applyBorder="1" applyAlignment="1">
      <alignment horizontal="left"/>
    </xf>
    <xf numFmtId="0" fontId="5" fillId="5" borderId="15" xfId="0" applyFont="1" applyFill="1" applyBorder="1" applyAlignment="1">
      <alignment horizontal="left"/>
    </xf>
    <xf numFmtId="0" fontId="5" fillId="5" borderId="15" xfId="0" applyFont="1" applyFill="1" applyBorder="1"/>
    <xf numFmtId="164" fontId="6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1" fontId="5" fillId="3" borderId="7" xfId="0" applyNumberFormat="1" applyFont="1" applyFill="1" applyBorder="1" applyAlignment="1">
      <alignment horizontal="left"/>
    </xf>
    <xf numFmtId="164" fontId="2" fillId="3" borderId="2" xfId="0" applyNumberFormat="1" applyFont="1" applyFill="1" applyBorder="1" applyAlignment="1">
      <alignment horizontal="left"/>
    </xf>
    <xf numFmtId="164" fontId="6" fillId="0" borderId="7" xfId="0" applyNumberFormat="1" applyFont="1" applyBorder="1" applyAlignment="1">
      <alignment horizontal="left"/>
    </xf>
    <xf numFmtId="164" fontId="6" fillId="0" borderId="14" xfId="0" applyNumberFormat="1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5" xfId="0" applyFont="1" applyBorder="1"/>
    <xf numFmtId="0" fontId="6" fillId="0" borderId="7" xfId="0" applyFont="1" applyBorder="1" applyAlignment="1">
      <alignment horizontal="left"/>
    </xf>
    <xf numFmtId="1" fontId="1" fillId="5" borderId="7" xfId="0" applyNumberFormat="1" applyFont="1" applyFill="1" applyBorder="1" applyAlignment="1">
      <alignment horizontal="left"/>
    </xf>
    <xf numFmtId="164" fontId="2" fillId="5" borderId="3" xfId="0" applyNumberFormat="1" applyFont="1" applyFill="1" applyBorder="1" applyAlignment="1">
      <alignment horizontal="left"/>
    </xf>
    <xf numFmtId="164" fontId="2" fillId="3" borderId="12" xfId="0" applyNumberFormat="1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1" fillId="3" borderId="14" xfId="0" applyFont="1" applyFill="1" applyBorder="1"/>
    <xf numFmtId="1" fontId="5" fillId="4" borderId="7" xfId="0" applyNumberFormat="1" applyFont="1" applyFill="1" applyBorder="1" applyAlignment="1">
      <alignment horizontal="left"/>
    </xf>
    <xf numFmtId="164" fontId="2" fillId="4" borderId="2" xfId="0" applyNumberFormat="1" applyFont="1" applyFill="1" applyBorder="1" applyAlignment="1">
      <alignment horizontal="left"/>
    </xf>
    <xf numFmtId="164" fontId="2" fillId="3" borderId="14" xfId="0" applyNumberFormat="1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164" fontId="2" fillId="4" borderId="14" xfId="0" applyNumberFormat="1" applyFont="1" applyFill="1" applyBorder="1" applyAlignment="1">
      <alignment horizontal="left"/>
    </xf>
    <xf numFmtId="0" fontId="1" fillId="4" borderId="15" xfId="0" applyFont="1" applyFill="1" applyBorder="1" applyAlignment="1">
      <alignment horizontal="left"/>
    </xf>
    <xf numFmtId="0" fontId="1" fillId="4" borderId="15" xfId="0" applyFont="1" applyFill="1" applyBorder="1"/>
    <xf numFmtId="164" fontId="2" fillId="3" borderId="3" xfId="0" applyNumberFormat="1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5" fillId="0" borderId="1" xfId="0" applyFont="1" applyBorder="1"/>
    <xf numFmtId="164" fontId="2" fillId="4" borderId="3" xfId="0" applyNumberFormat="1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5" fillId="0" borderId="7" xfId="0" quotePrefix="1" applyFont="1" applyBorder="1"/>
    <xf numFmtId="164" fontId="2" fillId="0" borderId="7" xfId="0" applyNumberFormat="1" applyFont="1" applyBorder="1" applyAlignment="1">
      <alignment horizontal="left"/>
    </xf>
    <xf numFmtId="164" fontId="6" fillId="5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2" fillId="4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8" xfId="0" applyFont="1" applyFill="1" applyBorder="1"/>
    <xf numFmtId="1" fontId="5" fillId="5" borderId="7" xfId="0" applyNumberFormat="1" applyFont="1" applyFill="1" applyBorder="1"/>
    <xf numFmtId="164" fontId="6" fillId="0" borderId="15" xfId="0" applyNumberFormat="1" applyFont="1" applyBorder="1" applyAlignment="1">
      <alignment horizontal="left"/>
    </xf>
    <xf numFmtId="164" fontId="2" fillId="3" borderId="15" xfId="0" applyNumberFormat="1" applyFont="1" applyFill="1" applyBorder="1" applyAlignment="1">
      <alignment horizontal="left"/>
    </xf>
    <xf numFmtId="0" fontId="5" fillId="3" borderId="15" xfId="0" applyFont="1" applyFill="1" applyBorder="1" applyAlignment="1">
      <alignment horizontal="left"/>
    </xf>
    <xf numFmtId="0" fontId="5" fillId="3" borderId="15" xfId="0" applyFont="1" applyFill="1" applyBorder="1"/>
    <xf numFmtId="164" fontId="2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164" fontId="6" fillId="0" borderId="8" xfId="0" applyNumberFormat="1" applyFont="1" applyBorder="1" applyAlignment="1">
      <alignment horizontal="left"/>
    </xf>
    <xf numFmtId="164" fontId="2" fillId="4" borderId="7" xfId="0" applyNumberFormat="1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1" fontId="1" fillId="5" borderId="7" xfId="0" applyNumberFormat="1" applyFont="1" applyFill="1" applyBorder="1"/>
    <xf numFmtId="164" fontId="2" fillId="5" borderId="7" xfId="0" applyNumberFormat="1" applyFont="1" applyFill="1" applyBorder="1" applyAlignment="1">
      <alignment horizontal="left"/>
    </xf>
    <xf numFmtId="1" fontId="5" fillId="3" borderId="7" xfId="0" applyNumberFormat="1" applyFont="1" applyFill="1" applyBorder="1"/>
    <xf numFmtId="1" fontId="5" fillId="6" borderId="7" xfId="0" applyNumberFormat="1" applyFont="1" applyFill="1" applyBorder="1"/>
    <xf numFmtId="0" fontId="5" fillId="6" borderId="7" xfId="0" applyFont="1" applyFill="1" applyBorder="1" applyAlignment="1">
      <alignment horizontal="left"/>
    </xf>
    <xf numFmtId="164" fontId="2" fillId="4" borderId="15" xfId="0" applyNumberFormat="1" applyFont="1" applyFill="1" applyBorder="1" applyAlignment="1">
      <alignment horizontal="left"/>
    </xf>
    <xf numFmtId="0" fontId="5" fillId="4" borderId="15" xfId="0" applyFont="1" applyFill="1" applyBorder="1" applyAlignment="1">
      <alignment horizontal="left"/>
    </xf>
    <xf numFmtId="0" fontId="5" fillId="4" borderId="15" xfId="0" applyFont="1" applyFill="1" applyBorder="1"/>
    <xf numFmtId="0" fontId="6" fillId="0" borderId="8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6" fillId="5" borderId="8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left"/>
    </xf>
    <xf numFmtId="0" fontId="5" fillId="5" borderId="8" xfId="0" applyFont="1" applyFill="1" applyBorder="1"/>
    <xf numFmtId="164" fontId="6" fillId="5" borderId="15" xfId="0" applyNumberFormat="1" applyFont="1" applyFill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164" fontId="6" fillId="5" borderId="8" xfId="0" applyNumberFormat="1" applyFont="1" applyFill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6" fillId="0" borderId="7" xfId="0" applyNumberFormat="1" applyFont="1" applyBorder="1"/>
    <xf numFmtId="1" fontId="6" fillId="0" borderId="7" xfId="0" applyNumberFormat="1" applyFont="1" applyBorder="1" applyAlignment="1">
      <alignment horizontal="left"/>
    </xf>
    <xf numFmtId="0" fontId="9" fillId="0" borderId="0" xfId="0" applyFont="1"/>
    <xf numFmtId="0" fontId="8" fillId="5" borderId="7" xfId="0" applyFont="1" applyFill="1" applyBorder="1" applyAlignment="1">
      <alignment horizontal="left"/>
    </xf>
    <xf numFmtId="0" fontId="8" fillId="5" borderId="7" xfId="0" applyFont="1" applyFill="1" applyBorder="1"/>
    <xf numFmtId="0" fontId="6" fillId="6" borderId="1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49" fontId="6" fillId="0" borderId="7" xfId="0" applyNumberFormat="1" applyFont="1" applyBorder="1" applyAlignment="1">
      <alignment horizontal="left"/>
    </xf>
    <xf numFmtId="3" fontId="8" fillId="0" borderId="0" xfId="0" applyNumberFormat="1" applyFont="1"/>
    <xf numFmtId="0" fontId="4" fillId="0" borderId="0" xfId="0" applyFont="1"/>
    <xf numFmtId="0" fontId="8" fillId="0" borderId="0" xfId="0" applyFont="1"/>
    <xf numFmtId="0" fontId="5" fillId="0" borderId="6" xfId="0" applyFont="1" applyBorder="1" applyAlignment="1">
      <alignment horizontal="left"/>
    </xf>
    <xf numFmtId="49" fontId="4" fillId="2" borderId="13" xfId="0" applyNumberFormat="1" applyFont="1" applyFill="1" applyBorder="1"/>
    <xf numFmtId="1" fontId="4" fillId="4" borderId="1" xfId="0" applyNumberFormat="1" applyFont="1" applyFill="1" applyBorder="1"/>
    <xf numFmtId="1" fontId="4" fillId="3" borderId="1" xfId="0" applyNumberFormat="1" applyFont="1" applyFill="1" applyBorder="1"/>
    <xf numFmtId="1" fontId="4" fillId="3" borderId="7" xfId="0" applyNumberFormat="1" applyFont="1" applyFill="1" applyBorder="1" applyAlignment="1">
      <alignment horizontal="left"/>
    </xf>
    <xf numFmtId="1" fontId="4" fillId="3" borderId="7" xfId="0" applyNumberFormat="1" applyFont="1" applyFill="1" applyBorder="1"/>
    <xf numFmtId="0" fontId="2" fillId="2" borderId="9" xfId="0" applyFont="1" applyFill="1" applyBorder="1" applyAlignment="1">
      <alignment horizontal="left"/>
    </xf>
    <xf numFmtId="0" fontId="6" fillId="7" borderId="14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7" borderId="9" xfId="0" applyFont="1" applyFill="1" applyBorder="1"/>
    <xf numFmtId="0" fontId="5" fillId="7" borderId="13" xfId="0" applyFont="1" applyFill="1" applyBorder="1" applyAlignment="1">
      <alignment horizontal="left"/>
    </xf>
    <xf numFmtId="49" fontId="3" fillId="7" borderId="13" xfId="0" applyNumberFormat="1" applyFont="1" applyFill="1" applyBorder="1"/>
    <xf numFmtId="0" fontId="4" fillId="7" borderId="14" xfId="0" applyFont="1" applyFill="1" applyBorder="1" applyAlignment="1">
      <alignment horizontal="left"/>
    </xf>
    <xf numFmtId="1" fontId="1" fillId="2" borderId="5" xfId="0" applyNumberFormat="1" applyFont="1" applyFill="1" applyBorder="1"/>
    <xf numFmtId="1" fontId="1" fillId="2" borderId="4" xfId="0" applyNumberFormat="1" applyFont="1" applyFill="1" applyBorder="1"/>
    <xf numFmtId="1" fontId="1" fillId="2" borderId="6" xfId="0" applyNumberFormat="1" applyFont="1" applyFill="1" applyBorder="1"/>
    <xf numFmtId="1" fontId="5" fillId="7" borderId="13" xfId="0" applyNumberFormat="1" applyFont="1" applyFill="1" applyBorder="1"/>
    <xf numFmtId="1" fontId="5" fillId="7" borderId="12" xfId="0" applyNumberFormat="1" applyFont="1" applyFill="1" applyBorder="1"/>
    <xf numFmtId="1" fontId="5" fillId="7" borderId="14" xfId="0" applyNumberFormat="1" applyFont="1" applyFill="1" applyBorder="1"/>
    <xf numFmtId="1" fontId="5" fillId="4" borderId="3" xfId="0" applyNumberFormat="1" applyFont="1" applyFill="1" applyBorder="1"/>
    <xf numFmtId="0" fontId="2" fillId="7" borderId="14" xfId="0" applyFont="1" applyFill="1" applyBorder="1" applyAlignment="1">
      <alignment horizontal="left"/>
    </xf>
    <xf numFmtId="1" fontId="1" fillId="7" borderId="13" xfId="0" applyNumberFormat="1" applyFont="1" applyFill="1" applyBorder="1"/>
    <xf numFmtId="1" fontId="1" fillId="7" borderId="12" xfId="0" applyNumberFormat="1" applyFont="1" applyFill="1" applyBorder="1"/>
    <xf numFmtId="1" fontId="1" fillId="7" borderId="14" xfId="0" applyNumberFormat="1" applyFont="1" applyFill="1" applyBorder="1"/>
    <xf numFmtId="0" fontId="2" fillId="2" borderId="8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7" borderId="13" xfId="0" applyFont="1" applyFill="1" applyBorder="1" applyAlignment="1">
      <alignment horizontal="left"/>
    </xf>
    <xf numFmtId="49" fontId="2" fillId="7" borderId="13" xfId="0" applyNumberFormat="1" applyFont="1" applyFill="1" applyBorder="1"/>
    <xf numFmtId="49" fontId="1" fillId="7" borderId="14" xfId="0" applyNumberFormat="1" applyFont="1" applyFill="1" applyBorder="1"/>
    <xf numFmtId="1" fontId="5" fillId="4" borderId="2" xfId="0" applyNumberFormat="1" applyFont="1" applyFill="1" applyBorder="1" applyAlignment="1">
      <alignment horizontal="left"/>
    </xf>
    <xf numFmtId="1" fontId="5" fillId="4" borderId="3" xfId="0" applyNumberFormat="1" applyFont="1" applyFill="1" applyBorder="1" applyAlignment="1">
      <alignment horizontal="left"/>
    </xf>
    <xf numFmtId="1" fontId="4" fillId="4" borderId="1" xfId="0" applyNumberFormat="1" applyFont="1" applyFill="1" applyBorder="1" applyAlignment="1">
      <alignment horizontal="left"/>
    </xf>
    <xf numFmtId="1" fontId="4" fillId="4" borderId="7" xfId="0" applyNumberFormat="1" applyFont="1" applyFill="1" applyBorder="1" applyAlignment="1">
      <alignment horizontal="left"/>
    </xf>
    <xf numFmtId="0" fontId="5" fillId="0" borderId="7" xfId="0" applyFont="1" applyBorder="1" applyAlignment="1">
      <alignment horizontal="right"/>
    </xf>
    <xf numFmtId="164" fontId="6" fillId="6" borderId="7" xfId="0" applyNumberFormat="1" applyFont="1" applyFill="1" applyBorder="1" applyAlignment="1">
      <alignment horizontal="left"/>
    </xf>
    <xf numFmtId="0" fontId="5" fillId="6" borderId="7" xfId="0" applyFont="1" applyFill="1" applyBorder="1"/>
    <xf numFmtId="49" fontId="6" fillId="0" borderId="15" xfId="0" applyNumberFormat="1" applyFont="1" applyBorder="1" applyAlignment="1">
      <alignment horizontal="left"/>
    </xf>
    <xf numFmtId="1" fontId="1" fillId="4" borderId="15" xfId="0" applyNumberFormat="1" applyFont="1" applyFill="1" applyBorder="1" applyAlignment="1">
      <alignment horizontal="left"/>
    </xf>
    <xf numFmtId="0" fontId="5" fillId="5" borderId="3" xfId="0" applyFont="1" applyFill="1" applyBorder="1"/>
    <xf numFmtId="0" fontId="5" fillId="0" borderId="3" xfId="0" quotePrefix="1" applyFont="1" applyBorder="1"/>
    <xf numFmtId="0" fontId="5" fillId="3" borderId="3" xfId="0" applyFont="1" applyFill="1" applyBorder="1"/>
    <xf numFmtId="1" fontId="8" fillId="5" borderId="7" xfId="0" applyNumberFormat="1" applyFont="1" applyFill="1" applyBorder="1" applyAlignment="1">
      <alignment horizontal="left"/>
    </xf>
    <xf numFmtId="1" fontId="4" fillId="3" borderId="15" xfId="0" applyNumberFormat="1" applyFont="1" applyFill="1" applyBorder="1" applyAlignment="1">
      <alignment horizontal="left"/>
    </xf>
    <xf numFmtId="1" fontId="5" fillId="3" borderId="15" xfId="0" applyNumberFormat="1" applyFont="1" applyFill="1" applyBorder="1" applyAlignment="1">
      <alignment horizontal="left"/>
    </xf>
    <xf numFmtId="1" fontId="5" fillId="4" borderId="15" xfId="0" applyNumberFormat="1" applyFont="1" applyFill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0" borderId="6" xfId="0" applyFont="1" applyBorder="1"/>
    <xf numFmtId="1" fontId="1" fillId="3" borderId="7" xfId="0" applyNumberFormat="1" applyFont="1" applyFill="1" applyBorder="1"/>
    <xf numFmtId="0" fontId="10" fillId="0" borderId="0" xfId="0" applyFont="1"/>
    <xf numFmtId="0" fontId="1" fillId="0" borderId="6" xfId="0" applyFont="1" applyBorder="1"/>
    <xf numFmtId="0" fontId="2" fillId="0" borderId="1" xfId="0" applyFont="1" applyBorder="1"/>
    <xf numFmtId="0" fontId="4" fillId="0" borderId="3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3" fontId="8" fillId="0" borderId="6" xfId="0" applyNumberFormat="1" applyFont="1" applyBorder="1" applyAlignment="1">
      <alignment horizontal="left"/>
    </xf>
    <xf numFmtId="3" fontId="5" fillId="0" borderId="7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left"/>
    </xf>
    <xf numFmtId="0" fontId="5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3" fontId="8" fillId="0" borderId="7" xfId="0" applyNumberFormat="1" applyFont="1" applyBorder="1"/>
    <xf numFmtId="1" fontId="1" fillId="0" borderId="13" xfId="0" applyNumberFormat="1" applyFont="1" applyBorder="1"/>
    <xf numFmtId="1" fontId="1" fillId="0" borderId="12" xfId="0" applyNumberFormat="1" applyFont="1" applyBorder="1"/>
    <xf numFmtId="0" fontId="1" fillId="0" borderId="11" xfId="0" applyFont="1" applyBorder="1"/>
    <xf numFmtId="0" fontId="1" fillId="0" borderId="10" xfId="0" applyFont="1" applyBorder="1"/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1" fontId="1" fillId="0" borderId="13" xfId="0" applyNumberFormat="1" applyFont="1" applyBorder="1" applyAlignment="1">
      <alignment horizontal="center" wrapText="1"/>
    </xf>
    <xf numFmtId="1" fontId="1" fillId="0" borderId="12" xfId="0" applyNumberFormat="1" applyFont="1" applyBorder="1" applyAlignment="1">
      <alignment horizontal="center" wrapText="1"/>
    </xf>
    <xf numFmtId="1" fontId="1" fillId="0" borderId="5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 wrapText="1"/>
    </xf>
    <xf numFmtId="0" fontId="12" fillId="0" borderId="0" xfId="0" applyFont="1"/>
    <xf numFmtId="3" fontId="5" fillId="0" borderId="6" xfId="0" applyNumberFormat="1" applyFont="1" applyBorder="1" applyAlignment="1">
      <alignment horizontal="right"/>
    </xf>
    <xf numFmtId="0" fontId="4" fillId="8" borderId="8" xfId="0" applyFont="1" applyFill="1" applyBorder="1" applyAlignment="1">
      <alignment horizontal="center" wrapText="1"/>
    </xf>
    <xf numFmtId="0" fontId="4" fillId="8" borderId="15" xfId="0" applyFont="1" applyFill="1" applyBorder="1" applyAlignment="1">
      <alignment horizontal="center" wrapText="1"/>
    </xf>
    <xf numFmtId="0" fontId="4" fillId="8" borderId="7" xfId="0" applyFont="1" applyFill="1" applyBorder="1" applyAlignment="1">
      <alignment horizontal="center" wrapText="1"/>
    </xf>
    <xf numFmtId="3" fontId="4" fillId="8" borderId="7" xfId="0" applyNumberFormat="1" applyFont="1" applyFill="1" applyBorder="1" applyAlignment="1">
      <alignment horizontal="right"/>
    </xf>
    <xf numFmtId="3" fontId="4" fillId="8" borderId="7" xfId="0" applyNumberFormat="1" applyFont="1" applyFill="1" applyBorder="1"/>
    <xf numFmtId="0" fontId="8" fillId="8" borderId="7" xfId="0" applyFont="1" applyFill="1" applyBorder="1"/>
    <xf numFmtId="3" fontId="8" fillId="8" borderId="7" xfId="0" applyNumberFormat="1" applyFont="1" applyFill="1" applyBorder="1"/>
    <xf numFmtId="3" fontId="8" fillId="8" borderId="7" xfId="0" applyNumberFormat="1" applyFont="1" applyFill="1" applyBorder="1" applyAlignment="1">
      <alignment horizontal="right" wrapText="1"/>
    </xf>
    <xf numFmtId="0" fontId="4" fillId="8" borderId="7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3" fontId="4" fillId="8" borderId="15" xfId="0" applyNumberFormat="1" applyFont="1" applyFill="1" applyBorder="1"/>
    <xf numFmtId="0" fontId="8" fillId="8" borderId="7" xfId="0" applyFont="1" applyFill="1" applyBorder="1" applyAlignment="1">
      <alignment horizontal="center" wrapText="1"/>
    </xf>
    <xf numFmtId="3" fontId="8" fillId="8" borderId="8" xfId="0" applyNumberFormat="1" applyFont="1" applyFill="1" applyBorder="1"/>
    <xf numFmtId="0" fontId="8" fillId="8" borderId="15" xfId="0" applyFont="1" applyFill="1" applyBorder="1" applyAlignment="1">
      <alignment horizontal="center" wrapText="1"/>
    </xf>
    <xf numFmtId="3" fontId="8" fillId="8" borderId="15" xfId="0" applyNumberFormat="1" applyFont="1" applyFill="1" applyBorder="1"/>
    <xf numFmtId="3" fontId="4" fillId="8" borderId="8" xfId="0" applyNumberFormat="1" applyFont="1" applyFill="1" applyBorder="1"/>
    <xf numFmtId="0" fontId="4" fillId="8" borderId="7" xfId="0" applyFont="1" applyFill="1" applyBorder="1"/>
    <xf numFmtId="3" fontId="8" fillId="8" borderId="7" xfId="0" applyNumberFormat="1" applyFont="1" applyFill="1" applyBorder="1" applyAlignment="1">
      <alignment horizontal="right"/>
    </xf>
    <xf numFmtId="3" fontId="8" fillId="8" borderId="9" xfId="0" applyNumberFormat="1" applyFont="1" applyFill="1" applyBorder="1"/>
    <xf numFmtId="0" fontId="4" fillId="8" borderId="15" xfId="0" applyFont="1" applyFill="1" applyBorder="1" applyAlignment="1">
      <alignment horizontal="center"/>
    </xf>
    <xf numFmtId="3" fontId="8" fillId="9" borderId="7" xfId="0" applyNumberFormat="1" applyFont="1" applyFill="1" applyBorder="1"/>
    <xf numFmtId="3" fontId="8" fillId="9" borderId="7" xfId="0" applyNumberFormat="1" applyFont="1" applyFill="1" applyBorder="1" applyAlignment="1">
      <alignment horizontal="right" wrapText="1"/>
    </xf>
    <xf numFmtId="0" fontId="4" fillId="9" borderId="8" xfId="0" applyFont="1" applyFill="1" applyBorder="1" applyAlignment="1">
      <alignment horizontal="center" wrapText="1"/>
    </xf>
    <xf numFmtId="0" fontId="4" fillId="9" borderId="15" xfId="0" applyFont="1" applyFill="1" applyBorder="1" applyAlignment="1">
      <alignment horizontal="center" wrapText="1"/>
    </xf>
    <xf numFmtId="0" fontId="4" fillId="9" borderId="7" xfId="0" applyFont="1" applyFill="1" applyBorder="1" applyAlignment="1">
      <alignment horizontal="center" wrapText="1"/>
    </xf>
    <xf numFmtId="3" fontId="4" fillId="9" borderId="7" xfId="0" applyNumberFormat="1" applyFont="1" applyFill="1" applyBorder="1" applyAlignment="1">
      <alignment horizontal="right"/>
    </xf>
    <xf numFmtId="3" fontId="4" fillId="9" borderId="7" xfId="0" applyNumberFormat="1" applyFont="1" applyFill="1" applyBorder="1"/>
    <xf numFmtId="0" fontId="8" fillId="9" borderId="7" xfId="0" applyFont="1" applyFill="1" applyBorder="1"/>
    <xf numFmtId="0" fontId="4" fillId="9" borderId="7" xfId="0" applyFont="1" applyFill="1" applyBorder="1" applyAlignment="1">
      <alignment horizontal="center"/>
    </xf>
    <xf numFmtId="0" fontId="4" fillId="9" borderId="8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3" fontId="4" fillId="9" borderId="15" xfId="0" applyNumberFormat="1" applyFont="1" applyFill="1" applyBorder="1"/>
    <xf numFmtId="0" fontId="8" fillId="9" borderId="7" xfId="0" applyFont="1" applyFill="1" applyBorder="1" applyAlignment="1">
      <alignment horizontal="center" wrapText="1"/>
    </xf>
    <xf numFmtId="3" fontId="8" fillId="9" borderId="8" xfId="0" applyNumberFormat="1" applyFont="1" applyFill="1" applyBorder="1"/>
    <xf numFmtId="0" fontId="8" fillId="9" borderId="15" xfId="0" applyFont="1" applyFill="1" applyBorder="1" applyAlignment="1">
      <alignment horizontal="center" wrapText="1"/>
    </xf>
    <xf numFmtId="3" fontId="8" fillId="9" borderId="15" xfId="0" applyNumberFormat="1" applyFont="1" applyFill="1" applyBorder="1"/>
    <xf numFmtId="3" fontId="4" fillId="9" borderId="8" xfId="0" applyNumberFormat="1" applyFont="1" applyFill="1" applyBorder="1"/>
    <xf numFmtId="0" fontId="4" fillId="9" borderId="7" xfId="0" applyFont="1" applyFill="1" applyBorder="1"/>
    <xf numFmtId="3" fontId="8" fillId="9" borderId="7" xfId="0" applyNumberFormat="1" applyFont="1" applyFill="1" applyBorder="1" applyAlignment="1">
      <alignment horizontal="right"/>
    </xf>
    <xf numFmtId="3" fontId="8" fillId="9" borderId="9" xfId="0" applyNumberFormat="1" applyFont="1" applyFill="1" applyBorder="1"/>
    <xf numFmtId="0" fontId="4" fillId="9" borderId="15" xfId="0" applyFont="1" applyFill="1" applyBorder="1" applyAlignment="1">
      <alignment horizontal="center"/>
    </xf>
    <xf numFmtId="0" fontId="5" fillId="0" borderId="13" xfId="0" applyFont="1" applyBorder="1"/>
    <xf numFmtId="0" fontId="4" fillId="0" borderId="0" xfId="0" applyFont="1" applyAlignment="1">
      <alignment horizontal="left"/>
    </xf>
    <xf numFmtId="0" fontId="8" fillId="0" borderId="6" xfId="0" applyFont="1" applyBorder="1" applyAlignment="1">
      <alignment horizontal="left"/>
    </xf>
    <xf numFmtId="0" fontId="4" fillId="10" borderId="8" xfId="0" applyFont="1" applyFill="1" applyBorder="1" applyAlignment="1">
      <alignment horizontal="center" wrapText="1"/>
    </xf>
    <xf numFmtId="0" fontId="4" fillId="10" borderId="15" xfId="0" applyFont="1" applyFill="1" applyBorder="1" applyAlignment="1">
      <alignment horizontal="center" wrapText="1"/>
    </xf>
    <xf numFmtId="0" fontId="4" fillId="10" borderId="7" xfId="0" applyFont="1" applyFill="1" applyBorder="1" applyAlignment="1">
      <alignment horizontal="center" wrapText="1"/>
    </xf>
    <xf numFmtId="3" fontId="4" fillId="10" borderId="7" xfId="0" applyNumberFormat="1" applyFont="1" applyFill="1" applyBorder="1" applyAlignment="1">
      <alignment horizontal="right"/>
    </xf>
    <xf numFmtId="3" fontId="4" fillId="10" borderId="7" xfId="0" applyNumberFormat="1" applyFont="1" applyFill="1" applyBorder="1"/>
    <xf numFmtId="0" fontId="8" fillId="10" borderId="7" xfId="0" applyFont="1" applyFill="1" applyBorder="1"/>
    <xf numFmtId="3" fontId="8" fillId="10" borderId="7" xfId="0" applyNumberFormat="1" applyFont="1" applyFill="1" applyBorder="1"/>
    <xf numFmtId="3" fontId="8" fillId="10" borderId="7" xfId="0" applyNumberFormat="1" applyFont="1" applyFill="1" applyBorder="1" applyAlignment="1">
      <alignment horizontal="right" wrapText="1"/>
    </xf>
    <xf numFmtId="0" fontId="4" fillId="10" borderId="7" xfId="0" applyFont="1" applyFill="1" applyBorder="1" applyAlignment="1">
      <alignment horizontal="center"/>
    </xf>
    <xf numFmtId="0" fontId="4" fillId="10" borderId="8" xfId="0" applyFont="1" applyFill="1" applyBorder="1" applyAlignment="1">
      <alignment horizontal="center"/>
    </xf>
    <xf numFmtId="0" fontId="4" fillId="10" borderId="9" xfId="0" applyFont="1" applyFill="1" applyBorder="1" applyAlignment="1">
      <alignment horizontal="center"/>
    </xf>
    <xf numFmtId="3" fontId="4" fillId="10" borderId="15" xfId="0" applyNumberFormat="1" applyFont="1" applyFill="1" applyBorder="1"/>
    <xf numFmtId="0" fontId="8" fillId="10" borderId="7" xfId="0" applyFont="1" applyFill="1" applyBorder="1" applyAlignment="1">
      <alignment horizontal="center" wrapText="1"/>
    </xf>
    <xf numFmtId="3" fontId="8" fillId="10" borderId="8" xfId="0" applyNumberFormat="1" applyFont="1" applyFill="1" applyBorder="1"/>
    <xf numFmtId="0" fontId="8" fillId="10" borderId="15" xfId="0" applyFont="1" applyFill="1" applyBorder="1" applyAlignment="1">
      <alignment horizontal="center" wrapText="1"/>
    </xf>
    <xf numFmtId="3" fontId="8" fillId="10" borderId="15" xfId="0" applyNumberFormat="1" applyFont="1" applyFill="1" applyBorder="1"/>
    <xf numFmtId="3" fontId="4" fillId="10" borderId="8" xfId="0" applyNumberFormat="1" applyFont="1" applyFill="1" applyBorder="1"/>
    <xf numFmtId="0" fontId="4" fillId="10" borderId="7" xfId="0" applyFont="1" applyFill="1" applyBorder="1"/>
    <xf numFmtId="3" fontId="8" fillId="10" borderId="7" xfId="0" applyNumberFormat="1" applyFont="1" applyFill="1" applyBorder="1" applyAlignment="1">
      <alignment horizontal="right"/>
    </xf>
    <xf numFmtId="3" fontId="8" fillId="10" borderId="9" xfId="0" applyNumberFormat="1" applyFont="1" applyFill="1" applyBorder="1"/>
    <xf numFmtId="0" fontId="4" fillId="10" borderId="15" xfId="0" applyFont="1" applyFill="1" applyBorder="1" applyAlignment="1">
      <alignment horizontal="center"/>
    </xf>
    <xf numFmtId="0" fontId="4" fillId="9" borderId="7" xfId="0" applyFont="1" applyFill="1" applyBorder="1" applyAlignment="1">
      <alignment horizontal="right" wrapText="1"/>
    </xf>
    <xf numFmtId="1" fontId="1" fillId="10" borderId="7" xfId="0" applyNumberFormat="1" applyFont="1" applyFill="1" applyBorder="1" applyAlignment="1">
      <alignment horizontal="left"/>
    </xf>
    <xf numFmtId="0" fontId="1" fillId="10" borderId="7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0" fontId="1" fillId="10" borderId="7" xfId="0" applyFont="1" applyFill="1" applyBorder="1"/>
    <xf numFmtId="164" fontId="2" fillId="10" borderId="7" xfId="0" applyNumberFormat="1" applyFont="1" applyFill="1" applyBorder="1" applyAlignment="1">
      <alignment horizontal="left"/>
    </xf>
    <xf numFmtId="164" fontId="2" fillId="10" borderId="3" xfId="0" applyNumberFormat="1" applyFont="1" applyFill="1" applyBorder="1" applyAlignment="1">
      <alignment horizontal="left"/>
    </xf>
    <xf numFmtId="0" fontId="2" fillId="10" borderId="7" xfId="0" applyFont="1" applyFill="1" applyBorder="1" applyAlignment="1">
      <alignment horizontal="left"/>
    </xf>
    <xf numFmtId="164" fontId="6" fillId="10" borderId="3" xfId="0" applyNumberFormat="1" applyFont="1" applyFill="1" applyBorder="1" applyAlignment="1">
      <alignment horizontal="left"/>
    </xf>
    <xf numFmtId="1" fontId="1" fillId="10" borderId="7" xfId="0" applyNumberFormat="1" applyFont="1" applyFill="1" applyBorder="1"/>
    <xf numFmtId="0" fontId="1" fillId="10" borderId="3" xfId="0" applyFont="1" applyFill="1" applyBorder="1"/>
    <xf numFmtId="1" fontId="1" fillId="10" borderId="15" xfId="0" applyNumberFormat="1" applyFont="1" applyFill="1" applyBorder="1" applyAlignment="1">
      <alignment horizontal="left"/>
    </xf>
    <xf numFmtId="164" fontId="2" fillId="10" borderId="15" xfId="0" applyNumberFormat="1" applyFont="1" applyFill="1" applyBorder="1" applyAlignment="1">
      <alignment horizontal="left"/>
    </xf>
    <xf numFmtId="0" fontId="1" fillId="10" borderId="15" xfId="0" applyFont="1" applyFill="1" applyBorder="1" applyAlignment="1">
      <alignment horizontal="left"/>
    </xf>
    <xf numFmtId="0" fontId="1" fillId="10" borderId="15" xfId="0" applyFont="1" applyFill="1" applyBorder="1"/>
    <xf numFmtId="49" fontId="2" fillId="10" borderId="7" xfId="0" applyNumberFormat="1" applyFont="1" applyFill="1" applyBorder="1"/>
    <xf numFmtId="3" fontId="8" fillId="0" borderId="7" xfId="0" applyNumberFormat="1" applyFont="1" applyBorder="1" applyAlignment="1">
      <alignment horizontal="right" wrapText="1"/>
    </xf>
    <xf numFmtId="3" fontId="8" fillId="0" borderId="8" xfId="0" applyNumberFormat="1" applyFont="1" applyBorder="1"/>
    <xf numFmtId="3" fontId="8" fillId="0" borderId="15" xfId="0" applyNumberFormat="1" applyFont="1" applyBorder="1"/>
    <xf numFmtId="0" fontId="8" fillId="8" borderId="0" xfId="0" applyFont="1" applyFill="1"/>
    <xf numFmtId="0" fontId="4" fillId="8" borderId="0" xfId="0" applyFont="1" applyFill="1" applyAlignment="1">
      <alignment horizontal="center" wrapText="1"/>
    </xf>
    <xf numFmtId="49" fontId="1" fillId="0" borderId="7" xfId="0" applyNumberFormat="1" applyFont="1" applyBorder="1"/>
    <xf numFmtId="49" fontId="1" fillId="0" borderId="7" xfId="0" applyNumberFormat="1" applyFont="1" applyBorder="1" applyAlignment="1">
      <alignment horizontal="left"/>
    </xf>
    <xf numFmtId="49" fontId="6" fillId="5" borderId="7" xfId="0" applyNumberFormat="1" applyFont="1" applyFill="1" applyBorder="1" applyAlignment="1">
      <alignment horizontal="left"/>
    </xf>
    <xf numFmtId="49" fontId="7" fillId="0" borderId="7" xfId="0" applyNumberFormat="1" applyFont="1" applyBorder="1" applyAlignment="1">
      <alignment horizontal="center"/>
    </xf>
    <xf numFmtId="49" fontId="2" fillId="10" borderId="7" xfId="0" applyNumberFormat="1" applyFont="1" applyFill="1" applyBorder="1" applyAlignment="1">
      <alignment horizontal="left"/>
    </xf>
    <xf numFmtId="49" fontId="6" fillId="0" borderId="8" xfId="0" applyNumberFormat="1" applyFont="1" applyBorder="1" applyAlignment="1">
      <alignment horizontal="left"/>
    </xf>
    <xf numFmtId="49" fontId="6" fillId="5" borderId="15" xfId="0" applyNumberFormat="1" applyFont="1" applyFill="1" applyBorder="1" applyAlignment="1">
      <alignment horizontal="left"/>
    </xf>
    <xf numFmtId="49" fontId="2" fillId="0" borderId="7" xfId="0" applyNumberFormat="1" applyFont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49" fontId="5" fillId="0" borderId="7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2" fillId="5" borderId="7" xfId="0" applyNumberFormat="1" applyFont="1" applyFill="1" applyBorder="1" applyAlignment="1">
      <alignment horizontal="left"/>
    </xf>
    <xf numFmtId="49" fontId="6" fillId="3" borderId="15" xfId="0" applyNumberFormat="1" applyFont="1" applyFill="1" applyBorder="1" applyAlignment="1">
      <alignment horizontal="left"/>
    </xf>
    <xf numFmtId="49" fontId="1" fillId="0" borderId="7" xfId="0" applyNumberFormat="1" applyFont="1" applyBorder="1" applyAlignment="1">
      <alignment horizontal="center"/>
    </xf>
    <xf numFmtId="49" fontId="6" fillId="4" borderId="7" xfId="0" applyNumberFormat="1" applyFont="1" applyFill="1" applyBorder="1" applyAlignment="1">
      <alignment horizontal="left"/>
    </xf>
    <xf numFmtId="49" fontId="6" fillId="4" borderId="15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left"/>
    </xf>
    <xf numFmtId="49" fontId="6" fillId="0" borderId="7" xfId="0" applyNumberFormat="1" applyFont="1" applyBorder="1" applyAlignment="1">
      <alignment horizontal="center"/>
    </xf>
    <xf numFmtId="49" fontId="2" fillId="4" borderId="15" xfId="0" applyNumberFormat="1" applyFont="1" applyFill="1" applyBorder="1" applyAlignment="1">
      <alignment horizontal="left"/>
    </xf>
    <xf numFmtId="49" fontId="6" fillId="5" borderId="7" xfId="0" applyNumberFormat="1" applyFont="1" applyFill="1" applyBorder="1"/>
    <xf numFmtId="49" fontId="2" fillId="0" borderId="7" xfId="0" applyNumberFormat="1" applyFont="1" applyBorder="1"/>
    <xf numFmtId="49" fontId="2" fillId="5" borderId="7" xfId="0" applyNumberFormat="1" applyFont="1" applyFill="1" applyBorder="1"/>
    <xf numFmtId="49" fontId="6" fillId="0" borderId="9" xfId="0" applyNumberFormat="1" applyFont="1" applyBorder="1" applyAlignment="1">
      <alignment horizontal="left"/>
    </xf>
    <xf numFmtId="49" fontId="6" fillId="0" borderId="8" xfId="0" applyNumberFormat="1" applyFont="1" applyBorder="1"/>
    <xf numFmtId="49" fontId="2" fillId="3" borderId="7" xfId="0" applyNumberFormat="1" applyFont="1" applyFill="1" applyBorder="1"/>
    <xf numFmtId="49" fontId="6" fillId="4" borderId="7" xfId="0" applyNumberFormat="1" applyFont="1" applyFill="1" applyBorder="1"/>
    <xf numFmtId="49" fontId="6" fillId="3" borderId="7" xfId="0" applyNumberFormat="1" applyFont="1" applyFill="1" applyBorder="1"/>
    <xf numFmtId="49" fontId="6" fillId="5" borderId="8" xfId="0" applyNumberFormat="1" applyFont="1" applyFill="1" applyBorder="1"/>
    <xf numFmtId="49" fontId="2" fillId="2" borderId="9" xfId="0" applyNumberFormat="1" applyFont="1" applyFill="1" applyBorder="1"/>
    <xf numFmtId="49" fontId="7" fillId="0" borderId="7" xfId="0" applyNumberFormat="1" applyFont="1" applyBorder="1"/>
    <xf numFmtId="49" fontId="6" fillId="5" borderId="8" xfId="0" applyNumberFormat="1" applyFont="1" applyFill="1" applyBorder="1" applyAlignment="1">
      <alignment horizontal="left"/>
    </xf>
    <xf numFmtId="49" fontId="5" fillId="0" borderId="7" xfId="0" applyNumberFormat="1" applyFont="1" applyBorder="1"/>
    <xf numFmtId="49" fontId="5" fillId="5" borderId="7" xfId="0" applyNumberFormat="1" applyFont="1" applyFill="1" applyBorder="1"/>
    <xf numFmtId="49" fontId="2" fillId="2" borderId="8" xfId="0" applyNumberFormat="1" applyFont="1" applyFill="1" applyBorder="1"/>
    <xf numFmtId="49" fontId="2" fillId="10" borderId="15" xfId="0" applyNumberFormat="1" applyFont="1" applyFill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6" fillId="6" borderId="7" xfId="0" applyNumberFormat="1" applyFont="1" applyFill="1" applyBorder="1" applyAlignment="1">
      <alignment horizontal="left"/>
    </xf>
    <xf numFmtId="0" fontId="0" fillId="11" borderId="0" xfId="0" applyFill="1"/>
    <xf numFmtId="0" fontId="9" fillId="11" borderId="0" xfId="0" applyFont="1" applyFill="1"/>
    <xf numFmtId="1" fontId="1" fillId="0" borderId="3" xfId="0" applyNumberFormat="1" applyFont="1" applyBorder="1"/>
    <xf numFmtId="1" fontId="1" fillId="2" borderId="3" xfId="0" applyNumberFormat="1" applyFont="1" applyFill="1" applyBorder="1" applyAlignment="1">
      <alignment horizontal="left"/>
    </xf>
    <xf numFmtId="1" fontId="5" fillId="0" borderId="3" xfId="0" applyNumberFormat="1" applyFont="1" applyBorder="1" applyAlignment="1">
      <alignment horizontal="left"/>
    </xf>
    <xf numFmtId="1" fontId="1" fillId="3" borderId="3" xfId="0" applyNumberFormat="1" applyFont="1" applyFill="1" applyBorder="1" applyAlignment="1">
      <alignment horizontal="left"/>
    </xf>
    <xf numFmtId="1" fontId="1" fillId="4" borderId="3" xfId="0" applyNumberFormat="1" applyFont="1" applyFill="1" applyBorder="1" applyAlignment="1">
      <alignment horizontal="left"/>
    </xf>
    <xf numFmtId="1" fontId="5" fillId="5" borderId="3" xfId="0" applyNumberFormat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/>
    </xf>
    <xf numFmtId="1" fontId="1" fillId="0" borderId="3" xfId="0" applyNumberFormat="1" applyFont="1" applyBorder="1" applyAlignment="1">
      <alignment horizontal="center"/>
    </xf>
    <xf numFmtId="1" fontId="1" fillId="6" borderId="3" xfId="0" applyNumberFormat="1" applyFont="1" applyFill="1" applyBorder="1" applyAlignment="1">
      <alignment horizontal="left"/>
    </xf>
    <xf numFmtId="1" fontId="5" fillId="0" borderId="3" xfId="0" applyNumberFormat="1" applyFont="1" applyBorder="1"/>
    <xf numFmtId="1" fontId="1" fillId="0" borderId="3" xfId="0" applyNumberFormat="1" applyFont="1" applyBorder="1" applyAlignment="1">
      <alignment horizontal="left"/>
    </xf>
    <xf numFmtId="0" fontId="4" fillId="8" borderId="13" xfId="0" applyFont="1" applyFill="1" applyBorder="1" applyAlignment="1">
      <alignment horizontal="center" wrapText="1"/>
    </xf>
    <xf numFmtId="3" fontId="4" fillId="8" borderId="1" xfId="0" applyNumberFormat="1" applyFont="1" applyFill="1" applyBorder="1"/>
    <xf numFmtId="1" fontId="5" fillId="0" borderId="6" xfId="0" applyNumberFormat="1" applyFont="1" applyBorder="1" applyAlignment="1">
      <alignment horizontal="left"/>
    </xf>
    <xf numFmtId="1" fontId="5" fillId="0" borderId="8" xfId="0" applyNumberFormat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6" borderId="0" xfId="0" applyFont="1" applyFill="1"/>
    <xf numFmtId="0" fontId="12" fillId="6" borderId="0" xfId="0" applyFont="1" applyFill="1"/>
    <xf numFmtId="0" fontId="8" fillId="6" borderId="0" xfId="0" applyFont="1" applyFill="1"/>
    <xf numFmtId="3" fontId="4" fillId="6" borderId="0" xfId="0" applyNumberFormat="1" applyFont="1" applyFill="1" applyAlignment="1">
      <alignment horizontal="right"/>
    </xf>
    <xf numFmtId="3" fontId="4" fillId="6" borderId="7" xfId="0" applyNumberFormat="1" applyFont="1" applyFill="1" applyBorder="1"/>
    <xf numFmtId="3" fontId="8" fillId="6" borderId="0" xfId="0" applyNumberFormat="1" applyFont="1" applyFill="1"/>
    <xf numFmtId="0" fontId="8" fillId="9" borderId="0" xfId="0" applyFont="1" applyFill="1"/>
    <xf numFmtId="0" fontId="4" fillId="9" borderId="15" xfId="0" applyFont="1" applyFill="1" applyBorder="1" applyAlignment="1">
      <alignment horizontal="center" wrapText="1"/>
    </xf>
    <xf numFmtId="0" fontId="4" fillId="9" borderId="7" xfId="0" applyFont="1" applyFill="1" applyBorder="1" applyAlignment="1">
      <alignment horizontal="center" wrapText="1"/>
    </xf>
    <xf numFmtId="3" fontId="4" fillId="9" borderId="7" xfId="0" applyNumberFormat="1" applyFont="1" applyFill="1" applyBorder="1" applyAlignment="1">
      <alignment horizontal="right"/>
    </xf>
    <xf numFmtId="3" fontId="4" fillId="9" borderId="7" xfId="0" applyNumberFormat="1" applyFont="1" applyFill="1" applyBorder="1"/>
    <xf numFmtId="0" fontId="8" fillId="9" borderId="7" xfId="0" applyFont="1" applyFill="1" applyBorder="1"/>
    <xf numFmtId="3" fontId="8" fillId="9" borderId="7" xfId="0" applyNumberFormat="1" applyFont="1" applyFill="1" applyBorder="1"/>
    <xf numFmtId="3" fontId="8" fillId="9" borderId="7" xfId="0" applyNumberFormat="1" applyFont="1" applyFill="1" applyBorder="1" applyAlignment="1">
      <alignment horizontal="right" wrapText="1"/>
    </xf>
    <xf numFmtId="0" fontId="4" fillId="9" borderId="7" xfId="0" applyFont="1" applyFill="1" applyBorder="1" applyAlignment="1">
      <alignment horizontal="center"/>
    </xf>
    <xf numFmtId="0" fontId="4" fillId="9" borderId="7" xfId="1" applyFont="1" applyFill="1" applyBorder="1" applyAlignment="1">
      <alignment horizontal="center" wrapText="1"/>
    </xf>
    <xf numFmtId="3" fontId="4" fillId="9" borderId="15" xfId="0" applyNumberFormat="1" applyFont="1" applyFill="1" applyBorder="1"/>
    <xf numFmtId="3" fontId="4" fillId="9" borderId="8" xfId="0" applyNumberFormat="1" applyFont="1" applyFill="1" applyBorder="1"/>
    <xf numFmtId="3" fontId="7" fillId="0" borderId="15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 wrapText="1"/>
    </xf>
    <xf numFmtId="3" fontId="8" fillId="9" borderId="7" xfId="1" applyNumberFormat="1" applyFont="1" applyFill="1" applyBorder="1"/>
    <xf numFmtId="3" fontId="8" fillId="9" borderId="7" xfId="1" applyNumberFormat="1" applyFont="1" applyFill="1" applyBorder="1" applyAlignment="1">
      <alignment horizontal="right" wrapText="1"/>
    </xf>
    <xf numFmtId="3" fontId="4" fillId="9" borderId="7" xfId="1" applyNumberFormat="1" applyFont="1" applyFill="1" applyBorder="1"/>
    <xf numFmtId="0" fontId="8" fillId="9" borderId="7" xfId="1" applyFont="1" applyFill="1" applyBorder="1"/>
    <xf numFmtId="0" fontId="4" fillId="9" borderId="7" xfId="1" applyFont="1" applyFill="1" applyBorder="1" applyAlignment="1">
      <alignment horizontal="center"/>
    </xf>
    <xf numFmtId="3" fontId="8" fillId="9" borderId="8" xfId="1" applyNumberFormat="1" applyFont="1" applyFill="1" applyBorder="1"/>
    <xf numFmtId="0" fontId="8" fillId="9" borderId="7" xfId="0" applyFont="1" applyFill="1" applyBorder="1" applyAlignment="1">
      <alignment horizontal="center" wrapText="1"/>
    </xf>
    <xf numFmtId="3" fontId="8" fillId="9" borderId="8" xfId="0" applyNumberFormat="1" applyFont="1" applyFill="1" applyBorder="1"/>
    <xf numFmtId="0" fontId="8" fillId="9" borderId="15" xfId="0" applyFont="1" applyFill="1" applyBorder="1" applyAlignment="1">
      <alignment horizontal="center" wrapText="1"/>
    </xf>
    <xf numFmtId="3" fontId="8" fillId="9" borderId="15" xfId="0" applyNumberFormat="1" applyFont="1" applyFill="1" applyBorder="1"/>
    <xf numFmtId="0" fontId="4" fillId="9" borderId="7" xfId="0" applyFont="1" applyFill="1" applyBorder="1"/>
    <xf numFmtId="3" fontId="8" fillId="9" borderId="7" xfId="0" applyNumberFormat="1" applyFont="1" applyFill="1" applyBorder="1" applyAlignment="1">
      <alignment horizontal="right"/>
    </xf>
    <xf numFmtId="3" fontId="8" fillId="9" borderId="9" xfId="0" applyNumberFormat="1" applyFont="1" applyFill="1" applyBorder="1"/>
    <xf numFmtId="0" fontId="4" fillId="9" borderId="15" xfId="0" applyFont="1" applyFill="1" applyBorder="1" applyAlignment="1">
      <alignment horizontal="center"/>
    </xf>
    <xf numFmtId="0" fontId="4" fillId="12" borderId="8" xfId="0" applyFont="1" applyFill="1" applyBorder="1" applyAlignment="1">
      <alignment horizontal="center" wrapText="1"/>
    </xf>
    <xf numFmtId="0" fontId="4" fillId="12" borderId="15" xfId="0" applyFont="1" applyFill="1" applyBorder="1" applyAlignment="1">
      <alignment horizontal="center" wrapText="1"/>
    </xf>
    <xf numFmtId="0" fontId="4" fillId="12" borderId="7" xfId="0" applyFont="1" applyFill="1" applyBorder="1" applyAlignment="1">
      <alignment horizontal="center" wrapText="1"/>
    </xf>
    <xf numFmtId="3" fontId="4" fillId="12" borderId="7" xfId="0" applyNumberFormat="1" applyFont="1" applyFill="1" applyBorder="1" applyAlignment="1">
      <alignment horizontal="right"/>
    </xf>
    <xf numFmtId="3" fontId="4" fillId="12" borderId="7" xfId="0" applyNumberFormat="1" applyFont="1" applyFill="1" applyBorder="1"/>
    <xf numFmtId="0" fontId="8" fillId="12" borderId="7" xfId="0" applyFont="1" applyFill="1" applyBorder="1"/>
    <xf numFmtId="3" fontId="8" fillId="12" borderId="7" xfId="0" applyNumberFormat="1" applyFont="1" applyFill="1" applyBorder="1"/>
    <xf numFmtId="3" fontId="8" fillId="12" borderId="7" xfId="0" applyNumberFormat="1" applyFont="1" applyFill="1" applyBorder="1" applyAlignment="1">
      <alignment horizontal="right" wrapText="1"/>
    </xf>
    <xf numFmtId="0" fontId="4" fillId="12" borderId="7" xfId="0" applyFont="1" applyFill="1" applyBorder="1" applyAlignment="1">
      <alignment horizontal="center"/>
    </xf>
    <xf numFmtId="0" fontId="4" fillId="12" borderId="7" xfId="1" applyFont="1" applyFill="1" applyBorder="1" applyAlignment="1">
      <alignment horizontal="center" wrapText="1"/>
    </xf>
    <xf numFmtId="0" fontId="8" fillId="12" borderId="7" xfId="1" applyFont="1" applyFill="1" applyBorder="1"/>
    <xf numFmtId="3" fontId="4" fillId="12" borderId="7" xfId="1" applyNumberFormat="1" applyFont="1" applyFill="1" applyBorder="1"/>
    <xf numFmtId="3" fontId="4" fillId="12" borderId="15" xfId="0" applyNumberFormat="1" applyFont="1" applyFill="1" applyBorder="1"/>
    <xf numFmtId="3" fontId="8" fillId="12" borderId="7" xfId="1" applyNumberFormat="1" applyFont="1" applyFill="1" applyBorder="1"/>
    <xf numFmtId="0" fontId="8" fillId="12" borderId="7" xfId="1" applyFont="1" applyFill="1" applyBorder="1" applyAlignment="1">
      <alignment horizontal="center" wrapText="1"/>
    </xf>
    <xf numFmtId="3" fontId="8" fillId="12" borderId="8" xfId="1" applyNumberFormat="1" applyFont="1" applyFill="1" applyBorder="1"/>
    <xf numFmtId="0" fontId="4" fillId="12" borderId="7" xfId="1" applyFont="1" applyFill="1" applyBorder="1" applyAlignment="1">
      <alignment horizontal="center"/>
    </xf>
    <xf numFmtId="3" fontId="8" fillId="12" borderId="7" xfId="1" applyNumberFormat="1" applyFont="1" applyFill="1" applyBorder="1" applyAlignment="1">
      <alignment horizontal="right" wrapText="1"/>
    </xf>
    <xf numFmtId="0" fontId="8" fillId="12" borderId="15" xfId="1" applyFont="1" applyFill="1" applyBorder="1" applyAlignment="1">
      <alignment horizontal="center" wrapText="1"/>
    </xf>
    <xf numFmtId="3" fontId="8" fillId="12" borderId="15" xfId="1" applyNumberFormat="1" applyFont="1" applyFill="1" applyBorder="1"/>
    <xf numFmtId="3" fontId="4" fillId="12" borderId="8" xfId="0" applyNumberFormat="1" applyFont="1" applyFill="1" applyBorder="1"/>
    <xf numFmtId="0" fontId="4" fillId="12" borderId="7" xfId="1" applyFont="1" applyFill="1" applyBorder="1"/>
    <xf numFmtId="3" fontId="8" fillId="12" borderId="7" xfId="1" applyNumberFormat="1" applyFont="1" applyFill="1" applyBorder="1" applyAlignment="1">
      <alignment horizontal="right"/>
    </xf>
    <xf numFmtId="3" fontId="8" fillId="12" borderId="9" xfId="1" applyNumberFormat="1" applyFont="1" applyFill="1" applyBorder="1"/>
    <xf numFmtId="3" fontId="4" fillId="12" borderId="8" xfId="1" applyNumberFormat="1" applyFont="1" applyFill="1" applyBorder="1"/>
    <xf numFmtId="3" fontId="4" fillId="12" borderId="15" xfId="1" applyNumberFormat="1" applyFont="1" applyFill="1" applyBorder="1"/>
    <xf numFmtId="0" fontId="4" fillId="12" borderId="15" xfId="1" applyFont="1" applyFill="1" applyBorder="1" applyAlignment="1">
      <alignment horizontal="center"/>
    </xf>
    <xf numFmtId="3" fontId="8" fillId="12" borderId="8" xfId="0" applyNumberFormat="1" applyFont="1" applyFill="1" applyBorder="1"/>
    <xf numFmtId="3" fontId="8" fillId="9" borderId="7" xfId="1" applyNumberFormat="1" applyFont="1" applyFill="1" applyBorder="1" applyAlignment="1">
      <alignment horizontal="right"/>
    </xf>
    <xf numFmtId="0" fontId="1" fillId="6" borderId="0" xfId="0" applyFont="1" applyFill="1"/>
    <xf numFmtId="0" fontId="5" fillId="6" borderId="0" xfId="0" applyFont="1" applyFill="1"/>
    <xf numFmtId="3" fontId="4" fillId="9" borderId="8" xfId="0" applyNumberFormat="1" applyFont="1" applyFill="1" applyBorder="1" applyAlignment="1">
      <alignment horizontal="right"/>
    </xf>
    <xf numFmtId="0" fontId="4" fillId="6" borderId="0" xfId="0" applyFont="1" applyFill="1" applyAlignment="1">
      <alignment horizontal="center" wrapText="1"/>
    </xf>
    <xf numFmtId="0" fontId="1" fillId="0" borderId="14" xfId="0" applyFont="1" applyBorder="1"/>
    <xf numFmtId="3" fontId="4" fillId="6" borderId="0" xfId="0" applyNumberFormat="1" applyFont="1" applyFill="1"/>
    <xf numFmtId="0" fontId="0" fillId="6" borderId="0" xfId="0" applyFill="1"/>
    <xf numFmtId="3" fontId="8" fillId="9" borderId="8" xfId="0" applyNumberFormat="1" applyFont="1" applyFill="1" applyBorder="1" applyAlignment="1">
      <alignment horizontal="right"/>
    </xf>
    <xf numFmtId="3" fontId="4" fillId="9" borderId="7" xfId="1" applyNumberFormat="1" applyFont="1" applyFill="1" applyBorder="1" applyAlignment="1">
      <alignment horizontal="right"/>
    </xf>
    <xf numFmtId="3" fontId="4" fillId="9" borderId="15" xfId="0" applyNumberFormat="1" applyFont="1" applyFill="1" applyBorder="1" applyAlignment="1">
      <alignment horizontal="right"/>
    </xf>
    <xf numFmtId="3" fontId="8" fillId="9" borderId="8" xfId="1" applyNumberFormat="1" applyFont="1" applyFill="1" applyBorder="1" applyAlignment="1">
      <alignment horizontal="right"/>
    </xf>
    <xf numFmtId="3" fontId="8" fillId="9" borderId="15" xfId="1" applyNumberFormat="1" applyFont="1" applyFill="1" applyBorder="1" applyAlignment="1">
      <alignment horizontal="right"/>
    </xf>
    <xf numFmtId="3" fontId="8" fillId="9" borderId="9" xfId="1" applyNumberFormat="1" applyFont="1" applyFill="1" applyBorder="1" applyAlignment="1">
      <alignment horizontal="right"/>
    </xf>
    <xf numFmtId="0" fontId="23" fillId="6" borderId="0" xfId="0" applyFont="1" applyFill="1"/>
    <xf numFmtId="0" fontId="24" fillId="6" borderId="0" xfId="0" applyFont="1" applyFill="1"/>
    <xf numFmtId="0" fontId="25" fillId="6" borderId="0" xfId="0" applyFont="1" applyFill="1"/>
    <xf numFmtId="0" fontId="26" fillId="6" borderId="0" xfId="0" applyFont="1" applyFill="1"/>
    <xf numFmtId="0" fontId="23" fillId="6" borderId="8" xfId="0" applyFont="1" applyFill="1" applyBorder="1" applyAlignment="1">
      <alignment horizontal="center" wrapText="1"/>
    </xf>
    <xf numFmtId="0" fontId="23" fillId="6" borderId="15" xfId="0" applyFont="1" applyFill="1" applyBorder="1" applyAlignment="1">
      <alignment horizontal="center" wrapText="1"/>
    </xf>
    <xf numFmtId="0" fontId="24" fillId="6" borderId="15" xfId="0" applyFont="1" applyFill="1" applyBorder="1" applyAlignment="1">
      <alignment horizontal="center" wrapText="1"/>
    </xf>
    <xf numFmtId="0" fontId="23" fillId="6" borderId="7" xfId="0" applyFont="1" applyFill="1" applyBorder="1" applyAlignment="1">
      <alignment horizontal="center" wrapText="1"/>
    </xf>
    <xf numFmtId="0" fontId="24" fillId="6" borderId="7" xfId="0" applyFont="1" applyFill="1" applyBorder="1" applyAlignment="1">
      <alignment horizontal="center" wrapText="1"/>
    </xf>
    <xf numFmtId="3" fontId="23" fillId="6" borderId="7" xfId="0" applyNumberFormat="1" applyFont="1" applyFill="1" applyBorder="1" applyAlignment="1">
      <alignment horizontal="right"/>
    </xf>
    <xf numFmtId="3" fontId="24" fillId="6" borderId="7" xfId="0" applyNumberFormat="1" applyFont="1" applyFill="1" applyBorder="1" applyAlignment="1">
      <alignment horizontal="right"/>
    </xf>
    <xf numFmtId="3" fontId="23" fillId="6" borderId="8" xfId="0" applyNumberFormat="1" applyFont="1" applyFill="1" applyBorder="1" applyAlignment="1">
      <alignment horizontal="right"/>
    </xf>
    <xf numFmtId="3" fontId="23" fillId="6" borderId="0" xfId="0" applyNumberFormat="1" applyFont="1" applyFill="1" applyAlignment="1">
      <alignment horizontal="right"/>
    </xf>
    <xf numFmtId="3" fontId="24" fillId="6" borderId="0" xfId="0" applyNumberFormat="1" applyFont="1" applyFill="1" applyAlignment="1">
      <alignment horizontal="right"/>
    </xf>
    <xf numFmtId="0" fontId="23" fillId="6" borderId="0" xfId="0" applyFont="1" applyFill="1" applyAlignment="1">
      <alignment horizontal="center" wrapText="1"/>
    </xf>
    <xf numFmtId="3" fontId="23" fillId="6" borderId="7" xfId="0" applyNumberFormat="1" applyFont="1" applyFill="1" applyBorder="1"/>
    <xf numFmtId="3" fontId="24" fillId="6" borderId="7" xfId="0" applyNumberFormat="1" applyFont="1" applyFill="1" applyBorder="1"/>
    <xf numFmtId="3" fontId="26" fillId="6" borderId="7" xfId="0" applyNumberFormat="1" applyFont="1" applyFill="1" applyBorder="1" applyAlignment="1">
      <alignment horizontal="right"/>
    </xf>
    <xf numFmtId="0" fontId="25" fillId="6" borderId="7" xfId="0" applyFont="1" applyFill="1" applyBorder="1"/>
    <xf numFmtId="0" fontId="26" fillId="6" borderId="7" xfId="0" applyFont="1" applyFill="1" applyBorder="1"/>
    <xf numFmtId="3" fontId="25" fillId="6" borderId="7" xfId="0" applyNumberFormat="1" applyFont="1" applyFill="1" applyBorder="1"/>
    <xf numFmtId="3" fontId="26" fillId="6" borderId="7" xfId="0" applyNumberFormat="1" applyFont="1" applyFill="1" applyBorder="1"/>
    <xf numFmtId="3" fontId="25" fillId="6" borderId="7" xfId="0" applyNumberFormat="1" applyFont="1" applyFill="1" applyBorder="1" applyAlignment="1">
      <alignment horizontal="right" wrapText="1"/>
    </xf>
    <xf numFmtId="3" fontId="26" fillId="6" borderId="7" xfId="0" applyNumberFormat="1" applyFont="1" applyFill="1" applyBorder="1" applyAlignment="1">
      <alignment horizontal="right" wrapText="1"/>
    </xf>
    <xf numFmtId="0" fontId="23" fillId="6" borderId="7" xfId="0" applyFont="1" applyFill="1" applyBorder="1" applyAlignment="1">
      <alignment horizontal="center"/>
    </xf>
    <xf numFmtId="0" fontId="24" fillId="6" borderId="7" xfId="0" applyFont="1" applyFill="1" applyBorder="1" applyAlignment="1">
      <alignment horizontal="center"/>
    </xf>
    <xf numFmtId="3" fontId="25" fillId="6" borderId="8" xfId="0" applyNumberFormat="1" applyFont="1" applyFill="1" applyBorder="1"/>
    <xf numFmtId="3" fontId="26" fillId="6" borderId="8" xfId="0" applyNumberFormat="1" applyFont="1" applyFill="1" applyBorder="1"/>
    <xf numFmtId="3" fontId="26" fillId="6" borderId="8" xfId="0" applyNumberFormat="1" applyFont="1" applyFill="1" applyBorder="1" applyAlignment="1">
      <alignment horizontal="right"/>
    </xf>
    <xf numFmtId="3" fontId="26" fillId="6" borderId="4" xfId="0" applyNumberFormat="1" applyFont="1" applyFill="1" applyBorder="1" applyAlignment="1">
      <alignment horizontal="right"/>
    </xf>
    <xf numFmtId="3" fontId="25" fillId="6" borderId="0" xfId="0" applyNumberFormat="1" applyFont="1" applyFill="1"/>
    <xf numFmtId="3" fontId="26" fillId="6" borderId="0" xfId="0" applyNumberFormat="1" applyFont="1" applyFill="1"/>
    <xf numFmtId="0" fontId="23" fillId="6" borderId="7" xfId="1" applyFont="1" applyFill="1" applyBorder="1" applyAlignment="1">
      <alignment horizontal="center" wrapText="1"/>
    </xf>
    <xf numFmtId="0" fontId="25" fillId="6" borderId="7" xfId="1" applyFont="1" applyFill="1" applyBorder="1"/>
    <xf numFmtId="3" fontId="23" fillId="6" borderId="7" xfId="1" applyNumberFormat="1" applyFont="1" applyFill="1" applyBorder="1"/>
    <xf numFmtId="3" fontId="23" fillId="6" borderId="15" xfId="0" applyNumberFormat="1" applyFont="1" applyFill="1" applyBorder="1"/>
    <xf numFmtId="3" fontId="24" fillId="6" borderId="15" xfId="0" applyNumberFormat="1" applyFont="1" applyFill="1" applyBorder="1"/>
    <xf numFmtId="3" fontId="25" fillId="6" borderId="7" xfId="1" applyNumberFormat="1" applyFont="1" applyFill="1" applyBorder="1"/>
    <xf numFmtId="0" fontId="25" fillId="6" borderId="7" xfId="1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 wrapText="1"/>
    </xf>
    <xf numFmtId="0" fontId="26" fillId="6" borderId="7" xfId="0" applyFont="1" applyFill="1" applyBorder="1" applyAlignment="1">
      <alignment horizontal="center" wrapText="1"/>
    </xf>
    <xf numFmtId="3" fontId="25" fillId="6" borderId="8" xfId="1" applyNumberFormat="1" applyFont="1" applyFill="1" applyBorder="1"/>
    <xf numFmtId="0" fontId="23" fillId="6" borderId="7" xfId="1" applyFont="1" applyFill="1" applyBorder="1" applyAlignment="1">
      <alignment horizontal="center"/>
    </xf>
    <xf numFmtId="3" fontId="25" fillId="6" borderId="7" xfId="1" applyNumberFormat="1" applyFont="1" applyFill="1" applyBorder="1" applyAlignment="1">
      <alignment horizontal="right" wrapText="1"/>
    </xf>
    <xf numFmtId="0" fontId="25" fillId="6" borderId="15" xfId="1" applyFont="1" applyFill="1" applyBorder="1" applyAlignment="1">
      <alignment horizontal="center" wrapText="1"/>
    </xf>
    <xf numFmtId="0" fontId="25" fillId="6" borderId="15" xfId="0" applyFont="1" applyFill="1" applyBorder="1" applyAlignment="1">
      <alignment horizontal="center" wrapText="1"/>
    </xf>
    <xf numFmtId="0" fontId="26" fillId="6" borderId="15" xfId="0" applyFont="1" applyFill="1" applyBorder="1" applyAlignment="1">
      <alignment horizontal="center" wrapText="1"/>
    </xf>
    <xf numFmtId="3" fontId="25" fillId="6" borderId="15" xfId="1" applyNumberFormat="1" applyFont="1" applyFill="1" applyBorder="1"/>
    <xf numFmtId="3" fontId="25" fillId="6" borderId="15" xfId="0" applyNumberFormat="1" applyFont="1" applyFill="1" applyBorder="1"/>
    <xf numFmtId="3" fontId="26" fillId="6" borderId="15" xfId="0" applyNumberFormat="1" applyFont="1" applyFill="1" applyBorder="1"/>
    <xf numFmtId="3" fontId="23" fillId="6" borderId="8" xfId="0" applyNumberFormat="1" applyFont="1" applyFill="1" applyBorder="1"/>
    <xf numFmtId="3" fontId="24" fillId="6" borderId="8" xfId="0" applyNumberFormat="1" applyFont="1" applyFill="1" applyBorder="1"/>
    <xf numFmtId="0" fontId="23" fillId="6" borderId="7" xfId="1" applyFont="1" applyFill="1" applyBorder="1"/>
    <xf numFmtId="0" fontId="23" fillId="6" borderId="7" xfId="0" applyFont="1" applyFill="1" applyBorder="1"/>
    <xf numFmtId="0" fontId="24" fillId="6" borderId="7" xfId="0" applyFont="1" applyFill="1" applyBorder="1"/>
    <xf numFmtId="3" fontId="25" fillId="6" borderId="7" xfId="1" applyNumberFormat="1" applyFont="1" applyFill="1" applyBorder="1" applyAlignment="1">
      <alignment horizontal="right"/>
    </xf>
    <xf numFmtId="3" fontId="25" fillId="6" borderId="7" xfId="0" applyNumberFormat="1" applyFont="1" applyFill="1" applyBorder="1" applyAlignment="1">
      <alignment horizontal="right"/>
    </xf>
    <xf numFmtId="3" fontId="25" fillId="6" borderId="9" xfId="1" applyNumberFormat="1" applyFont="1" applyFill="1" applyBorder="1"/>
    <xf numFmtId="3" fontId="25" fillId="6" borderId="9" xfId="0" applyNumberFormat="1" applyFont="1" applyFill="1" applyBorder="1"/>
    <xf numFmtId="3" fontId="26" fillId="6" borderId="9" xfId="0" applyNumberFormat="1" applyFont="1" applyFill="1" applyBorder="1"/>
    <xf numFmtId="3" fontId="23" fillId="6" borderId="8" xfId="1" applyNumberFormat="1" applyFont="1" applyFill="1" applyBorder="1"/>
    <xf numFmtId="3" fontId="23" fillId="6" borderId="15" xfId="1" applyNumberFormat="1" applyFont="1" applyFill="1" applyBorder="1"/>
    <xf numFmtId="0" fontId="23" fillId="6" borderId="15" xfId="1" applyFont="1" applyFill="1" applyBorder="1" applyAlignment="1">
      <alignment horizontal="center"/>
    </xf>
    <xf numFmtId="0" fontId="23" fillId="6" borderId="15" xfId="0" applyFont="1" applyFill="1" applyBorder="1" applyAlignment="1">
      <alignment horizontal="center"/>
    </xf>
    <xf numFmtId="0" fontId="24" fillId="6" borderId="15" xfId="0" applyFont="1" applyFill="1" applyBorder="1" applyAlignment="1">
      <alignment horizontal="center"/>
    </xf>
    <xf numFmtId="3" fontId="26" fillId="6" borderId="0" xfId="0" applyNumberFormat="1" applyFont="1" applyFill="1" applyAlignment="1">
      <alignment horizontal="right"/>
    </xf>
    <xf numFmtId="3" fontId="24" fillId="6" borderId="0" xfId="0" applyNumberFormat="1" applyFont="1" applyFill="1"/>
    <xf numFmtId="49" fontId="23" fillId="6" borderId="8" xfId="0" applyNumberFormat="1" applyFont="1" applyFill="1" applyBorder="1" applyAlignment="1">
      <alignment horizontal="center" wrapText="1"/>
    </xf>
    <xf numFmtId="0" fontId="11" fillId="0" borderId="0" xfId="0" applyFont="1"/>
    <xf numFmtId="1" fontId="11" fillId="0" borderId="0" xfId="0" applyNumberFormat="1" applyFont="1"/>
    <xf numFmtId="0" fontId="17" fillId="0" borderId="0" xfId="0" applyFont="1"/>
    <xf numFmtId="0" fontId="16" fillId="0" borderId="0" xfId="0" applyFont="1"/>
    <xf numFmtId="3" fontId="6" fillId="0" borderId="0" xfId="0" applyNumberFormat="1" applyFont="1"/>
    <xf numFmtId="49" fontId="5" fillId="0" borderId="0" xfId="0" applyNumberFormat="1" applyFont="1"/>
    <xf numFmtId="164" fontId="6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49" fontId="2" fillId="0" borderId="0" xfId="0" applyNumberFormat="1" applyFont="1"/>
    <xf numFmtId="3" fontId="7" fillId="0" borderId="0" xfId="0" applyNumberFormat="1" applyFont="1"/>
    <xf numFmtId="1" fontId="8" fillId="0" borderId="0" xfId="0" applyNumberFormat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3" fontId="25" fillId="0" borderId="7" xfId="1" applyNumberFormat="1" applyFont="1" applyBorder="1"/>
    <xf numFmtId="3" fontId="23" fillId="0" borderId="7" xfId="1" applyNumberFormat="1" applyFont="1" applyBorder="1"/>
    <xf numFmtId="3" fontId="25" fillId="0" borderId="7" xfId="0" applyNumberFormat="1" applyFont="1" applyBorder="1"/>
    <xf numFmtId="3" fontId="26" fillId="0" borderId="7" xfId="0" applyNumberFormat="1" applyFont="1" applyBorder="1"/>
    <xf numFmtId="3" fontId="26" fillId="0" borderId="7" xfId="0" applyNumberFormat="1" applyFont="1" applyBorder="1" applyAlignment="1">
      <alignment horizontal="right"/>
    </xf>
    <xf numFmtId="3" fontId="28" fillId="9" borderId="7" xfId="0" applyNumberFormat="1" applyFont="1" applyFill="1" applyBorder="1" applyAlignment="1">
      <alignment horizontal="right"/>
    </xf>
    <xf numFmtId="0" fontId="29" fillId="11" borderId="0" xfId="0" applyFont="1" applyFill="1"/>
    <xf numFmtId="3" fontId="8" fillId="9" borderId="0" xfId="1" applyNumberFormat="1" applyFont="1" applyFill="1" applyAlignment="1">
      <alignment horizontal="right"/>
    </xf>
    <xf numFmtId="3" fontId="8" fillId="10" borderId="7" xfId="0" applyNumberFormat="1" applyFont="1" applyFill="1" applyBorder="1" applyAlignment="1">
      <alignment horizontal="center" wrapText="1"/>
    </xf>
    <xf numFmtId="3" fontId="8" fillId="8" borderId="7" xfId="0" applyNumberFormat="1" applyFont="1" applyFill="1" applyBorder="1" applyAlignment="1">
      <alignment horizontal="center" wrapText="1"/>
    </xf>
    <xf numFmtId="3" fontId="4" fillId="12" borderId="7" xfId="0" applyNumberFormat="1" applyFont="1" applyFill="1" applyBorder="1" applyAlignment="1">
      <alignment horizontal="center" wrapText="1"/>
    </xf>
    <xf numFmtId="3" fontId="8" fillId="12" borderId="7" xfId="0" applyNumberFormat="1" applyFont="1" applyFill="1" applyBorder="1" applyAlignment="1">
      <alignment horizontal="center" wrapText="1"/>
    </xf>
    <xf numFmtId="3" fontId="25" fillId="6" borderId="7" xfId="0" applyNumberFormat="1" applyFont="1" applyFill="1" applyBorder="1" applyAlignment="1">
      <alignment horizontal="center" wrapText="1"/>
    </xf>
    <xf numFmtId="3" fontId="26" fillId="0" borderId="7" xfId="0" applyNumberFormat="1" applyFont="1" applyBorder="1" applyAlignment="1">
      <alignment horizontal="center" wrapText="1"/>
    </xf>
    <xf numFmtId="3" fontId="25" fillId="9" borderId="1" xfId="0" applyNumberFormat="1" applyFont="1" applyFill="1" applyBorder="1" applyAlignment="1">
      <alignment horizontal="right"/>
    </xf>
    <xf numFmtId="3" fontId="8" fillId="8" borderId="1" xfId="0" applyNumberFormat="1" applyFont="1" applyFill="1" applyBorder="1"/>
    <xf numFmtId="0" fontId="0" fillId="0" borderId="0" xfId="0" applyAlignment="1">
      <alignment horizontal="center"/>
    </xf>
    <xf numFmtId="165" fontId="4" fillId="6" borderId="0" xfId="0" applyNumberFormat="1" applyFont="1" applyFill="1" applyAlignment="1">
      <alignment horizontal="right"/>
    </xf>
    <xf numFmtId="165" fontId="12" fillId="6" borderId="0" xfId="0" applyNumberFormat="1" applyFont="1" applyFill="1" applyAlignment="1">
      <alignment horizontal="right"/>
    </xf>
    <xf numFmtId="165" fontId="8" fillId="6" borderId="0" xfId="0" applyNumberFormat="1" applyFont="1" applyFill="1" applyAlignment="1">
      <alignment horizontal="right"/>
    </xf>
    <xf numFmtId="165" fontId="4" fillId="9" borderId="8" xfId="0" applyNumberFormat="1" applyFont="1" applyFill="1" applyBorder="1" applyAlignment="1">
      <alignment horizontal="right"/>
    </xf>
    <xf numFmtId="165" fontId="4" fillId="9" borderId="15" xfId="0" applyNumberFormat="1" applyFont="1" applyFill="1" applyBorder="1" applyAlignment="1">
      <alignment horizontal="right"/>
    </xf>
    <xf numFmtId="165" fontId="4" fillId="9" borderId="7" xfId="0" applyNumberFormat="1" applyFont="1" applyFill="1" applyBorder="1" applyAlignment="1">
      <alignment horizontal="right"/>
    </xf>
    <xf numFmtId="165" fontId="8" fillId="9" borderId="7" xfId="0" applyNumberFormat="1" applyFont="1" applyFill="1" applyBorder="1" applyAlignment="1">
      <alignment horizontal="right"/>
    </xf>
    <xf numFmtId="165" fontId="8" fillId="9" borderId="8" xfId="0" applyNumberFormat="1" applyFont="1" applyFill="1" applyBorder="1" applyAlignment="1">
      <alignment horizontal="right"/>
    </xf>
    <xf numFmtId="165" fontId="4" fillId="9" borderId="8" xfId="1" applyNumberFormat="1" applyFont="1" applyFill="1" applyBorder="1" applyAlignment="1">
      <alignment horizontal="right"/>
    </xf>
    <xf numFmtId="165" fontId="4" fillId="9" borderId="7" xfId="1" applyNumberFormat="1" applyFont="1" applyFill="1" applyBorder="1" applyAlignment="1">
      <alignment horizontal="right"/>
    </xf>
    <xf numFmtId="165" fontId="8" fillId="9" borderId="7" xfId="1" applyNumberFormat="1" applyFont="1" applyFill="1" applyBorder="1" applyAlignment="1">
      <alignment horizontal="right"/>
    </xf>
    <xf numFmtId="165" fontId="8" fillId="9" borderId="8" xfId="1" applyNumberFormat="1" applyFont="1" applyFill="1" applyBorder="1" applyAlignment="1">
      <alignment horizontal="right"/>
    </xf>
    <xf numFmtId="165" fontId="8" fillId="9" borderId="15" xfId="1" applyNumberFormat="1" applyFont="1" applyFill="1" applyBorder="1" applyAlignment="1">
      <alignment horizontal="right"/>
    </xf>
    <xf numFmtId="165" fontId="8" fillId="9" borderId="9" xfId="1" applyNumberFormat="1" applyFont="1" applyFill="1" applyBorder="1" applyAlignment="1">
      <alignment horizontal="right"/>
    </xf>
    <xf numFmtId="165" fontId="4" fillId="9" borderId="15" xfId="1" applyNumberFormat="1" applyFont="1" applyFill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9" fillId="0" borderId="0" xfId="2"/>
    <xf numFmtId="0" fontId="2" fillId="0" borderId="0" xfId="2" applyFont="1"/>
    <xf numFmtId="0" fontId="4" fillId="0" borderId="0" xfId="2" applyFont="1"/>
    <xf numFmtId="0" fontId="23" fillId="6" borderId="0" xfId="2" applyFont="1" applyFill="1"/>
    <xf numFmtId="0" fontId="23" fillId="6" borderId="8" xfId="2" applyFont="1" applyFill="1" applyBorder="1" applyAlignment="1">
      <alignment horizontal="center" wrapText="1"/>
    </xf>
    <xf numFmtId="0" fontId="23" fillId="6" borderId="15" xfId="2" applyFont="1" applyFill="1" applyBorder="1" applyAlignment="1">
      <alignment horizontal="center" wrapText="1"/>
    </xf>
    <xf numFmtId="0" fontId="23" fillId="6" borderId="7" xfId="2" applyFont="1" applyFill="1" applyBorder="1" applyAlignment="1">
      <alignment horizontal="center" wrapText="1"/>
    </xf>
    <xf numFmtId="3" fontId="23" fillId="6" borderId="7" xfId="2" applyNumberFormat="1" applyFont="1" applyFill="1" applyBorder="1" applyAlignment="1">
      <alignment horizontal="right"/>
    </xf>
    <xf numFmtId="3" fontId="23" fillId="6" borderId="0" xfId="2" applyNumberFormat="1" applyFont="1" applyFill="1" applyAlignment="1">
      <alignment horizontal="right"/>
    </xf>
    <xf numFmtId="0" fontId="23" fillId="6" borderId="0" xfId="2" applyFont="1" applyFill="1" applyAlignment="1">
      <alignment horizontal="center" wrapText="1"/>
    </xf>
    <xf numFmtId="3" fontId="23" fillId="6" borderId="7" xfId="2" applyNumberFormat="1" applyFont="1" applyFill="1" applyBorder="1"/>
    <xf numFmtId="0" fontId="25" fillId="6" borderId="7" xfId="2" applyFont="1" applyFill="1" applyBorder="1"/>
    <xf numFmtId="3" fontId="25" fillId="6" borderId="7" xfId="2" applyNumberFormat="1" applyFont="1" applyFill="1" applyBorder="1"/>
    <xf numFmtId="3" fontId="25" fillId="6" borderId="7" xfId="2" applyNumberFormat="1" applyFont="1" applyFill="1" applyBorder="1" applyAlignment="1">
      <alignment horizontal="right" wrapText="1"/>
    </xf>
    <xf numFmtId="0" fontId="23" fillId="6" borderId="7" xfId="2" applyFont="1" applyFill="1" applyBorder="1" applyAlignment="1">
      <alignment horizontal="center"/>
    </xf>
    <xf numFmtId="3" fontId="25" fillId="6" borderId="8" xfId="2" applyNumberFormat="1" applyFont="1" applyFill="1" applyBorder="1"/>
    <xf numFmtId="3" fontId="25" fillId="6" borderId="0" xfId="2" applyNumberFormat="1" applyFont="1" applyFill="1"/>
    <xf numFmtId="3" fontId="23" fillId="6" borderId="15" xfId="2" applyNumberFormat="1" applyFont="1" applyFill="1" applyBorder="1"/>
    <xf numFmtId="0" fontId="25" fillId="6" borderId="7" xfId="2" applyFont="1" applyFill="1" applyBorder="1" applyAlignment="1">
      <alignment horizontal="center" wrapText="1"/>
    </xf>
    <xf numFmtId="0" fontId="25" fillId="6" borderId="15" xfId="2" applyFont="1" applyFill="1" applyBorder="1" applyAlignment="1">
      <alignment horizontal="center" wrapText="1"/>
    </xf>
    <xf numFmtId="3" fontId="25" fillId="6" borderId="15" xfId="2" applyNumberFormat="1" applyFont="1" applyFill="1" applyBorder="1"/>
    <xf numFmtId="3" fontId="23" fillId="6" borderId="8" xfId="2" applyNumberFormat="1" applyFont="1" applyFill="1" applyBorder="1"/>
    <xf numFmtId="0" fontId="23" fillId="6" borderId="7" xfId="2" applyFont="1" applyFill="1" applyBorder="1"/>
    <xf numFmtId="3" fontId="25" fillId="6" borderId="7" xfId="2" applyNumberFormat="1" applyFont="1" applyFill="1" applyBorder="1" applyAlignment="1">
      <alignment horizontal="right"/>
    </xf>
    <xf numFmtId="3" fontId="25" fillId="6" borderId="9" xfId="2" applyNumberFormat="1" applyFont="1" applyFill="1" applyBorder="1"/>
    <xf numFmtId="0" fontId="23" fillId="6" borderId="15" xfId="2" applyFont="1" applyFill="1" applyBorder="1" applyAlignment="1">
      <alignment horizontal="center"/>
    </xf>
    <xf numFmtId="3" fontId="6" fillId="0" borderId="0" xfId="2" applyNumberFormat="1" applyFont="1"/>
    <xf numFmtId="3" fontId="25" fillId="0" borderId="7" xfId="2" applyNumberFormat="1" applyFont="1" applyBorder="1"/>
    <xf numFmtId="9" fontId="23" fillId="6" borderId="7" xfId="0" applyNumberFormat="1" applyFont="1" applyFill="1" applyBorder="1" applyAlignment="1">
      <alignment horizontal="right"/>
    </xf>
    <xf numFmtId="1" fontId="23" fillId="6" borderId="7" xfId="0" applyNumberFormat="1" applyFont="1" applyFill="1" applyBorder="1" applyAlignment="1">
      <alignment horizontal="right"/>
    </xf>
    <xf numFmtId="1" fontId="4" fillId="9" borderId="8" xfId="0" applyNumberFormat="1" applyFont="1" applyFill="1" applyBorder="1" applyAlignment="1">
      <alignment horizontal="right"/>
    </xf>
    <xf numFmtId="165" fontId="30" fillId="0" borderId="0" xfId="0" applyNumberFormat="1" applyFont="1"/>
    <xf numFmtId="165" fontId="31" fillId="6" borderId="0" xfId="0" applyNumberFormat="1" applyFont="1" applyFill="1"/>
    <xf numFmtId="0" fontId="0" fillId="0" borderId="12" xfId="0" applyBorder="1"/>
    <xf numFmtId="1" fontId="5" fillId="0" borderId="0" xfId="0" applyNumberFormat="1" applyFont="1" applyAlignment="1">
      <alignment horizontal="left"/>
    </xf>
    <xf numFmtId="3" fontId="7" fillId="0" borderId="13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2" xfId="2"/>
    <cellStyle name="Normal 3" xfId="3"/>
  </cellStyles>
  <dxfs count="43"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scheme val="none"/>
      </font>
      <numFmt numFmtId="3" formatCode="#,##0"/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 Narrow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 Narrow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 Narrow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 Narrow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 Narrow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 Narrow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indexed="4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bottom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scheme val="none"/>
      </font>
      <alignment horizontal="left" vertical="bottom" textRotation="0" wrapText="0" indent="0" relativeIndent="0" justifyLastLine="0" shrinkToFit="0" mergeCell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scheme val="none"/>
      </font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alignment horizontal="left" vertical="bottom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</border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1230</xdr:row>
      <xdr:rowOff>0</xdr:rowOff>
    </xdr:from>
    <xdr:to>
      <xdr:col>10</xdr:col>
      <xdr:colOff>0</xdr:colOff>
      <xdr:row>1233</xdr:row>
      <xdr:rowOff>95250</xdr:rowOff>
    </xdr:to>
    <xdr:pic>
      <xdr:nvPicPr>
        <xdr:cNvPr id="228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19400" y="1873758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1236</xdr:row>
      <xdr:rowOff>76200</xdr:rowOff>
    </xdr:from>
    <xdr:to>
      <xdr:col>10</xdr:col>
      <xdr:colOff>0</xdr:colOff>
      <xdr:row>1239</xdr:row>
      <xdr:rowOff>0</xdr:rowOff>
    </xdr:to>
    <xdr:pic>
      <xdr:nvPicPr>
        <xdr:cNvPr id="228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19400" y="1883664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1226</xdr:row>
      <xdr:rowOff>0</xdr:rowOff>
    </xdr:from>
    <xdr:to>
      <xdr:col>11</xdr:col>
      <xdr:colOff>0</xdr:colOff>
      <xdr:row>1229</xdr:row>
      <xdr:rowOff>95250</xdr:rowOff>
    </xdr:to>
    <xdr:pic>
      <xdr:nvPicPr>
        <xdr:cNvPr id="22813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766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2814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2815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309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2816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1227</xdr:row>
      <xdr:rowOff>0</xdr:rowOff>
    </xdr:from>
    <xdr:to>
      <xdr:col>11</xdr:col>
      <xdr:colOff>0</xdr:colOff>
      <xdr:row>1230</xdr:row>
      <xdr:rowOff>95250</xdr:rowOff>
    </xdr:to>
    <xdr:pic>
      <xdr:nvPicPr>
        <xdr:cNvPr id="22817" name="Picture 17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918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2818" name="Picture 17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23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2819" name="Picture 17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461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2820" name="Picture 17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23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1227</xdr:row>
      <xdr:rowOff>0</xdr:rowOff>
    </xdr:from>
    <xdr:to>
      <xdr:col>11</xdr:col>
      <xdr:colOff>0</xdr:colOff>
      <xdr:row>1230</xdr:row>
      <xdr:rowOff>95250</xdr:rowOff>
    </xdr:to>
    <xdr:pic>
      <xdr:nvPicPr>
        <xdr:cNvPr id="22821" name="Picture 17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918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2822" name="Picture 17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423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1225</xdr:row>
      <xdr:rowOff>0</xdr:rowOff>
    </xdr:from>
    <xdr:to>
      <xdr:col>11</xdr:col>
      <xdr:colOff>0</xdr:colOff>
      <xdr:row>1228</xdr:row>
      <xdr:rowOff>95250</xdr:rowOff>
    </xdr:to>
    <xdr:pic>
      <xdr:nvPicPr>
        <xdr:cNvPr id="22823" name="Picture 36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6138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2824" name="Picture 36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118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2825" name="Picture 36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156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2826" name="Picture 36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118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1226</xdr:row>
      <xdr:rowOff>0</xdr:rowOff>
    </xdr:from>
    <xdr:to>
      <xdr:col>11</xdr:col>
      <xdr:colOff>0</xdr:colOff>
      <xdr:row>1229</xdr:row>
      <xdr:rowOff>95250</xdr:rowOff>
    </xdr:to>
    <xdr:pic>
      <xdr:nvPicPr>
        <xdr:cNvPr id="22827" name="Picture 3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766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2828" name="Picture 36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071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2829" name="Picture 37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309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2830" name="Picture 37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071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1226</xdr:row>
      <xdr:rowOff>0</xdr:rowOff>
    </xdr:from>
    <xdr:to>
      <xdr:col>11</xdr:col>
      <xdr:colOff>0</xdr:colOff>
      <xdr:row>1229</xdr:row>
      <xdr:rowOff>95250</xdr:rowOff>
    </xdr:to>
    <xdr:pic>
      <xdr:nvPicPr>
        <xdr:cNvPr id="22831" name="Picture 37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766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2832" name="Picture 37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2833" name="Picture 37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461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2834" name="Picture 37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966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1224</xdr:row>
      <xdr:rowOff>95250</xdr:rowOff>
    </xdr:to>
    <xdr:pic>
      <xdr:nvPicPr>
        <xdr:cNvPr id="22835" name="Picture 37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004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2836" name="Picture 37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966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1225</xdr:row>
      <xdr:rowOff>0</xdr:rowOff>
    </xdr:from>
    <xdr:to>
      <xdr:col>11</xdr:col>
      <xdr:colOff>0</xdr:colOff>
      <xdr:row>1228</xdr:row>
      <xdr:rowOff>95250</xdr:rowOff>
    </xdr:to>
    <xdr:pic>
      <xdr:nvPicPr>
        <xdr:cNvPr id="22837" name="Picture 37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6138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0</xdr:rowOff>
    </xdr:from>
    <xdr:to>
      <xdr:col>11</xdr:col>
      <xdr:colOff>0</xdr:colOff>
      <xdr:row>1228</xdr:row>
      <xdr:rowOff>114300</xdr:rowOff>
    </xdr:to>
    <xdr:pic>
      <xdr:nvPicPr>
        <xdr:cNvPr id="22838" name="Picture 37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918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2839" name="Picture 38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156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0</xdr:rowOff>
    </xdr:from>
    <xdr:to>
      <xdr:col>11</xdr:col>
      <xdr:colOff>0</xdr:colOff>
      <xdr:row>1228</xdr:row>
      <xdr:rowOff>114300</xdr:rowOff>
    </xdr:to>
    <xdr:pic>
      <xdr:nvPicPr>
        <xdr:cNvPr id="22840" name="Picture 38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918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1225</xdr:row>
      <xdr:rowOff>0</xdr:rowOff>
    </xdr:from>
    <xdr:to>
      <xdr:col>11</xdr:col>
      <xdr:colOff>0</xdr:colOff>
      <xdr:row>1228</xdr:row>
      <xdr:rowOff>95250</xdr:rowOff>
    </xdr:to>
    <xdr:pic>
      <xdr:nvPicPr>
        <xdr:cNvPr id="22841" name="Picture 38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6138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2842" name="Picture 38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118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2843" name="Picture 44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309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2844" name="Picture 44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1226</xdr:row>
      <xdr:rowOff>0</xdr:rowOff>
    </xdr:from>
    <xdr:to>
      <xdr:col>11</xdr:col>
      <xdr:colOff>0</xdr:colOff>
      <xdr:row>1229</xdr:row>
      <xdr:rowOff>95250</xdr:rowOff>
    </xdr:to>
    <xdr:pic>
      <xdr:nvPicPr>
        <xdr:cNvPr id="22845" name="Picture 49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766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2846" name="Picture 49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2847" name="Picture 49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309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2848" name="Picture 49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1227</xdr:row>
      <xdr:rowOff>0</xdr:rowOff>
    </xdr:from>
    <xdr:to>
      <xdr:col>11</xdr:col>
      <xdr:colOff>0</xdr:colOff>
      <xdr:row>1230</xdr:row>
      <xdr:rowOff>95250</xdr:rowOff>
    </xdr:to>
    <xdr:pic>
      <xdr:nvPicPr>
        <xdr:cNvPr id="22849" name="Picture 49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918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2850" name="Picture 49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23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2851" name="Picture 4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461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2852" name="Picture 49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23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1227</xdr:row>
      <xdr:rowOff>0</xdr:rowOff>
    </xdr:from>
    <xdr:to>
      <xdr:col>11</xdr:col>
      <xdr:colOff>0</xdr:colOff>
      <xdr:row>1230</xdr:row>
      <xdr:rowOff>95250</xdr:rowOff>
    </xdr:to>
    <xdr:pic>
      <xdr:nvPicPr>
        <xdr:cNvPr id="22853" name="Picture 49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918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2854" name="Picture 49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423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1225</xdr:row>
      <xdr:rowOff>0</xdr:rowOff>
    </xdr:from>
    <xdr:to>
      <xdr:col>11</xdr:col>
      <xdr:colOff>0</xdr:colOff>
      <xdr:row>1228</xdr:row>
      <xdr:rowOff>95250</xdr:rowOff>
    </xdr:to>
    <xdr:pic>
      <xdr:nvPicPr>
        <xdr:cNvPr id="22855" name="Picture 5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6138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2856" name="Picture 50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118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2857" name="Picture 50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156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2858" name="Picture 50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118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1226</xdr:row>
      <xdr:rowOff>0</xdr:rowOff>
    </xdr:from>
    <xdr:to>
      <xdr:col>11</xdr:col>
      <xdr:colOff>0</xdr:colOff>
      <xdr:row>1229</xdr:row>
      <xdr:rowOff>95250</xdr:rowOff>
    </xdr:to>
    <xdr:pic>
      <xdr:nvPicPr>
        <xdr:cNvPr id="22859" name="Picture 50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766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2860" name="Picture 50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071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2861" name="Picture 50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309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2862" name="Picture 50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071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1226</xdr:row>
      <xdr:rowOff>0</xdr:rowOff>
    </xdr:from>
    <xdr:to>
      <xdr:col>11</xdr:col>
      <xdr:colOff>0</xdr:colOff>
      <xdr:row>1229</xdr:row>
      <xdr:rowOff>95250</xdr:rowOff>
    </xdr:to>
    <xdr:pic>
      <xdr:nvPicPr>
        <xdr:cNvPr id="22863" name="Picture 50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766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2864" name="Picture 50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2865" name="Picture 5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461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2866" name="Picture 51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966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1224</xdr:row>
      <xdr:rowOff>95250</xdr:rowOff>
    </xdr:to>
    <xdr:pic>
      <xdr:nvPicPr>
        <xdr:cNvPr id="22867" name="Picture 5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004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2868" name="Picture 51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966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1225</xdr:row>
      <xdr:rowOff>0</xdr:rowOff>
    </xdr:from>
    <xdr:to>
      <xdr:col>11</xdr:col>
      <xdr:colOff>0</xdr:colOff>
      <xdr:row>1228</xdr:row>
      <xdr:rowOff>95250</xdr:rowOff>
    </xdr:to>
    <xdr:pic>
      <xdr:nvPicPr>
        <xdr:cNvPr id="22869" name="Picture 5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6138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0</xdr:rowOff>
    </xdr:from>
    <xdr:to>
      <xdr:col>11</xdr:col>
      <xdr:colOff>0</xdr:colOff>
      <xdr:row>1228</xdr:row>
      <xdr:rowOff>114300</xdr:rowOff>
    </xdr:to>
    <xdr:pic>
      <xdr:nvPicPr>
        <xdr:cNvPr id="22870" name="Picture 51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918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2871" name="Picture 5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156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0</xdr:rowOff>
    </xdr:from>
    <xdr:to>
      <xdr:col>11</xdr:col>
      <xdr:colOff>0</xdr:colOff>
      <xdr:row>1228</xdr:row>
      <xdr:rowOff>114300</xdr:rowOff>
    </xdr:to>
    <xdr:pic>
      <xdr:nvPicPr>
        <xdr:cNvPr id="22872" name="Picture 5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918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161925</xdr:rowOff>
    </xdr:from>
    <xdr:to>
      <xdr:col>11</xdr:col>
      <xdr:colOff>9525</xdr:colOff>
      <xdr:row>1225</xdr:row>
      <xdr:rowOff>85725</xdr:rowOff>
    </xdr:to>
    <xdr:pic>
      <xdr:nvPicPr>
        <xdr:cNvPr id="22873" name="Picture 51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156600"/>
          <a:ext cx="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2874" name="Picture 51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118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47625</xdr:rowOff>
    </xdr:from>
    <xdr:to>
      <xdr:col>11</xdr:col>
      <xdr:colOff>0</xdr:colOff>
      <xdr:row>1226</xdr:row>
      <xdr:rowOff>114300</xdr:rowOff>
    </xdr:to>
    <xdr:pic>
      <xdr:nvPicPr>
        <xdr:cNvPr id="22875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204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47625</xdr:rowOff>
    </xdr:from>
    <xdr:to>
      <xdr:col>11</xdr:col>
      <xdr:colOff>0</xdr:colOff>
      <xdr:row>1226</xdr:row>
      <xdr:rowOff>114300</xdr:rowOff>
    </xdr:to>
    <xdr:pic>
      <xdr:nvPicPr>
        <xdr:cNvPr id="22876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204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1223</xdr:row>
      <xdr:rowOff>114300</xdr:rowOff>
    </xdr:to>
    <xdr:pic>
      <xdr:nvPicPr>
        <xdr:cNvPr id="22877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156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1223</xdr:row>
      <xdr:rowOff>114300</xdr:rowOff>
    </xdr:to>
    <xdr:pic>
      <xdr:nvPicPr>
        <xdr:cNvPr id="22878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156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47625</xdr:rowOff>
    </xdr:from>
    <xdr:to>
      <xdr:col>11</xdr:col>
      <xdr:colOff>0</xdr:colOff>
      <xdr:row>1227</xdr:row>
      <xdr:rowOff>114300</xdr:rowOff>
    </xdr:to>
    <xdr:pic>
      <xdr:nvPicPr>
        <xdr:cNvPr id="22879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356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47625</xdr:rowOff>
    </xdr:from>
    <xdr:to>
      <xdr:col>11</xdr:col>
      <xdr:colOff>0</xdr:colOff>
      <xdr:row>1225</xdr:row>
      <xdr:rowOff>114300</xdr:rowOff>
    </xdr:to>
    <xdr:pic>
      <xdr:nvPicPr>
        <xdr:cNvPr id="22880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051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47625</xdr:rowOff>
    </xdr:from>
    <xdr:to>
      <xdr:col>11</xdr:col>
      <xdr:colOff>0</xdr:colOff>
      <xdr:row>1225</xdr:row>
      <xdr:rowOff>114300</xdr:rowOff>
    </xdr:to>
    <xdr:pic>
      <xdr:nvPicPr>
        <xdr:cNvPr id="22881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051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1222</xdr:row>
      <xdr:rowOff>114300</xdr:rowOff>
    </xdr:to>
    <xdr:pic>
      <xdr:nvPicPr>
        <xdr:cNvPr id="22882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0042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1222</xdr:row>
      <xdr:rowOff>114300</xdr:rowOff>
    </xdr:to>
    <xdr:pic>
      <xdr:nvPicPr>
        <xdr:cNvPr id="22883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0042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47625</xdr:rowOff>
    </xdr:from>
    <xdr:to>
      <xdr:col>11</xdr:col>
      <xdr:colOff>0</xdr:colOff>
      <xdr:row>1226</xdr:row>
      <xdr:rowOff>114300</xdr:rowOff>
    </xdr:to>
    <xdr:pic>
      <xdr:nvPicPr>
        <xdr:cNvPr id="22884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204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1224</xdr:row>
      <xdr:rowOff>114300</xdr:rowOff>
    </xdr:to>
    <xdr:pic>
      <xdr:nvPicPr>
        <xdr:cNvPr id="22885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00420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1224</xdr:row>
      <xdr:rowOff>114300</xdr:rowOff>
    </xdr:to>
    <xdr:pic>
      <xdr:nvPicPr>
        <xdr:cNvPr id="22886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00420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1221</xdr:row>
      <xdr:rowOff>114300</xdr:rowOff>
    </xdr:to>
    <xdr:pic>
      <xdr:nvPicPr>
        <xdr:cNvPr id="22887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004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1221</xdr:row>
      <xdr:rowOff>114300</xdr:rowOff>
    </xdr:to>
    <xdr:pic>
      <xdr:nvPicPr>
        <xdr:cNvPr id="22888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004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47625</xdr:rowOff>
    </xdr:from>
    <xdr:to>
      <xdr:col>11</xdr:col>
      <xdr:colOff>0</xdr:colOff>
      <xdr:row>1225</xdr:row>
      <xdr:rowOff>114300</xdr:rowOff>
    </xdr:to>
    <xdr:pic>
      <xdr:nvPicPr>
        <xdr:cNvPr id="22889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051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47625</xdr:rowOff>
    </xdr:from>
    <xdr:to>
      <xdr:col>11</xdr:col>
      <xdr:colOff>0</xdr:colOff>
      <xdr:row>1226</xdr:row>
      <xdr:rowOff>114300</xdr:rowOff>
    </xdr:to>
    <xdr:pic>
      <xdr:nvPicPr>
        <xdr:cNvPr id="22890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204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47625</xdr:rowOff>
    </xdr:from>
    <xdr:to>
      <xdr:col>11</xdr:col>
      <xdr:colOff>0</xdr:colOff>
      <xdr:row>1226</xdr:row>
      <xdr:rowOff>114300</xdr:rowOff>
    </xdr:to>
    <xdr:pic>
      <xdr:nvPicPr>
        <xdr:cNvPr id="22891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204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47625</xdr:rowOff>
    </xdr:from>
    <xdr:to>
      <xdr:col>11</xdr:col>
      <xdr:colOff>0</xdr:colOff>
      <xdr:row>1226</xdr:row>
      <xdr:rowOff>114300</xdr:rowOff>
    </xdr:to>
    <xdr:pic>
      <xdr:nvPicPr>
        <xdr:cNvPr id="22892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204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1223</xdr:row>
      <xdr:rowOff>114300</xdr:rowOff>
    </xdr:to>
    <xdr:pic>
      <xdr:nvPicPr>
        <xdr:cNvPr id="22893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156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1223</xdr:row>
      <xdr:rowOff>114300</xdr:rowOff>
    </xdr:to>
    <xdr:pic>
      <xdr:nvPicPr>
        <xdr:cNvPr id="22894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156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47625</xdr:rowOff>
    </xdr:from>
    <xdr:to>
      <xdr:col>11</xdr:col>
      <xdr:colOff>0</xdr:colOff>
      <xdr:row>1227</xdr:row>
      <xdr:rowOff>114300</xdr:rowOff>
    </xdr:to>
    <xdr:pic>
      <xdr:nvPicPr>
        <xdr:cNvPr id="22895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356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47625</xdr:rowOff>
    </xdr:from>
    <xdr:to>
      <xdr:col>11</xdr:col>
      <xdr:colOff>0</xdr:colOff>
      <xdr:row>1225</xdr:row>
      <xdr:rowOff>114300</xdr:rowOff>
    </xdr:to>
    <xdr:pic>
      <xdr:nvPicPr>
        <xdr:cNvPr id="22896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051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47625</xdr:rowOff>
    </xdr:from>
    <xdr:to>
      <xdr:col>11</xdr:col>
      <xdr:colOff>0</xdr:colOff>
      <xdr:row>1225</xdr:row>
      <xdr:rowOff>114300</xdr:rowOff>
    </xdr:to>
    <xdr:pic>
      <xdr:nvPicPr>
        <xdr:cNvPr id="22897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051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1222</xdr:row>
      <xdr:rowOff>114300</xdr:rowOff>
    </xdr:to>
    <xdr:pic>
      <xdr:nvPicPr>
        <xdr:cNvPr id="22898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0042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1222</xdr:row>
      <xdr:rowOff>114300</xdr:rowOff>
    </xdr:to>
    <xdr:pic>
      <xdr:nvPicPr>
        <xdr:cNvPr id="22899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0042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47625</xdr:rowOff>
    </xdr:from>
    <xdr:to>
      <xdr:col>11</xdr:col>
      <xdr:colOff>0</xdr:colOff>
      <xdr:row>1226</xdr:row>
      <xdr:rowOff>114300</xdr:rowOff>
    </xdr:to>
    <xdr:pic>
      <xdr:nvPicPr>
        <xdr:cNvPr id="22900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204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1224</xdr:row>
      <xdr:rowOff>114300</xdr:rowOff>
    </xdr:to>
    <xdr:pic>
      <xdr:nvPicPr>
        <xdr:cNvPr id="22901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00420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1224</xdr:row>
      <xdr:rowOff>114300</xdr:rowOff>
    </xdr:to>
    <xdr:pic>
      <xdr:nvPicPr>
        <xdr:cNvPr id="22902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00420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1221</xdr:row>
      <xdr:rowOff>114300</xdr:rowOff>
    </xdr:to>
    <xdr:pic>
      <xdr:nvPicPr>
        <xdr:cNvPr id="22903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004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1221</xdr:row>
      <xdr:rowOff>114300</xdr:rowOff>
    </xdr:to>
    <xdr:pic>
      <xdr:nvPicPr>
        <xdr:cNvPr id="22904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004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47625</xdr:rowOff>
    </xdr:from>
    <xdr:to>
      <xdr:col>11</xdr:col>
      <xdr:colOff>0</xdr:colOff>
      <xdr:row>1225</xdr:row>
      <xdr:rowOff>114300</xdr:rowOff>
    </xdr:to>
    <xdr:pic>
      <xdr:nvPicPr>
        <xdr:cNvPr id="22905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051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2906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423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2907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461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2908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423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1231</xdr:row>
      <xdr:rowOff>114300</xdr:rowOff>
    </xdr:to>
    <xdr:pic>
      <xdr:nvPicPr>
        <xdr:cNvPr id="22909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3758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0</xdr:rowOff>
    </xdr:from>
    <xdr:to>
      <xdr:col>11</xdr:col>
      <xdr:colOff>0</xdr:colOff>
      <xdr:row>1228</xdr:row>
      <xdr:rowOff>95250</xdr:rowOff>
    </xdr:to>
    <xdr:pic>
      <xdr:nvPicPr>
        <xdr:cNvPr id="22910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6138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1231</xdr:row>
      <xdr:rowOff>114300</xdr:rowOff>
    </xdr:to>
    <xdr:pic>
      <xdr:nvPicPr>
        <xdr:cNvPr id="22911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3758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1231</xdr:row>
      <xdr:rowOff>47625</xdr:rowOff>
    </xdr:from>
    <xdr:to>
      <xdr:col>11</xdr:col>
      <xdr:colOff>0</xdr:colOff>
      <xdr:row>1235</xdr:row>
      <xdr:rowOff>114300</xdr:rowOff>
    </xdr:to>
    <xdr:pic>
      <xdr:nvPicPr>
        <xdr:cNvPr id="22912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575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2913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2914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309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2915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2916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23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2917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23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2918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423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2919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118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2920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156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2921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118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2922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071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2923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309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2924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2925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423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2926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423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2927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423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1231</xdr:row>
      <xdr:rowOff>114300</xdr:rowOff>
    </xdr:to>
    <xdr:pic>
      <xdr:nvPicPr>
        <xdr:cNvPr id="22928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3758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1231</xdr:row>
      <xdr:rowOff>114300</xdr:rowOff>
    </xdr:to>
    <xdr:pic>
      <xdr:nvPicPr>
        <xdr:cNvPr id="22929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3758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1231</xdr:row>
      <xdr:rowOff>47625</xdr:rowOff>
    </xdr:from>
    <xdr:to>
      <xdr:col>11</xdr:col>
      <xdr:colOff>0</xdr:colOff>
      <xdr:row>1235</xdr:row>
      <xdr:rowOff>114300</xdr:rowOff>
    </xdr:to>
    <xdr:pic>
      <xdr:nvPicPr>
        <xdr:cNvPr id="22930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575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2931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2932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2933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23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2934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23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2935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423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2936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118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2937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423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2938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461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2939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423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1231</xdr:row>
      <xdr:rowOff>114300</xdr:rowOff>
    </xdr:to>
    <xdr:pic>
      <xdr:nvPicPr>
        <xdr:cNvPr id="22940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3758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0</xdr:rowOff>
    </xdr:from>
    <xdr:to>
      <xdr:col>11</xdr:col>
      <xdr:colOff>0</xdr:colOff>
      <xdr:row>1228</xdr:row>
      <xdr:rowOff>95250</xdr:rowOff>
    </xdr:to>
    <xdr:pic>
      <xdr:nvPicPr>
        <xdr:cNvPr id="22941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6138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1231</xdr:row>
      <xdr:rowOff>114300</xdr:rowOff>
    </xdr:to>
    <xdr:pic>
      <xdr:nvPicPr>
        <xdr:cNvPr id="22942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3758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1231</xdr:row>
      <xdr:rowOff>47625</xdr:rowOff>
    </xdr:from>
    <xdr:to>
      <xdr:col>11</xdr:col>
      <xdr:colOff>0</xdr:colOff>
      <xdr:row>1235</xdr:row>
      <xdr:rowOff>114300</xdr:rowOff>
    </xdr:to>
    <xdr:pic>
      <xdr:nvPicPr>
        <xdr:cNvPr id="22943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575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2944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2945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309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2946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2947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23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2948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461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2949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23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2950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423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2951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118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2952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156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2953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118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2954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071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2955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309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2956" name="Picture 71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071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2957" name="Picture 71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2958" name="Picture 7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461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2959" name="Picture 71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423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2960" name="Picture 71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423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2961" name="Picture 72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461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2962" name="Picture 72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423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1231</xdr:row>
      <xdr:rowOff>114300</xdr:rowOff>
    </xdr:to>
    <xdr:pic>
      <xdr:nvPicPr>
        <xdr:cNvPr id="22963" name="Picture 72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3758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1225</xdr:row>
      <xdr:rowOff>0</xdr:rowOff>
    </xdr:from>
    <xdr:to>
      <xdr:col>11</xdr:col>
      <xdr:colOff>0</xdr:colOff>
      <xdr:row>1228</xdr:row>
      <xdr:rowOff>95250</xdr:rowOff>
    </xdr:to>
    <xdr:pic>
      <xdr:nvPicPr>
        <xdr:cNvPr id="22964" name="Picture 72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6138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0</xdr:rowOff>
    </xdr:from>
    <xdr:to>
      <xdr:col>11</xdr:col>
      <xdr:colOff>0</xdr:colOff>
      <xdr:row>1231</xdr:row>
      <xdr:rowOff>114300</xdr:rowOff>
    </xdr:to>
    <xdr:pic>
      <xdr:nvPicPr>
        <xdr:cNvPr id="22965" name="Picture 72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3758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1231</xdr:row>
      <xdr:rowOff>47625</xdr:rowOff>
    </xdr:from>
    <xdr:to>
      <xdr:col>11</xdr:col>
      <xdr:colOff>0</xdr:colOff>
      <xdr:row>1235</xdr:row>
      <xdr:rowOff>114300</xdr:rowOff>
    </xdr:to>
    <xdr:pic>
      <xdr:nvPicPr>
        <xdr:cNvPr id="22966" name="Picture 72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575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2967" name="Picture 72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2968" name="Picture 72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309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2969" name="Picture 72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2970" name="Picture 72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23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2971" name="Picture 73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461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2972" name="Picture 73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23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2973" name="Picture 73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423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2974" name="Picture 73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118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2975" name="Picture 73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156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2976" name="Picture 7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118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2977" name="Picture 73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071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2978" name="Picture 73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309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2979" name="Picture 73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071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1224</xdr:row>
      <xdr:rowOff>161925</xdr:rowOff>
    </xdr:from>
    <xdr:to>
      <xdr:col>12</xdr:col>
      <xdr:colOff>9525</xdr:colOff>
      <xdr:row>1228</xdr:row>
      <xdr:rowOff>85725</xdr:rowOff>
    </xdr:to>
    <xdr:pic>
      <xdr:nvPicPr>
        <xdr:cNvPr id="22980" name="Picture 79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613800"/>
          <a:ext cx="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1225</xdr:row>
      <xdr:rowOff>0</xdr:rowOff>
    </xdr:from>
    <xdr:to>
      <xdr:col>11</xdr:col>
      <xdr:colOff>0</xdr:colOff>
      <xdr:row>1228</xdr:row>
      <xdr:rowOff>95250</xdr:rowOff>
    </xdr:to>
    <xdr:pic>
      <xdr:nvPicPr>
        <xdr:cNvPr id="22981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6138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2982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118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2983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156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2984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118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1226</xdr:row>
      <xdr:rowOff>0</xdr:rowOff>
    </xdr:from>
    <xdr:to>
      <xdr:col>11</xdr:col>
      <xdr:colOff>0</xdr:colOff>
      <xdr:row>1229</xdr:row>
      <xdr:rowOff>95250</xdr:rowOff>
    </xdr:to>
    <xdr:pic>
      <xdr:nvPicPr>
        <xdr:cNvPr id="22985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766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2986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071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2987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309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2988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071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1226</xdr:row>
      <xdr:rowOff>0</xdr:rowOff>
    </xdr:from>
    <xdr:to>
      <xdr:col>11</xdr:col>
      <xdr:colOff>0</xdr:colOff>
      <xdr:row>1229</xdr:row>
      <xdr:rowOff>95250</xdr:rowOff>
    </xdr:to>
    <xdr:pic>
      <xdr:nvPicPr>
        <xdr:cNvPr id="22989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766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2990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2991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461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2992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966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1224</xdr:row>
      <xdr:rowOff>95250</xdr:rowOff>
    </xdr:to>
    <xdr:pic>
      <xdr:nvPicPr>
        <xdr:cNvPr id="22993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004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2994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966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1225</xdr:row>
      <xdr:rowOff>0</xdr:rowOff>
    </xdr:from>
    <xdr:to>
      <xdr:col>11</xdr:col>
      <xdr:colOff>0</xdr:colOff>
      <xdr:row>1228</xdr:row>
      <xdr:rowOff>95250</xdr:rowOff>
    </xdr:to>
    <xdr:pic>
      <xdr:nvPicPr>
        <xdr:cNvPr id="22995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6138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0</xdr:rowOff>
    </xdr:from>
    <xdr:to>
      <xdr:col>11</xdr:col>
      <xdr:colOff>0</xdr:colOff>
      <xdr:row>1228</xdr:row>
      <xdr:rowOff>114300</xdr:rowOff>
    </xdr:to>
    <xdr:pic>
      <xdr:nvPicPr>
        <xdr:cNvPr id="22996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918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2997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156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0</xdr:rowOff>
    </xdr:from>
    <xdr:to>
      <xdr:col>11</xdr:col>
      <xdr:colOff>0</xdr:colOff>
      <xdr:row>1228</xdr:row>
      <xdr:rowOff>114300</xdr:rowOff>
    </xdr:to>
    <xdr:pic>
      <xdr:nvPicPr>
        <xdr:cNvPr id="22998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918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1225</xdr:row>
      <xdr:rowOff>0</xdr:rowOff>
    </xdr:from>
    <xdr:to>
      <xdr:col>11</xdr:col>
      <xdr:colOff>0</xdr:colOff>
      <xdr:row>1228</xdr:row>
      <xdr:rowOff>95250</xdr:rowOff>
    </xdr:to>
    <xdr:pic>
      <xdr:nvPicPr>
        <xdr:cNvPr id="22999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6138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3000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118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1218</xdr:row>
      <xdr:rowOff>0</xdr:rowOff>
    </xdr:from>
    <xdr:to>
      <xdr:col>11</xdr:col>
      <xdr:colOff>0</xdr:colOff>
      <xdr:row>1226</xdr:row>
      <xdr:rowOff>95250</xdr:rowOff>
    </xdr:to>
    <xdr:pic>
      <xdr:nvPicPr>
        <xdr:cNvPr id="23001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5547000"/>
          <a:ext cx="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1226</xdr:row>
      <xdr:rowOff>47625</xdr:rowOff>
    </xdr:from>
    <xdr:to>
      <xdr:col>11</xdr:col>
      <xdr:colOff>0</xdr:colOff>
      <xdr:row>1230</xdr:row>
      <xdr:rowOff>114300</xdr:rowOff>
    </xdr:to>
    <xdr:pic>
      <xdr:nvPicPr>
        <xdr:cNvPr id="23002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813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0</xdr:rowOff>
    </xdr:from>
    <xdr:to>
      <xdr:col>11</xdr:col>
      <xdr:colOff>0</xdr:colOff>
      <xdr:row>1223</xdr:row>
      <xdr:rowOff>95250</xdr:rowOff>
    </xdr:to>
    <xdr:pic>
      <xdr:nvPicPr>
        <xdr:cNvPr id="23003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55470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1226</xdr:row>
      <xdr:rowOff>47625</xdr:rowOff>
    </xdr:from>
    <xdr:to>
      <xdr:col>11</xdr:col>
      <xdr:colOff>0</xdr:colOff>
      <xdr:row>1230</xdr:row>
      <xdr:rowOff>114300</xdr:rowOff>
    </xdr:to>
    <xdr:pic>
      <xdr:nvPicPr>
        <xdr:cNvPr id="23004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813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3005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461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1226</xdr:row>
      <xdr:rowOff>0</xdr:rowOff>
    </xdr:from>
    <xdr:to>
      <xdr:col>11</xdr:col>
      <xdr:colOff>0</xdr:colOff>
      <xdr:row>1227</xdr:row>
      <xdr:rowOff>114300</xdr:rowOff>
    </xdr:to>
    <xdr:pic>
      <xdr:nvPicPr>
        <xdr:cNvPr id="23006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7662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1224</xdr:row>
      <xdr:rowOff>95250</xdr:rowOff>
    </xdr:to>
    <xdr:pic>
      <xdr:nvPicPr>
        <xdr:cNvPr id="23007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004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1226</xdr:row>
      <xdr:rowOff>0</xdr:rowOff>
    </xdr:from>
    <xdr:to>
      <xdr:col>11</xdr:col>
      <xdr:colOff>0</xdr:colOff>
      <xdr:row>1227</xdr:row>
      <xdr:rowOff>114300</xdr:rowOff>
    </xdr:to>
    <xdr:pic>
      <xdr:nvPicPr>
        <xdr:cNvPr id="23008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7662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3009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461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3010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966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3011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156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3012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118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1225</xdr:row>
      <xdr:rowOff>0</xdr:rowOff>
    </xdr:from>
    <xdr:to>
      <xdr:col>11</xdr:col>
      <xdr:colOff>0</xdr:colOff>
      <xdr:row>1228</xdr:row>
      <xdr:rowOff>95250</xdr:rowOff>
    </xdr:to>
    <xdr:pic>
      <xdr:nvPicPr>
        <xdr:cNvPr id="23013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6138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3014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118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3015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156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3016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118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1226</xdr:row>
      <xdr:rowOff>0</xdr:rowOff>
    </xdr:from>
    <xdr:to>
      <xdr:col>11</xdr:col>
      <xdr:colOff>0</xdr:colOff>
      <xdr:row>1229</xdr:row>
      <xdr:rowOff>95250</xdr:rowOff>
    </xdr:to>
    <xdr:pic>
      <xdr:nvPicPr>
        <xdr:cNvPr id="23017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766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3018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071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3019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309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3020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071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1226</xdr:row>
      <xdr:rowOff>0</xdr:rowOff>
    </xdr:from>
    <xdr:to>
      <xdr:col>11</xdr:col>
      <xdr:colOff>0</xdr:colOff>
      <xdr:row>1229</xdr:row>
      <xdr:rowOff>95250</xdr:rowOff>
    </xdr:to>
    <xdr:pic>
      <xdr:nvPicPr>
        <xdr:cNvPr id="23021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766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3022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3023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461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3024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966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1224</xdr:row>
      <xdr:rowOff>95250</xdr:rowOff>
    </xdr:to>
    <xdr:pic>
      <xdr:nvPicPr>
        <xdr:cNvPr id="23025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004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3026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966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1225</xdr:row>
      <xdr:rowOff>0</xdr:rowOff>
    </xdr:from>
    <xdr:to>
      <xdr:col>11</xdr:col>
      <xdr:colOff>0</xdr:colOff>
      <xdr:row>1228</xdr:row>
      <xdr:rowOff>95250</xdr:rowOff>
    </xdr:to>
    <xdr:pic>
      <xdr:nvPicPr>
        <xdr:cNvPr id="23027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6138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0</xdr:rowOff>
    </xdr:from>
    <xdr:to>
      <xdr:col>11</xdr:col>
      <xdr:colOff>0</xdr:colOff>
      <xdr:row>1228</xdr:row>
      <xdr:rowOff>114300</xdr:rowOff>
    </xdr:to>
    <xdr:pic>
      <xdr:nvPicPr>
        <xdr:cNvPr id="23028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918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3029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156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0</xdr:rowOff>
    </xdr:from>
    <xdr:to>
      <xdr:col>11</xdr:col>
      <xdr:colOff>0</xdr:colOff>
      <xdr:row>1228</xdr:row>
      <xdr:rowOff>114300</xdr:rowOff>
    </xdr:to>
    <xdr:pic>
      <xdr:nvPicPr>
        <xdr:cNvPr id="23030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918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1225</xdr:row>
      <xdr:rowOff>0</xdr:rowOff>
    </xdr:from>
    <xdr:to>
      <xdr:col>11</xdr:col>
      <xdr:colOff>0</xdr:colOff>
      <xdr:row>1228</xdr:row>
      <xdr:rowOff>95250</xdr:rowOff>
    </xdr:to>
    <xdr:pic>
      <xdr:nvPicPr>
        <xdr:cNvPr id="23031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6138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3032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118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1218</xdr:row>
      <xdr:rowOff>0</xdr:rowOff>
    </xdr:from>
    <xdr:to>
      <xdr:col>11</xdr:col>
      <xdr:colOff>0</xdr:colOff>
      <xdr:row>1226</xdr:row>
      <xdr:rowOff>95250</xdr:rowOff>
    </xdr:to>
    <xdr:pic>
      <xdr:nvPicPr>
        <xdr:cNvPr id="23033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5547000"/>
          <a:ext cx="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1226</xdr:row>
      <xdr:rowOff>47625</xdr:rowOff>
    </xdr:from>
    <xdr:to>
      <xdr:col>11</xdr:col>
      <xdr:colOff>0</xdr:colOff>
      <xdr:row>1230</xdr:row>
      <xdr:rowOff>114300</xdr:rowOff>
    </xdr:to>
    <xdr:pic>
      <xdr:nvPicPr>
        <xdr:cNvPr id="23034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813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0</xdr:rowOff>
    </xdr:from>
    <xdr:to>
      <xdr:col>11</xdr:col>
      <xdr:colOff>0</xdr:colOff>
      <xdr:row>1223</xdr:row>
      <xdr:rowOff>95250</xdr:rowOff>
    </xdr:to>
    <xdr:pic>
      <xdr:nvPicPr>
        <xdr:cNvPr id="23035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55470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1226</xdr:row>
      <xdr:rowOff>47625</xdr:rowOff>
    </xdr:from>
    <xdr:to>
      <xdr:col>11</xdr:col>
      <xdr:colOff>0</xdr:colOff>
      <xdr:row>1230</xdr:row>
      <xdr:rowOff>114300</xdr:rowOff>
    </xdr:to>
    <xdr:pic>
      <xdr:nvPicPr>
        <xdr:cNvPr id="23036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813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2085975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3037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461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1226</xdr:row>
      <xdr:rowOff>0</xdr:rowOff>
    </xdr:from>
    <xdr:to>
      <xdr:col>11</xdr:col>
      <xdr:colOff>0</xdr:colOff>
      <xdr:row>1227</xdr:row>
      <xdr:rowOff>114300</xdr:rowOff>
    </xdr:to>
    <xdr:pic>
      <xdr:nvPicPr>
        <xdr:cNvPr id="23038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7662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1224</xdr:row>
      <xdr:rowOff>95250</xdr:rowOff>
    </xdr:to>
    <xdr:pic>
      <xdr:nvPicPr>
        <xdr:cNvPr id="23039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004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1226</xdr:row>
      <xdr:rowOff>0</xdr:rowOff>
    </xdr:from>
    <xdr:to>
      <xdr:col>11</xdr:col>
      <xdr:colOff>0</xdr:colOff>
      <xdr:row>1227</xdr:row>
      <xdr:rowOff>114300</xdr:rowOff>
    </xdr:to>
    <xdr:pic>
      <xdr:nvPicPr>
        <xdr:cNvPr id="23040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7662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161925</xdr:rowOff>
    </xdr:from>
    <xdr:to>
      <xdr:col>11</xdr:col>
      <xdr:colOff>9525</xdr:colOff>
      <xdr:row>1224</xdr:row>
      <xdr:rowOff>85725</xdr:rowOff>
    </xdr:to>
    <xdr:pic>
      <xdr:nvPicPr>
        <xdr:cNvPr id="23041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5699400"/>
          <a:ext cx="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3042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966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47625</xdr:rowOff>
    </xdr:from>
    <xdr:to>
      <xdr:col>11</xdr:col>
      <xdr:colOff>0</xdr:colOff>
      <xdr:row>1225</xdr:row>
      <xdr:rowOff>114300</xdr:rowOff>
    </xdr:to>
    <xdr:pic>
      <xdr:nvPicPr>
        <xdr:cNvPr id="23043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051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47625</xdr:rowOff>
    </xdr:from>
    <xdr:to>
      <xdr:col>11</xdr:col>
      <xdr:colOff>0</xdr:colOff>
      <xdr:row>1225</xdr:row>
      <xdr:rowOff>114300</xdr:rowOff>
    </xdr:to>
    <xdr:pic>
      <xdr:nvPicPr>
        <xdr:cNvPr id="23044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051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1222</xdr:row>
      <xdr:rowOff>114300</xdr:rowOff>
    </xdr:to>
    <xdr:pic>
      <xdr:nvPicPr>
        <xdr:cNvPr id="23045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0042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1222</xdr:row>
      <xdr:rowOff>114300</xdr:rowOff>
    </xdr:to>
    <xdr:pic>
      <xdr:nvPicPr>
        <xdr:cNvPr id="23046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0042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47625</xdr:rowOff>
    </xdr:from>
    <xdr:to>
      <xdr:col>11</xdr:col>
      <xdr:colOff>0</xdr:colOff>
      <xdr:row>1226</xdr:row>
      <xdr:rowOff>114300</xdr:rowOff>
    </xdr:to>
    <xdr:pic>
      <xdr:nvPicPr>
        <xdr:cNvPr id="23047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204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47625</xdr:rowOff>
    </xdr:from>
    <xdr:to>
      <xdr:col>11</xdr:col>
      <xdr:colOff>0</xdr:colOff>
      <xdr:row>1224</xdr:row>
      <xdr:rowOff>114300</xdr:rowOff>
    </xdr:to>
    <xdr:pic>
      <xdr:nvPicPr>
        <xdr:cNvPr id="23048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5594625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47625</xdr:rowOff>
    </xdr:from>
    <xdr:to>
      <xdr:col>11</xdr:col>
      <xdr:colOff>0</xdr:colOff>
      <xdr:row>1224</xdr:row>
      <xdr:rowOff>114300</xdr:rowOff>
    </xdr:to>
    <xdr:pic>
      <xdr:nvPicPr>
        <xdr:cNvPr id="23049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5594625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0</xdr:rowOff>
    </xdr:from>
    <xdr:to>
      <xdr:col>11</xdr:col>
      <xdr:colOff>0</xdr:colOff>
      <xdr:row>1221</xdr:row>
      <xdr:rowOff>114300</xdr:rowOff>
    </xdr:to>
    <xdr:pic>
      <xdr:nvPicPr>
        <xdr:cNvPr id="23050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554700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0</xdr:rowOff>
    </xdr:from>
    <xdr:to>
      <xdr:col>11</xdr:col>
      <xdr:colOff>0</xdr:colOff>
      <xdr:row>1221</xdr:row>
      <xdr:rowOff>114300</xdr:rowOff>
    </xdr:to>
    <xdr:pic>
      <xdr:nvPicPr>
        <xdr:cNvPr id="23051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554700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47625</xdr:rowOff>
    </xdr:from>
    <xdr:to>
      <xdr:col>11</xdr:col>
      <xdr:colOff>0</xdr:colOff>
      <xdr:row>1225</xdr:row>
      <xdr:rowOff>114300</xdr:rowOff>
    </xdr:to>
    <xdr:pic>
      <xdr:nvPicPr>
        <xdr:cNvPr id="23052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051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0</xdr:rowOff>
    </xdr:from>
    <xdr:to>
      <xdr:col>11</xdr:col>
      <xdr:colOff>0</xdr:colOff>
      <xdr:row>1223</xdr:row>
      <xdr:rowOff>114300</xdr:rowOff>
    </xdr:to>
    <xdr:pic>
      <xdr:nvPicPr>
        <xdr:cNvPr id="23053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5547000"/>
          <a:ext cx="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0</xdr:rowOff>
    </xdr:from>
    <xdr:to>
      <xdr:col>11</xdr:col>
      <xdr:colOff>0</xdr:colOff>
      <xdr:row>1223</xdr:row>
      <xdr:rowOff>114300</xdr:rowOff>
    </xdr:to>
    <xdr:pic>
      <xdr:nvPicPr>
        <xdr:cNvPr id="23054" name="Picture 91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5547000"/>
          <a:ext cx="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47625</xdr:rowOff>
    </xdr:from>
    <xdr:to>
      <xdr:col>11</xdr:col>
      <xdr:colOff>0</xdr:colOff>
      <xdr:row>1224</xdr:row>
      <xdr:rowOff>114300</xdr:rowOff>
    </xdr:to>
    <xdr:pic>
      <xdr:nvPicPr>
        <xdr:cNvPr id="23055" name="Picture 92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5594625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47625</xdr:rowOff>
    </xdr:from>
    <xdr:to>
      <xdr:col>11</xdr:col>
      <xdr:colOff>0</xdr:colOff>
      <xdr:row>1225</xdr:row>
      <xdr:rowOff>114300</xdr:rowOff>
    </xdr:to>
    <xdr:pic>
      <xdr:nvPicPr>
        <xdr:cNvPr id="23056" name="Picture 92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051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47625</xdr:rowOff>
    </xdr:from>
    <xdr:to>
      <xdr:col>11</xdr:col>
      <xdr:colOff>0</xdr:colOff>
      <xdr:row>1225</xdr:row>
      <xdr:rowOff>114300</xdr:rowOff>
    </xdr:to>
    <xdr:pic>
      <xdr:nvPicPr>
        <xdr:cNvPr id="23057" name="Picture 92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051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47625</xdr:rowOff>
    </xdr:from>
    <xdr:to>
      <xdr:col>11</xdr:col>
      <xdr:colOff>0</xdr:colOff>
      <xdr:row>1225</xdr:row>
      <xdr:rowOff>114300</xdr:rowOff>
    </xdr:to>
    <xdr:pic>
      <xdr:nvPicPr>
        <xdr:cNvPr id="23058" name="Picture 92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051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1222</xdr:row>
      <xdr:rowOff>114300</xdr:rowOff>
    </xdr:to>
    <xdr:pic>
      <xdr:nvPicPr>
        <xdr:cNvPr id="23059" name="Picture 92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0042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1222</xdr:row>
      <xdr:rowOff>114300</xdr:rowOff>
    </xdr:to>
    <xdr:pic>
      <xdr:nvPicPr>
        <xdr:cNvPr id="23060" name="Picture 92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0042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47625</xdr:rowOff>
    </xdr:from>
    <xdr:to>
      <xdr:col>11</xdr:col>
      <xdr:colOff>0</xdr:colOff>
      <xdr:row>1226</xdr:row>
      <xdr:rowOff>114300</xdr:rowOff>
    </xdr:to>
    <xdr:pic>
      <xdr:nvPicPr>
        <xdr:cNvPr id="23061" name="Picture 92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204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47625</xdr:rowOff>
    </xdr:from>
    <xdr:to>
      <xdr:col>11</xdr:col>
      <xdr:colOff>0</xdr:colOff>
      <xdr:row>1224</xdr:row>
      <xdr:rowOff>114300</xdr:rowOff>
    </xdr:to>
    <xdr:pic>
      <xdr:nvPicPr>
        <xdr:cNvPr id="23062" name="Picture 92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5594625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47625</xdr:rowOff>
    </xdr:from>
    <xdr:to>
      <xdr:col>11</xdr:col>
      <xdr:colOff>0</xdr:colOff>
      <xdr:row>1224</xdr:row>
      <xdr:rowOff>114300</xdr:rowOff>
    </xdr:to>
    <xdr:pic>
      <xdr:nvPicPr>
        <xdr:cNvPr id="23063" name="Picture 92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5594625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0</xdr:rowOff>
    </xdr:from>
    <xdr:to>
      <xdr:col>11</xdr:col>
      <xdr:colOff>0</xdr:colOff>
      <xdr:row>1221</xdr:row>
      <xdr:rowOff>114300</xdr:rowOff>
    </xdr:to>
    <xdr:pic>
      <xdr:nvPicPr>
        <xdr:cNvPr id="23064" name="Picture 92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554700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0</xdr:rowOff>
    </xdr:from>
    <xdr:to>
      <xdr:col>11</xdr:col>
      <xdr:colOff>0</xdr:colOff>
      <xdr:row>1221</xdr:row>
      <xdr:rowOff>114300</xdr:rowOff>
    </xdr:to>
    <xdr:pic>
      <xdr:nvPicPr>
        <xdr:cNvPr id="23065" name="Picture 93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554700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47625</xdr:rowOff>
    </xdr:from>
    <xdr:to>
      <xdr:col>11</xdr:col>
      <xdr:colOff>0</xdr:colOff>
      <xdr:row>1225</xdr:row>
      <xdr:rowOff>114300</xdr:rowOff>
    </xdr:to>
    <xdr:pic>
      <xdr:nvPicPr>
        <xdr:cNvPr id="23066" name="Picture 93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0518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0</xdr:rowOff>
    </xdr:from>
    <xdr:to>
      <xdr:col>11</xdr:col>
      <xdr:colOff>0</xdr:colOff>
      <xdr:row>1223</xdr:row>
      <xdr:rowOff>114300</xdr:rowOff>
    </xdr:to>
    <xdr:pic>
      <xdr:nvPicPr>
        <xdr:cNvPr id="23067" name="Picture 93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5547000"/>
          <a:ext cx="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0</xdr:rowOff>
    </xdr:from>
    <xdr:to>
      <xdr:col>11</xdr:col>
      <xdr:colOff>0</xdr:colOff>
      <xdr:row>1223</xdr:row>
      <xdr:rowOff>114300</xdr:rowOff>
    </xdr:to>
    <xdr:pic>
      <xdr:nvPicPr>
        <xdr:cNvPr id="23068" name="Picture 93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5547000"/>
          <a:ext cx="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1218</xdr:row>
      <xdr:rowOff>47625</xdr:rowOff>
    </xdr:from>
    <xdr:to>
      <xdr:col>11</xdr:col>
      <xdr:colOff>0</xdr:colOff>
      <xdr:row>1224</xdr:row>
      <xdr:rowOff>114300</xdr:rowOff>
    </xdr:to>
    <xdr:pic>
      <xdr:nvPicPr>
        <xdr:cNvPr id="23069" name="Picture 93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5594625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3070" name="Picture 9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3071" name="Picture 93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309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3072" name="Picture 93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3073" name="Picture 93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23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3074" name="Picture 93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461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3075" name="Picture 94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23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3076" name="Picture 94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423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3077" name="Picture 94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118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3078" name="Picture 9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156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3079" name="Picture 94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118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3080" name="Picture 94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071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3081" name="Picture 94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071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3082" name="Picture 94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3083" name="Picture 94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966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1224</xdr:row>
      <xdr:rowOff>95250</xdr:rowOff>
    </xdr:to>
    <xdr:pic>
      <xdr:nvPicPr>
        <xdr:cNvPr id="23084" name="Picture 94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004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3085" name="Picture 95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966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0</xdr:rowOff>
    </xdr:from>
    <xdr:to>
      <xdr:col>11</xdr:col>
      <xdr:colOff>0</xdr:colOff>
      <xdr:row>1228</xdr:row>
      <xdr:rowOff>114300</xdr:rowOff>
    </xdr:to>
    <xdr:pic>
      <xdr:nvPicPr>
        <xdr:cNvPr id="23086" name="Picture 95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918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3087" name="Picture 95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156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3088" name="Picture 95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118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3089" name="Picture 95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3090" name="Picture 95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3091" name="Picture 95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3092" name="Picture 95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23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3093" name="Picture 95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23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3094" name="Picture 95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423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3095" name="Picture 96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118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3096" name="Picture 96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118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3097" name="Picture 96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071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3098" name="Picture 96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071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3099" name="Picture 96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3100" name="Picture 96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966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3101" name="Picture 96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3102" name="Picture 96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309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3103" name="Picture 96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3104" name="Picture 96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23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3105" name="Picture 97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461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3106" name="Picture 97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23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3107" name="Picture 97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423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3108" name="Picture 97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118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3109" name="Picture 97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156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3110" name="Picture 97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118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3111" name="Picture 97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071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3112" name="Picture 97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309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3113" name="Picture 97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071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3114" name="Picture 97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3115" name="Picture 98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966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1224</xdr:row>
      <xdr:rowOff>95250</xdr:rowOff>
    </xdr:to>
    <xdr:pic>
      <xdr:nvPicPr>
        <xdr:cNvPr id="23116" name="Picture 98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004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3117" name="Picture 98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966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0</xdr:rowOff>
    </xdr:from>
    <xdr:to>
      <xdr:col>11</xdr:col>
      <xdr:colOff>0</xdr:colOff>
      <xdr:row>1228</xdr:row>
      <xdr:rowOff>114300</xdr:rowOff>
    </xdr:to>
    <xdr:pic>
      <xdr:nvPicPr>
        <xdr:cNvPr id="23118" name="Picture 98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918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3119" name="Picture 98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156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0</xdr:rowOff>
    </xdr:from>
    <xdr:to>
      <xdr:col>11</xdr:col>
      <xdr:colOff>0</xdr:colOff>
      <xdr:row>1228</xdr:row>
      <xdr:rowOff>114300</xdr:rowOff>
    </xdr:to>
    <xdr:pic>
      <xdr:nvPicPr>
        <xdr:cNvPr id="23120" name="Picture 98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918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3121" name="Picture 98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118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3122" name="Picture 98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309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3123" name="Picture 98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3124" name="Picture 98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3125" name="Picture 99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309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3126" name="Picture 99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3127" name="Picture 9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23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1224</xdr:row>
      <xdr:rowOff>0</xdr:rowOff>
    </xdr:from>
    <xdr:to>
      <xdr:col>11</xdr:col>
      <xdr:colOff>0</xdr:colOff>
      <xdr:row>1227</xdr:row>
      <xdr:rowOff>95250</xdr:rowOff>
    </xdr:to>
    <xdr:pic>
      <xdr:nvPicPr>
        <xdr:cNvPr id="23128" name="Picture 99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4614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0</xdr:rowOff>
    </xdr:from>
    <xdr:to>
      <xdr:col>11</xdr:col>
      <xdr:colOff>0</xdr:colOff>
      <xdr:row>1230</xdr:row>
      <xdr:rowOff>114300</xdr:rowOff>
    </xdr:to>
    <xdr:pic>
      <xdr:nvPicPr>
        <xdr:cNvPr id="23129" name="Picture 99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234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1230</xdr:row>
      <xdr:rowOff>47625</xdr:rowOff>
    </xdr:from>
    <xdr:to>
      <xdr:col>11</xdr:col>
      <xdr:colOff>0</xdr:colOff>
      <xdr:row>1234</xdr:row>
      <xdr:rowOff>114300</xdr:rowOff>
    </xdr:to>
    <xdr:pic>
      <xdr:nvPicPr>
        <xdr:cNvPr id="23130" name="Picture 99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4234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3131" name="Picture 99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118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3132" name="Picture 99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156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47625</xdr:rowOff>
    </xdr:from>
    <xdr:to>
      <xdr:col>11</xdr:col>
      <xdr:colOff>0</xdr:colOff>
      <xdr:row>1232</xdr:row>
      <xdr:rowOff>114300</xdr:rowOff>
    </xdr:to>
    <xdr:pic>
      <xdr:nvPicPr>
        <xdr:cNvPr id="23133" name="Picture 99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118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3134" name="Picture 99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071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1223</xdr:row>
      <xdr:rowOff>0</xdr:rowOff>
    </xdr:from>
    <xdr:to>
      <xdr:col>11</xdr:col>
      <xdr:colOff>0</xdr:colOff>
      <xdr:row>1226</xdr:row>
      <xdr:rowOff>95250</xdr:rowOff>
    </xdr:to>
    <xdr:pic>
      <xdr:nvPicPr>
        <xdr:cNvPr id="23135" name="Picture 10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3090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1228</xdr:row>
      <xdr:rowOff>0</xdr:rowOff>
    </xdr:from>
    <xdr:to>
      <xdr:col>11</xdr:col>
      <xdr:colOff>0</xdr:colOff>
      <xdr:row>1229</xdr:row>
      <xdr:rowOff>114300</xdr:rowOff>
    </xdr:to>
    <xdr:pic>
      <xdr:nvPicPr>
        <xdr:cNvPr id="23136" name="Picture 100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0710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1229</xdr:row>
      <xdr:rowOff>47625</xdr:rowOff>
    </xdr:from>
    <xdr:to>
      <xdr:col>11</xdr:col>
      <xdr:colOff>0</xdr:colOff>
      <xdr:row>1233</xdr:row>
      <xdr:rowOff>114300</xdr:rowOff>
    </xdr:to>
    <xdr:pic>
      <xdr:nvPicPr>
        <xdr:cNvPr id="23137" name="Picture 100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2710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3138" name="Picture 100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966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1221</xdr:row>
      <xdr:rowOff>0</xdr:rowOff>
    </xdr:from>
    <xdr:to>
      <xdr:col>11</xdr:col>
      <xdr:colOff>0</xdr:colOff>
      <xdr:row>1224</xdr:row>
      <xdr:rowOff>95250</xdr:rowOff>
    </xdr:to>
    <xdr:pic>
      <xdr:nvPicPr>
        <xdr:cNvPr id="23139" name="Picture 100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0042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47625</xdr:rowOff>
    </xdr:from>
    <xdr:to>
      <xdr:col>11</xdr:col>
      <xdr:colOff>0</xdr:colOff>
      <xdr:row>1231</xdr:row>
      <xdr:rowOff>114300</xdr:rowOff>
    </xdr:to>
    <xdr:pic>
      <xdr:nvPicPr>
        <xdr:cNvPr id="23140" name="Picture 100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9662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0</xdr:rowOff>
    </xdr:from>
    <xdr:to>
      <xdr:col>11</xdr:col>
      <xdr:colOff>0</xdr:colOff>
      <xdr:row>1228</xdr:row>
      <xdr:rowOff>114300</xdr:rowOff>
    </xdr:to>
    <xdr:pic>
      <xdr:nvPicPr>
        <xdr:cNvPr id="23141" name="Picture 100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918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1222</xdr:row>
      <xdr:rowOff>0</xdr:rowOff>
    </xdr:from>
    <xdr:to>
      <xdr:col>11</xdr:col>
      <xdr:colOff>0</xdr:colOff>
      <xdr:row>1225</xdr:row>
      <xdr:rowOff>95250</xdr:rowOff>
    </xdr:to>
    <xdr:pic>
      <xdr:nvPicPr>
        <xdr:cNvPr id="23142" name="Picture 100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6156600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1227</xdr:row>
      <xdr:rowOff>0</xdr:rowOff>
    </xdr:from>
    <xdr:to>
      <xdr:col>11</xdr:col>
      <xdr:colOff>0</xdr:colOff>
      <xdr:row>1228</xdr:row>
      <xdr:rowOff>114300</xdr:rowOff>
    </xdr:to>
    <xdr:pic>
      <xdr:nvPicPr>
        <xdr:cNvPr id="23143" name="Picture 100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691860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2428875</xdr:colOff>
      <xdr:row>1218</xdr:row>
      <xdr:rowOff>85725</xdr:rowOff>
    </xdr:from>
    <xdr:to>
      <xdr:col>12</xdr:col>
      <xdr:colOff>0</xdr:colOff>
      <xdr:row>1228</xdr:row>
      <xdr:rowOff>114300</xdr:rowOff>
    </xdr:to>
    <xdr:pic>
      <xdr:nvPicPr>
        <xdr:cNvPr id="23144" name="Picture 100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85632725"/>
          <a:ext cx="0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1228</xdr:row>
      <xdr:rowOff>47625</xdr:rowOff>
    </xdr:from>
    <xdr:to>
      <xdr:col>11</xdr:col>
      <xdr:colOff>609600</xdr:colOff>
      <xdr:row>1232</xdr:row>
      <xdr:rowOff>114300</xdr:rowOff>
    </xdr:to>
    <xdr:pic>
      <xdr:nvPicPr>
        <xdr:cNvPr id="23145" name="Picture 101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95850" y="1871186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2047875</xdr:colOff>
      <xdr:row>1226</xdr:row>
      <xdr:rowOff>28575</xdr:rowOff>
    </xdr:from>
    <xdr:to>
      <xdr:col>17</xdr:col>
      <xdr:colOff>628650</xdr:colOff>
      <xdr:row>1232</xdr:row>
      <xdr:rowOff>0</xdr:rowOff>
    </xdr:to>
    <xdr:pic>
      <xdr:nvPicPr>
        <xdr:cNvPr id="23146" name="Picture 67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867275" y="186794775"/>
          <a:ext cx="6572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2057400</xdr:colOff>
      <xdr:row>1235</xdr:row>
      <xdr:rowOff>95250</xdr:rowOff>
    </xdr:from>
    <xdr:to>
      <xdr:col>42</xdr:col>
      <xdr:colOff>9525</xdr:colOff>
      <xdr:row>1240</xdr:row>
      <xdr:rowOff>76200</xdr:rowOff>
    </xdr:to>
    <xdr:pic>
      <xdr:nvPicPr>
        <xdr:cNvPr id="23147" name="Picture 67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876800" y="188233050"/>
          <a:ext cx="6667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nesisXLS/Op&#263;ina%202025/Izvr&#353;enje_prora&#269;una_po_pozicija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ynesisXLS/Op&#263;ina%202024/Izvr&#353;enje_prora&#269;una_po_pozicijam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zvršenje_proračuna_po_pozicija"/>
    </sheetNames>
    <sheetDataSet>
      <sheetData sheetId="0">
        <row r="25">
          <cell r="C25" t="str">
            <v>Plaće za redovan rad</v>
          </cell>
          <cell r="E25">
            <v>187260.59</v>
          </cell>
        </row>
        <row r="26">
          <cell r="C26" t="str">
            <v>Plaće za prekovremeni rad</v>
          </cell>
          <cell r="E26">
            <v>0</v>
          </cell>
        </row>
        <row r="27">
          <cell r="C27" t="str">
            <v>Ostali rashodi za zaposlene</v>
          </cell>
          <cell r="E27">
            <v>7600</v>
          </cell>
        </row>
        <row r="28">
          <cell r="C28" t="str">
            <v>Doprinosi za zdravstveno osig.</v>
          </cell>
          <cell r="E28">
            <v>30898.06</v>
          </cell>
        </row>
        <row r="29">
          <cell r="C29" t="str">
            <v>Službena putovanja</v>
          </cell>
          <cell r="E29">
            <v>6300.44</v>
          </cell>
        </row>
        <row r="30">
          <cell r="C30" t="str">
            <v>Korištenje priv.autom.u sl.svr</v>
          </cell>
          <cell r="E30">
            <v>107</v>
          </cell>
        </row>
        <row r="31">
          <cell r="C31" t="str">
            <v>Naknade za prijevoz</v>
          </cell>
          <cell r="E31">
            <v>2637</v>
          </cell>
        </row>
        <row r="32">
          <cell r="C32" t="str">
            <v>Stručno usavršavanje zaposleni</v>
          </cell>
          <cell r="E32">
            <v>266.54000000000002</v>
          </cell>
        </row>
        <row r="33">
          <cell r="C33" t="str">
            <v>Uredski mat.i ostali mat.rasho</v>
          </cell>
          <cell r="E33">
            <v>3051.52</v>
          </cell>
        </row>
        <row r="34">
          <cell r="C34" t="str">
            <v>Energija</v>
          </cell>
          <cell r="E34">
            <v>0</v>
          </cell>
        </row>
        <row r="35">
          <cell r="C35" t="str">
            <v>Mat. i dij.za tek.i invest.odr</v>
          </cell>
          <cell r="E35">
            <v>2666.25</v>
          </cell>
        </row>
        <row r="36">
          <cell r="C36" t="str">
            <v>Sitan inventar</v>
          </cell>
          <cell r="E36">
            <v>1065.5</v>
          </cell>
        </row>
        <row r="37">
          <cell r="C37" t="str">
            <v>Služb.,radna i zaštitna odjeća</v>
          </cell>
          <cell r="E37">
            <v>0</v>
          </cell>
        </row>
        <row r="38">
          <cell r="C38" t="str">
            <v>Usluge telefona, pošte i prije</v>
          </cell>
          <cell r="E38">
            <v>9786.7199999999993</v>
          </cell>
        </row>
        <row r="39">
          <cell r="C39" t="str">
            <v>Usluge tek.i investicij.održav</v>
          </cell>
          <cell r="E39">
            <v>12170</v>
          </cell>
        </row>
        <row r="40">
          <cell r="C40" t="str">
            <v>Usluge promidžbe i informiranj</v>
          </cell>
          <cell r="E40">
            <v>2044.19</v>
          </cell>
        </row>
        <row r="41">
          <cell r="C41" t="str">
            <v>Komunalne usluge</v>
          </cell>
          <cell r="E41">
            <v>904.09</v>
          </cell>
        </row>
        <row r="42">
          <cell r="C42" t="str">
            <v>Intelektualne i osobne usluge</v>
          </cell>
          <cell r="E42">
            <v>29703.68</v>
          </cell>
        </row>
        <row r="43">
          <cell r="C43" t="str">
            <v>Računalne usluge</v>
          </cell>
          <cell r="E43">
            <v>14740.59</v>
          </cell>
        </row>
        <row r="44">
          <cell r="C44" t="str">
            <v>Ostale usluge</v>
          </cell>
          <cell r="E44">
            <v>1250</v>
          </cell>
        </row>
        <row r="45">
          <cell r="C45" t="str">
            <v>Zdravstvene i vet.usluge</v>
          </cell>
          <cell r="E45">
            <v>0</v>
          </cell>
        </row>
        <row r="46">
          <cell r="C46" t="str">
            <v>Nakn.za rad pred.i izvrš.tijel</v>
          </cell>
          <cell r="E46">
            <v>458.8</v>
          </cell>
        </row>
        <row r="47">
          <cell r="C47" t="str">
            <v>Reprezentacija</v>
          </cell>
          <cell r="E47">
            <v>2567.6</v>
          </cell>
        </row>
        <row r="48">
          <cell r="C48" t="str">
            <v>Pristojbe i naknade</v>
          </cell>
          <cell r="E48">
            <v>183.56</v>
          </cell>
        </row>
        <row r="49">
          <cell r="C49" t="str">
            <v>Tr.sudskih postupaka</v>
          </cell>
          <cell r="E49">
            <v>0</v>
          </cell>
        </row>
        <row r="50">
          <cell r="C50" t="str">
            <v>Ostali nesp.rashodi poslovanja</v>
          </cell>
          <cell r="E50">
            <v>57763.92</v>
          </cell>
        </row>
        <row r="51">
          <cell r="C51" t="str">
            <v>Rashodi za radionice</v>
          </cell>
          <cell r="E51">
            <v>0</v>
          </cell>
        </row>
        <row r="52">
          <cell r="C52" t="str">
            <v>Rashodi za el.priključke</v>
          </cell>
          <cell r="E52">
            <v>48.97</v>
          </cell>
        </row>
        <row r="53">
          <cell r="C53" t="str">
            <v>Rashodi za zaštitu životinja</v>
          </cell>
          <cell r="E53">
            <v>2125</v>
          </cell>
        </row>
        <row r="54">
          <cell r="C54" t="str">
            <v>Rashodi za legalizaciju infras</v>
          </cell>
          <cell r="E54">
            <v>0</v>
          </cell>
        </row>
        <row r="55">
          <cell r="C55" t="str">
            <v>Bankarske usluge i usl.pl.prom</v>
          </cell>
          <cell r="E55">
            <v>6425.47</v>
          </cell>
        </row>
        <row r="56">
          <cell r="C56" t="str">
            <v>Uredska oprema i namještaj</v>
          </cell>
          <cell r="E56">
            <v>3941</v>
          </cell>
        </row>
        <row r="57">
          <cell r="C57" t="str">
            <v>Komunikacijska oprema</v>
          </cell>
          <cell r="E57">
            <v>499</v>
          </cell>
        </row>
        <row r="58">
          <cell r="C58" t="str">
            <v>Oprema za ostale namjene</v>
          </cell>
          <cell r="E58">
            <v>3781.25</v>
          </cell>
        </row>
        <row r="59">
          <cell r="C59" t="str">
            <v>Oprema za održ.i zaštitu</v>
          </cell>
          <cell r="E59">
            <v>9550.6299999999992</v>
          </cell>
        </row>
        <row r="60">
          <cell r="C60" t="str">
            <v>Ulaganja u računarske programe</v>
          </cell>
          <cell r="E60">
            <v>0</v>
          </cell>
        </row>
        <row r="61">
          <cell r="C61" t="str">
            <v>Energija</v>
          </cell>
          <cell r="E61">
            <v>25635.41</v>
          </cell>
        </row>
        <row r="62">
          <cell r="C62" t="str">
            <v>Mat.i dij.za tek.i inv.održ.zg</v>
          </cell>
          <cell r="E62">
            <v>0</v>
          </cell>
        </row>
        <row r="63">
          <cell r="C63" t="str">
            <v>Mat.i dij.za održavanje</v>
          </cell>
          <cell r="E63">
            <v>0</v>
          </cell>
        </row>
        <row r="64">
          <cell r="C64" t="str">
            <v>Usl.tek.i inv.održ.zgrada</v>
          </cell>
          <cell r="E64">
            <v>26485.35</v>
          </cell>
        </row>
        <row r="65">
          <cell r="C65" t="str">
            <v>Otkup zgrade HZJZ u Jelsi</v>
          </cell>
          <cell r="E65">
            <v>0</v>
          </cell>
        </row>
        <row r="66">
          <cell r="C66" t="str">
            <v>Izgradnja groblja</v>
          </cell>
          <cell r="E66">
            <v>0</v>
          </cell>
        </row>
        <row r="67">
          <cell r="C67" t="str">
            <v>Adriatic ribarski muzej</v>
          </cell>
          <cell r="E67">
            <v>7250</v>
          </cell>
        </row>
        <row r="68">
          <cell r="C68" t="str">
            <v>Obnova zgrade ex.stara ambul</v>
          </cell>
          <cell r="E68">
            <v>0</v>
          </cell>
        </row>
        <row r="69">
          <cell r="C69" t="str">
            <v>Usl.tek.i inv.održ.cesta</v>
          </cell>
          <cell r="E69">
            <v>71590.42</v>
          </cell>
        </row>
        <row r="70">
          <cell r="C70" t="str">
            <v>Usluge tek.i inv.održ.jav.rasv</v>
          </cell>
          <cell r="E70">
            <v>68079.460000000006</v>
          </cell>
        </row>
        <row r="71">
          <cell r="C71" t="str">
            <v>Usl.tek.i inv.održ.parkova</v>
          </cell>
          <cell r="E71">
            <v>49628.22</v>
          </cell>
        </row>
        <row r="72">
          <cell r="C72" t="str">
            <v>Usl.tek.i inv.održ.-Jelsa,Vrbo</v>
          </cell>
          <cell r="E72">
            <v>35889.08</v>
          </cell>
        </row>
        <row r="73">
          <cell r="C73" t="str">
            <v>Usl.tek.i inv.održavanja igral</v>
          </cell>
          <cell r="E73">
            <v>9103.1299999999992</v>
          </cell>
        </row>
        <row r="74">
          <cell r="C74" t="str">
            <v>Usl.tek.i inv.održavanja plaža</v>
          </cell>
          <cell r="E74">
            <v>5997.88</v>
          </cell>
        </row>
        <row r="75">
          <cell r="C75" t="str">
            <v>Ost.usl.tekućeg i investicijsk</v>
          </cell>
          <cell r="E75">
            <v>0</v>
          </cell>
        </row>
        <row r="76">
          <cell r="C76" t="str">
            <v>Geodetske usluge</v>
          </cell>
          <cell r="E76">
            <v>0</v>
          </cell>
        </row>
        <row r="77">
          <cell r="C77" t="str">
            <v>Usl.rekonstr.kanala oborinske</v>
          </cell>
          <cell r="E77">
            <v>0</v>
          </cell>
        </row>
        <row r="78">
          <cell r="C78" t="str">
            <v>Usl.održ.crkve tvrđave Vrboska</v>
          </cell>
          <cell r="E78">
            <v>1200</v>
          </cell>
        </row>
        <row r="79">
          <cell r="C79" t="str">
            <v>Opskrba vodom</v>
          </cell>
          <cell r="E79">
            <v>3363.43</v>
          </cell>
        </row>
        <row r="80">
          <cell r="C80" t="str">
            <v>Deratizacija i dezinsekcija</v>
          </cell>
          <cell r="E80">
            <v>5367.5</v>
          </cell>
        </row>
        <row r="81">
          <cell r="C81" t="str">
            <v>Čišć.javnih površina-Jelsa i V</v>
          </cell>
          <cell r="E81">
            <v>0</v>
          </cell>
        </row>
        <row r="82">
          <cell r="C82" t="str">
            <v>Ostale komunalne usluge</v>
          </cell>
          <cell r="E82">
            <v>5358.83</v>
          </cell>
        </row>
        <row r="83">
          <cell r="C83" t="str">
            <v>Čišćenje plaža</v>
          </cell>
          <cell r="E83">
            <v>2488.5500000000002</v>
          </cell>
        </row>
        <row r="84">
          <cell r="C84" t="str">
            <v>Najamnina za Ribarski muzej Vr</v>
          </cell>
          <cell r="E84">
            <v>0</v>
          </cell>
        </row>
        <row r="85">
          <cell r="C85" t="str">
            <v>Ostale kulturne aktivnosti</v>
          </cell>
          <cell r="E85">
            <v>350</v>
          </cell>
        </row>
        <row r="86">
          <cell r="C86" t="str">
            <v>Grad Stari Grad-sufinanc. Ag</v>
          </cell>
          <cell r="E86">
            <v>0</v>
          </cell>
        </row>
        <row r="87">
          <cell r="C87" t="str">
            <v>Prostorni planovi i studije</v>
          </cell>
          <cell r="E87">
            <v>620.5</v>
          </cell>
        </row>
        <row r="88">
          <cell r="C88" t="str">
            <v>Geodetsko-katastarske usluge</v>
          </cell>
          <cell r="E88">
            <v>750</v>
          </cell>
        </row>
        <row r="89">
          <cell r="C89" t="str">
            <v>Ostali izdaci za promicanje tu</v>
          </cell>
          <cell r="E89">
            <v>0</v>
          </cell>
        </row>
        <row r="90">
          <cell r="C90" t="str">
            <v>Udruga Humac-za obnovu sel</v>
          </cell>
          <cell r="E90">
            <v>0</v>
          </cell>
        </row>
        <row r="91">
          <cell r="C91" t="str">
            <v>Premije osiguranja</v>
          </cell>
          <cell r="E91">
            <v>4511.8900000000003</v>
          </cell>
        </row>
        <row r="92">
          <cell r="C92" t="str">
            <v>Članarine</v>
          </cell>
          <cell r="E92">
            <v>331.8</v>
          </cell>
        </row>
        <row r="93">
          <cell r="C93" t="str">
            <v>Rashodi za izbore</v>
          </cell>
          <cell r="E93">
            <v>25934.959999999999</v>
          </cell>
        </row>
        <row r="94">
          <cell r="C94" t="str">
            <v>Rashodi za prijateljske općine</v>
          </cell>
          <cell r="E94">
            <v>3446.52</v>
          </cell>
        </row>
        <row r="95">
          <cell r="C95" t="str">
            <v>Rashodi za skulpture</v>
          </cell>
          <cell r="E95">
            <v>0</v>
          </cell>
        </row>
        <row r="96">
          <cell r="C96" t="str">
            <v>Zakupnine zemljišta</v>
          </cell>
          <cell r="E96">
            <v>480</v>
          </cell>
        </row>
        <row r="97">
          <cell r="C97" t="str">
            <v>Intelektualne usluge-izrada pr</v>
          </cell>
          <cell r="E97">
            <v>93750</v>
          </cell>
        </row>
        <row r="98">
          <cell r="C98" t="str">
            <v>Ostale opće usluge</v>
          </cell>
          <cell r="E98">
            <v>0</v>
          </cell>
        </row>
        <row r="99">
          <cell r="C99" t="str">
            <v>Rashodi za Dan općine</v>
          </cell>
          <cell r="E99">
            <v>2337.5</v>
          </cell>
        </row>
        <row r="100">
          <cell r="C100" t="str">
            <v>Sufin.za izd.knjiga</v>
          </cell>
          <cell r="E100">
            <v>0</v>
          </cell>
        </row>
        <row r="101">
          <cell r="C101" t="str">
            <v>Rashodi za javna priznanja</v>
          </cell>
          <cell r="E101">
            <v>0</v>
          </cell>
        </row>
        <row r="102">
          <cell r="C102" t="str">
            <v>Rashodi za kulturno-zabavne ma</v>
          </cell>
          <cell r="E102">
            <v>66000</v>
          </cell>
        </row>
        <row r="103">
          <cell r="C103" t="str">
            <v>Rash.za izr.planova i dr.struč</v>
          </cell>
          <cell r="E103">
            <v>1625</v>
          </cell>
        </row>
        <row r="104">
          <cell r="C104" t="str">
            <v>Rashodi za usl.porezne uprave</v>
          </cell>
          <cell r="E104">
            <v>8356.8799999999992</v>
          </cell>
        </row>
        <row r="105">
          <cell r="C105" t="str">
            <v>Naknade šteta pravnim i fizičk</v>
          </cell>
          <cell r="E105">
            <v>0</v>
          </cell>
        </row>
        <row r="106">
          <cell r="C106" t="str">
            <v>Zatezne kamate iz posl.odnosa</v>
          </cell>
          <cell r="E106">
            <v>590.25</v>
          </cell>
        </row>
        <row r="107">
          <cell r="C107" t="str">
            <v>Ost.nespom.financ.rashodi</v>
          </cell>
          <cell r="E107">
            <v>1351.33</v>
          </cell>
        </row>
        <row r="108">
          <cell r="C108" t="str">
            <v>Naknada za zemljište</v>
          </cell>
          <cell r="E108">
            <v>442.41</v>
          </cell>
        </row>
        <row r="109">
          <cell r="C109" t="str">
            <v>Rashodi za civilnu zaštitu</v>
          </cell>
          <cell r="E109">
            <v>0</v>
          </cell>
        </row>
        <row r="110">
          <cell r="C110" t="str">
            <v>Tekuće donacije građanima</v>
          </cell>
          <cell r="E110">
            <v>0</v>
          </cell>
        </row>
        <row r="111">
          <cell r="C111" t="str">
            <v>Kam.za primlj.kred.od kred.i f</v>
          </cell>
          <cell r="E111">
            <v>252.1</v>
          </cell>
        </row>
        <row r="112">
          <cell r="C112" t="str">
            <v>Rashodi za darove OŠ Jelsa</v>
          </cell>
          <cell r="E112">
            <v>0</v>
          </cell>
        </row>
        <row r="113">
          <cell r="C113" t="str">
            <v>Pomoć obiteljima i kućanstvima</v>
          </cell>
          <cell r="E113">
            <v>30446.46</v>
          </cell>
        </row>
        <row r="114">
          <cell r="C114" t="str">
            <v>Pomoć invalidima i hendik.osob</v>
          </cell>
          <cell r="E114">
            <v>0</v>
          </cell>
        </row>
        <row r="115">
          <cell r="C115" t="str">
            <v>Stipendije studentima</v>
          </cell>
          <cell r="E115">
            <v>10800</v>
          </cell>
        </row>
        <row r="116">
          <cell r="C116" t="str">
            <v>Suf.radnih bilj. za OŠ</v>
          </cell>
          <cell r="E116">
            <v>0</v>
          </cell>
        </row>
        <row r="117">
          <cell r="C117" t="str">
            <v>Stanovanje</v>
          </cell>
          <cell r="E117">
            <v>17367.13</v>
          </cell>
        </row>
        <row r="118">
          <cell r="C118" t="str">
            <v>Pomoć imirovljenicima</v>
          </cell>
          <cell r="E118">
            <v>50693.15</v>
          </cell>
        </row>
        <row r="119">
          <cell r="C119" t="str">
            <v>Tekuće donacije u novcu</v>
          </cell>
          <cell r="E119">
            <v>0</v>
          </cell>
        </row>
        <row r="120">
          <cell r="C120" t="str">
            <v>Ostali izdaci za zdravstvenu d</v>
          </cell>
          <cell r="E120">
            <v>0</v>
          </cell>
        </row>
        <row r="121">
          <cell r="C121" t="str">
            <v>Suf.nabavke zdr.opreme</v>
          </cell>
          <cell r="E121">
            <v>0</v>
          </cell>
        </row>
        <row r="122">
          <cell r="C122" t="str">
            <v>Tekuće donacije vjerskim zaj.</v>
          </cell>
          <cell r="E122">
            <v>7500</v>
          </cell>
        </row>
        <row r="123">
          <cell r="C123" t="str">
            <v>Članarina LAG Škoji</v>
          </cell>
          <cell r="E123">
            <v>3501</v>
          </cell>
        </row>
        <row r="124">
          <cell r="C124" t="str">
            <v>Političkim str.za zastup.u vij</v>
          </cell>
          <cell r="E124">
            <v>0</v>
          </cell>
        </row>
        <row r="125">
          <cell r="C125" t="str">
            <v>Tekuće donacije u novcu</v>
          </cell>
          <cell r="E125">
            <v>300</v>
          </cell>
        </row>
        <row r="126">
          <cell r="C126" t="str">
            <v>Tekuće donacije u sportskim dr</v>
          </cell>
          <cell r="E126">
            <v>14000</v>
          </cell>
        </row>
        <row r="127">
          <cell r="C127" t="str">
            <v>Izgr.sportskih objekata</v>
          </cell>
          <cell r="E127">
            <v>27515.19</v>
          </cell>
        </row>
        <row r="128">
          <cell r="C128" t="str">
            <v>Donacije DVD-u Jelsa</v>
          </cell>
          <cell r="E128">
            <v>20000</v>
          </cell>
        </row>
        <row r="129">
          <cell r="C129" t="str">
            <v>Donacije Hrv.gorskoj sl.spašav</v>
          </cell>
          <cell r="E129">
            <v>6000</v>
          </cell>
        </row>
        <row r="130">
          <cell r="C130" t="str">
            <v>Donacije DVD-u Jelsa-za vatr.v</v>
          </cell>
          <cell r="E130">
            <v>5761.4</v>
          </cell>
        </row>
        <row r="131">
          <cell r="C131" t="str">
            <v>Tekuće donacije u novcu</v>
          </cell>
          <cell r="E131">
            <v>10900</v>
          </cell>
        </row>
        <row r="132">
          <cell r="C132" t="str">
            <v>Osnovna škola Jelsa</v>
          </cell>
          <cell r="E132">
            <v>1912.96</v>
          </cell>
        </row>
        <row r="133">
          <cell r="C133" t="str">
            <v>Srednja škola o.Jelsa</v>
          </cell>
          <cell r="E133">
            <v>400</v>
          </cell>
        </row>
        <row r="134">
          <cell r="C134" t="str">
            <v>Ostale pomoći</v>
          </cell>
          <cell r="E134">
            <v>0</v>
          </cell>
        </row>
        <row r="135">
          <cell r="C135" t="str">
            <v>Crveni križ Hvar</v>
          </cell>
          <cell r="E135">
            <v>7000</v>
          </cell>
        </row>
        <row r="136">
          <cell r="C136" t="str">
            <v>Tekuće donacije u novcu</v>
          </cell>
          <cell r="E136">
            <v>0</v>
          </cell>
        </row>
        <row r="137">
          <cell r="C137" t="str">
            <v>Nepredviđeni rash.-pror.zaliha</v>
          </cell>
          <cell r="E137">
            <v>0</v>
          </cell>
        </row>
        <row r="138">
          <cell r="C138" t="str">
            <v>Za kanalizacijski sustav-obori</v>
          </cell>
          <cell r="E138">
            <v>17338.72</v>
          </cell>
        </row>
        <row r="139">
          <cell r="C139" t="str">
            <v>Jelsa plus-za javnu rasvjet</v>
          </cell>
          <cell r="E139">
            <v>15000</v>
          </cell>
        </row>
        <row r="140">
          <cell r="C140" t="str">
            <v>Izgradnja javnih površina</v>
          </cell>
          <cell r="E140">
            <v>240338.17</v>
          </cell>
        </row>
        <row r="141">
          <cell r="C141" t="str">
            <v>Jelsa plus-za ceste</v>
          </cell>
          <cell r="E141">
            <v>203778.44</v>
          </cell>
        </row>
        <row r="142">
          <cell r="C142" t="str">
            <v>Izgradnja luka,  sidrišta</v>
          </cell>
          <cell r="E142">
            <v>0</v>
          </cell>
        </row>
        <row r="143">
          <cell r="C143" t="str">
            <v>Izgradnja luka-projektna dok.</v>
          </cell>
          <cell r="E143">
            <v>0</v>
          </cell>
        </row>
        <row r="144">
          <cell r="C144" t="str">
            <v>Ostale subvencije poljopr.,obr</v>
          </cell>
          <cell r="E144">
            <v>0</v>
          </cell>
        </row>
        <row r="145">
          <cell r="C145" t="str">
            <v>Ostala oprema</v>
          </cell>
          <cell r="E145">
            <v>0</v>
          </cell>
        </row>
        <row r="146">
          <cell r="C146" t="str">
            <v>Deponij Prapatna</v>
          </cell>
          <cell r="E146">
            <v>1000</v>
          </cell>
        </row>
        <row r="147">
          <cell r="C147" t="str">
            <v>Izgradnja cesta-otkup zemljišt</v>
          </cell>
          <cell r="E147">
            <v>16422</v>
          </cell>
        </row>
        <row r="148">
          <cell r="C148" t="str">
            <v>Izgradnja javnih površina-otku</v>
          </cell>
          <cell r="E148">
            <v>0</v>
          </cell>
        </row>
        <row r="149">
          <cell r="C149" t="str">
            <v>Izgradnja dječjeg vrtića Jelsa</v>
          </cell>
          <cell r="E149">
            <v>5179.68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zvršenje_proračuna_po_pozicija"/>
    </sheetNames>
    <sheetDataSet>
      <sheetData sheetId="0" refreshError="1">
        <row r="2">
          <cell r="B2" t="str">
            <v>61</v>
          </cell>
          <cell r="E2">
            <v>134973.64000000001</v>
          </cell>
        </row>
        <row r="3">
          <cell r="B3" t="str">
            <v>61-1</v>
          </cell>
          <cell r="E3">
            <v>602278.37</v>
          </cell>
        </row>
        <row r="4">
          <cell r="B4" t="str">
            <v>611-2</v>
          </cell>
          <cell r="E4">
            <v>158847.59</v>
          </cell>
        </row>
        <row r="5">
          <cell r="B5" t="str">
            <v>611-3</v>
          </cell>
          <cell r="E5">
            <v>216708.02</v>
          </cell>
        </row>
        <row r="6">
          <cell r="B6" t="str">
            <v>611-4</v>
          </cell>
          <cell r="E6">
            <v>102688.59</v>
          </cell>
        </row>
        <row r="7">
          <cell r="B7" t="str">
            <v>611-5</v>
          </cell>
          <cell r="E7">
            <v>32193.53</v>
          </cell>
        </row>
        <row r="8">
          <cell r="B8" t="str">
            <v>61-2</v>
          </cell>
          <cell r="E8">
            <v>2512935.87</v>
          </cell>
        </row>
        <row r="9">
          <cell r="B9" t="str">
            <v>61-3</v>
          </cell>
          <cell r="E9">
            <v>192066.11</v>
          </cell>
        </row>
        <row r="10">
          <cell r="B10" t="str">
            <v>61-4</v>
          </cell>
          <cell r="E10">
            <v>80794.899999999994</v>
          </cell>
        </row>
        <row r="11">
          <cell r="B11" t="str">
            <v>63</v>
          </cell>
          <cell r="E11">
            <v>72252.490000000005</v>
          </cell>
        </row>
        <row r="12">
          <cell r="B12" t="str">
            <v>63-1</v>
          </cell>
          <cell r="E12">
            <v>69569.399999999994</v>
          </cell>
        </row>
        <row r="13">
          <cell r="B13" t="str">
            <v>63-2</v>
          </cell>
          <cell r="E13">
            <v>323702.05</v>
          </cell>
        </row>
        <row r="14">
          <cell r="B14" t="str">
            <v>64</v>
          </cell>
          <cell r="E14">
            <v>57390.31</v>
          </cell>
        </row>
        <row r="15">
          <cell r="B15" t="str">
            <v>64-0</v>
          </cell>
          <cell r="E15">
            <v>0.69</v>
          </cell>
        </row>
        <row r="16">
          <cell r="B16" t="str">
            <v>64-1</v>
          </cell>
          <cell r="E16">
            <v>1580.86</v>
          </cell>
        </row>
        <row r="17">
          <cell r="B17" t="str">
            <v>64-2</v>
          </cell>
          <cell r="E17">
            <v>152.12</v>
          </cell>
        </row>
        <row r="18">
          <cell r="B18" t="str">
            <v>64-3</v>
          </cell>
          <cell r="E18">
            <v>114323.7</v>
          </cell>
        </row>
        <row r="19">
          <cell r="B19" t="str">
            <v>64-9</v>
          </cell>
          <cell r="E19">
            <v>31033.07</v>
          </cell>
        </row>
        <row r="20">
          <cell r="B20" t="str">
            <v>65</v>
          </cell>
          <cell r="E20">
            <v>342309.39</v>
          </cell>
        </row>
        <row r="21">
          <cell r="B21" t="str">
            <v>65-1</v>
          </cell>
          <cell r="E21">
            <v>163021.82999999999</v>
          </cell>
        </row>
        <row r="22">
          <cell r="B22" t="str">
            <v>65-2</v>
          </cell>
          <cell r="E22">
            <v>1299.1199999999999</v>
          </cell>
        </row>
        <row r="23">
          <cell r="B23" t="str">
            <v>65-3</v>
          </cell>
          <cell r="E23">
            <v>38.520000000000003</v>
          </cell>
        </row>
        <row r="24">
          <cell r="B24" t="str">
            <v>65-4</v>
          </cell>
          <cell r="E24">
            <v>126421.15</v>
          </cell>
        </row>
        <row r="25">
          <cell r="B25" t="str">
            <v>66</v>
          </cell>
          <cell r="E25">
            <v>4187.84</v>
          </cell>
        </row>
        <row r="26">
          <cell r="B26" t="str">
            <v>68</v>
          </cell>
          <cell r="E26">
            <v>16263.79</v>
          </cell>
        </row>
        <row r="27">
          <cell r="B27" t="str">
            <v>69</v>
          </cell>
          <cell r="E27">
            <v>20003.330000000002</v>
          </cell>
        </row>
        <row r="28">
          <cell r="B28" t="str">
            <v>71</v>
          </cell>
          <cell r="E28">
            <v>4613.33</v>
          </cell>
        </row>
        <row r="29">
          <cell r="B29" t="str">
            <v>72</v>
          </cell>
          <cell r="E29">
            <v>683.52</v>
          </cell>
        </row>
        <row r="30">
          <cell r="B30" t="str">
            <v>001</v>
          </cell>
          <cell r="E30">
            <v>210994.59</v>
          </cell>
        </row>
        <row r="31">
          <cell r="B31" t="str">
            <v>001-1</v>
          </cell>
          <cell r="E31">
            <v>0</v>
          </cell>
        </row>
        <row r="32">
          <cell r="B32" t="str">
            <v>004</v>
          </cell>
          <cell r="E32">
            <v>1085.17</v>
          </cell>
        </row>
        <row r="33">
          <cell r="B33" t="str">
            <v>006</v>
          </cell>
          <cell r="E33">
            <v>34814.07</v>
          </cell>
        </row>
        <row r="34">
          <cell r="B34" t="str">
            <v>008</v>
          </cell>
          <cell r="E34">
            <v>10462.36</v>
          </cell>
        </row>
        <row r="35">
          <cell r="B35" t="str">
            <v>008-1</v>
          </cell>
          <cell r="E35">
            <v>1773.52</v>
          </cell>
        </row>
        <row r="36">
          <cell r="B36" t="str">
            <v>009</v>
          </cell>
          <cell r="E36">
            <v>4176.3</v>
          </cell>
        </row>
        <row r="37">
          <cell r="B37" t="str">
            <v>010</v>
          </cell>
          <cell r="E37">
            <v>3776.5</v>
          </cell>
        </row>
        <row r="38">
          <cell r="B38" t="str">
            <v>011</v>
          </cell>
          <cell r="E38">
            <v>4610</v>
          </cell>
        </row>
        <row r="39">
          <cell r="B39" t="str">
            <v>012</v>
          </cell>
          <cell r="E39">
            <v>10412.94</v>
          </cell>
        </row>
        <row r="40">
          <cell r="B40" t="str">
            <v>013</v>
          </cell>
          <cell r="E40">
            <v>725.41</v>
          </cell>
        </row>
        <row r="41">
          <cell r="B41" t="str">
            <v>014</v>
          </cell>
          <cell r="E41">
            <v>756.6</v>
          </cell>
        </row>
        <row r="42">
          <cell r="B42" t="str">
            <v>014-1</v>
          </cell>
          <cell r="E42">
            <v>2624.53</v>
          </cell>
        </row>
        <row r="43">
          <cell r="B43" t="str">
            <v>015</v>
          </cell>
          <cell r="E43">
            <v>21508.31</v>
          </cell>
        </row>
        <row r="44">
          <cell r="B44" t="str">
            <v>016</v>
          </cell>
          <cell r="E44">
            <v>9826.2800000000007</v>
          </cell>
        </row>
        <row r="45">
          <cell r="B45" t="str">
            <v>017</v>
          </cell>
          <cell r="E45">
            <v>8311.2999999999993</v>
          </cell>
        </row>
        <row r="46">
          <cell r="B46" t="str">
            <v>018</v>
          </cell>
          <cell r="E46">
            <v>202.5</v>
          </cell>
        </row>
        <row r="47">
          <cell r="B47" t="str">
            <v>019</v>
          </cell>
          <cell r="E47">
            <v>12401.75</v>
          </cell>
        </row>
        <row r="48">
          <cell r="B48" t="str">
            <v>020</v>
          </cell>
          <cell r="E48">
            <v>29908.22</v>
          </cell>
        </row>
        <row r="49">
          <cell r="B49" t="str">
            <v>021</v>
          </cell>
          <cell r="E49">
            <v>9375</v>
          </cell>
        </row>
        <row r="50">
          <cell r="B50" t="str">
            <v>021-1</v>
          </cell>
          <cell r="E50">
            <v>3667.3</v>
          </cell>
        </row>
        <row r="51">
          <cell r="B51" t="str">
            <v>022</v>
          </cell>
          <cell r="E51">
            <v>1149.75</v>
          </cell>
        </row>
        <row r="52">
          <cell r="B52" t="str">
            <v>024</v>
          </cell>
          <cell r="E52">
            <v>7136.18</v>
          </cell>
        </row>
        <row r="53">
          <cell r="B53" t="str">
            <v>025</v>
          </cell>
          <cell r="E53">
            <v>370.21</v>
          </cell>
        </row>
        <row r="54">
          <cell r="B54" t="str">
            <v>025-1</v>
          </cell>
          <cell r="E54">
            <v>33.18</v>
          </cell>
        </row>
        <row r="55">
          <cell r="B55" t="str">
            <v>026</v>
          </cell>
          <cell r="E55">
            <v>89237.26</v>
          </cell>
        </row>
        <row r="56">
          <cell r="B56" t="str">
            <v>026-1</v>
          </cell>
          <cell r="E56">
            <v>0</v>
          </cell>
        </row>
        <row r="57">
          <cell r="B57" t="str">
            <v>026-2</v>
          </cell>
          <cell r="E57">
            <v>4601.0200000000004</v>
          </cell>
        </row>
        <row r="58">
          <cell r="B58" t="str">
            <v>026-4</v>
          </cell>
          <cell r="E58">
            <v>2750</v>
          </cell>
        </row>
        <row r="59">
          <cell r="B59" t="str">
            <v>026-6</v>
          </cell>
          <cell r="E59">
            <v>0</v>
          </cell>
        </row>
        <row r="60">
          <cell r="B60" t="str">
            <v>027</v>
          </cell>
          <cell r="E60">
            <v>7664.76</v>
          </cell>
        </row>
        <row r="61">
          <cell r="B61" t="str">
            <v>028</v>
          </cell>
          <cell r="E61">
            <v>4297</v>
          </cell>
        </row>
        <row r="62">
          <cell r="B62" t="str">
            <v>029-1</v>
          </cell>
          <cell r="E62">
            <v>19650</v>
          </cell>
        </row>
        <row r="63">
          <cell r="B63" t="str">
            <v>030</v>
          </cell>
          <cell r="E63">
            <v>17286.759999999998</v>
          </cell>
        </row>
        <row r="64">
          <cell r="B64" t="str">
            <v>031</v>
          </cell>
          <cell r="E64">
            <v>0</v>
          </cell>
        </row>
        <row r="65">
          <cell r="B65" t="str">
            <v>070</v>
          </cell>
          <cell r="E65">
            <v>47214.21</v>
          </cell>
        </row>
        <row r="66">
          <cell r="B66" t="str">
            <v>071</v>
          </cell>
          <cell r="E66">
            <v>0</v>
          </cell>
        </row>
        <row r="67">
          <cell r="B67" t="str">
            <v>078-0</v>
          </cell>
          <cell r="E67">
            <v>0</v>
          </cell>
        </row>
        <row r="68">
          <cell r="B68" t="str">
            <v>090</v>
          </cell>
          <cell r="E68">
            <v>37605.480000000003</v>
          </cell>
        </row>
        <row r="69">
          <cell r="B69" t="str">
            <v>090-32</v>
          </cell>
          <cell r="E69">
            <v>0</v>
          </cell>
        </row>
        <row r="70">
          <cell r="B70" t="str">
            <v>090-8</v>
          </cell>
          <cell r="E70">
            <v>0</v>
          </cell>
        </row>
        <row r="71">
          <cell r="B71" t="str">
            <v>091-2</v>
          </cell>
          <cell r="E71">
            <v>12633.97</v>
          </cell>
        </row>
        <row r="72">
          <cell r="B72" t="str">
            <v>091-3</v>
          </cell>
          <cell r="E72">
            <v>440605.47</v>
          </cell>
        </row>
        <row r="73">
          <cell r="B73" t="str">
            <v>094</v>
          </cell>
          <cell r="E73">
            <v>130442.64</v>
          </cell>
        </row>
        <row r="74">
          <cell r="B74" t="str">
            <v>097</v>
          </cell>
          <cell r="E74">
            <v>137983.85999999999</v>
          </cell>
        </row>
        <row r="75">
          <cell r="B75" t="str">
            <v>097-1</v>
          </cell>
          <cell r="E75">
            <v>50808.57</v>
          </cell>
        </row>
        <row r="76">
          <cell r="B76" t="str">
            <v>098-0</v>
          </cell>
          <cell r="E76">
            <v>69227.66</v>
          </cell>
        </row>
        <row r="77">
          <cell r="B77" t="str">
            <v>098-3</v>
          </cell>
          <cell r="E77">
            <v>39059.339999999997</v>
          </cell>
        </row>
        <row r="78">
          <cell r="B78" t="str">
            <v>098-4</v>
          </cell>
          <cell r="E78">
            <v>38787</v>
          </cell>
        </row>
        <row r="79">
          <cell r="B79" t="str">
            <v>102-0</v>
          </cell>
          <cell r="E79">
            <v>10738.29</v>
          </cell>
        </row>
        <row r="80">
          <cell r="B80" t="str">
            <v>102-1</v>
          </cell>
          <cell r="E80">
            <v>0</v>
          </cell>
        </row>
        <row r="81">
          <cell r="B81" t="str">
            <v>102-2</v>
          </cell>
          <cell r="E81">
            <v>13976.15</v>
          </cell>
        </row>
        <row r="82">
          <cell r="B82" t="str">
            <v>109</v>
          </cell>
          <cell r="E82">
            <v>13881.76</v>
          </cell>
        </row>
        <row r="83">
          <cell r="B83" t="str">
            <v>110</v>
          </cell>
          <cell r="E83">
            <v>8911.26</v>
          </cell>
        </row>
        <row r="84">
          <cell r="B84" t="str">
            <v>111</v>
          </cell>
          <cell r="E84">
            <v>15235</v>
          </cell>
        </row>
        <row r="85">
          <cell r="B85" t="str">
            <v>112-1</v>
          </cell>
          <cell r="E85">
            <v>18784.599999999999</v>
          </cell>
        </row>
        <row r="86">
          <cell r="B86" t="str">
            <v>113-1</v>
          </cell>
          <cell r="E86">
            <v>86912.25</v>
          </cell>
        </row>
        <row r="87">
          <cell r="B87" t="str">
            <v>113-5</v>
          </cell>
          <cell r="E87">
            <v>1700</v>
          </cell>
        </row>
        <row r="88">
          <cell r="B88" t="str">
            <v>114</v>
          </cell>
          <cell r="E88">
            <v>0</v>
          </cell>
        </row>
        <row r="89">
          <cell r="B89" t="str">
            <v>114-3</v>
          </cell>
          <cell r="E89">
            <v>15375</v>
          </cell>
        </row>
        <row r="90">
          <cell r="B90" t="str">
            <v>114-4</v>
          </cell>
          <cell r="E90">
            <v>16691.73</v>
          </cell>
        </row>
        <row r="91">
          <cell r="B91" t="str">
            <v>116</v>
          </cell>
          <cell r="E91">
            <v>12477.1</v>
          </cell>
        </row>
        <row r="92">
          <cell r="B92" t="str">
            <v>116-2</v>
          </cell>
          <cell r="E92">
            <v>0</v>
          </cell>
        </row>
        <row r="93">
          <cell r="B93" t="str">
            <v>120-5</v>
          </cell>
          <cell r="E93">
            <v>0</v>
          </cell>
        </row>
        <row r="94">
          <cell r="B94" t="str">
            <v>122</v>
          </cell>
          <cell r="E94">
            <v>4509.63</v>
          </cell>
        </row>
        <row r="95">
          <cell r="B95" t="str">
            <v>122-1</v>
          </cell>
          <cell r="E95">
            <v>995.43</v>
          </cell>
        </row>
        <row r="96">
          <cell r="B96" t="str">
            <v>123</v>
          </cell>
          <cell r="E96">
            <v>24670.29</v>
          </cell>
        </row>
        <row r="97">
          <cell r="B97" t="str">
            <v>124-1</v>
          </cell>
          <cell r="E97">
            <v>1261.49</v>
          </cell>
        </row>
        <row r="98">
          <cell r="B98" t="str">
            <v>124-2</v>
          </cell>
          <cell r="E98">
            <v>0</v>
          </cell>
        </row>
        <row r="99">
          <cell r="B99" t="str">
            <v>125-1</v>
          </cell>
          <cell r="E99">
            <v>100</v>
          </cell>
        </row>
        <row r="100">
          <cell r="B100" t="str">
            <v>125-3</v>
          </cell>
          <cell r="E100">
            <v>29250</v>
          </cell>
        </row>
        <row r="101">
          <cell r="B101" t="str">
            <v>125-5</v>
          </cell>
          <cell r="E101">
            <v>0</v>
          </cell>
        </row>
        <row r="102">
          <cell r="B102" t="str">
            <v>126</v>
          </cell>
          <cell r="E102">
            <v>13163.44</v>
          </cell>
        </row>
        <row r="103">
          <cell r="B103" t="str">
            <v>126-6</v>
          </cell>
          <cell r="E103">
            <v>600</v>
          </cell>
        </row>
        <row r="104">
          <cell r="B104" t="str">
            <v>126-8</v>
          </cell>
          <cell r="E104">
            <v>743.75</v>
          </cell>
        </row>
        <row r="105">
          <cell r="B105" t="str">
            <v>127-0</v>
          </cell>
          <cell r="E105">
            <v>33000</v>
          </cell>
        </row>
        <row r="106">
          <cell r="B106" t="str">
            <v>127-3</v>
          </cell>
          <cell r="E106">
            <v>67000</v>
          </cell>
        </row>
        <row r="107">
          <cell r="B107" t="str">
            <v>127-4</v>
          </cell>
          <cell r="E107">
            <v>2507</v>
          </cell>
        </row>
        <row r="108">
          <cell r="B108" t="str">
            <v>127-7</v>
          </cell>
          <cell r="E108">
            <v>18778.7</v>
          </cell>
        </row>
        <row r="109">
          <cell r="B109" t="str">
            <v>127-8</v>
          </cell>
          <cell r="E109">
            <v>1500</v>
          </cell>
        </row>
        <row r="110">
          <cell r="B110" t="str">
            <v>128-1</v>
          </cell>
          <cell r="E110">
            <v>537.29999999999995</v>
          </cell>
        </row>
        <row r="111">
          <cell r="B111" t="str">
            <v>128-2</v>
          </cell>
          <cell r="E111">
            <v>26.48</v>
          </cell>
        </row>
        <row r="112">
          <cell r="B112" t="str">
            <v>128-4</v>
          </cell>
          <cell r="E112">
            <v>0</v>
          </cell>
        </row>
        <row r="113">
          <cell r="B113" t="str">
            <v>128-5</v>
          </cell>
          <cell r="E113">
            <v>0</v>
          </cell>
        </row>
        <row r="114">
          <cell r="B114" t="str">
            <v>128-9</v>
          </cell>
          <cell r="E114">
            <v>466.87</v>
          </cell>
        </row>
        <row r="115">
          <cell r="B115" t="str">
            <v>129-6</v>
          </cell>
          <cell r="E115">
            <v>0</v>
          </cell>
        </row>
        <row r="116">
          <cell r="B116" t="str">
            <v>130</v>
          </cell>
          <cell r="E116">
            <v>61768.72</v>
          </cell>
        </row>
        <row r="117">
          <cell r="B117" t="str">
            <v>131</v>
          </cell>
          <cell r="E117">
            <v>0</v>
          </cell>
        </row>
        <row r="118">
          <cell r="B118" t="str">
            <v>132</v>
          </cell>
          <cell r="E118">
            <v>13300</v>
          </cell>
        </row>
        <row r="119">
          <cell r="B119" t="str">
            <v>132-1</v>
          </cell>
          <cell r="E119">
            <v>21193.68</v>
          </cell>
        </row>
        <row r="120">
          <cell r="B120" t="str">
            <v>134</v>
          </cell>
          <cell r="E120">
            <v>7376</v>
          </cell>
        </row>
        <row r="121">
          <cell r="B121" t="str">
            <v>134-1</v>
          </cell>
          <cell r="E121">
            <v>23519.91</v>
          </cell>
        </row>
        <row r="122">
          <cell r="B122" t="str">
            <v>135-0</v>
          </cell>
          <cell r="E122">
            <v>16800</v>
          </cell>
        </row>
        <row r="123">
          <cell r="B123" t="str">
            <v>135-4</v>
          </cell>
          <cell r="E123">
            <v>2423.75</v>
          </cell>
        </row>
        <row r="124">
          <cell r="B124" t="str">
            <v>135-5</v>
          </cell>
          <cell r="E124">
            <v>1500</v>
          </cell>
        </row>
        <row r="125">
          <cell r="B125" t="str">
            <v>136</v>
          </cell>
          <cell r="E125">
            <v>2750</v>
          </cell>
        </row>
        <row r="126">
          <cell r="B126" t="str">
            <v>140-7</v>
          </cell>
          <cell r="E126">
            <v>7002</v>
          </cell>
        </row>
        <row r="127">
          <cell r="B127" t="str">
            <v>141-1</v>
          </cell>
          <cell r="E127">
            <v>0</v>
          </cell>
        </row>
        <row r="128">
          <cell r="B128" t="str">
            <v>142-0</v>
          </cell>
          <cell r="E128">
            <v>15529</v>
          </cell>
        </row>
        <row r="129">
          <cell r="B129" t="str">
            <v>146-0</v>
          </cell>
          <cell r="E129">
            <v>57200</v>
          </cell>
        </row>
        <row r="130">
          <cell r="B130" t="str">
            <v>156</v>
          </cell>
          <cell r="E130">
            <v>0</v>
          </cell>
        </row>
        <row r="131">
          <cell r="B131" t="str">
            <v>158</v>
          </cell>
          <cell r="E131">
            <v>20000</v>
          </cell>
        </row>
        <row r="132">
          <cell r="B132" t="str">
            <v>158-1</v>
          </cell>
          <cell r="E132">
            <v>30000</v>
          </cell>
        </row>
        <row r="133">
          <cell r="B133" t="str">
            <v>158-3</v>
          </cell>
          <cell r="E133">
            <v>4000</v>
          </cell>
        </row>
        <row r="134">
          <cell r="B134" t="str">
            <v>158-4</v>
          </cell>
          <cell r="E134">
            <v>51853.14</v>
          </cell>
        </row>
        <row r="135">
          <cell r="B135" t="str">
            <v>160-0</v>
          </cell>
          <cell r="E135">
            <v>27600</v>
          </cell>
        </row>
        <row r="136">
          <cell r="B136" t="str">
            <v>163</v>
          </cell>
          <cell r="E136">
            <v>3240.18</v>
          </cell>
        </row>
        <row r="137">
          <cell r="B137" t="str">
            <v>164</v>
          </cell>
          <cell r="E137">
            <v>750.08</v>
          </cell>
        </row>
        <row r="138">
          <cell r="B138" t="str">
            <v>164-3</v>
          </cell>
          <cell r="E138">
            <v>0</v>
          </cell>
        </row>
        <row r="139">
          <cell r="B139" t="str">
            <v>165</v>
          </cell>
          <cell r="E139">
            <v>3000</v>
          </cell>
        </row>
        <row r="140">
          <cell r="B140" t="str">
            <v>168</v>
          </cell>
          <cell r="E140">
            <v>0</v>
          </cell>
        </row>
        <row r="141">
          <cell r="B141" t="str">
            <v>171-1</v>
          </cell>
          <cell r="E141">
            <v>16597.53</v>
          </cell>
        </row>
        <row r="142">
          <cell r="B142" t="str">
            <v>172</v>
          </cell>
          <cell r="E142">
            <v>115000</v>
          </cell>
        </row>
        <row r="143">
          <cell r="B143" t="str">
            <v>172-0</v>
          </cell>
          <cell r="E143">
            <v>247000</v>
          </cell>
        </row>
        <row r="144">
          <cell r="B144" t="str">
            <v>172-1</v>
          </cell>
          <cell r="E144">
            <v>305000</v>
          </cell>
        </row>
        <row r="145">
          <cell r="B145" t="str">
            <v>172-3</v>
          </cell>
          <cell r="E145">
            <v>0</v>
          </cell>
        </row>
        <row r="146">
          <cell r="B146" t="str">
            <v>174</v>
          </cell>
          <cell r="E146">
            <v>0</v>
          </cell>
        </row>
        <row r="147">
          <cell r="B147" t="str">
            <v>175-4</v>
          </cell>
          <cell r="E147">
            <v>0</v>
          </cell>
        </row>
        <row r="148">
          <cell r="B148" t="str">
            <v>179-2</v>
          </cell>
          <cell r="E148">
            <v>35000</v>
          </cell>
        </row>
        <row r="149">
          <cell r="B149" t="str">
            <v>179-7</v>
          </cell>
          <cell r="E149">
            <v>0</v>
          </cell>
        </row>
        <row r="150">
          <cell r="B150" t="str">
            <v>179-8</v>
          </cell>
          <cell r="E150">
            <v>1337.5</v>
          </cell>
        </row>
        <row r="151">
          <cell r="B151" t="str">
            <v>186-2</v>
          </cell>
          <cell r="E151">
            <v>37225.360000000001</v>
          </cell>
        </row>
        <row r="152">
          <cell r="B152" t="str">
            <v>186-4</v>
          </cell>
          <cell r="E152">
            <v>19261.25</v>
          </cell>
        </row>
        <row r="153">
          <cell r="B153" t="str">
            <v>200</v>
          </cell>
          <cell r="E153">
            <v>21301.48</v>
          </cell>
        </row>
      </sheetData>
    </sheetDataSet>
  </externalBook>
</externalLink>
</file>

<file path=xl/tables/table1.xml><?xml version="1.0" encoding="utf-8"?>
<table xmlns="http://schemas.openxmlformats.org/spreadsheetml/2006/main" id="3" name="Table14" displayName="Table14" ref="A39:AN189" totalsRowShown="0" headerRowDxfId="0" dataDxfId="1" tableBorderDxfId="42">
  <tableColumns count="40">
    <tableColumn id="1" name="Column1" dataDxfId="41"/>
    <tableColumn id="2" name="Column2" dataDxfId="40"/>
    <tableColumn id="3" name="Column3" dataDxfId="39"/>
    <tableColumn id="4" name="Column4" dataDxfId="38"/>
    <tableColumn id="5" name="Column5" dataDxfId="37"/>
    <tableColumn id="6" name="Column6" dataDxfId="36"/>
    <tableColumn id="7" name="Column7" dataDxfId="35"/>
    <tableColumn id="8" name="Column8" dataDxfId="34"/>
    <tableColumn id="9" name="Column9" dataDxfId="33"/>
    <tableColumn id="10" name="Column10" dataDxfId="32"/>
    <tableColumn id="11" name="Column11" dataDxfId="31"/>
    <tableColumn id="12" name="Column12" dataDxfId="30"/>
    <tableColumn id="13" name="Column13" dataDxfId="29"/>
    <tableColumn id="14" name="Column14" dataDxfId="28"/>
    <tableColumn id="15" name="Column15" dataDxfId="27"/>
    <tableColumn id="16" name="Column16" dataDxfId="26"/>
    <tableColumn id="17" name="Column17" dataDxfId="25"/>
    <tableColumn id="18" name="1" dataDxfId="24" dataCellStyle="Normal 2"/>
    <tableColumn id="19" name="5" dataDxfId="23"/>
    <tableColumn id="20" name="6" dataDxfId="22"/>
    <tableColumn id="21" name="7" dataDxfId="21">
      <calculatedColumnFormula>__xlfn.ISFORMULA(S40)</calculatedColumnFormula>
    </tableColumn>
    <tableColumn id="35" name="2" dataDxfId="20"/>
    <tableColumn id="22" name="3" dataDxfId="19"/>
    <tableColumn id="36" name="52" dataDxfId="18"/>
    <tableColumn id="34" name="53" dataDxfId="17"/>
    <tableColumn id="24" name="54" dataDxfId="16"/>
    <tableColumn id="25" name="55" dataDxfId="15"/>
    <tableColumn id="26" name="73" dataDxfId="14"/>
    <tableColumn id="27" name="8" dataDxfId="13"/>
    <tableColumn id="28" name="9" dataDxfId="12"/>
    <tableColumn id="29" name="10" dataDxfId="11"/>
    <tableColumn id="30" name="11" dataDxfId="10"/>
    <tableColumn id="31" name="12" dataDxfId="9"/>
    <tableColumn id="32" name="13" dataDxfId="8"/>
    <tableColumn id="38" name="56" dataDxfId="7"/>
    <tableColumn id="39" name="77" dataDxfId="6"/>
    <tableColumn id="41" name="88" dataDxfId="5"/>
    <tableColumn id="40" name="99" dataDxfId="4"/>
    <tableColumn id="33" name="100" dataDxfId="3">
      <calculatedColumnFormula>__xlfn.ISFORMULA(Sheet3!$T40)</calculatedColumnFormula>
    </tableColumn>
    <tableColumn id="37" name="101" dataDxfId="2">
      <calculatedColumnFormula>__xlfn.ISFORMULA(Sheet3!$N40)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C1243"/>
  <sheetViews>
    <sheetView tabSelected="1" workbookViewId="0">
      <selection activeCell="BF25" sqref="BF25"/>
    </sheetView>
  </sheetViews>
  <sheetFormatPr defaultRowHeight="12.75"/>
  <cols>
    <col min="1" max="7" width="1.7109375" customWidth="1"/>
    <col min="8" max="8" width="10.140625" customWidth="1"/>
    <col min="10" max="10" width="11" customWidth="1"/>
    <col min="11" max="11" width="31.140625" customWidth="1"/>
    <col min="12" max="17" width="0" hidden="1" customWidth="1"/>
    <col min="18" max="18" width="9.5703125" customWidth="1"/>
    <col min="19" max="42" width="0" hidden="1" customWidth="1"/>
    <col min="43" max="43" width="9.5703125" customWidth="1"/>
    <col min="44" max="45" width="0" hidden="1" customWidth="1"/>
    <col min="46" max="46" width="12" bestFit="1" customWidth="1"/>
    <col min="47" max="47" width="9.7109375" customWidth="1"/>
    <col min="48" max="49" width="6.7109375" customWidth="1"/>
    <col min="50" max="55" width="4.7109375" customWidth="1"/>
  </cols>
  <sheetData>
    <row r="1" spans="1:55" ht="12" customHeight="1">
      <c r="A1" s="575" t="s">
        <v>879</v>
      </c>
      <c r="B1" s="575"/>
      <c r="C1" s="1"/>
      <c r="D1" s="575"/>
      <c r="E1" s="1"/>
      <c r="F1" s="1"/>
      <c r="G1" s="1"/>
      <c r="H1" s="2"/>
      <c r="I1" s="3"/>
      <c r="J1" s="2"/>
      <c r="K1" s="2"/>
      <c r="L1" s="206"/>
      <c r="M1" s="206"/>
      <c r="N1" s="206"/>
      <c r="O1" s="206"/>
      <c r="P1" s="206"/>
      <c r="Q1" s="4"/>
      <c r="R1" s="4"/>
      <c r="S1" s="3"/>
      <c r="T1" s="3"/>
      <c r="U1" s="3"/>
      <c r="V1" s="431"/>
      <c r="W1" s="431"/>
      <c r="X1" s="507"/>
      <c r="Y1" s="507"/>
      <c r="Z1" s="507"/>
      <c r="AA1" s="507"/>
      <c r="AB1" s="508"/>
      <c r="AC1" s="508"/>
      <c r="AD1" s="508"/>
      <c r="AE1" s="508"/>
      <c r="AF1" s="508"/>
      <c r="AG1" s="508"/>
      <c r="AH1" s="507"/>
      <c r="AI1" s="507"/>
      <c r="AJ1" s="507"/>
      <c r="AK1" s="507"/>
      <c r="AL1" s="507"/>
      <c r="AM1" s="206"/>
      <c r="AQ1" s="4"/>
      <c r="AS1" s="4"/>
      <c r="AT1" s="607"/>
      <c r="AU1" s="431"/>
      <c r="AV1" s="629"/>
      <c r="AW1" s="432"/>
      <c r="AX1" s="432"/>
      <c r="AY1" s="432"/>
      <c r="AZ1" s="432"/>
      <c r="BA1" s="432"/>
      <c r="BB1" s="432"/>
      <c r="BC1" s="432"/>
    </row>
    <row r="2" spans="1:55" s="257" customFormat="1" ht="12" customHeight="1">
      <c r="A2" s="575" t="s">
        <v>910</v>
      </c>
      <c r="B2" s="576"/>
      <c r="C2" s="576"/>
      <c r="D2" s="576"/>
      <c r="E2" s="576"/>
      <c r="F2" s="576"/>
      <c r="G2" s="576"/>
      <c r="H2" s="575"/>
      <c r="I2" s="577"/>
      <c r="J2" s="575"/>
      <c r="Q2" s="578"/>
      <c r="R2" s="578"/>
      <c r="S2" s="577"/>
      <c r="T2" s="577"/>
      <c r="U2" s="577"/>
      <c r="V2" s="432"/>
      <c r="W2" s="432"/>
      <c r="X2" s="507"/>
      <c r="Y2" s="507"/>
      <c r="Z2" s="507"/>
      <c r="AA2" s="507"/>
      <c r="AB2" s="508"/>
      <c r="AC2" s="508"/>
      <c r="AD2" s="508"/>
      <c r="AE2" s="508"/>
      <c r="AF2" s="508"/>
      <c r="AG2" s="508"/>
      <c r="AH2" s="507"/>
      <c r="AI2" s="507"/>
      <c r="AJ2" s="507"/>
      <c r="AK2" s="507"/>
      <c r="AL2" s="507"/>
      <c r="AM2" s="286"/>
      <c r="AQ2" s="578"/>
      <c r="AS2" s="578"/>
      <c r="AT2" s="608"/>
      <c r="AU2" s="432"/>
      <c r="AV2" s="629"/>
      <c r="AW2" s="432"/>
      <c r="AX2" s="432"/>
      <c r="AY2" s="432"/>
      <c r="AZ2" s="432"/>
      <c r="BA2" s="432"/>
      <c r="BB2" s="432"/>
      <c r="BC2" s="432"/>
    </row>
    <row r="3" spans="1:55" ht="12" customHeight="1">
      <c r="A3" s="1"/>
      <c r="B3" s="1"/>
      <c r="C3" s="1"/>
      <c r="D3" s="1"/>
      <c r="E3" s="1"/>
      <c r="F3" s="1"/>
      <c r="G3" s="1"/>
      <c r="H3" s="2" t="s">
        <v>0</v>
      </c>
      <c r="I3" s="3"/>
      <c r="J3" s="2"/>
      <c r="K3" s="2"/>
      <c r="L3" s="206"/>
      <c r="M3" s="206"/>
      <c r="N3" s="206"/>
      <c r="O3" s="206"/>
      <c r="P3" s="206"/>
      <c r="Q3" s="206"/>
      <c r="R3" s="431"/>
      <c r="S3" s="431"/>
      <c r="T3" s="431"/>
      <c r="U3" s="431"/>
      <c r="V3" s="431"/>
      <c r="W3" s="431"/>
      <c r="X3" s="507"/>
      <c r="Y3" s="507"/>
      <c r="Z3" s="507"/>
      <c r="AA3" s="507"/>
      <c r="AB3" s="508"/>
      <c r="AC3" s="508"/>
      <c r="AD3" s="508"/>
      <c r="AE3" s="508"/>
      <c r="AF3" s="508"/>
      <c r="AG3" s="508"/>
      <c r="AH3" s="507"/>
      <c r="AI3" s="507"/>
      <c r="AJ3" s="507"/>
      <c r="AK3" s="507"/>
      <c r="AL3" s="507"/>
      <c r="AM3" s="206"/>
      <c r="AQ3" s="431"/>
      <c r="AS3" s="431"/>
      <c r="AT3" s="607"/>
      <c r="AU3" s="431"/>
      <c r="AV3" s="629"/>
      <c r="AW3" s="432"/>
      <c r="AX3" s="432"/>
      <c r="AY3" s="432"/>
      <c r="AZ3" s="432"/>
      <c r="BA3" s="432"/>
      <c r="BB3" s="432"/>
      <c r="BC3" s="432"/>
    </row>
    <row r="4" spans="1:55" ht="12" customHeight="1">
      <c r="A4" s="5"/>
      <c r="B4" s="5"/>
      <c r="C4" s="5"/>
      <c r="D4" s="5"/>
      <c r="E4" s="5"/>
      <c r="F4" s="5"/>
      <c r="G4" s="5"/>
      <c r="H4" s="6"/>
      <c r="I4" s="7"/>
      <c r="J4" s="6"/>
      <c r="K4" s="6"/>
      <c r="L4" s="207"/>
      <c r="M4" s="207"/>
      <c r="N4" s="207"/>
      <c r="O4" s="207"/>
      <c r="P4" s="207"/>
      <c r="Q4" s="207"/>
      <c r="R4" s="433"/>
      <c r="S4" s="433"/>
      <c r="T4" s="433"/>
      <c r="U4" s="433"/>
      <c r="V4" s="433"/>
      <c r="W4" s="433"/>
      <c r="X4" s="509"/>
      <c r="Y4" s="509"/>
      <c r="Z4" s="509"/>
      <c r="AA4" s="509"/>
      <c r="AB4" s="510"/>
      <c r="AC4" s="510"/>
      <c r="AD4" s="510"/>
      <c r="AE4" s="510"/>
      <c r="AF4" s="510"/>
      <c r="AG4" s="510"/>
      <c r="AH4" s="509"/>
      <c r="AI4" s="509"/>
      <c r="AJ4" s="509"/>
      <c r="AK4" s="509"/>
      <c r="AL4" s="509"/>
      <c r="AM4" s="207"/>
      <c r="AQ4" s="433"/>
      <c r="AS4" s="433"/>
      <c r="AT4" s="609"/>
      <c r="AU4" s="433"/>
      <c r="AV4" s="626"/>
      <c r="AW4" s="432"/>
      <c r="AX4" s="432"/>
      <c r="AY4" s="432"/>
      <c r="AZ4" s="432"/>
      <c r="BA4" s="432"/>
      <c r="BB4" s="432"/>
      <c r="BC4" s="432"/>
    </row>
    <row r="5" spans="1:55" ht="12" customHeight="1">
      <c r="A5" s="1"/>
      <c r="B5" s="1"/>
      <c r="C5" s="1"/>
      <c r="D5" s="1"/>
      <c r="E5" s="1"/>
      <c r="F5" s="1"/>
      <c r="G5" s="1"/>
      <c r="H5" s="2" t="s">
        <v>1</v>
      </c>
      <c r="I5" s="3"/>
      <c r="J5" s="2"/>
      <c r="K5" s="2"/>
      <c r="L5" s="206"/>
      <c r="M5" s="206"/>
      <c r="N5" s="206"/>
      <c r="O5" s="206"/>
      <c r="P5" s="206"/>
      <c r="Q5" s="206"/>
      <c r="R5" s="431"/>
      <c r="S5" s="431"/>
      <c r="T5" s="431"/>
      <c r="U5" s="431"/>
      <c r="V5" s="431"/>
      <c r="W5" s="431"/>
      <c r="X5" s="507"/>
      <c r="Y5" s="507"/>
      <c r="Z5" s="507"/>
      <c r="AA5" s="507"/>
      <c r="AB5" s="508"/>
      <c r="AC5" s="508"/>
      <c r="AD5" s="508"/>
      <c r="AE5" s="508"/>
      <c r="AF5" s="508"/>
      <c r="AG5" s="508"/>
      <c r="AH5" s="507"/>
      <c r="AI5" s="507"/>
      <c r="AJ5" s="507"/>
      <c r="AK5" s="507"/>
      <c r="AL5" s="507"/>
      <c r="AM5" s="206"/>
      <c r="AQ5" s="431"/>
      <c r="AS5" s="431"/>
      <c r="AT5" s="607"/>
      <c r="AU5" s="431"/>
      <c r="AV5" s="629"/>
      <c r="AW5" s="432"/>
      <c r="AX5" s="432"/>
      <c r="AY5" s="432"/>
      <c r="AZ5" s="432"/>
      <c r="BA5" s="432"/>
      <c r="BB5" s="432"/>
      <c r="BC5" s="432"/>
    </row>
    <row r="6" spans="1:55" ht="12" customHeight="1">
      <c r="A6" s="5"/>
      <c r="B6" s="5"/>
      <c r="C6" s="5"/>
      <c r="D6" s="5"/>
      <c r="E6" s="5"/>
      <c r="F6" s="5"/>
      <c r="G6" s="5"/>
      <c r="H6" s="6"/>
      <c r="I6" s="7"/>
      <c r="J6" s="6"/>
      <c r="K6" s="6"/>
      <c r="L6" s="207"/>
      <c r="M6" s="207"/>
      <c r="N6" s="207"/>
      <c r="O6" s="207"/>
      <c r="P6" s="207"/>
      <c r="Q6" s="207"/>
      <c r="R6" s="433"/>
      <c r="S6" s="433"/>
      <c r="T6" s="433"/>
      <c r="U6" s="433"/>
      <c r="V6" s="433"/>
      <c r="W6" s="433"/>
      <c r="X6" s="509"/>
      <c r="Y6" s="509"/>
      <c r="Z6" s="509"/>
      <c r="AA6" s="509"/>
      <c r="AB6" s="510"/>
      <c r="AC6" s="510"/>
      <c r="AD6" s="510"/>
      <c r="AE6" s="510"/>
      <c r="AF6" s="510"/>
      <c r="AG6" s="510"/>
      <c r="AH6" s="509"/>
      <c r="AI6" s="509"/>
      <c r="AJ6" s="509"/>
      <c r="AK6" s="509"/>
      <c r="AL6" s="509"/>
      <c r="AM6" s="207"/>
      <c r="AQ6" s="433"/>
      <c r="AS6" s="433"/>
      <c r="AT6" s="609"/>
      <c r="AU6" s="433"/>
      <c r="AV6" s="626"/>
      <c r="AW6" s="432"/>
      <c r="AX6" s="432"/>
      <c r="AY6" s="432"/>
      <c r="AZ6" s="432"/>
      <c r="BA6" s="432"/>
      <c r="BB6" s="432"/>
      <c r="BC6" s="432"/>
    </row>
    <row r="7" spans="1:55" ht="12" customHeight="1">
      <c r="A7" s="86"/>
      <c r="B7" s="15"/>
      <c r="C7" s="15"/>
      <c r="D7" s="15"/>
      <c r="E7" s="15"/>
      <c r="F7" s="15"/>
      <c r="G7" s="15"/>
      <c r="H7" s="16"/>
      <c r="I7" s="17"/>
      <c r="J7" s="18"/>
      <c r="K7" s="258"/>
      <c r="L7" s="311" t="s">
        <v>789</v>
      </c>
      <c r="M7" s="311" t="s">
        <v>789</v>
      </c>
      <c r="N7" s="333" t="s">
        <v>813</v>
      </c>
      <c r="O7" s="333" t="s">
        <v>813</v>
      </c>
      <c r="P7" s="288" t="s">
        <v>796</v>
      </c>
      <c r="Q7" s="288" t="s">
        <v>822</v>
      </c>
      <c r="R7" s="439" t="s">
        <v>827</v>
      </c>
      <c r="S7" s="288" t="s">
        <v>829</v>
      </c>
      <c r="T7" s="288"/>
      <c r="U7" s="288"/>
      <c r="V7" s="465" t="s">
        <v>850</v>
      </c>
      <c r="W7" s="465" t="s">
        <v>853</v>
      </c>
      <c r="X7" s="511" t="s">
        <v>854</v>
      </c>
      <c r="Y7" s="511" t="s">
        <v>854</v>
      </c>
      <c r="Z7" s="511" t="s">
        <v>854</v>
      </c>
      <c r="AA7" s="511" t="s">
        <v>854</v>
      </c>
      <c r="AB7" s="511" t="s">
        <v>854</v>
      </c>
      <c r="AC7" s="511" t="s">
        <v>854</v>
      </c>
      <c r="AD7" s="511" t="s">
        <v>854</v>
      </c>
      <c r="AE7" s="511" t="s">
        <v>854</v>
      </c>
      <c r="AF7" s="511" t="s">
        <v>854</v>
      </c>
      <c r="AG7" s="511" t="s">
        <v>854</v>
      </c>
      <c r="AH7" s="511" t="s">
        <v>854</v>
      </c>
      <c r="AI7" s="511" t="s">
        <v>854</v>
      </c>
      <c r="AJ7" s="511"/>
      <c r="AK7" s="511"/>
      <c r="AL7" s="511"/>
      <c r="AM7" s="288"/>
      <c r="AQ7" s="439" t="s">
        <v>783</v>
      </c>
      <c r="AS7" s="439" t="s">
        <v>872</v>
      </c>
      <c r="AT7" s="656">
        <v>2025</v>
      </c>
      <c r="AU7" s="465">
        <v>2025</v>
      </c>
      <c r="AV7" s="630" t="s">
        <v>854</v>
      </c>
      <c r="AW7" s="630" t="s">
        <v>883</v>
      </c>
      <c r="AX7" s="654" t="s">
        <v>885</v>
      </c>
      <c r="AY7" s="654" t="s">
        <v>885</v>
      </c>
      <c r="AZ7" s="654" t="s">
        <v>885</v>
      </c>
      <c r="BA7" s="654" t="s">
        <v>885</v>
      </c>
      <c r="BB7" s="654" t="s">
        <v>885</v>
      </c>
      <c r="BC7" s="654" t="s">
        <v>885</v>
      </c>
    </row>
    <row r="8" spans="1:55" ht="12" customHeight="1">
      <c r="A8" s="270"/>
      <c r="B8" s="271"/>
      <c r="C8" s="271"/>
      <c r="D8" s="271"/>
      <c r="E8" s="271"/>
      <c r="F8" s="271"/>
      <c r="G8" s="271"/>
      <c r="H8" s="272"/>
      <c r="I8" s="3"/>
      <c r="J8" s="2"/>
      <c r="K8" s="273"/>
      <c r="L8" s="312" t="s">
        <v>826</v>
      </c>
      <c r="M8" s="312" t="s">
        <v>797</v>
      </c>
      <c r="N8" s="334" t="s">
        <v>826</v>
      </c>
      <c r="O8" s="334" t="s">
        <v>797</v>
      </c>
      <c r="P8" s="289" t="s">
        <v>797</v>
      </c>
      <c r="Q8" s="289" t="s">
        <v>797</v>
      </c>
      <c r="R8" s="439" t="s">
        <v>872</v>
      </c>
      <c r="S8" s="289" t="s">
        <v>830</v>
      </c>
      <c r="T8" s="289"/>
      <c r="U8" s="289"/>
      <c r="V8" s="466" t="s">
        <v>797</v>
      </c>
      <c r="W8" s="466" t="s">
        <v>797</v>
      </c>
      <c r="X8" s="512"/>
      <c r="Y8" s="512"/>
      <c r="Z8" s="512"/>
      <c r="AA8" s="512"/>
      <c r="AB8" s="513"/>
      <c r="AC8" s="513"/>
      <c r="AD8" s="513"/>
      <c r="AE8" s="513"/>
      <c r="AF8" s="513"/>
      <c r="AG8" s="513"/>
      <c r="AH8" s="512"/>
      <c r="AI8" s="512"/>
      <c r="AJ8" s="512"/>
      <c r="AK8" s="512"/>
      <c r="AL8" s="512"/>
      <c r="AM8" s="289"/>
      <c r="AQ8" s="439" t="s">
        <v>872</v>
      </c>
      <c r="AS8" s="439" t="s">
        <v>873</v>
      </c>
      <c r="AT8" s="611" t="s">
        <v>629</v>
      </c>
      <c r="AU8" s="466" t="s">
        <v>882</v>
      </c>
      <c r="AV8" s="631"/>
      <c r="AW8" s="631"/>
      <c r="AX8" s="654" t="s">
        <v>855</v>
      </c>
      <c r="AY8" s="654" t="s">
        <v>884</v>
      </c>
      <c r="AZ8" s="654" t="s">
        <v>856</v>
      </c>
      <c r="BA8" s="654" t="s">
        <v>781</v>
      </c>
      <c r="BB8" s="654" t="s">
        <v>741</v>
      </c>
      <c r="BC8" s="654" t="s">
        <v>741</v>
      </c>
    </row>
    <row r="9" spans="1:55" ht="12" customHeight="1">
      <c r="A9" s="20"/>
      <c r="B9" s="20"/>
      <c r="C9" s="20"/>
      <c r="D9" s="20"/>
      <c r="E9" s="20"/>
      <c r="F9" s="20"/>
      <c r="G9" s="20"/>
      <c r="H9" s="16"/>
      <c r="I9" s="17"/>
      <c r="J9" s="18"/>
      <c r="K9" s="19"/>
      <c r="L9" s="313">
        <v>1</v>
      </c>
      <c r="M9" s="313">
        <v>2</v>
      </c>
      <c r="N9" s="335">
        <v>3</v>
      </c>
      <c r="O9" s="335">
        <v>4</v>
      </c>
      <c r="P9" s="290">
        <v>5</v>
      </c>
      <c r="Q9" s="290">
        <v>6</v>
      </c>
      <c r="R9" s="439">
        <v>1</v>
      </c>
      <c r="S9" s="290">
        <v>5</v>
      </c>
      <c r="T9" s="290"/>
      <c r="U9" s="290"/>
      <c r="V9" s="467">
        <v>2</v>
      </c>
      <c r="W9" s="467">
        <v>3</v>
      </c>
      <c r="X9" s="514">
        <v>5</v>
      </c>
      <c r="Y9" s="514"/>
      <c r="Z9" s="514"/>
      <c r="AA9" s="514"/>
      <c r="AB9" s="515">
        <v>7</v>
      </c>
      <c r="AC9" s="515">
        <v>8</v>
      </c>
      <c r="AD9" s="515">
        <v>9</v>
      </c>
      <c r="AE9" s="515">
        <v>10</v>
      </c>
      <c r="AF9" s="515">
        <v>11</v>
      </c>
      <c r="AG9" s="515">
        <v>12</v>
      </c>
      <c r="AH9" s="514"/>
      <c r="AI9" s="514">
        <v>5</v>
      </c>
      <c r="AJ9" s="514">
        <v>7</v>
      </c>
      <c r="AK9" s="514">
        <v>8</v>
      </c>
      <c r="AL9" s="514">
        <v>9</v>
      </c>
      <c r="AM9" s="290"/>
      <c r="AN9" s="606"/>
      <c r="AO9" s="606" t="s">
        <v>857</v>
      </c>
      <c r="AP9" s="606"/>
      <c r="AQ9" s="439">
        <v>2</v>
      </c>
      <c r="AR9" s="606"/>
      <c r="AS9" s="439"/>
      <c r="AT9" s="612">
        <v>3</v>
      </c>
      <c r="AU9" s="467">
        <v>4</v>
      </c>
      <c r="AV9" s="632">
        <v>5</v>
      </c>
      <c r="AW9" s="632">
        <v>6</v>
      </c>
      <c r="AX9" s="655">
        <v>7</v>
      </c>
      <c r="AY9" s="655">
        <v>8</v>
      </c>
      <c r="AZ9" s="655">
        <v>9</v>
      </c>
      <c r="BA9" s="655">
        <v>10</v>
      </c>
      <c r="BB9" s="655">
        <v>11</v>
      </c>
      <c r="BC9" s="655">
        <v>12</v>
      </c>
    </row>
    <row r="10" spans="1:55" ht="12" customHeight="1">
      <c r="A10" s="20"/>
      <c r="B10" s="20"/>
      <c r="C10" s="20"/>
      <c r="D10" s="20"/>
      <c r="E10" s="20"/>
      <c r="F10" s="20"/>
      <c r="G10" s="20"/>
      <c r="H10" s="21" t="s">
        <v>2</v>
      </c>
      <c r="I10" s="22"/>
      <c r="J10" s="21"/>
      <c r="K10" s="21"/>
      <c r="L10" s="314">
        <f t="shared" ref="L10:X10" si="0">L43</f>
        <v>26862820</v>
      </c>
      <c r="M10" s="314">
        <f t="shared" si="0"/>
        <v>3565309.0405468177</v>
      </c>
      <c r="N10" s="336">
        <f t="shared" si="0"/>
        <v>28595356</v>
      </c>
      <c r="O10" s="336">
        <f t="shared" si="0"/>
        <v>3795255.9559360268</v>
      </c>
      <c r="P10" s="291">
        <f t="shared" si="0"/>
        <v>5029020</v>
      </c>
      <c r="Q10" s="291">
        <f t="shared" si="0"/>
        <v>4231370</v>
      </c>
      <c r="R10" s="440">
        <f t="shared" si="0"/>
        <v>4231370</v>
      </c>
      <c r="S10" s="291">
        <f t="shared" si="0"/>
        <v>2806152.65</v>
      </c>
      <c r="T10" s="291">
        <f t="shared" si="0"/>
        <v>1547844.5100000002</v>
      </c>
      <c r="U10" s="291">
        <f t="shared" si="0"/>
        <v>1547844.5100000002</v>
      </c>
      <c r="V10" s="468">
        <f t="shared" si="0"/>
        <v>5743100</v>
      </c>
      <c r="W10" s="468">
        <f t="shared" si="0"/>
        <v>5476000</v>
      </c>
      <c r="X10" s="516">
        <f t="shared" si="0"/>
        <v>6922720</v>
      </c>
      <c r="Y10" s="516"/>
      <c r="Z10" s="516"/>
      <c r="AA10" s="516"/>
      <c r="AB10" s="517">
        <f>AB43</f>
        <v>4123970</v>
      </c>
      <c r="AC10" s="517">
        <f>AC43</f>
        <v>4123970</v>
      </c>
      <c r="AD10" s="517">
        <f t="shared" ref="AD10:AD15" si="1">O10/M10*100</f>
        <v>106.4495647578966</v>
      </c>
      <c r="AE10" s="517">
        <f>P10/O10*100</f>
        <v>132.50805896593843</v>
      </c>
      <c r="AF10" s="517">
        <f>Q10/P10*100</f>
        <v>84.139056913673045</v>
      </c>
      <c r="AG10" s="517">
        <f t="shared" ref="AG10:AG15" si="2">AB10/Q10*100</f>
        <v>97.461814967729126</v>
      </c>
      <c r="AH10" s="516"/>
      <c r="AI10" s="516">
        <v>6922720</v>
      </c>
      <c r="AJ10" s="516">
        <f t="shared" ref="AJ10:AJ16" si="3">W10/R10*100</f>
        <v>129.41435043496548</v>
      </c>
      <c r="AK10" s="516">
        <f t="shared" ref="AK10:AK16" si="4">AT10/W10*100</f>
        <v>124.00876552227903</v>
      </c>
      <c r="AL10" s="516">
        <f t="shared" ref="AL10:AL15" si="5">X10/AT10*100</f>
        <v>101.94382922576692</v>
      </c>
      <c r="AM10" s="291"/>
      <c r="AN10" t="b">
        <f t="shared" ref="AN10:AN29" si="6">__xlfn.ISFORMULA(N10)</f>
        <v>1</v>
      </c>
      <c r="AO10" t="b">
        <f t="shared" ref="AO10:AO73" si="7">__xlfn.ISFORMULA(AT10)</f>
        <v>1</v>
      </c>
      <c r="AP10" s="440">
        <f>AP43</f>
        <v>4583842.1099999994</v>
      </c>
      <c r="AQ10" s="440">
        <v>4785432.96</v>
      </c>
      <c r="AR10" s="440">
        <f>AR43</f>
        <v>4583842.1099999994</v>
      </c>
      <c r="AS10" s="440">
        <f>AS43</f>
        <v>1908221.54</v>
      </c>
      <c r="AT10" s="612">
        <f>AT43</f>
        <v>6790720</v>
      </c>
      <c r="AU10" s="468">
        <f>AU43</f>
        <v>7069030</v>
      </c>
      <c r="AV10" s="633">
        <v>6922720</v>
      </c>
      <c r="AW10" s="633">
        <v>6922720</v>
      </c>
      <c r="AX10" s="655">
        <f>IF(AND(ISNUMBER(AT10), ISNUMBER(R10), R10&lt;&gt;0), (AT10/R10)*100, "")</f>
        <v>160.48513838307687</v>
      </c>
      <c r="AY10" s="655">
        <f>IF(AND(ISNUMBER(AT10), ISNUMBER(AQ10), AQ10&lt;&gt;0), (AT10/AQ10)*100, "")</f>
        <v>141.90398354258838</v>
      </c>
      <c r="AZ10" s="655">
        <f>IF(AND(ISNUMBER(AU10), ISNUMBER(AT10), AT10&lt;&gt;0), (AU10/AT10)*100, "")</f>
        <v>104.09838721078177</v>
      </c>
      <c r="BA10" s="655">
        <f>IF(AND(ISNUMBER(AU10), ISNUMBER(AQ10), AQ10&lt;&gt;0), (AU10/AQ10)*100, "")</f>
        <v>147.71975825568771</v>
      </c>
      <c r="BB10" s="655">
        <f>IF(AND(ISNUMBER(AV10), ISNUMBER(AU10), AU10&lt;&gt;0), (AV10/AU10)*100, "")</f>
        <v>97.930267660485242</v>
      </c>
      <c r="BC10" s="655">
        <f>IF(AND(ISNUMBER(AW10), ISNUMBER(AV10), AV10&lt;&gt;0), (AW10/AV10)*100, "")</f>
        <v>100</v>
      </c>
    </row>
    <row r="11" spans="1:55" ht="12" customHeight="1">
      <c r="A11" s="20"/>
      <c r="B11" s="20"/>
      <c r="C11" s="20"/>
      <c r="D11" s="20"/>
      <c r="E11" s="20"/>
      <c r="F11" s="20"/>
      <c r="G11" s="20"/>
      <c r="H11" s="21" t="s">
        <v>3</v>
      </c>
      <c r="I11" s="22"/>
      <c r="J11" s="21"/>
      <c r="K11" s="21"/>
      <c r="L11" s="314">
        <f t="shared" ref="L11:X11" si="8">L170</f>
        <v>57946</v>
      </c>
      <c r="M11" s="314">
        <f t="shared" si="8"/>
        <v>7690.7558563939201</v>
      </c>
      <c r="N11" s="336">
        <f t="shared" si="8"/>
        <v>2919</v>
      </c>
      <c r="O11" s="336">
        <f t="shared" si="8"/>
        <v>387.41787776229341</v>
      </c>
      <c r="P11" s="291">
        <f t="shared" si="8"/>
        <v>420530</v>
      </c>
      <c r="Q11" s="291">
        <f t="shared" si="8"/>
        <v>327930</v>
      </c>
      <c r="R11" s="440">
        <f t="shared" si="8"/>
        <v>327930</v>
      </c>
      <c r="S11" s="291">
        <f t="shared" si="8"/>
        <v>0</v>
      </c>
      <c r="T11" s="291">
        <f t="shared" si="8"/>
        <v>0</v>
      </c>
      <c r="U11" s="291" t="b">
        <f t="shared" si="8"/>
        <v>0</v>
      </c>
      <c r="V11" s="468">
        <f t="shared" si="8"/>
        <v>200530</v>
      </c>
      <c r="W11" s="468">
        <f t="shared" si="8"/>
        <v>5130</v>
      </c>
      <c r="X11" s="516">
        <f t="shared" si="8"/>
        <v>530</v>
      </c>
      <c r="Y11" s="516"/>
      <c r="Z11" s="516"/>
      <c r="AA11" s="516"/>
      <c r="AB11" s="517">
        <f>AB170</f>
        <v>100530</v>
      </c>
      <c r="AC11" s="517">
        <f>AC170</f>
        <v>100530</v>
      </c>
      <c r="AD11" s="517">
        <f t="shared" si="1"/>
        <v>5.0374486590964</v>
      </c>
      <c r="AE11" s="517"/>
      <c r="AF11" s="517">
        <f>Q11/P11*100</f>
        <v>77.980167883385249</v>
      </c>
      <c r="AG11" s="517">
        <f t="shared" si="2"/>
        <v>30.655932668557313</v>
      </c>
      <c r="AH11" s="516"/>
      <c r="AI11" s="516">
        <v>530</v>
      </c>
      <c r="AJ11" s="516">
        <f t="shared" si="3"/>
        <v>1.5643582471868995</v>
      </c>
      <c r="AK11" s="516">
        <f t="shared" si="4"/>
        <v>3908.966861598441</v>
      </c>
      <c r="AL11" s="516">
        <f t="shared" si="5"/>
        <v>0.26429960604398345</v>
      </c>
      <c r="AM11" s="291"/>
      <c r="AN11" t="b">
        <f t="shared" si="6"/>
        <v>1</v>
      </c>
      <c r="AO11" t="b">
        <f t="shared" si="7"/>
        <v>1</v>
      </c>
      <c r="AP11" s="440">
        <f>AP170</f>
        <v>4971.54</v>
      </c>
      <c r="AQ11" s="440">
        <v>4971.54</v>
      </c>
      <c r="AR11" s="440">
        <f>AR170</f>
        <v>4971.54</v>
      </c>
      <c r="AS11" s="440">
        <f>AS170</f>
        <v>0</v>
      </c>
      <c r="AT11" s="612">
        <f>AT170</f>
        <v>200530</v>
      </c>
      <c r="AU11" s="468">
        <f>AU170</f>
        <v>530</v>
      </c>
      <c r="AV11" s="633">
        <v>530</v>
      </c>
      <c r="AW11" s="633">
        <v>530</v>
      </c>
      <c r="AX11" s="655">
        <f t="shared" ref="AX11:AX74" si="9">IF(AND(ISNUMBER(AT11), ISNUMBER(R11), R11&lt;&gt;0), (AT11/R11)*100, "")</f>
        <v>61.150245479218121</v>
      </c>
      <c r="AY11" s="655">
        <f t="shared" ref="AY11:AY74" si="10">IF(AND(ISNUMBER(AT11), ISNUMBER(AQ11), AQ11&lt;&gt;0), (AT11/AQ11)*100, "")</f>
        <v>4033.559017930058</v>
      </c>
      <c r="AZ11" s="655">
        <f t="shared" ref="AZ11:AZ74" si="11">IF(AND(ISNUMBER(AU11), ISNUMBER(AT11), AT11&lt;&gt;0), (AU11/AT11)*100, "")</f>
        <v>0.26429960604398345</v>
      </c>
      <c r="BA11" s="655">
        <f t="shared" ref="BA11:BA74" si="12">IF(AND(ISNUMBER(AU11), ISNUMBER(AQ11), AQ11&lt;&gt;0), (AU11/AQ11)*100, "")</f>
        <v>10.660680593940711</v>
      </c>
      <c r="BB11" s="655">
        <f t="shared" ref="BB11:BC74" si="13">IF(AND(ISNUMBER(AV11), ISNUMBER(AU11), AU11&lt;&gt;0), (AV11/AU11)*100, "")</f>
        <v>100</v>
      </c>
      <c r="BC11" s="655">
        <f t="shared" si="13"/>
        <v>100</v>
      </c>
    </row>
    <row r="12" spans="1:55" ht="12" customHeight="1">
      <c r="A12" s="20"/>
      <c r="B12" s="20"/>
      <c r="C12" s="20"/>
      <c r="D12" s="20"/>
      <c r="E12" s="20"/>
      <c r="F12" s="20"/>
      <c r="G12" s="20"/>
      <c r="H12" s="21" t="s">
        <v>4</v>
      </c>
      <c r="I12" s="22"/>
      <c r="J12" s="11"/>
      <c r="K12" s="14"/>
      <c r="L12" s="314">
        <f t="shared" ref="L12:AC12" si="14">L10+L11</f>
        <v>26920766</v>
      </c>
      <c r="M12" s="314">
        <f t="shared" si="14"/>
        <v>3572999.7964032115</v>
      </c>
      <c r="N12" s="336">
        <f t="shared" si="14"/>
        <v>28598275</v>
      </c>
      <c r="O12" s="336">
        <f t="shared" si="14"/>
        <v>3795643.3738137889</v>
      </c>
      <c r="P12" s="291">
        <f t="shared" si="14"/>
        <v>5449550</v>
      </c>
      <c r="Q12" s="291">
        <f t="shared" si="14"/>
        <v>4559300</v>
      </c>
      <c r="R12" s="440">
        <f t="shared" si="14"/>
        <v>4559300</v>
      </c>
      <c r="S12" s="291">
        <f t="shared" ref="S12:X12" si="15">S10+S11</f>
        <v>2806152.65</v>
      </c>
      <c r="T12" s="291">
        <f t="shared" si="15"/>
        <v>1547844.5100000002</v>
      </c>
      <c r="U12" s="291">
        <f t="shared" si="15"/>
        <v>1547844.5100000002</v>
      </c>
      <c r="V12" s="468">
        <f t="shared" si="15"/>
        <v>5943630</v>
      </c>
      <c r="W12" s="468">
        <f t="shared" si="15"/>
        <v>5481130</v>
      </c>
      <c r="X12" s="516">
        <f t="shared" si="15"/>
        <v>6923250</v>
      </c>
      <c r="Y12" s="516"/>
      <c r="Z12" s="516"/>
      <c r="AA12" s="516"/>
      <c r="AB12" s="517">
        <f t="shared" si="14"/>
        <v>4224500</v>
      </c>
      <c r="AC12" s="517">
        <f t="shared" si="14"/>
        <v>4224500</v>
      </c>
      <c r="AD12" s="517">
        <f t="shared" si="1"/>
        <v>106.23127876006888</v>
      </c>
      <c r="AE12" s="517">
        <f>P12/O12*100</f>
        <v>143.57381511647122</v>
      </c>
      <c r="AF12" s="517">
        <f>Q12/P12*100</f>
        <v>83.66378875319981</v>
      </c>
      <c r="AG12" s="517">
        <f t="shared" si="2"/>
        <v>92.65676748623693</v>
      </c>
      <c r="AH12" s="516"/>
      <c r="AI12" s="516">
        <v>6923250</v>
      </c>
      <c r="AJ12" s="516">
        <f t="shared" si="3"/>
        <v>120.21867391924199</v>
      </c>
      <c r="AK12" s="516">
        <f t="shared" si="4"/>
        <v>127.55125311751409</v>
      </c>
      <c r="AL12" s="516">
        <f t="shared" si="5"/>
        <v>99.027355623100306</v>
      </c>
      <c r="AM12" s="291"/>
      <c r="AN12" t="b">
        <f t="shared" si="6"/>
        <v>1</v>
      </c>
      <c r="AO12" t="b">
        <f t="shared" si="7"/>
        <v>1</v>
      </c>
      <c r="AP12" s="440">
        <f>AP10+AP11</f>
        <v>4588813.6499999994</v>
      </c>
      <c r="AQ12" s="440">
        <v>4790404.5</v>
      </c>
      <c r="AR12" s="440">
        <f>AR10+AR11</f>
        <v>4588813.6499999994</v>
      </c>
      <c r="AS12" s="440">
        <f>AS10+AS11</f>
        <v>1908221.54</v>
      </c>
      <c r="AT12" s="612">
        <f>AT10+AT11</f>
        <v>6991250</v>
      </c>
      <c r="AU12" s="468">
        <f>AU10+AU11</f>
        <v>7069560</v>
      </c>
      <c r="AV12" s="633">
        <v>6923250</v>
      </c>
      <c r="AW12" s="633">
        <v>6923250</v>
      </c>
      <c r="AX12" s="655">
        <f t="shared" si="9"/>
        <v>153.34042506525125</v>
      </c>
      <c r="AY12" s="655">
        <f t="shared" si="10"/>
        <v>145.94279042615295</v>
      </c>
      <c r="AZ12" s="655">
        <f t="shared" si="11"/>
        <v>101.12011442875021</v>
      </c>
      <c r="BA12" s="655">
        <f t="shared" si="12"/>
        <v>147.577516679437</v>
      </c>
      <c r="BB12" s="655">
        <f t="shared" si="13"/>
        <v>97.930422826880317</v>
      </c>
      <c r="BC12" s="655">
        <f t="shared" si="13"/>
        <v>100</v>
      </c>
    </row>
    <row r="13" spans="1:55" ht="12" customHeight="1">
      <c r="A13" s="20"/>
      <c r="B13" s="20"/>
      <c r="C13" s="20"/>
      <c r="D13" s="20"/>
      <c r="E13" s="20"/>
      <c r="F13" s="20"/>
      <c r="G13" s="20"/>
      <c r="H13" s="21" t="s">
        <v>5</v>
      </c>
      <c r="I13" s="22"/>
      <c r="J13" s="21"/>
      <c r="K13" s="21"/>
      <c r="L13" s="314">
        <f t="shared" ref="L13:X13" si="16">L197</f>
        <v>20517207</v>
      </c>
      <c r="M13" s="314">
        <f t="shared" si="16"/>
        <v>2723101.3338642246</v>
      </c>
      <c r="N13" s="336">
        <f t="shared" si="16"/>
        <v>22082242</v>
      </c>
      <c r="O13" s="336">
        <f t="shared" si="16"/>
        <v>2930817.1743314085</v>
      </c>
      <c r="P13" s="291">
        <f t="shared" si="16"/>
        <v>3636679.5089256088</v>
      </c>
      <c r="Q13" s="291">
        <f t="shared" si="16"/>
        <v>3883760</v>
      </c>
      <c r="R13" s="440">
        <f t="shared" si="16"/>
        <v>3584909</v>
      </c>
      <c r="S13" s="291" t="e">
        <f t="shared" si="16"/>
        <v>#REF!</v>
      </c>
      <c r="T13" s="291">
        <f t="shared" si="16"/>
        <v>0</v>
      </c>
      <c r="U13" s="291" t="b">
        <f t="shared" si="16"/>
        <v>1</v>
      </c>
      <c r="V13" s="468">
        <f t="shared" si="16"/>
        <v>4133810</v>
      </c>
      <c r="W13" s="468">
        <f t="shared" si="16"/>
        <v>4580459.93</v>
      </c>
      <c r="X13" s="516">
        <f t="shared" si="16"/>
        <v>6011750</v>
      </c>
      <c r="Y13" s="516"/>
      <c r="Z13" s="516"/>
      <c r="AA13" s="516"/>
      <c r="AB13" s="517">
        <f>AB197</f>
        <v>3729400</v>
      </c>
      <c r="AC13" s="517">
        <f>AC197</f>
        <v>3729400</v>
      </c>
      <c r="AD13" s="517">
        <f t="shared" si="1"/>
        <v>107.62791446223649</v>
      </c>
      <c r="AE13" s="517">
        <f>P13/O13*100</f>
        <v>124.08414761508367</v>
      </c>
      <c r="AF13" s="517">
        <f>Q13/P13*100</f>
        <v>106.79412333333124</v>
      </c>
      <c r="AG13" s="517">
        <f t="shared" si="2"/>
        <v>96.025501060827651</v>
      </c>
      <c r="AH13" s="516"/>
      <c r="AI13" s="516">
        <v>6011750</v>
      </c>
      <c r="AJ13" s="516">
        <f t="shared" si="3"/>
        <v>127.77060533475186</v>
      </c>
      <c r="AK13" s="516">
        <f t="shared" si="4"/>
        <v>128.51875335584478</v>
      </c>
      <c r="AL13" s="516">
        <f t="shared" si="5"/>
        <v>102.12341274897014</v>
      </c>
      <c r="AM13" s="291"/>
      <c r="AN13" t="b">
        <f t="shared" si="6"/>
        <v>1</v>
      </c>
      <c r="AO13" t="b">
        <f t="shared" si="7"/>
        <v>1</v>
      </c>
      <c r="AP13" s="440">
        <f>AP197</f>
        <v>3107119.8400000003</v>
      </c>
      <c r="AQ13" s="440">
        <v>4098086.93</v>
      </c>
      <c r="AR13" s="440">
        <f>AR197</f>
        <v>3166555.8400000003</v>
      </c>
      <c r="AS13" s="440">
        <f>AS197</f>
        <v>1588273.94</v>
      </c>
      <c r="AT13" s="612">
        <f>AT197</f>
        <v>5886750</v>
      </c>
      <c r="AU13" s="468">
        <f>AU197</f>
        <v>5104671</v>
      </c>
      <c r="AV13" s="633">
        <v>6011750</v>
      </c>
      <c r="AW13" s="633">
        <v>6011750</v>
      </c>
      <c r="AX13" s="655">
        <f t="shared" si="9"/>
        <v>164.20918913143962</v>
      </c>
      <c r="AY13" s="655">
        <f t="shared" si="10"/>
        <v>143.64629400382191</v>
      </c>
      <c r="AZ13" s="655">
        <f t="shared" si="11"/>
        <v>86.714587845585427</v>
      </c>
      <c r="BA13" s="655">
        <f t="shared" si="12"/>
        <v>124.56229180087206</v>
      </c>
      <c r="BB13" s="655">
        <f t="shared" si="13"/>
        <v>117.76958789312768</v>
      </c>
      <c r="BC13" s="655">
        <f t="shared" si="13"/>
        <v>100</v>
      </c>
    </row>
    <row r="14" spans="1:55" ht="12" customHeight="1">
      <c r="A14" s="20"/>
      <c r="B14" s="20"/>
      <c r="C14" s="20"/>
      <c r="D14" s="20"/>
      <c r="E14" s="20"/>
      <c r="F14" s="20"/>
      <c r="G14" s="20"/>
      <c r="H14" s="21" t="s">
        <v>6</v>
      </c>
      <c r="I14" s="22"/>
      <c r="J14" s="21"/>
      <c r="K14" s="21"/>
      <c r="L14" s="314">
        <f t="shared" ref="L14:X14" si="17">L304</f>
        <v>4478424</v>
      </c>
      <c r="M14" s="314">
        <f t="shared" si="17"/>
        <v>594389.01055146323</v>
      </c>
      <c r="N14" s="336">
        <f t="shared" si="17"/>
        <v>2004477</v>
      </c>
      <c r="O14" s="336">
        <f t="shared" si="17"/>
        <v>266039.81684252433</v>
      </c>
      <c r="P14" s="291">
        <f t="shared" si="17"/>
        <v>1536700</v>
      </c>
      <c r="Q14" s="291">
        <f t="shared" si="17"/>
        <v>662060</v>
      </c>
      <c r="R14" s="440">
        <f t="shared" si="17"/>
        <v>728804</v>
      </c>
      <c r="S14" s="291">
        <f t="shared" si="17"/>
        <v>573598.02999999991</v>
      </c>
      <c r="T14" s="291">
        <f t="shared" si="17"/>
        <v>0</v>
      </c>
      <c r="U14" s="291" t="b">
        <f t="shared" si="17"/>
        <v>1</v>
      </c>
      <c r="V14" s="468">
        <v>1809820</v>
      </c>
      <c r="W14" s="468">
        <f t="shared" si="17"/>
        <v>730000</v>
      </c>
      <c r="X14" s="516">
        <f t="shared" si="17"/>
        <v>911500.3</v>
      </c>
      <c r="Y14" s="516"/>
      <c r="Z14" s="516"/>
      <c r="AA14" s="516"/>
      <c r="AB14" s="517">
        <f>AB304</f>
        <v>495100</v>
      </c>
      <c r="AC14" s="517">
        <f>AC304</f>
        <v>495100</v>
      </c>
      <c r="AD14" s="517">
        <f t="shared" si="1"/>
        <v>44.75853559198503</v>
      </c>
      <c r="AE14" s="517">
        <f>P14/O14*100</f>
        <v>577.62030444849211</v>
      </c>
      <c r="AF14" s="517">
        <f>Q14/P14*100</f>
        <v>43.083230298692001</v>
      </c>
      <c r="AG14" s="517">
        <f t="shared" si="2"/>
        <v>74.781741836087363</v>
      </c>
      <c r="AH14" s="516"/>
      <c r="AI14" s="516">
        <v>911500.3</v>
      </c>
      <c r="AJ14" s="516">
        <f t="shared" si="3"/>
        <v>100.16410447802153</v>
      </c>
      <c r="AK14" s="516">
        <f t="shared" si="4"/>
        <v>151.30136986301369</v>
      </c>
      <c r="AL14" s="516">
        <f t="shared" si="5"/>
        <v>82.526057039384341</v>
      </c>
      <c r="AM14" s="291"/>
      <c r="AN14" t="b">
        <f t="shared" si="6"/>
        <v>1</v>
      </c>
      <c r="AO14" t="b">
        <f t="shared" si="7"/>
        <v>1</v>
      </c>
      <c r="AP14" s="440">
        <f>AP304</f>
        <v>608216.67999999993</v>
      </c>
      <c r="AQ14" s="440">
        <v>648786.98</v>
      </c>
      <c r="AR14" s="440">
        <f>AR304</f>
        <v>608216.67999999993</v>
      </c>
      <c r="AS14" s="440">
        <f>AS304</f>
        <v>85646.73000000001</v>
      </c>
      <c r="AT14" s="612">
        <f>AT304</f>
        <v>1104500</v>
      </c>
      <c r="AU14" s="468">
        <f>AU304</f>
        <v>1837750</v>
      </c>
      <c r="AV14" s="633">
        <v>911500.3</v>
      </c>
      <c r="AW14" s="633">
        <v>911500.3</v>
      </c>
      <c r="AX14" s="655">
        <f t="shared" si="9"/>
        <v>151.54966218626683</v>
      </c>
      <c r="AY14" s="655">
        <f t="shared" si="10"/>
        <v>170.24077764322584</v>
      </c>
      <c r="AZ14" s="655">
        <f t="shared" si="11"/>
        <v>166.38750565866908</v>
      </c>
      <c r="BA14" s="655">
        <f t="shared" si="12"/>
        <v>283.25938353448464</v>
      </c>
      <c r="BB14" s="655">
        <f t="shared" si="13"/>
        <v>49.598710379540201</v>
      </c>
      <c r="BC14" s="655">
        <f t="shared" si="13"/>
        <v>100</v>
      </c>
    </row>
    <row r="15" spans="1:55" ht="12" customHeight="1">
      <c r="A15" s="20"/>
      <c r="B15" s="20"/>
      <c r="C15" s="20"/>
      <c r="D15" s="20"/>
      <c r="E15" s="20"/>
      <c r="F15" s="20"/>
      <c r="G15" s="20"/>
      <c r="H15" s="21" t="s">
        <v>7</v>
      </c>
      <c r="I15" s="22"/>
      <c r="J15" s="21"/>
      <c r="K15" s="21"/>
      <c r="L15" s="314">
        <f t="shared" ref="L15:AC15" si="18">L13+L14</f>
        <v>24995631</v>
      </c>
      <c r="M15" s="314">
        <f t="shared" si="18"/>
        <v>3317490.344415688</v>
      </c>
      <c r="N15" s="336">
        <f t="shared" si="18"/>
        <v>24086719</v>
      </c>
      <c r="O15" s="336">
        <f t="shared" si="18"/>
        <v>3196856.9911739328</v>
      </c>
      <c r="P15" s="291">
        <f t="shared" si="18"/>
        <v>5173379.5089256093</v>
      </c>
      <c r="Q15" s="291">
        <f t="shared" si="18"/>
        <v>4545820</v>
      </c>
      <c r="R15" s="440">
        <f t="shared" si="18"/>
        <v>4313713</v>
      </c>
      <c r="S15" s="291" t="e">
        <f t="shared" ref="S15:X15" si="19">S13+S14</f>
        <v>#REF!</v>
      </c>
      <c r="T15" s="291">
        <f t="shared" si="19"/>
        <v>0</v>
      </c>
      <c r="U15" s="291">
        <f t="shared" si="19"/>
        <v>2</v>
      </c>
      <c r="V15" s="468">
        <f t="shared" si="19"/>
        <v>5943630</v>
      </c>
      <c r="W15" s="468">
        <f t="shared" si="19"/>
        <v>5310459.93</v>
      </c>
      <c r="X15" s="516">
        <f t="shared" si="19"/>
        <v>6923250.2999999998</v>
      </c>
      <c r="Y15" s="516"/>
      <c r="Z15" s="516"/>
      <c r="AA15" s="516"/>
      <c r="AB15" s="517">
        <f t="shared" si="18"/>
        <v>4224500</v>
      </c>
      <c r="AC15" s="517">
        <f t="shared" si="18"/>
        <v>4224500</v>
      </c>
      <c r="AD15" s="517">
        <f t="shared" si="1"/>
        <v>96.363716523099569</v>
      </c>
      <c r="AE15" s="517">
        <f>P15/O15*100</f>
        <v>161.82705461046817</v>
      </c>
      <c r="AF15" s="517">
        <f>Q15/P15*100</f>
        <v>87.869447662927428</v>
      </c>
      <c r="AG15" s="517">
        <f t="shared" si="2"/>
        <v>92.93152830512426</v>
      </c>
      <c r="AH15" s="516"/>
      <c r="AI15" s="516">
        <v>6923250.2999999998</v>
      </c>
      <c r="AJ15" s="516">
        <f t="shared" si="3"/>
        <v>123.10647300828774</v>
      </c>
      <c r="AK15" s="516">
        <f t="shared" si="4"/>
        <v>131.65055554802012</v>
      </c>
      <c r="AL15" s="516">
        <f t="shared" si="5"/>
        <v>99.027359914178433</v>
      </c>
      <c r="AM15" s="291"/>
      <c r="AN15" t="b">
        <f t="shared" si="6"/>
        <v>1</v>
      </c>
      <c r="AO15" t="b">
        <f t="shared" si="7"/>
        <v>1</v>
      </c>
      <c r="AP15" s="440">
        <f>AP13+AP14</f>
        <v>3715336.5200000005</v>
      </c>
      <c r="AQ15" s="440">
        <v>4746873.91</v>
      </c>
      <c r="AR15" s="440">
        <f>AR13+AR14</f>
        <v>3774772.5200000005</v>
      </c>
      <c r="AS15" s="440">
        <f>AS13+AS14</f>
        <v>1673920.67</v>
      </c>
      <c r="AT15" s="612">
        <f>AT13+AT14</f>
        <v>6991250</v>
      </c>
      <c r="AU15" s="468">
        <f>AU13+AU14</f>
        <v>6942421</v>
      </c>
      <c r="AV15" s="633">
        <v>6923250.2999999998</v>
      </c>
      <c r="AW15" s="633">
        <v>6923250.2999999998</v>
      </c>
      <c r="AX15" s="655">
        <f t="shared" si="9"/>
        <v>162.07035563098427</v>
      </c>
      <c r="AY15" s="655">
        <f t="shared" si="10"/>
        <v>147.28113981017879</v>
      </c>
      <c r="AZ15" s="655">
        <f t="shared" si="11"/>
        <v>99.301569819417125</v>
      </c>
      <c r="BA15" s="655">
        <f t="shared" si="12"/>
        <v>146.25248387943805</v>
      </c>
      <c r="BB15" s="655">
        <f t="shared" si="13"/>
        <v>99.723861459856721</v>
      </c>
      <c r="BC15" s="655">
        <f t="shared" si="13"/>
        <v>100</v>
      </c>
    </row>
    <row r="16" spans="1:55" ht="12" customHeight="1">
      <c r="A16" s="20"/>
      <c r="B16" s="20"/>
      <c r="C16" s="20"/>
      <c r="D16" s="20"/>
      <c r="E16" s="20"/>
      <c r="F16" s="20"/>
      <c r="G16" s="20"/>
      <c r="H16" s="21" t="s">
        <v>8</v>
      </c>
      <c r="I16" s="259"/>
      <c r="J16" s="13"/>
      <c r="K16" s="14"/>
      <c r="L16" s="314">
        <f t="shared" ref="L16:AC16" si="20">L12-L15</f>
        <v>1925135</v>
      </c>
      <c r="M16" s="314">
        <f t="shared" si="20"/>
        <v>255509.45198752359</v>
      </c>
      <c r="N16" s="336">
        <f t="shared" si="20"/>
        <v>4511556</v>
      </c>
      <c r="O16" s="336">
        <f t="shared" si="20"/>
        <v>598786.38263985608</v>
      </c>
      <c r="P16" s="291">
        <f t="shared" si="20"/>
        <v>276170.49107439071</v>
      </c>
      <c r="Q16" s="291">
        <f t="shared" si="20"/>
        <v>13480</v>
      </c>
      <c r="R16" s="440">
        <f t="shared" si="20"/>
        <v>245587</v>
      </c>
      <c r="S16" s="291" t="e">
        <f>S12-S15</f>
        <v>#REF!</v>
      </c>
      <c r="T16" s="291">
        <f>T12-T15</f>
        <v>1547844.5100000002</v>
      </c>
      <c r="U16" s="291">
        <f>U12-U15</f>
        <v>1547842.5100000002</v>
      </c>
      <c r="V16" s="468"/>
      <c r="W16" s="468">
        <f>W12-W15</f>
        <v>170670.0700000003</v>
      </c>
      <c r="X16" s="516">
        <f>X12-X15</f>
        <v>-0.29999999981373549</v>
      </c>
      <c r="Y16" s="516"/>
      <c r="Z16" s="516"/>
      <c r="AA16" s="516"/>
      <c r="AB16" s="517">
        <f t="shared" si="20"/>
        <v>0</v>
      </c>
      <c r="AC16" s="517">
        <f t="shared" si="20"/>
        <v>0</v>
      </c>
      <c r="AD16" s="517"/>
      <c r="AE16" s="517"/>
      <c r="AF16" s="517"/>
      <c r="AG16" s="517"/>
      <c r="AH16" s="516"/>
      <c r="AI16" s="516">
        <v>-0.29999999981373549</v>
      </c>
      <c r="AJ16" s="516">
        <f t="shared" si="3"/>
        <v>69.494749314906855</v>
      </c>
      <c r="AK16" s="516">
        <f t="shared" si="4"/>
        <v>0</v>
      </c>
      <c r="AL16" s="516"/>
      <c r="AM16" s="291"/>
      <c r="AN16" t="b">
        <f t="shared" si="6"/>
        <v>1</v>
      </c>
      <c r="AO16" t="b">
        <f t="shared" si="7"/>
        <v>1</v>
      </c>
      <c r="AP16" s="440">
        <f>AP12-AP15</f>
        <v>873477.12999999896</v>
      </c>
      <c r="AQ16" s="440">
        <v>43530.589999999902</v>
      </c>
      <c r="AR16" s="440">
        <f>AR12-AR15</f>
        <v>814041.12999999896</v>
      </c>
      <c r="AS16" s="440">
        <f>AS12-AS15</f>
        <v>234300.87000000011</v>
      </c>
      <c r="AT16" s="612">
        <f>AT12-AT15</f>
        <v>0</v>
      </c>
      <c r="AU16" s="468">
        <f>AU12-AU15</f>
        <v>127139</v>
      </c>
      <c r="AV16" s="633">
        <v>-0.29999999981373549</v>
      </c>
      <c r="AW16" s="633">
        <v>-0.29999999981373549</v>
      </c>
      <c r="AX16" s="655">
        <f t="shared" si="9"/>
        <v>0</v>
      </c>
      <c r="AY16" s="655">
        <f t="shared" si="10"/>
        <v>0</v>
      </c>
      <c r="AZ16" s="655" t="str">
        <f t="shared" si="11"/>
        <v/>
      </c>
      <c r="BA16" s="655">
        <f t="shared" si="12"/>
        <v>292.06817550600687</v>
      </c>
      <c r="BB16" s="655">
        <f t="shared" si="13"/>
        <v>-2.3596221443753331E-4</v>
      </c>
      <c r="BC16" s="655">
        <f t="shared" si="13"/>
        <v>100</v>
      </c>
    </row>
    <row r="17" spans="1:55" ht="12" customHeight="1">
      <c r="A17" s="20"/>
      <c r="B17" s="20"/>
      <c r="C17" s="20"/>
      <c r="D17" s="20"/>
      <c r="E17" s="20"/>
      <c r="F17" s="20"/>
      <c r="G17" s="20"/>
      <c r="H17" s="21" t="s">
        <v>757</v>
      </c>
      <c r="I17" s="22"/>
      <c r="J17" s="21"/>
      <c r="K17" s="21"/>
      <c r="L17" s="314"/>
      <c r="M17" s="314"/>
      <c r="N17" s="336"/>
      <c r="O17" s="336"/>
      <c r="P17" s="291"/>
      <c r="Q17" s="291"/>
      <c r="R17" s="440"/>
      <c r="S17" s="291"/>
      <c r="T17" s="291"/>
      <c r="U17" s="291"/>
      <c r="V17" s="468"/>
      <c r="W17" s="468"/>
      <c r="X17" s="516"/>
      <c r="Y17" s="516"/>
      <c r="Z17" s="516"/>
      <c r="AA17" s="516"/>
      <c r="AB17" s="517"/>
      <c r="AC17" s="517"/>
      <c r="AD17" s="517"/>
      <c r="AE17" s="517"/>
      <c r="AF17" s="517"/>
      <c r="AG17" s="517"/>
      <c r="AH17" s="516"/>
      <c r="AI17" s="516"/>
      <c r="AJ17" s="516"/>
      <c r="AK17" s="516"/>
      <c r="AL17" s="516"/>
      <c r="AM17" s="291"/>
      <c r="AN17" t="b">
        <f t="shared" si="6"/>
        <v>0</v>
      </c>
      <c r="AO17" t="b">
        <f t="shared" si="7"/>
        <v>0</v>
      </c>
      <c r="AQ17" s="440"/>
      <c r="AS17" s="440"/>
      <c r="AT17" s="612"/>
      <c r="AU17" s="468"/>
      <c r="AV17" s="633"/>
      <c r="AW17" s="633"/>
      <c r="AX17" s="655" t="str">
        <f t="shared" si="9"/>
        <v/>
      </c>
      <c r="AY17" s="655" t="str">
        <f t="shared" si="10"/>
        <v/>
      </c>
      <c r="AZ17" s="655" t="str">
        <f t="shared" si="11"/>
        <v/>
      </c>
      <c r="BA17" s="655" t="str">
        <f t="shared" si="12"/>
        <v/>
      </c>
      <c r="BB17" s="655" t="str">
        <f t="shared" si="13"/>
        <v/>
      </c>
      <c r="BC17" s="655" t="str">
        <f t="shared" si="13"/>
        <v/>
      </c>
    </row>
    <row r="18" spans="1:55" ht="12" customHeight="1">
      <c r="A18" s="20"/>
      <c r="B18" s="20"/>
      <c r="C18" s="20"/>
      <c r="D18" s="20"/>
      <c r="E18" s="20"/>
      <c r="F18" s="20"/>
      <c r="G18" s="20"/>
      <c r="H18" s="21" t="s">
        <v>758</v>
      </c>
      <c r="I18" s="22"/>
      <c r="J18" s="21"/>
      <c r="K18" s="21"/>
      <c r="L18" s="314"/>
      <c r="M18" s="314"/>
      <c r="N18" s="336"/>
      <c r="O18" s="336"/>
      <c r="P18" s="291"/>
      <c r="Q18" s="291"/>
      <c r="R18" s="440"/>
      <c r="S18" s="291"/>
      <c r="T18" s="291"/>
      <c r="U18" s="291"/>
      <c r="V18" s="468"/>
      <c r="W18" s="468"/>
      <c r="X18" s="516"/>
      <c r="Y18" s="516"/>
      <c r="Z18" s="516"/>
      <c r="AA18" s="516"/>
      <c r="AB18" s="517"/>
      <c r="AC18" s="517"/>
      <c r="AD18" s="517"/>
      <c r="AE18" s="517"/>
      <c r="AF18" s="517"/>
      <c r="AG18" s="517"/>
      <c r="AH18" s="516"/>
      <c r="AI18" s="516"/>
      <c r="AJ18" s="516"/>
      <c r="AK18" s="516"/>
      <c r="AL18" s="516"/>
      <c r="AM18" s="291"/>
      <c r="AN18" t="b">
        <f t="shared" si="6"/>
        <v>0</v>
      </c>
      <c r="AO18" t="b">
        <f t="shared" si="7"/>
        <v>0</v>
      </c>
      <c r="AQ18" s="440"/>
      <c r="AS18" s="440"/>
      <c r="AT18" s="612"/>
      <c r="AU18" s="468"/>
      <c r="AV18" s="633"/>
      <c r="AW18" s="633"/>
      <c r="AX18" s="655" t="str">
        <f t="shared" si="9"/>
        <v/>
      </c>
      <c r="AY18" s="655" t="str">
        <f t="shared" si="10"/>
        <v/>
      </c>
      <c r="AZ18" s="655" t="str">
        <f t="shared" si="11"/>
        <v/>
      </c>
      <c r="BA18" s="655" t="str">
        <f t="shared" si="12"/>
        <v/>
      </c>
      <c r="BB18" s="655" t="str">
        <f t="shared" si="13"/>
        <v/>
      </c>
      <c r="BC18" s="655" t="str">
        <f t="shared" si="13"/>
        <v/>
      </c>
    </row>
    <row r="19" spans="1:55" ht="12" customHeight="1">
      <c r="A19" s="20"/>
      <c r="B19" s="20"/>
      <c r="C19" s="20"/>
      <c r="D19" s="20"/>
      <c r="E19" s="20"/>
      <c r="F19" s="20"/>
      <c r="G19" s="20"/>
      <c r="H19" s="21" t="s">
        <v>759</v>
      </c>
      <c r="I19" s="22"/>
      <c r="J19" s="21"/>
      <c r="K19" s="21"/>
      <c r="L19" s="314"/>
      <c r="M19" s="314"/>
      <c r="N19" s="336">
        <v>-602523</v>
      </c>
      <c r="O19" s="336">
        <f>N19/7.5345</f>
        <v>-79968.544694405733</v>
      </c>
      <c r="P19" s="291"/>
      <c r="Q19" s="291"/>
      <c r="R19" s="440"/>
      <c r="S19" s="291"/>
      <c r="T19" s="291"/>
      <c r="U19" s="291"/>
      <c r="V19" s="468"/>
      <c r="W19" s="468"/>
      <c r="X19" s="516"/>
      <c r="Y19" s="516"/>
      <c r="Z19" s="516"/>
      <c r="AA19" s="516"/>
      <c r="AB19" s="517"/>
      <c r="AC19" s="517"/>
      <c r="AD19" s="517"/>
      <c r="AE19" s="517"/>
      <c r="AF19" s="517"/>
      <c r="AG19" s="517"/>
      <c r="AH19" s="516"/>
      <c r="AI19" s="516"/>
      <c r="AJ19" s="516"/>
      <c r="AK19" s="516"/>
      <c r="AL19" s="516"/>
      <c r="AM19" s="291"/>
      <c r="AN19" t="b">
        <f t="shared" si="6"/>
        <v>0</v>
      </c>
      <c r="AO19" t="b">
        <f t="shared" si="7"/>
        <v>0</v>
      </c>
      <c r="AQ19" s="440"/>
      <c r="AS19" s="440"/>
      <c r="AT19" s="612"/>
      <c r="AU19" s="468"/>
      <c r="AV19" s="633"/>
      <c r="AW19" s="633"/>
      <c r="AX19" s="655" t="str">
        <f t="shared" si="9"/>
        <v/>
      </c>
      <c r="AY19" s="655" t="str">
        <f t="shared" si="10"/>
        <v/>
      </c>
      <c r="AZ19" s="655" t="str">
        <f t="shared" si="11"/>
        <v/>
      </c>
      <c r="BA19" s="655" t="str">
        <f t="shared" si="12"/>
        <v/>
      </c>
      <c r="BB19" s="655" t="str">
        <f t="shared" si="13"/>
        <v/>
      </c>
      <c r="BC19" s="655" t="str">
        <f t="shared" si="13"/>
        <v/>
      </c>
    </row>
    <row r="20" spans="1:55" ht="12" customHeight="1">
      <c r="A20" s="20"/>
      <c r="B20" s="20"/>
      <c r="C20" s="20"/>
      <c r="D20" s="20"/>
      <c r="E20" s="20"/>
      <c r="F20" s="20"/>
      <c r="G20" s="20"/>
      <c r="H20" s="21" t="s">
        <v>760</v>
      </c>
      <c r="I20" s="22"/>
      <c r="J20" s="21"/>
      <c r="K20" s="21"/>
      <c r="L20" s="314">
        <v>-9059</v>
      </c>
      <c r="M20" s="314">
        <f>-9059/7.5345</f>
        <v>-1202.3359214280974</v>
      </c>
      <c r="N20" s="336">
        <v>-1790</v>
      </c>
      <c r="O20" s="336">
        <f>N20/7.5345</f>
        <v>-237.57382706218061</v>
      </c>
      <c r="P20" s="291">
        <v>-14110</v>
      </c>
      <c r="Q20" s="291">
        <v>-14110</v>
      </c>
      <c r="R20" s="440">
        <v>-68</v>
      </c>
      <c r="S20" s="291">
        <v>-68</v>
      </c>
      <c r="T20" s="291">
        <v>-68</v>
      </c>
      <c r="U20" s="291">
        <v>-68</v>
      </c>
      <c r="V20" s="468"/>
      <c r="W20" s="468">
        <v>-14050</v>
      </c>
      <c r="X20" s="516"/>
      <c r="Y20" s="516"/>
      <c r="Z20" s="516"/>
      <c r="AA20" s="516"/>
      <c r="AB20" s="517"/>
      <c r="AC20" s="517"/>
      <c r="AD20" s="517"/>
      <c r="AE20" s="517"/>
      <c r="AF20" s="517"/>
      <c r="AG20" s="517"/>
      <c r="AH20" s="516"/>
      <c r="AI20" s="516"/>
      <c r="AJ20" s="516"/>
      <c r="AK20" s="516">
        <f>AT20/W20*100</f>
        <v>100</v>
      </c>
      <c r="AL20" s="516"/>
      <c r="AM20" s="291"/>
      <c r="AN20" t="b">
        <f t="shared" si="6"/>
        <v>0</v>
      </c>
      <c r="AO20" t="b">
        <f t="shared" si="7"/>
        <v>0</v>
      </c>
      <c r="AQ20" s="440"/>
      <c r="AS20" s="440">
        <v>-14050</v>
      </c>
      <c r="AT20" s="612">
        <v>-14050</v>
      </c>
      <c r="AU20" s="468">
        <v>-14050</v>
      </c>
      <c r="AV20" s="633"/>
      <c r="AW20" s="633"/>
      <c r="AX20" s="655">
        <f t="shared" si="9"/>
        <v>20661.764705882353</v>
      </c>
      <c r="AY20" s="655" t="str">
        <f t="shared" si="10"/>
        <v/>
      </c>
      <c r="AZ20" s="655">
        <f t="shared" si="11"/>
        <v>100</v>
      </c>
      <c r="BA20" s="655" t="str">
        <f t="shared" si="12"/>
        <v/>
      </c>
      <c r="BB20" s="655" t="str">
        <f t="shared" si="13"/>
        <v/>
      </c>
      <c r="BC20" s="655" t="str">
        <f t="shared" si="13"/>
        <v/>
      </c>
    </row>
    <row r="21" spans="1:55" ht="12" customHeight="1">
      <c r="A21" s="20"/>
      <c r="B21" s="20"/>
      <c r="C21" s="20"/>
      <c r="D21" s="20"/>
      <c r="E21" s="20"/>
      <c r="F21" s="20"/>
      <c r="G21" s="20"/>
      <c r="H21" s="21" t="s">
        <v>790</v>
      </c>
      <c r="I21" s="22"/>
      <c r="J21" s="21"/>
      <c r="K21" s="21"/>
      <c r="L21" s="314"/>
      <c r="M21" s="314"/>
      <c r="N21" s="336">
        <v>260041</v>
      </c>
      <c r="O21" s="336">
        <f>N21/7.5345</f>
        <v>34513.371822947774</v>
      </c>
      <c r="P21" s="291"/>
      <c r="Q21" s="291"/>
      <c r="R21" s="440"/>
      <c r="S21" s="291"/>
      <c r="T21" s="291"/>
      <c r="U21" s="291"/>
      <c r="V21" s="468"/>
      <c r="W21" s="468"/>
      <c r="X21" s="516"/>
      <c r="Y21" s="516"/>
      <c r="Z21" s="516"/>
      <c r="AA21" s="516"/>
      <c r="AB21" s="517"/>
      <c r="AC21" s="517"/>
      <c r="AD21" s="517"/>
      <c r="AE21" s="517"/>
      <c r="AF21" s="517"/>
      <c r="AG21" s="517"/>
      <c r="AH21" s="516"/>
      <c r="AI21" s="516"/>
      <c r="AJ21" s="516"/>
      <c r="AK21" s="516"/>
      <c r="AL21" s="516"/>
      <c r="AM21" s="291"/>
      <c r="AN21" t="b">
        <f t="shared" si="6"/>
        <v>0</v>
      </c>
      <c r="AO21" t="b">
        <f t="shared" si="7"/>
        <v>0</v>
      </c>
      <c r="AQ21" s="440"/>
      <c r="AS21" s="440"/>
      <c r="AT21" s="612"/>
      <c r="AU21" s="468"/>
      <c r="AV21" s="633"/>
      <c r="AW21" s="633"/>
      <c r="AX21" s="655" t="str">
        <f t="shared" si="9"/>
        <v/>
      </c>
      <c r="AY21" s="655" t="str">
        <f t="shared" si="10"/>
        <v/>
      </c>
      <c r="AZ21" s="655" t="str">
        <f t="shared" si="11"/>
        <v/>
      </c>
      <c r="BA21" s="655" t="str">
        <f t="shared" si="12"/>
        <v/>
      </c>
      <c r="BB21" s="655" t="str">
        <f t="shared" si="13"/>
        <v/>
      </c>
      <c r="BC21" s="655" t="str">
        <f t="shared" si="13"/>
        <v/>
      </c>
    </row>
    <row r="22" spans="1:55" ht="12" customHeight="1">
      <c r="A22" s="20"/>
      <c r="B22" s="20"/>
      <c r="C22" s="20"/>
      <c r="D22" s="20"/>
      <c r="E22" s="20"/>
      <c r="F22" s="20"/>
      <c r="G22" s="20"/>
      <c r="H22" s="21" t="s">
        <v>820</v>
      </c>
      <c r="I22" s="22"/>
      <c r="J22" s="21"/>
      <c r="K22" s="21"/>
      <c r="L22" s="314">
        <v>-2243000</v>
      </c>
      <c r="M22" s="314">
        <f>-2243000/7.5345</f>
        <v>-297697.25927400624</v>
      </c>
      <c r="N22" s="336">
        <v>-4162534</v>
      </c>
      <c r="O22" s="336">
        <f>N22/7.5345</f>
        <v>-552463.20260136703</v>
      </c>
      <c r="P22" s="291">
        <v>-262060</v>
      </c>
      <c r="Q22" s="291">
        <v>630</v>
      </c>
      <c r="R22" s="440">
        <v>-27262</v>
      </c>
      <c r="S22" s="291">
        <v>-27262</v>
      </c>
      <c r="T22" s="291">
        <v>-27262</v>
      </c>
      <c r="U22" s="291">
        <v>-27262</v>
      </c>
      <c r="V22" s="468"/>
      <c r="W22" s="468">
        <v>-156620</v>
      </c>
      <c r="X22" s="516"/>
      <c r="Y22" s="516"/>
      <c r="Z22" s="516"/>
      <c r="AA22" s="516"/>
      <c r="AB22" s="517"/>
      <c r="AC22" s="517"/>
      <c r="AD22" s="517"/>
      <c r="AE22" s="517"/>
      <c r="AF22" s="517"/>
      <c r="AG22" s="517"/>
      <c r="AH22" s="516"/>
      <c r="AI22" s="516"/>
      <c r="AJ22" s="516"/>
      <c r="AK22" s="516">
        <f>AT22/W22*100</f>
        <v>0</v>
      </c>
      <c r="AL22" s="516"/>
      <c r="AM22" s="291"/>
      <c r="AN22" t="b">
        <f t="shared" si="6"/>
        <v>0</v>
      </c>
      <c r="AO22" t="b">
        <f t="shared" si="7"/>
        <v>0</v>
      </c>
      <c r="AQ22" s="440">
        <v>-156620</v>
      </c>
      <c r="AR22" s="440">
        <v>-156620</v>
      </c>
      <c r="AS22" s="440">
        <v>-156620</v>
      </c>
      <c r="AT22" s="612"/>
      <c r="AU22" s="468">
        <v>-113089</v>
      </c>
      <c r="AV22" s="633"/>
      <c r="AW22" s="633"/>
      <c r="AX22" s="655" t="str">
        <f t="shared" si="9"/>
        <v/>
      </c>
      <c r="AY22" s="655" t="str">
        <f t="shared" si="10"/>
        <v/>
      </c>
      <c r="AZ22" s="655" t="str">
        <f t="shared" si="11"/>
        <v/>
      </c>
      <c r="BA22" s="655">
        <f t="shared" si="12"/>
        <v>72.205976248244156</v>
      </c>
      <c r="BB22" s="655" t="str">
        <f t="shared" si="13"/>
        <v/>
      </c>
      <c r="BC22" s="655" t="str">
        <f t="shared" si="13"/>
        <v/>
      </c>
    </row>
    <row r="23" spans="1:55" ht="12" customHeight="1">
      <c r="A23" s="20"/>
      <c r="B23" s="20"/>
      <c r="C23" s="20"/>
      <c r="D23" s="20"/>
      <c r="E23" s="20"/>
      <c r="F23" s="20"/>
      <c r="G23" s="20"/>
      <c r="H23" s="11" t="s">
        <v>779</v>
      </c>
      <c r="I23" s="12"/>
      <c r="J23" s="13"/>
      <c r="K23" s="14"/>
      <c r="L23" s="314"/>
      <c r="M23" s="314"/>
      <c r="N23" s="336"/>
      <c r="O23" s="336"/>
      <c r="P23" s="291"/>
      <c r="Q23" s="291"/>
      <c r="R23" s="440"/>
      <c r="S23" s="291"/>
      <c r="T23" s="291"/>
      <c r="U23" s="291"/>
      <c r="V23" s="468"/>
      <c r="W23" s="468"/>
      <c r="X23" s="516"/>
      <c r="Y23" s="516"/>
      <c r="Z23" s="516"/>
      <c r="AA23" s="516"/>
      <c r="AB23" s="517"/>
      <c r="AC23" s="517"/>
      <c r="AD23" s="517"/>
      <c r="AE23" s="517"/>
      <c r="AF23" s="517"/>
      <c r="AG23" s="517"/>
      <c r="AH23" s="516"/>
      <c r="AI23" s="516"/>
      <c r="AJ23" s="516"/>
      <c r="AK23" s="516"/>
      <c r="AL23" s="516"/>
      <c r="AM23" s="291"/>
      <c r="AN23" t="b">
        <f t="shared" si="6"/>
        <v>0</v>
      </c>
      <c r="AO23" t="b">
        <f t="shared" si="7"/>
        <v>0</v>
      </c>
      <c r="AQ23" s="440"/>
      <c r="AS23" s="440"/>
      <c r="AT23" s="612"/>
      <c r="AU23" s="468"/>
      <c r="AV23" s="633"/>
      <c r="AW23" s="633"/>
      <c r="AX23" s="655" t="str">
        <f t="shared" si="9"/>
        <v/>
      </c>
      <c r="AY23" s="655" t="str">
        <f t="shared" si="10"/>
        <v/>
      </c>
      <c r="AZ23" s="655" t="str">
        <f t="shared" si="11"/>
        <v/>
      </c>
      <c r="BA23" s="655" t="str">
        <f t="shared" si="12"/>
        <v/>
      </c>
      <c r="BB23" s="655" t="str">
        <f t="shared" si="13"/>
        <v/>
      </c>
      <c r="BC23" s="655" t="str">
        <f t="shared" si="13"/>
        <v/>
      </c>
    </row>
    <row r="24" spans="1:55" ht="12" customHeight="1">
      <c r="A24" s="20"/>
      <c r="B24" s="20"/>
      <c r="C24" s="20"/>
      <c r="D24" s="20"/>
      <c r="E24" s="20"/>
      <c r="F24" s="20"/>
      <c r="G24" s="20"/>
      <c r="H24" s="11" t="s">
        <v>780</v>
      </c>
      <c r="I24" s="12"/>
      <c r="J24" s="13"/>
      <c r="K24" s="14"/>
      <c r="L24" s="314"/>
      <c r="M24" s="314"/>
      <c r="N24" s="336"/>
      <c r="O24" s="336"/>
      <c r="P24" s="291"/>
      <c r="Q24" s="291"/>
      <c r="R24" s="440"/>
      <c r="S24" s="291"/>
      <c r="T24" s="291"/>
      <c r="U24" s="291"/>
      <c r="V24" s="468"/>
      <c r="W24" s="468"/>
      <c r="X24" s="516"/>
      <c r="Y24" s="516"/>
      <c r="Z24" s="516"/>
      <c r="AA24" s="516"/>
      <c r="AB24" s="517"/>
      <c r="AC24" s="517"/>
      <c r="AD24" s="517"/>
      <c r="AE24" s="517"/>
      <c r="AF24" s="517"/>
      <c r="AG24" s="517"/>
      <c r="AH24" s="516"/>
      <c r="AI24" s="516"/>
      <c r="AJ24" s="516"/>
      <c r="AK24" s="516"/>
      <c r="AL24" s="516"/>
      <c r="AM24" s="291"/>
      <c r="AN24" t="b">
        <f t="shared" si="6"/>
        <v>0</v>
      </c>
      <c r="AO24" t="b">
        <f t="shared" si="7"/>
        <v>0</v>
      </c>
      <c r="AQ24" s="440"/>
      <c r="AS24" s="440"/>
      <c r="AT24" s="612"/>
      <c r="AU24" s="468"/>
      <c r="AV24" s="633"/>
      <c r="AW24" s="633"/>
      <c r="AX24" s="655" t="str">
        <f t="shared" si="9"/>
        <v/>
      </c>
      <c r="AY24" s="655" t="str">
        <f t="shared" si="10"/>
        <v/>
      </c>
      <c r="AZ24" s="655" t="str">
        <f t="shared" si="11"/>
        <v/>
      </c>
      <c r="BA24" s="655" t="str">
        <f t="shared" si="12"/>
        <v/>
      </c>
      <c r="BB24" s="655" t="str">
        <f t="shared" si="13"/>
        <v/>
      </c>
      <c r="BC24" s="655" t="str">
        <f t="shared" si="13"/>
        <v/>
      </c>
    </row>
    <row r="25" spans="1:55" ht="12" customHeight="1">
      <c r="A25" s="20"/>
      <c r="B25" s="20"/>
      <c r="C25" s="20"/>
      <c r="D25" s="20"/>
      <c r="E25" s="20"/>
      <c r="F25" s="20"/>
      <c r="G25" s="20"/>
      <c r="H25" s="11" t="s">
        <v>821</v>
      </c>
      <c r="I25" s="12"/>
      <c r="J25" s="13"/>
      <c r="K25" s="14"/>
      <c r="L25" s="314">
        <f>L16+L17+L18+L19+L20+L22+L23</f>
        <v>-326924</v>
      </c>
      <c r="M25" s="314">
        <f>M16+M17+M18+M19+M20+M22+M23</f>
        <v>-43390.143207910762</v>
      </c>
      <c r="N25" s="336">
        <f t="shared" ref="N25:X25" si="21">N16+N17+N18+N19+N20+N21+N22+N23+N24</f>
        <v>4750</v>
      </c>
      <c r="O25" s="336">
        <f t="shared" si="21"/>
        <v>630.43333996890578</v>
      </c>
      <c r="P25" s="291">
        <f t="shared" si="21"/>
        <v>0.49107439070940018</v>
      </c>
      <c r="Q25" s="291">
        <f t="shared" si="21"/>
        <v>0</v>
      </c>
      <c r="R25" s="440">
        <f t="shared" si="21"/>
        <v>218257</v>
      </c>
      <c r="S25" s="291" t="e">
        <f t="shared" si="21"/>
        <v>#REF!</v>
      </c>
      <c r="T25" s="291">
        <f t="shared" si="21"/>
        <v>1520514.5100000002</v>
      </c>
      <c r="U25" s="291">
        <f t="shared" si="21"/>
        <v>1520512.5100000002</v>
      </c>
      <c r="V25" s="468">
        <f t="shared" si="21"/>
        <v>0</v>
      </c>
      <c r="W25" s="468">
        <f t="shared" si="21"/>
        <v>7.0000000298023224E-2</v>
      </c>
      <c r="X25" s="516">
        <f t="shared" si="21"/>
        <v>-0.29999999981373549</v>
      </c>
      <c r="Y25" s="516"/>
      <c r="Z25" s="516"/>
      <c r="AA25" s="516"/>
      <c r="AB25" s="517">
        <f>AB16+AB17+AB22+AB23</f>
        <v>0</v>
      </c>
      <c r="AC25" s="517">
        <f>AC16+AC17+AC22+AC23</f>
        <v>0</v>
      </c>
      <c r="AD25" s="517"/>
      <c r="AE25" s="517"/>
      <c r="AF25" s="517"/>
      <c r="AG25" s="517"/>
      <c r="AH25" s="516"/>
      <c r="AI25" s="516">
        <v>-0.29999999981373549</v>
      </c>
      <c r="AJ25" s="516">
        <f>W25/R25*100</f>
        <v>3.2072281896123937E-5</v>
      </c>
      <c r="AK25" s="516">
        <f>AT25/W25*100</f>
        <v>0</v>
      </c>
      <c r="AL25" s="516"/>
      <c r="AM25" s="291"/>
      <c r="AN25" t="b">
        <f t="shared" si="6"/>
        <v>1</v>
      </c>
      <c r="AO25" t="b">
        <f t="shared" si="7"/>
        <v>0</v>
      </c>
      <c r="AP25" s="440">
        <f>AP16+AP17+AP18+AP19+AP20+AP21+AP22+AP23+AP24</f>
        <v>873477.12999999896</v>
      </c>
      <c r="AQ25" s="440">
        <f>AQ22+AQ16</f>
        <v>-113089.41000000009</v>
      </c>
      <c r="AR25" s="440">
        <f>AR16+AR17+AR18+AR19+AR20+AR21+AR22+AR23+AR24</f>
        <v>657421.12999999896</v>
      </c>
      <c r="AS25" s="440">
        <f>AS16+AS17+AS18+AS19+AS20+AS21+AS22+AS23+AS24</f>
        <v>63630.870000000112</v>
      </c>
      <c r="AT25" s="612"/>
      <c r="AU25" s="468">
        <f>AU16+AU17+AU18+AU19+AU20+AU21+AU22+AU23+AU24</f>
        <v>0</v>
      </c>
      <c r="AV25" s="633">
        <v>-0.29999999981373549</v>
      </c>
      <c r="AW25" s="633">
        <v>-0.29999999981373549</v>
      </c>
      <c r="AX25" s="655" t="str">
        <f t="shared" si="9"/>
        <v/>
      </c>
      <c r="AY25" s="655" t="str">
        <f t="shared" si="10"/>
        <v/>
      </c>
      <c r="AZ25" s="655" t="str">
        <f t="shared" si="11"/>
        <v/>
      </c>
      <c r="BA25" s="655">
        <f t="shared" si="12"/>
        <v>0</v>
      </c>
      <c r="BB25" s="655" t="str">
        <f t="shared" si="13"/>
        <v/>
      </c>
      <c r="BC25" s="655">
        <f t="shared" si="13"/>
        <v>100</v>
      </c>
    </row>
    <row r="26" spans="1:55" ht="12" customHeight="1">
      <c r="A26" s="20"/>
      <c r="B26" s="20"/>
      <c r="C26" s="20"/>
      <c r="D26" s="20"/>
      <c r="E26" s="20"/>
      <c r="F26" s="20"/>
      <c r="G26" s="20"/>
      <c r="H26" s="21" t="s">
        <v>665</v>
      </c>
      <c r="I26" s="22"/>
      <c r="J26" s="21"/>
      <c r="K26" s="21"/>
      <c r="L26" s="314">
        <v>-338762</v>
      </c>
      <c r="M26" s="314">
        <f>-338762/7.5345</f>
        <v>-44961.444024155549</v>
      </c>
      <c r="N26" s="336">
        <v>-281683</v>
      </c>
      <c r="O26" s="336">
        <f>N26/7.5345</f>
        <v>-37385.758842657109</v>
      </c>
      <c r="P26" s="291"/>
      <c r="Q26" s="291"/>
      <c r="R26" s="440">
        <v>-210602</v>
      </c>
      <c r="S26" s="291">
        <v>-210602</v>
      </c>
      <c r="T26" s="291">
        <v>-210602</v>
      </c>
      <c r="U26" s="291">
        <v>-210602</v>
      </c>
      <c r="V26" s="468"/>
      <c r="W26" s="468"/>
      <c r="X26" s="516"/>
      <c r="Y26" s="516"/>
      <c r="Z26" s="516"/>
      <c r="AA26" s="516"/>
      <c r="AB26" s="517"/>
      <c r="AC26" s="517"/>
      <c r="AD26" s="517"/>
      <c r="AE26" s="517"/>
      <c r="AF26" s="517"/>
      <c r="AG26" s="517"/>
      <c r="AH26" s="516"/>
      <c r="AI26" s="516"/>
      <c r="AJ26" s="516">
        <f>W26/R26*100</f>
        <v>0</v>
      </c>
      <c r="AK26" s="516"/>
      <c r="AL26" s="516"/>
      <c r="AM26" s="291"/>
      <c r="AN26" t="b">
        <f t="shared" si="6"/>
        <v>0</v>
      </c>
      <c r="AO26" t="b">
        <f t="shared" si="7"/>
        <v>0</v>
      </c>
      <c r="AQ26" s="440"/>
      <c r="AS26" s="440"/>
      <c r="AT26" s="612"/>
      <c r="AU26" s="468"/>
      <c r="AV26" s="633"/>
      <c r="AW26" s="633"/>
      <c r="AX26" s="655" t="str">
        <f t="shared" si="9"/>
        <v/>
      </c>
      <c r="AY26" s="655" t="str">
        <f t="shared" si="10"/>
        <v/>
      </c>
      <c r="AZ26" s="655" t="str">
        <f t="shared" si="11"/>
        <v/>
      </c>
      <c r="BA26" s="655" t="str">
        <f t="shared" si="12"/>
        <v/>
      </c>
      <c r="BB26" s="655" t="str">
        <f t="shared" si="13"/>
        <v/>
      </c>
      <c r="BC26" s="655" t="str">
        <f t="shared" si="13"/>
        <v/>
      </c>
    </row>
    <row r="27" spans="1:55" ht="12" customHeight="1">
      <c r="A27" s="20"/>
      <c r="B27" s="20"/>
      <c r="C27" s="20"/>
      <c r="D27" s="20"/>
      <c r="E27" s="20"/>
      <c r="F27" s="20"/>
      <c r="G27" s="20"/>
      <c r="H27" s="21" t="s">
        <v>666</v>
      </c>
      <c r="I27" s="22"/>
      <c r="J27" s="21"/>
      <c r="K27" s="21"/>
      <c r="L27" s="314">
        <v>38562</v>
      </c>
      <c r="M27" s="314">
        <f>38562/7.5345</f>
        <v>5118.0569380848092</v>
      </c>
      <c r="N27" s="336">
        <v>42757</v>
      </c>
      <c r="O27" s="336">
        <f>N27/7.5345</f>
        <v>5674.829119384166</v>
      </c>
      <c r="P27" s="291"/>
      <c r="Q27" s="291"/>
      <c r="R27" s="440">
        <v>39360</v>
      </c>
      <c r="S27" s="291">
        <v>39360</v>
      </c>
      <c r="T27" s="291">
        <v>39360</v>
      </c>
      <c r="U27" s="291">
        <v>39360</v>
      </c>
      <c r="V27" s="468"/>
      <c r="W27" s="468"/>
      <c r="X27" s="516"/>
      <c r="Y27" s="516"/>
      <c r="Z27" s="516"/>
      <c r="AA27" s="516"/>
      <c r="AB27" s="517"/>
      <c r="AC27" s="517"/>
      <c r="AD27" s="517"/>
      <c r="AE27" s="517"/>
      <c r="AF27" s="517"/>
      <c r="AG27" s="517"/>
      <c r="AH27" s="516"/>
      <c r="AI27" s="516"/>
      <c r="AJ27" s="516">
        <f>W27/R27*100</f>
        <v>0</v>
      </c>
      <c r="AK27" s="516"/>
      <c r="AL27" s="516"/>
      <c r="AM27" s="291"/>
      <c r="AN27" t="b">
        <f t="shared" si="6"/>
        <v>0</v>
      </c>
      <c r="AO27" t="b">
        <f t="shared" si="7"/>
        <v>0</v>
      </c>
      <c r="AQ27" s="440"/>
      <c r="AS27" s="440"/>
      <c r="AT27" s="612"/>
      <c r="AU27" s="468"/>
      <c r="AV27" s="633"/>
      <c r="AW27" s="633"/>
      <c r="AX27" s="655" t="str">
        <f t="shared" si="9"/>
        <v/>
      </c>
      <c r="AY27" s="655" t="str">
        <f t="shared" si="10"/>
        <v/>
      </c>
      <c r="AZ27" s="655" t="str">
        <f t="shared" si="11"/>
        <v/>
      </c>
      <c r="BA27" s="655" t="str">
        <f t="shared" si="12"/>
        <v/>
      </c>
      <c r="BB27" s="655" t="str">
        <f t="shared" si="13"/>
        <v/>
      </c>
      <c r="BC27" s="655" t="str">
        <f t="shared" si="13"/>
        <v/>
      </c>
    </row>
    <row r="28" spans="1:55" ht="12" customHeight="1">
      <c r="A28" s="20"/>
      <c r="B28" s="20"/>
      <c r="C28" s="20"/>
      <c r="D28" s="20"/>
      <c r="E28" s="20"/>
      <c r="F28" s="20"/>
      <c r="G28" s="20"/>
      <c r="H28" s="21" t="s">
        <v>718</v>
      </c>
      <c r="I28" s="22"/>
      <c r="J28" s="21"/>
      <c r="K28" s="21"/>
      <c r="L28" s="314">
        <v>-13062</v>
      </c>
      <c r="M28" s="314">
        <f>-13062/7.5345</f>
        <v>-1733.6253235118454</v>
      </c>
      <c r="N28" s="336">
        <v>-6423</v>
      </c>
      <c r="O28" s="336">
        <f>N28/7.5345</f>
        <v>-852.4785984471431</v>
      </c>
      <c r="P28" s="291"/>
      <c r="Q28" s="291"/>
      <c r="R28" s="440">
        <v>5590</v>
      </c>
      <c r="S28" s="291">
        <v>5590</v>
      </c>
      <c r="T28" s="291">
        <v>5590</v>
      </c>
      <c r="U28" s="291">
        <v>5590</v>
      </c>
      <c r="V28" s="468"/>
      <c r="W28" s="468"/>
      <c r="X28" s="516"/>
      <c r="Y28" s="516"/>
      <c r="Z28" s="516"/>
      <c r="AA28" s="516"/>
      <c r="AB28" s="517"/>
      <c r="AC28" s="517"/>
      <c r="AD28" s="517"/>
      <c r="AE28" s="517"/>
      <c r="AF28" s="517"/>
      <c r="AG28" s="517"/>
      <c r="AH28" s="516"/>
      <c r="AI28" s="516"/>
      <c r="AJ28" s="516">
        <f>W28/R28*100</f>
        <v>0</v>
      </c>
      <c r="AK28" s="516"/>
      <c r="AL28" s="516"/>
      <c r="AM28" s="291"/>
      <c r="AN28" t="b">
        <f t="shared" si="6"/>
        <v>0</v>
      </c>
      <c r="AO28" t="b">
        <f t="shared" si="7"/>
        <v>0</v>
      </c>
      <c r="AQ28" s="440"/>
      <c r="AS28" s="440"/>
      <c r="AT28" s="612"/>
      <c r="AU28" s="468"/>
      <c r="AV28" s="633"/>
      <c r="AW28" s="633"/>
      <c r="AX28" s="655" t="str">
        <f t="shared" si="9"/>
        <v/>
      </c>
      <c r="AY28" s="655" t="str">
        <f t="shared" si="10"/>
        <v/>
      </c>
      <c r="AZ28" s="655" t="str">
        <f t="shared" si="11"/>
        <v/>
      </c>
      <c r="BA28" s="655" t="str">
        <f t="shared" si="12"/>
        <v/>
      </c>
      <c r="BB28" s="655" t="str">
        <f t="shared" si="13"/>
        <v/>
      </c>
      <c r="BC28" s="655" t="str">
        <f t="shared" si="13"/>
        <v/>
      </c>
    </row>
    <row r="29" spans="1:55" ht="12" customHeight="1">
      <c r="A29" s="20"/>
      <c r="B29" s="20"/>
      <c r="C29" s="20"/>
      <c r="D29" s="20"/>
      <c r="E29" s="20"/>
      <c r="F29" s="20"/>
      <c r="G29" s="20"/>
      <c r="H29" s="21" t="s">
        <v>719</v>
      </c>
      <c r="I29" s="22"/>
      <c r="J29" s="21"/>
      <c r="K29" s="21"/>
      <c r="L29" s="314">
        <v>-13662</v>
      </c>
      <c r="M29" s="314">
        <f>-13662/7.5345</f>
        <v>-1813.2590085606209</v>
      </c>
      <c r="N29" s="336">
        <v>250099</v>
      </c>
      <c r="O29" s="336">
        <f>N29/7.5345</f>
        <v>33193.841661689563</v>
      </c>
      <c r="P29" s="291"/>
      <c r="Q29" s="291"/>
      <c r="R29" s="440">
        <v>9035</v>
      </c>
      <c r="S29" s="291">
        <v>9035</v>
      </c>
      <c r="T29" s="291">
        <v>9035</v>
      </c>
      <c r="U29" s="291">
        <v>9035</v>
      </c>
      <c r="V29" s="468"/>
      <c r="W29" s="468"/>
      <c r="X29" s="516"/>
      <c r="Y29" s="516"/>
      <c r="Z29" s="516"/>
      <c r="AA29" s="516"/>
      <c r="AB29" s="517"/>
      <c r="AC29" s="517"/>
      <c r="AD29" s="517"/>
      <c r="AE29" s="517"/>
      <c r="AF29" s="517"/>
      <c r="AG29" s="517"/>
      <c r="AH29" s="516"/>
      <c r="AI29" s="516"/>
      <c r="AJ29" s="516">
        <f>W29/R29*100</f>
        <v>0</v>
      </c>
      <c r="AK29" s="516"/>
      <c r="AL29" s="516"/>
      <c r="AM29" s="291"/>
      <c r="AN29" s="659" t="b">
        <f t="shared" si="6"/>
        <v>0</v>
      </c>
      <c r="AO29" s="659" t="b">
        <f t="shared" si="7"/>
        <v>0</v>
      </c>
      <c r="AP29" s="659"/>
      <c r="AQ29" s="440"/>
      <c r="AR29" s="659"/>
      <c r="AS29" s="440"/>
      <c r="AT29" s="612"/>
      <c r="AU29" s="468"/>
      <c r="AV29" s="633"/>
      <c r="AW29" s="633"/>
      <c r="AX29" s="655" t="str">
        <f t="shared" si="9"/>
        <v/>
      </c>
      <c r="AY29" s="655" t="str">
        <f t="shared" si="10"/>
        <v/>
      </c>
      <c r="AZ29" s="655" t="str">
        <f t="shared" si="11"/>
        <v/>
      </c>
      <c r="BA29" s="655" t="str">
        <f t="shared" si="12"/>
        <v/>
      </c>
      <c r="BB29" s="655" t="str">
        <f t="shared" si="13"/>
        <v/>
      </c>
      <c r="BC29" s="655" t="str">
        <f t="shared" si="13"/>
        <v/>
      </c>
    </row>
    <row r="30" spans="1:55" ht="12" customHeight="1">
      <c r="A30" s="1"/>
      <c r="B30" s="1"/>
      <c r="C30" s="1"/>
      <c r="D30" s="1"/>
      <c r="E30" s="1"/>
      <c r="F30" s="1"/>
      <c r="G30" s="1"/>
      <c r="H30" s="2"/>
      <c r="I30" s="3"/>
      <c r="J30" s="2"/>
      <c r="K30" s="494"/>
      <c r="L30" s="434"/>
      <c r="M30" s="434"/>
      <c r="N30" s="434"/>
      <c r="O30" s="434"/>
      <c r="P30" s="434"/>
      <c r="Q30" s="434"/>
      <c r="R30" s="434"/>
      <c r="S30" s="434"/>
      <c r="T30" s="434"/>
      <c r="U30" s="434"/>
      <c r="V30" s="434"/>
      <c r="W30" s="434"/>
      <c r="X30" s="519"/>
      <c r="Y30" s="519"/>
      <c r="Z30" s="519"/>
      <c r="AA30" s="519"/>
      <c r="AB30" s="520"/>
      <c r="AC30" s="520"/>
      <c r="AD30" s="520"/>
      <c r="AE30" s="520"/>
      <c r="AF30" s="520"/>
      <c r="AG30" s="520"/>
      <c r="AH30" s="519"/>
      <c r="AI30" s="519"/>
      <c r="AJ30" s="519"/>
      <c r="AK30" s="519"/>
      <c r="AL30" s="519"/>
      <c r="AM30" s="434"/>
      <c r="AO30" t="b">
        <f t="shared" si="7"/>
        <v>0</v>
      </c>
      <c r="AQ30" s="434"/>
      <c r="AS30" s="434"/>
      <c r="AT30" s="607"/>
      <c r="AU30" s="434"/>
      <c r="AV30" s="634"/>
      <c r="AW30" s="607"/>
      <c r="AX30" s="607" t="str">
        <f t="shared" si="9"/>
        <v/>
      </c>
      <c r="AY30" s="607" t="str">
        <f t="shared" si="10"/>
        <v/>
      </c>
      <c r="AZ30" s="607" t="str">
        <f t="shared" si="11"/>
        <v/>
      </c>
      <c r="BA30" s="607" t="str">
        <f t="shared" si="12"/>
        <v/>
      </c>
      <c r="BB30" s="607" t="str">
        <f t="shared" si="13"/>
        <v/>
      </c>
      <c r="BC30" s="607" t="str">
        <f t="shared" si="13"/>
        <v/>
      </c>
    </row>
    <row r="31" spans="1:55" ht="12" customHeight="1">
      <c r="A31" s="1"/>
      <c r="B31" s="1"/>
      <c r="C31" s="1"/>
      <c r="D31" s="1"/>
      <c r="E31" s="1"/>
      <c r="F31" s="1"/>
      <c r="G31" s="1"/>
      <c r="H31" s="2"/>
      <c r="I31" s="3"/>
      <c r="J31" s="2"/>
      <c r="K31" s="494"/>
      <c r="L31" s="434"/>
      <c r="M31" s="434"/>
      <c r="N31" s="434"/>
      <c r="O31" s="434"/>
      <c r="P31" s="434"/>
      <c r="Q31" s="434"/>
      <c r="R31" s="434"/>
      <c r="S31" s="434"/>
      <c r="T31" s="434"/>
      <c r="U31" s="434"/>
      <c r="V31" s="434"/>
      <c r="W31" s="434"/>
      <c r="X31" s="519"/>
      <c r="Y31" s="519"/>
      <c r="Z31" s="519"/>
      <c r="AA31" s="519"/>
      <c r="AB31" s="520"/>
      <c r="AC31" s="520"/>
      <c r="AD31" s="520"/>
      <c r="AE31" s="520"/>
      <c r="AF31" s="520"/>
      <c r="AG31" s="520"/>
      <c r="AH31" s="519"/>
      <c r="AI31" s="519"/>
      <c r="AJ31" s="519"/>
      <c r="AK31" s="519"/>
      <c r="AL31" s="519"/>
      <c r="AM31" s="434"/>
      <c r="AO31" t="b">
        <f t="shared" si="7"/>
        <v>0</v>
      </c>
      <c r="AQ31" s="434"/>
      <c r="AS31" s="434"/>
      <c r="AT31" s="607"/>
      <c r="AU31" s="434"/>
      <c r="AV31" s="634"/>
      <c r="AW31" s="607"/>
      <c r="AX31" s="607" t="str">
        <f t="shared" si="9"/>
        <v/>
      </c>
      <c r="AY31" s="607" t="str">
        <f t="shared" si="10"/>
        <v/>
      </c>
      <c r="AZ31" s="607" t="str">
        <f t="shared" si="11"/>
        <v/>
      </c>
      <c r="BA31" s="607" t="str">
        <f t="shared" si="12"/>
        <v/>
      </c>
      <c r="BB31" s="607" t="str">
        <f t="shared" si="13"/>
        <v/>
      </c>
      <c r="BC31" s="607" t="str">
        <f t="shared" si="13"/>
        <v/>
      </c>
    </row>
    <row r="32" spans="1:55" ht="12" customHeight="1">
      <c r="A32" s="1"/>
      <c r="B32" s="1"/>
      <c r="C32" s="1"/>
      <c r="D32" s="1"/>
      <c r="E32" s="1"/>
      <c r="F32" s="1"/>
      <c r="G32" s="1"/>
      <c r="H32" s="2"/>
      <c r="I32" s="3"/>
      <c r="J32" s="2"/>
      <c r="K32" s="494"/>
      <c r="L32" s="434"/>
      <c r="M32" s="434"/>
      <c r="N32" s="434"/>
      <c r="O32" s="434"/>
      <c r="P32" s="434"/>
      <c r="Q32" s="434"/>
      <c r="R32" s="434"/>
      <c r="S32" s="434"/>
      <c r="T32" s="434"/>
      <c r="U32" s="434"/>
      <c r="V32" s="434"/>
      <c r="W32" s="434"/>
      <c r="X32" s="519"/>
      <c r="Y32" s="519"/>
      <c r="Z32" s="519"/>
      <c r="AA32" s="519"/>
      <c r="AB32" s="520"/>
      <c r="AC32" s="520"/>
      <c r="AD32" s="520"/>
      <c r="AE32" s="520"/>
      <c r="AF32" s="520"/>
      <c r="AG32" s="520"/>
      <c r="AH32" s="519"/>
      <c r="AI32" s="519"/>
      <c r="AJ32" s="519"/>
      <c r="AK32" s="519"/>
      <c r="AL32" s="519"/>
      <c r="AM32" s="434"/>
      <c r="AO32" t="b">
        <f t="shared" si="7"/>
        <v>0</v>
      </c>
      <c r="AQ32" s="434"/>
      <c r="AS32" s="434"/>
      <c r="AT32" s="607"/>
      <c r="AU32" s="434"/>
      <c r="AV32" s="634"/>
      <c r="AW32" s="607"/>
      <c r="AX32" s="607" t="str">
        <f t="shared" si="9"/>
        <v/>
      </c>
      <c r="AY32" s="607" t="str">
        <f t="shared" si="10"/>
        <v/>
      </c>
      <c r="AZ32" s="607" t="str">
        <f t="shared" si="11"/>
        <v/>
      </c>
      <c r="BA32" s="607" t="str">
        <f t="shared" si="12"/>
        <v/>
      </c>
      <c r="BB32" s="607" t="str">
        <f t="shared" si="13"/>
        <v/>
      </c>
      <c r="BC32" s="607" t="str">
        <f t="shared" si="13"/>
        <v/>
      </c>
    </row>
    <row r="33" spans="1:55" ht="12" customHeight="1">
      <c r="A33" s="1"/>
      <c r="B33" s="1"/>
      <c r="C33" s="1"/>
      <c r="D33" s="1"/>
      <c r="E33" s="1"/>
      <c r="F33" s="1"/>
      <c r="G33" s="1"/>
      <c r="H33" s="2"/>
      <c r="I33" s="3"/>
      <c r="J33" s="2"/>
      <c r="K33" s="494"/>
      <c r="L33" s="434"/>
      <c r="M33" s="434"/>
      <c r="N33" s="434"/>
      <c r="O33" s="434"/>
      <c r="P33" s="434"/>
      <c r="Q33" s="434"/>
      <c r="R33" s="434"/>
      <c r="S33" s="434"/>
      <c r="T33" s="434"/>
      <c r="U33" s="434"/>
      <c r="V33" s="434"/>
      <c r="W33" s="434"/>
      <c r="X33" s="519"/>
      <c r="Y33" s="519"/>
      <c r="Z33" s="519"/>
      <c r="AA33" s="519"/>
      <c r="AB33" s="520"/>
      <c r="AC33" s="520"/>
      <c r="AD33" s="520"/>
      <c r="AE33" s="520"/>
      <c r="AF33" s="520"/>
      <c r="AG33" s="520"/>
      <c r="AH33" s="519"/>
      <c r="AI33" s="519"/>
      <c r="AJ33" s="519"/>
      <c r="AK33" s="519"/>
      <c r="AL33" s="519"/>
      <c r="AM33" s="434"/>
      <c r="AO33" t="b">
        <f t="shared" si="7"/>
        <v>0</v>
      </c>
      <c r="AQ33" s="434"/>
      <c r="AS33" s="434"/>
      <c r="AT33" s="607"/>
      <c r="AU33" s="434"/>
      <c r="AV33" s="634"/>
      <c r="AW33" s="607"/>
      <c r="AX33" s="607" t="str">
        <f t="shared" si="9"/>
        <v/>
      </c>
      <c r="AY33" s="607" t="str">
        <f t="shared" si="10"/>
        <v/>
      </c>
      <c r="AZ33" s="607" t="str">
        <f t="shared" si="11"/>
        <v/>
      </c>
      <c r="BA33" s="607" t="str">
        <f t="shared" si="12"/>
        <v/>
      </c>
      <c r="BB33" s="607" t="str">
        <f t="shared" si="13"/>
        <v/>
      </c>
      <c r="BC33" s="607" t="str">
        <f t="shared" si="13"/>
        <v/>
      </c>
    </row>
    <row r="34" spans="1:55" ht="12" customHeight="1">
      <c r="A34" s="1"/>
      <c r="B34" s="1"/>
      <c r="C34" s="1"/>
      <c r="D34" s="1"/>
      <c r="E34" s="1"/>
      <c r="F34" s="1"/>
      <c r="G34" s="1"/>
      <c r="H34" s="2"/>
      <c r="I34" s="3"/>
      <c r="J34" s="2"/>
      <c r="K34" s="494"/>
      <c r="L34" s="434"/>
      <c r="M34" s="434"/>
      <c r="N34" s="434"/>
      <c r="O34" s="434"/>
      <c r="P34" s="434"/>
      <c r="Q34" s="434"/>
      <c r="R34" s="434"/>
      <c r="S34" s="434"/>
      <c r="T34" s="434"/>
      <c r="U34" s="434"/>
      <c r="V34" s="434"/>
      <c r="W34" s="434"/>
      <c r="X34" s="519"/>
      <c r="Y34" s="519"/>
      <c r="Z34" s="519"/>
      <c r="AA34" s="519"/>
      <c r="AB34" s="520"/>
      <c r="AC34" s="520"/>
      <c r="AD34" s="520"/>
      <c r="AE34" s="520"/>
      <c r="AF34" s="520"/>
      <c r="AG34" s="520"/>
      <c r="AH34" s="519"/>
      <c r="AI34" s="519"/>
      <c r="AJ34" s="519"/>
      <c r="AK34" s="519"/>
      <c r="AL34" s="519"/>
      <c r="AM34" s="434"/>
      <c r="AO34" t="b">
        <f t="shared" si="7"/>
        <v>0</v>
      </c>
      <c r="AQ34" s="434"/>
      <c r="AS34" s="434"/>
      <c r="AT34" s="607"/>
      <c r="AU34" s="434"/>
      <c r="AV34" s="634"/>
      <c r="AW34" s="607"/>
      <c r="AX34" s="607" t="str">
        <f t="shared" si="9"/>
        <v/>
      </c>
      <c r="AY34" s="607" t="str">
        <f t="shared" si="10"/>
        <v/>
      </c>
      <c r="AZ34" s="607" t="str">
        <f t="shared" si="11"/>
        <v/>
      </c>
      <c r="BA34" s="607" t="str">
        <f t="shared" si="12"/>
        <v/>
      </c>
      <c r="BB34" s="607" t="str">
        <f t="shared" si="13"/>
        <v/>
      </c>
      <c r="BC34" s="607" t="str">
        <f t="shared" si="13"/>
        <v/>
      </c>
    </row>
    <row r="35" spans="1:55" ht="12" customHeight="1">
      <c r="A35" s="1"/>
      <c r="B35" s="1"/>
      <c r="C35" s="1"/>
      <c r="D35" s="1"/>
      <c r="E35" s="1"/>
      <c r="F35" s="1"/>
      <c r="G35" s="1"/>
      <c r="H35" s="2" t="s">
        <v>9</v>
      </c>
      <c r="I35" s="3"/>
      <c r="J35" s="2"/>
      <c r="K35" s="494"/>
      <c r="L35" s="431"/>
      <c r="M35" s="431"/>
      <c r="N35" s="431"/>
      <c r="O35" s="431"/>
      <c r="P35" s="431"/>
      <c r="Q35" s="431"/>
      <c r="R35" s="433"/>
      <c r="S35" s="433"/>
      <c r="T35" s="433"/>
      <c r="U35" s="433"/>
      <c r="V35" s="433"/>
      <c r="W35" s="433"/>
      <c r="X35" s="509"/>
      <c r="Y35" s="509"/>
      <c r="Z35" s="509"/>
      <c r="AA35" s="509"/>
      <c r="AB35" s="508"/>
      <c r="AC35" s="508"/>
      <c r="AD35" s="508"/>
      <c r="AE35" s="508"/>
      <c r="AF35" s="508"/>
      <c r="AG35" s="508"/>
      <c r="AH35" s="509"/>
      <c r="AI35" s="509"/>
      <c r="AJ35" s="519"/>
      <c r="AK35" s="519"/>
      <c r="AL35" s="519"/>
      <c r="AM35" s="433"/>
      <c r="AO35" t="b">
        <f t="shared" si="7"/>
        <v>0</v>
      </c>
      <c r="AQ35" s="433"/>
      <c r="AS35" s="433"/>
      <c r="AT35" s="609"/>
      <c r="AU35" s="433"/>
      <c r="AV35" s="626"/>
      <c r="AW35" s="607"/>
      <c r="AX35" s="607" t="str">
        <f t="shared" si="9"/>
        <v/>
      </c>
      <c r="AY35" s="607" t="str">
        <f t="shared" si="10"/>
        <v/>
      </c>
      <c r="AZ35" s="607" t="str">
        <f t="shared" si="11"/>
        <v/>
      </c>
      <c r="BA35" s="607" t="str">
        <f t="shared" si="12"/>
        <v/>
      </c>
      <c r="BB35" s="607" t="str">
        <f t="shared" si="13"/>
        <v/>
      </c>
      <c r="BC35" s="607" t="str">
        <f t="shared" si="13"/>
        <v/>
      </c>
    </row>
    <row r="36" spans="1:55" ht="5.25" customHeight="1">
      <c r="A36" s="5"/>
      <c r="B36" s="5"/>
      <c r="C36" s="5"/>
      <c r="D36" s="5"/>
      <c r="E36" s="5"/>
      <c r="F36" s="5"/>
      <c r="G36" s="5"/>
      <c r="H36" s="6"/>
      <c r="I36" s="7"/>
      <c r="J36" s="6"/>
      <c r="K36" s="495"/>
      <c r="L36" s="433"/>
      <c r="M36" s="433"/>
      <c r="N36" s="433"/>
      <c r="O36" s="433"/>
      <c r="P36" s="433"/>
      <c r="Q36" s="433"/>
      <c r="R36" s="497"/>
      <c r="S36" s="497"/>
      <c r="T36" s="497"/>
      <c r="U36" s="497"/>
      <c r="V36" s="497"/>
      <c r="W36" s="497"/>
      <c r="X36" s="521"/>
      <c r="Y36" s="521"/>
      <c r="Z36" s="521"/>
      <c r="AA36" s="521"/>
      <c r="AB36" s="510"/>
      <c r="AC36" s="510"/>
      <c r="AD36" s="510"/>
      <c r="AE36" s="510"/>
      <c r="AF36" s="510"/>
      <c r="AG36" s="510"/>
      <c r="AH36" s="521"/>
      <c r="AI36" s="521"/>
      <c r="AJ36" s="519"/>
      <c r="AK36" s="519"/>
      <c r="AL36" s="519"/>
      <c r="AM36" s="374"/>
      <c r="AO36" t="b">
        <f t="shared" si="7"/>
        <v>0</v>
      </c>
      <c r="AQ36" s="497"/>
      <c r="AS36" s="497"/>
      <c r="AT36" s="607"/>
      <c r="AU36" s="497"/>
      <c r="AV36" s="635"/>
      <c r="AW36" s="607"/>
      <c r="AX36" s="607" t="str">
        <f t="shared" si="9"/>
        <v/>
      </c>
      <c r="AY36" s="607" t="str">
        <f t="shared" si="10"/>
        <v/>
      </c>
      <c r="AZ36" s="607" t="str">
        <f t="shared" si="11"/>
        <v/>
      </c>
      <c r="BA36" s="607" t="str">
        <f t="shared" si="12"/>
        <v/>
      </c>
      <c r="BB36" s="607" t="str">
        <f t="shared" si="13"/>
        <v/>
      </c>
      <c r="BC36" s="607" t="str">
        <f t="shared" si="13"/>
        <v/>
      </c>
    </row>
    <row r="37" spans="1:55" ht="12" customHeight="1">
      <c r="A37" s="86"/>
      <c r="B37" s="15"/>
      <c r="C37" s="15"/>
      <c r="D37" s="15"/>
      <c r="E37" s="15"/>
      <c r="F37" s="15"/>
      <c r="G37" s="15"/>
      <c r="H37" s="16"/>
      <c r="I37" s="17"/>
      <c r="J37" s="18"/>
      <c r="K37" s="258"/>
      <c r="L37" s="311" t="s">
        <v>789</v>
      </c>
      <c r="M37" s="311" t="s">
        <v>789</v>
      </c>
      <c r="N37" s="333" t="s">
        <v>813</v>
      </c>
      <c r="O37" s="333" t="s">
        <v>813</v>
      </c>
      <c r="P37" s="288" t="s">
        <v>796</v>
      </c>
      <c r="Q37" s="288" t="s">
        <v>822</v>
      </c>
      <c r="R37" s="439" t="s">
        <v>827</v>
      </c>
      <c r="S37" s="288" t="s">
        <v>829</v>
      </c>
      <c r="T37" s="288"/>
      <c r="U37" s="288"/>
      <c r="V37" s="465" t="s">
        <v>850</v>
      </c>
      <c r="W37" s="465" t="s">
        <v>853</v>
      </c>
      <c r="X37" s="511" t="s">
        <v>854</v>
      </c>
      <c r="Y37" s="511" t="s">
        <v>854</v>
      </c>
      <c r="Z37" s="511" t="s">
        <v>854</v>
      </c>
      <c r="AA37" s="511" t="s">
        <v>854</v>
      </c>
      <c r="AB37" s="511" t="s">
        <v>854</v>
      </c>
      <c r="AC37" s="511" t="s">
        <v>854</v>
      </c>
      <c r="AD37" s="511" t="s">
        <v>854</v>
      </c>
      <c r="AE37" s="511" t="s">
        <v>854</v>
      </c>
      <c r="AF37" s="511" t="s">
        <v>854</v>
      </c>
      <c r="AG37" s="511" t="s">
        <v>854</v>
      </c>
      <c r="AH37" s="511" t="s">
        <v>854</v>
      </c>
      <c r="AI37" s="511" t="s">
        <v>854</v>
      </c>
      <c r="AJ37" s="574"/>
      <c r="AK37" s="574"/>
      <c r="AL37" s="574"/>
      <c r="AM37" s="288"/>
      <c r="AQ37" s="439" t="s">
        <v>783</v>
      </c>
      <c r="AS37" s="439" t="s">
        <v>872</v>
      </c>
      <c r="AT37" s="656">
        <v>2025</v>
      </c>
      <c r="AU37" s="465">
        <v>2025</v>
      </c>
      <c r="AV37" s="630" t="s">
        <v>854</v>
      </c>
      <c r="AW37" s="630" t="s">
        <v>883</v>
      </c>
      <c r="AX37" s="655" t="s">
        <v>885</v>
      </c>
      <c r="AY37" s="655" t="s">
        <v>885</v>
      </c>
      <c r="AZ37" s="655" t="s">
        <v>885</v>
      </c>
      <c r="BA37" s="655" t="s">
        <v>885</v>
      </c>
      <c r="BB37" s="655" t="s">
        <v>885</v>
      </c>
      <c r="BC37" s="655" t="s">
        <v>885</v>
      </c>
    </row>
    <row r="38" spans="1:55" ht="24.75" customHeight="1">
      <c r="A38" s="270"/>
      <c r="B38" s="271"/>
      <c r="C38" s="271"/>
      <c r="D38" s="271"/>
      <c r="E38" s="271"/>
      <c r="F38" s="271"/>
      <c r="G38" s="271"/>
      <c r="H38" s="272"/>
      <c r="I38" s="3"/>
      <c r="J38" s="93"/>
      <c r="K38" s="498"/>
      <c r="L38" s="312" t="s">
        <v>826</v>
      </c>
      <c r="M38" s="312" t="s">
        <v>797</v>
      </c>
      <c r="N38" s="334" t="s">
        <v>826</v>
      </c>
      <c r="O38" s="334" t="s">
        <v>797</v>
      </c>
      <c r="P38" s="289" t="s">
        <v>797</v>
      </c>
      <c r="Q38" s="289" t="s">
        <v>797</v>
      </c>
      <c r="R38" s="439" t="s">
        <v>872</v>
      </c>
      <c r="S38" s="289" t="s">
        <v>830</v>
      </c>
      <c r="T38" s="289"/>
      <c r="U38" s="289"/>
      <c r="V38" s="466" t="s">
        <v>797</v>
      </c>
      <c r="W38" s="466" t="s">
        <v>797</v>
      </c>
      <c r="X38" s="512"/>
      <c r="Y38" s="512"/>
      <c r="Z38" s="512"/>
      <c r="AA38" s="512"/>
      <c r="AB38" s="513"/>
      <c r="AC38" s="513"/>
      <c r="AD38" s="513"/>
      <c r="AE38" s="513"/>
      <c r="AF38" s="513"/>
      <c r="AG38" s="513"/>
      <c r="AH38" s="512"/>
      <c r="AI38" s="512"/>
      <c r="AJ38" s="512"/>
      <c r="AK38" s="512"/>
      <c r="AL38" s="512"/>
      <c r="AM38" s="289"/>
      <c r="AQ38" s="439" t="s">
        <v>872</v>
      </c>
      <c r="AS38" s="439" t="s">
        <v>873</v>
      </c>
      <c r="AT38" s="611" t="s">
        <v>629</v>
      </c>
      <c r="AU38" s="466" t="s">
        <v>882</v>
      </c>
      <c r="AV38" s="631"/>
      <c r="AW38" s="631"/>
      <c r="AX38" s="655" t="s">
        <v>855</v>
      </c>
      <c r="AY38" s="655" t="s">
        <v>884</v>
      </c>
      <c r="AZ38" s="655" t="s">
        <v>856</v>
      </c>
      <c r="BA38" s="655" t="s">
        <v>781</v>
      </c>
      <c r="BB38" s="655" t="s">
        <v>741</v>
      </c>
      <c r="BC38" s="655" t="s">
        <v>741</v>
      </c>
    </row>
    <row r="39" spans="1:55" ht="0.2" customHeight="1">
      <c r="A39" s="415" t="s">
        <v>832</v>
      </c>
      <c r="B39" s="20" t="s">
        <v>833</v>
      </c>
      <c r="C39" s="20" t="s">
        <v>834</v>
      </c>
      <c r="D39" s="20" t="s">
        <v>835</v>
      </c>
      <c r="E39" s="20" t="s">
        <v>836</v>
      </c>
      <c r="F39" s="20" t="s">
        <v>837</v>
      </c>
      <c r="G39" s="20" t="s">
        <v>838</v>
      </c>
      <c r="H39" s="16" t="s">
        <v>839</v>
      </c>
      <c r="I39" s="17" t="s">
        <v>840</v>
      </c>
      <c r="J39" s="14" t="s">
        <v>841</v>
      </c>
      <c r="K39" s="19" t="s">
        <v>842</v>
      </c>
      <c r="L39" s="313" t="s">
        <v>828</v>
      </c>
      <c r="M39" s="313" t="s">
        <v>843</v>
      </c>
      <c r="N39" s="335" t="s">
        <v>844</v>
      </c>
      <c r="O39" s="335" t="s">
        <v>845</v>
      </c>
      <c r="P39" s="290" t="s">
        <v>846</v>
      </c>
      <c r="Q39" s="290" t="s">
        <v>847</v>
      </c>
      <c r="R39" s="438" t="s">
        <v>886</v>
      </c>
      <c r="S39" s="289" t="s">
        <v>887</v>
      </c>
      <c r="T39" s="289" t="s">
        <v>888</v>
      </c>
      <c r="U39" s="289" t="s">
        <v>889</v>
      </c>
      <c r="V39" s="466" t="s">
        <v>890</v>
      </c>
      <c r="W39" s="465" t="s">
        <v>891</v>
      </c>
      <c r="X39" s="512" t="s">
        <v>892</v>
      </c>
      <c r="Y39" s="512" t="s">
        <v>893</v>
      </c>
      <c r="Z39" s="512" t="s">
        <v>894</v>
      </c>
      <c r="AA39" s="512" t="s">
        <v>895</v>
      </c>
      <c r="AB39" s="515" t="s">
        <v>896</v>
      </c>
      <c r="AC39" s="515" t="s">
        <v>897</v>
      </c>
      <c r="AD39" s="515" t="s">
        <v>898</v>
      </c>
      <c r="AE39" s="515" t="s">
        <v>899</v>
      </c>
      <c r="AF39" s="515" t="s">
        <v>900</v>
      </c>
      <c r="AG39" s="515" t="s">
        <v>901</v>
      </c>
      <c r="AH39" s="512" t="s">
        <v>902</v>
      </c>
      <c r="AI39" s="512" t="s">
        <v>903</v>
      </c>
      <c r="AJ39" s="516" t="s">
        <v>904</v>
      </c>
      <c r="AK39" s="516" t="s">
        <v>905</v>
      </c>
      <c r="AL39" s="516" t="s">
        <v>906</v>
      </c>
      <c r="AM39" s="426" t="s">
        <v>907</v>
      </c>
      <c r="AN39" s="277" t="s">
        <v>908</v>
      </c>
      <c r="AO39" t="s">
        <v>857</v>
      </c>
      <c r="AQ39" s="438">
        <v>2</v>
      </c>
      <c r="AS39" s="438"/>
      <c r="AT39" s="611">
        <v>3</v>
      </c>
      <c r="AU39" s="466">
        <v>4</v>
      </c>
      <c r="AV39" s="631">
        <v>5</v>
      </c>
      <c r="AW39" s="631">
        <v>6</v>
      </c>
      <c r="AX39" s="655">
        <v>7</v>
      </c>
      <c r="AY39" s="655">
        <v>8</v>
      </c>
      <c r="AZ39" s="655">
        <v>9</v>
      </c>
      <c r="BA39" s="655">
        <v>10</v>
      </c>
      <c r="BB39" s="655">
        <v>11</v>
      </c>
      <c r="BC39" s="655">
        <v>11</v>
      </c>
    </row>
    <row r="40" spans="1:55" ht="12" customHeight="1">
      <c r="A40" s="415"/>
      <c r="B40" s="20"/>
      <c r="C40" s="20"/>
      <c r="D40" s="20"/>
      <c r="E40" s="20"/>
      <c r="F40" s="20"/>
      <c r="G40" s="20"/>
      <c r="H40" s="16"/>
      <c r="I40" s="17"/>
      <c r="J40" s="14"/>
      <c r="K40" s="19"/>
      <c r="L40" s="313">
        <v>1</v>
      </c>
      <c r="M40" s="313">
        <v>2</v>
      </c>
      <c r="N40" s="335">
        <v>3</v>
      </c>
      <c r="O40" s="335">
        <v>4</v>
      </c>
      <c r="P40" s="290">
        <v>5</v>
      </c>
      <c r="Q40" s="290">
        <v>6</v>
      </c>
      <c r="R40" s="439">
        <v>1</v>
      </c>
      <c r="S40" s="290">
        <v>5</v>
      </c>
      <c r="T40" s="290"/>
      <c r="U40" s="290"/>
      <c r="V40" s="467">
        <v>2</v>
      </c>
      <c r="W40" s="467">
        <v>3</v>
      </c>
      <c r="X40" s="514">
        <v>5</v>
      </c>
      <c r="Y40" s="514"/>
      <c r="Z40" s="514"/>
      <c r="AA40" s="514"/>
      <c r="AB40" s="515">
        <v>7</v>
      </c>
      <c r="AC40" s="515">
        <v>8</v>
      </c>
      <c r="AD40" s="515">
        <v>9</v>
      </c>
      <c r="AE40" s="515">
        <v>10</v>
      </c>
      <c r="AF40" s="515">
        <v>11</v>
      </c>
      <c r="AG40" s="515">
        <v>12</v>
      </c>
      <c r="AH40" s="514"/>
      <c r="AI40" s="514">
        <v>5</v>
      </c>
      <c r="AJ40" s="514">
        <v>7</v>
      </c>
      <c r="AK40" s="514">
        <v>8</v>
      </c>
      <c r="AL40" s="514">
        <v>9</v>
      </c>
      <c r="AM40" s="426"/>
      <c r="AN40" s="661"/>
      <c r="AO40" t="s">
        <v>857</v>
      </c>
      <c r="AQ40" s="439">
        <v>2</v>
      </c>
      <c r="AS40" s="439"/>
      <c r="AT40" s="612">
        <v>3</v>
      </c>
      <c r="AU40" s="467">
        <v>4</v>
      </c>
      <c r="AV40" s="632">
        <v>5</v>
      </c>
      <c r="AW40" s="632">
        <v>6</v>
      </c>
      <c r="AX40" s="655">
        <v>7</v>
      </c>
      <c r="AY40" s="655">
        <v>8</v>
      </c>
      <c r="AZ40" s="655">
        <v>9</v>
      </c>
      <c r="BA40" s="655">
        <v>10</v>
      </c>
      <c r="BB40" s="655">
        <v>11</v>
      </c>
      <c r="BC40" s="655">
        <v>12</v>
      </c>
    </row>
    <row r="41" spans="1:55" ht="12" customHeight="1">
      <c r="A41" s="416"/>
      <c r="B41" s="31"/>
      <c r="C41" s="31"/>
      <c r="D41" s="31"/>
      <c r="E41" s="31"/>
      <c r="F41" s="31"/>
      <c r="G41" s="31"/>
      <c r="H41" s="32"/>
      <c r="I41" s="33"/>
      <c r="J41" s="34"/>
      <c r="K41" s="35" t="s">
        <v>11</v>
      </c>
      <c r="L41" s="315">
        <f t="shared" ref="L41:T41" si="22">L43+L170</f>
        <v>26920766</v>
      </c>
      <c r="M41" s="315">
        <f t="shared" si="22"/>
        <v>3572999.7964032115</v>
      </c>
      <c r="N41" s="337">
        <f t="shared" si="22"/>
        <v>28598275</v>
      </c>
      <c r="O41" s="337">
        <f t="shared" si="22"/>
        <v>3795643.3738137889</v>
      </c>
      <c r="P41" s="292">
        <f t="shared" si="22"/>
        <v>5449550</v>
      </c>
      <c r="Q41" s="292">
        <f t="shared" si="22"/>
        <v>4559300</v>
      </c>
      <c r="R41" s="441">
        <f t="shared" si="22"/>
        <v>4559300</v>
      </c>
      <c r="S41" s="292">
        <f t="shared" si="22"/>
        <v>2806152.65</v>
      </c>
      <c r="T41" s="292">
        <f t="shared" si="22"/>
        <v>1547844.5100000002</v>
      </c>
      <c r="U41" s="292">
        <f>U43+U170</f>
        <v>1547844.5100000002</v>
      </c>
      <c r="V41" s="469">
        <v>5943630</v>
      </c>
      <c r="W41" s="469">
        <f>W43+W170</f>
        <v>5481130</v>
      </c>
      <c r="X41" s="522">
        <f>X43+X170</f>
        <v>6923250</v>
      </c>
      <c r="Y41" s="522"/>
      <c r="Z41" s="522"/>
      <c r="AA41" s="522"/>
      <c r="AB41" s="523">
        <f>AB43+AB170</f>
        <v>4224500</v>
      </c>
      <c r="AC41" s="523">
        <f>AC43+AC170</f>
        <v>4224500</v>
      </c>
      <c r="AD41" s="524">
        <f>O41/M41*100</f>
        <v>106.23127876006888</v>
      </c>
      <c r="AE41" s="524">
        <f>P41/O41*100</f>
        <v>143.57381511647122</v>
      </c>
      <c r="AF41" s="524">
        <f>Q41/P41*100</f>
        <v>83.66378875319981</v>
      </c>
      <c r="AG41" s="524">
        <f>AB41/Q41*100</f>
        <v>92.65676748623693</v>
      </c>
      <c r="AH41" s="522"/>
      <c r="AI41" s="522">
        <v>6923250</v>
      </c>
      <c r="AJ41" s="516">
        <f>W41/R41*100</f>
        <v>120.21867391924199</v>
      </c>
      <c r="AK41" s="516">
        <f>AT41/W41*100</f>
        <v>127.55125311751409</v>
      </c>
      <c r="AL41" s="516">
        <f>X41/AT41*100</f>
        <v>99.027355623100306</v>
      </c>
      <c r="AM41" s="427" t="e">
        <f ca="1">__xlfn.ISFORMULA(Sheet3!$T41)</f>
        <v>#NAME?</v>
      </c>
      <c r="AN41" s="662" t="e">
        <f ca="1">__xlfn.ISFORMULA(Sheet3!$N41)</f>
        <v>#NAME?</v>
      </c>
      <c r="AO41" t="b">
        <f t="shared" si="7"/>
        <v>1</v>
      </c>
      <c r="AP41" s="440">
        <f t="shared" ref="AP41:AU41" si="23">AP43+AP170</f>
        <v>4588813.6499999994</v>
      </c>
      <c r="AQ41" s="441">
        <v>4790404.5</v>
      </c>
      <c r="AR41" s="440">
        <f>AR43+AR170</f>
        <v>4588813.6499999994</v>
      </c>
      <c r="AS41" s="441">
        <f t="shared" si="23"/>
        <v>1908221.54</v>
      </c>
      <c r="AT41" s="612">
        <f t="shared" si="23"/>
        <v>6991250</v>
      </c>
      <c r="AU41" s="469">
        <f t="shared" si="23"/>
        <v>7069560</v>
      </c>
      <c r="AV41" s="636">
        <v>6923250</v>
      </c>
      <c r="AW41" s="636">
        <v>6923250</v>
      </c>
      <c r="AX41" s="655">
        <f t="shared" si="9"/>
        <v>153.34042506525125</v>
      </c>
      <c r="AY41" s="655">
        <f t="shared" si="10"/>
        <v>145.94279042615295</v>
      </c>
      <c r="AZ41" s="655">
        <f t="shared" si="11"/>
        <v>101.12011442875021</v>
      </c>
      <c r="BA41" s="655">
        <f t="shared" si="12"/>
        <v>147.577516679437</v>
      </c>
      <c r="BB41" s="655">
        <f t="shared" si="13"/>
        <v>97.930422826880317</v>
      </c>
      <c r="BC41" s="655">
        <f t="shared" si="13"/>
        <v>100</v>
      </c>
    </row>
    <row r="42" spans="1:55" ht="12" customHeight="1">
      <c r="A42" s="417"/>
      <c r="B42" s="36"/>
      <c r="C42" s="36"/>
      <c r="D42" s="36"/>
      <c r="E42" s="36"/>
      <c r="F42" s="36"/>
      <c r="G42" s="36"/>
      <c r="H42" s="37"/>
      <c r="I42" s="38"/>
      <c r="J42" s="39"/>
      <c r="K42" s="40"/>
      <c r="L42" s="316"/>
      <c r="M42" s="316"/>
      <c r="N42" s="338"/>
      <c r="O42" s="338"/>
      <c r="P42" s="293"/>
      <c r="Q42" s="293"/>
      <c r="R42" s="442"/>
      <c r="S42" s="293"/>
      <c r="T42" s="293"/>
      <c r="U42" s="293"/>
      <c r="V42" s="470"/>
      <c r="W42" s="470"/>
      <c r="X42" s="525"/>
      <c r="Y42" s="525"/>
      <c r="Z42" s="525"/>
      <c r="AA42" s="525"/>
      <c r="AB42" s="526"/>
      <c r="AC42" s="526"/>
      <c r="AD42" s="524"/>
      <c r="AE42" s="524"/>
      <c r="AF42" s="524"/>
      <c r="AG42" s="524"/>
      <c r="AH42" s="525"/>
      <c r="AI42" s="525"/>
      <c r="AJ42" s="516"/>
      <c r="AK42" s="516"/>
      <c r="AL42" s="516"/>
      <c r="AM42" s="427" t="e">
        <f ca="1">__xlfn.ISFORMULA(Sheet3!$T42)</f>
        <v>#NAME?</v>
      </c>
      <c r="AN42" s="662" t="e">
        <f ca="1">__xlfn.ISFORMULA(Sheet3!$N42)</f>
        <v>#NAME?</v>
      </c>
      <c r="AO42" t="b">
        <f t="shared" si="7"/>
        <v>0</v>
      </c>
      <c r="AQ42" s="442"/>
      <c r="AS42" s="442"/>
      <c r="AT42" s="613"/>
      <c r="AU42" s="470"/>
      <c r="AV42" s="637"/>
      <c r="AW42" s="637"/>
      <c r="AX42" s="655" t="str">
        <f t="shared" si="9"/>
        <v/>
      </c>
      <c r="AY42" s="655" t="str">
        <f t="shared" si="10"/>
        <v/>
      </c>
      <c r="AZ42" s="655" t="str">
        <f t="shared" si="11"/>
        <v/>
      </c>
      <c r="BA42" s="655" t="str">
        <f t="shared" si="12"/>
        <v/>
      </c>
      <c r="BB42" s="655" t="str">
        <f t="shared" si="13"/>
        <v/>
      </c>
      <c r="BC42" s="655" t="str">
        <f t="shared" si="13"/>
        <v/>
      </c>
    </row>
    <row r="43" spans="1:55" ht="12" customHeight="1">
      <c r="A43" s="418"/>
      <c r="B43" s="41"/>
      <c r="C43" s="41"/>
      <c r="D43" s="41"/>
      <c r="E43" s="41"/>
      <c r="F43" s="41"/>
      <c r="G43" s="41"/>
      <c r="H43" s="42">
        <v>6</v>
      </c>
      <c r="I43" s="43"/>
      <c r="J43" s="44"/>
      <c r="K43" s="45" t="s">
        <v>12</v>
      </c>
      <c r="L43" s="315">
        <f t="shared" ref="L43:T43" si="24">L45+L72+L99+L130+L154+L161</f>
        <v>26862820</v>
      </c>
      <c r="M43" s="315">
        <f t="shared" si="24"/>
        <v>3565309.0405468177</v>
      </c>
      <c r="N43" s="337">
        <f t="shared" si="24"/>
        <v>28595356</v>
      </c>
      <c r="O43" s="337">
        <f t="shared" si="24"/>
        <v>3795255.9559360268</v>
      </c>
      <c r="P43" s="292">
        <f t="shared" si="24"/>
        <v>5029020</v>
      </c>
      <c r="Q43" s="292">
        <f t="shared" si="24"/>
        <v>4231370</v>
      </c>
      <c r="R43" s="441">
        <f t="shared" si="24"/>
        <v>4231370</v>
      </c>
      <c r="S43" s="292">
        <f t="shared" si="24"/>
        <v>2806152.65</v>
      </c>
      <c r="T43" s="292">
        <f t="shared" si="24"/>
        <v>1547844.5100000002</v>
      </c>
      <c r="U43" s="292">
        <f>U45+U72+U99+U130+U154+U161</f>
        <v>1547844.5100000002</v>
      </c>
      <c r="V43" s="469">
        <v>5743100</v>
      </c>
      <c r="W43" s="469">
        <f>W45+W72+W99+W130+W154+W161</f>
        <v>5476000</v>
      </c>
      <c r="X43" s="522">
        <f>X45+X72+X99+X130+X154+X161</f>
        <v>6922720</v>
      </c>
      <c r="Y43" s="522"/>
      <c r="Z43" s="522"/>
      <c r="AA43" s="522"/>
      <c r="AB43" s="523">
        <f>AB45+AB72+AB99+AB130+AB154+AB161</f>
        <v>4123970</v>
      </c>
      <c r="AC43" s="523">
        <f>AC45+AC72+AC99+AC130+AC154+AC161</f>
        <v>4123970</v>
      </c>
      <c r="AD43" s="524">
        <f>O43/M43*100</f>
        <v>106.4495647578966</v>
      </c>
      <c r="AE43" s="524">
        <f>P43/O43*100</f>
        <v>132.50805896593843</v>
      </c>
      <c r="AF43" s="524">
        <f>Q43/P43*100</f>
        <v>84.139056913673045</v>
      </c>
      <c r="AG43" s="524">
        <f>AB43/Q43*100</f>
        <v>97.461814967729126</v>
      </c>
      <c r="AH43" s="522"/>
      <c r="AI43" s="522">
        <v>6922720</v>
      </c>
      <c r="AJ43" s="516">
        <f>W43/R43*100</f>
        <v>129.41435043496548</v>
      </c>
      <c r="AK43" s="516">
        <f>AT43/W43*100</f>
        <v>124.00876552227903</v>
      </c>
      <c r="AL43" s="516">
        <f>X43/AT43*100</f>
        <v>101.94382922576692</v>
      </c>
      <c r="AM43" s="427" t="e">
        <f ca="1">__xlfn.ISFORMULA(Sheet3!$T43)</f>
        <v>#NAME?</v>
      </c>
      <c r="AN43" s="662" t="e">
        <f ca="1">__xlfn.ISFORMULA(Sheet3!$N43)</f>
        <v>#NAME?</v>
      </c>
      <c r="AO43" t="b">
        <f t="shared" si="7"/>
        <v>1</v>
      </c>
      <c r="AP43" s="440">
        <f t="shared" ref="AP43:AU43" si="25">AP45+AP72+AP99+AP130+AP154+AP161</f>
        <v>4583842.1099999994</v>
      </c>
      <c r="AQ43" s="441">
        <v>4785432.96</v>
      </c>
      <c r="AR43" s="440">
        <f>AR45+AR72+AR99+AR130+AR154+AR161</f>
        <v>4583842.1099999994</v>
      </c>
      <c r="AS43" s="441">
        <f t="shared" si="25"/>
        <v>1908221.54</v>
      </c>
      <c r="AT43" s="612">
        <f t="shared" si="25"/>
        <v>6790720</v>
      </c>
      <c r="AU43" s="469">
        <f t="shared" si="25"/>
        <v>7069030</v>
      </c>
      <c r="AV43" s="636">
        <v>6922720</v>
      </c>
      <c r="AW43" s="636">
        <v>6922720</v>
      </c>
      <c r="AX43" s="655">
        <f t="shared" si="9"/>
        <v>160.48513838307687</v>
      </c>
      <c r="AY43" s="655">
        <f t="shared" si="10"/>
        <v>141.90398354258838</v>
      </c>
      <c r="AZ43" s="655">
        <f t="shared" si="11"/>
        <v>104.09838721078177</v>
      </c>
      <c r="BA43" s="655">
        <f t="shared" si="12"/>
        <v>147.71975825568771</v>
      </c>
      <c r="BB43" s="655">
        <f t="shared" si="13"/>
        <v>97.930267660485242</v>
      </c>
      <c r="BC43" s="655">
        <f t="shared" si="13"/>
        <v>100</v>
      </c>
    </row>
    <row r="44" spans="1:55" ht="12" customHeight="1">
      <c r="A44" s="415"/>
      <c r="B44" s="20"/>
      <c r="C44" s="20"/>
      <c r="D44" s="20"/>
      <c r="E44" s="20"/>
      <c r="F44" s="20"/>
      <c r="G44" s="20"/>
      <c r="H44" s="16"/>
      <c r="I44" s="17"/>
      <c r="J44" s="14"/>
      <c r="K44" s="19"/>
      <c r="L44" s="313">
        <v>1</v>
      </c>
      <c r="M44" s="313">
        <v>2</v>
      </c>
      <c r="N44" s="335">
        <v>3</v>
      </c>
      <c r="O44" s="335">
        <v>4</v>
      </c>
      <c r="P44" s="290">
        <v>5</v>
      </c>
      <c r="Q44" s="290">
        <v>6</v>
      </c>
      <c r="R44" s="439"/>
      <c r="S44" s="290"/>
      <c r="T44" s="290"/>
      <c r="U44" s="290"/>
      <c r="V44" s="467"/>
      <c r="W44" s="467"/>
      <c r="X44" s="514"/>
      <c r="Y44" s="514"/>
      <c r="Z44" s="514"/>
      <c r="AA44" s="514"/>
      <c r="AB44" s="515"/>
      <c r="AC44" s="515"/>
      <c r="AD44" s="515"/>
      <c r="AE44" s="515"/>
      <c r="AF44" s="515"/>
      <c r="AG44" s="515"/>
      <c r="AH44" s="514"/>
      <c r="AI44" s="514"/>
      <c r="AJ44" s="516"/>
      <c r="AK44" s="516"/>
      <c r="AL44" s="516"/>
      <c r="AM44" s="427" t="e">
        <f ca="1">__xlfn.ISFORMULA(Sheet3!$T44)</f>
        <v>#NAME?</v>
      </c>
      <c r="AN44" s="662" t="e">
        <f ca="1">__xlfn.ISFORMULA(Sheet3!$N44)</f>
        <v>#NAME?</v>
      </c>
      <c r="AO44" t="b">
        <f t="shared" si="7"/>
        <v>0</v>
      </c>
      <c r="AQ44" s="439"/>
      <c r="AS44" s="439"/>
      <c r="AT44" s="612"/>
      <c r="AU44" s="467"/>
      <c r="AV44" s="632"/>
      <c r="AW44" s="632"/>
      <c r="AX44" s="655" t="str">
        <f t="shared" si="9"/>
        <v/>
      </c>
      <c r="AY44" s="655" t="str">
        <f t="shared" si="10"/>
        <v/>
      </c>
      <c r="AZ44" s="655" t="str">
        <f t="shared" si="11"/>
        <v/>
      </c>
      <c r="BA44" s="655" t="str">
        <f t="shared" si="12"/>
        <v/>
      </c>
      <c r="BB44" s="655" t="str">
        <f t="shared" si="13"/>
        <v/>
      </c>
      <c r="BC44" s="655" t="str">
        <f t="shared" si="13"/>
        <v/>
      </c>
    </row>
    <row r="45" spans="1:55" ht="12" customHeight="1">
      <c r="A45" s="419"/>
      <c r="B45" s="47"/>
      <c r="C45" s="47"/>
      <c r="D45" s="47"/>
      <c r="E45" s="47"/>
      <c r="F45" s="47"/>
      <c r="G45" s="47"/>
      <c r="H45" s="48">
        <v>61</v>
      </c>
      <c r="I45" s="49"/>
      <c r="J45" s="50"/>
      <c r="K45" s="51" t="s">
        <v>13</v>
      </c>
      <c r="L45" s="315">
        <f t="shared" ref="L45:Q45" si="26">L47+L55+L64</f>
        <v>12534304</v>
      </c>
      <c r="M45" s="315">
        <f t="shared" si="26"/>
        <v>1663588.028402681</v>
      </c>
      <c r="N45" s="337">
        <f t="shared" si="26"/>
        <v>16604519</v>
      </c>
      <c r="O45" s="337">
        <f t="shared" si="26"/>
        <v>2203798.394054018</v>
      </c>
      <c r="P45" s="292">
        <f t="shared" si="26"/>
        <v>2449000</v>
      </c>
      <c r="Q45" s="292">
        <f t="shared" si="26"/>
        <v>2554000</v>
      </c>
      <c r="R45" s="441">
        <f>R47+R55+R64+R71</f>
        <v>2554000</v>
      </c>
      <c r="S45" s="292">
        <f>S47+S55+S64+S71</f>
        <v>2387060.71</v>
      </c>
      <c r="T45" s="292">
        <f>T47+T55+T64+T71</f>
        <v>1547844.5100000002</v>
      </c>
      <c r="U45" s="292">
        <f>U47+U55+U64+U71</f>
        <v>1547844.5100000002</v>
      </c>
      <c r="V45" s="469">
        <v>2849000</v>
      </c>
      <c r="W45" s="469">
        <f>W47+W55+W64+W71</f>
        <v>3350000</v>
      </c>
      <c r="X45" s="522">
        <f>X47+X55+X64+X71</f>
        <v>4430000</v>
      </c>
      <c r="Y45" s="522"/>
      <c r="Z45" s="522"/>
      <c r="AA45" s="522"/>
      <c r="AB45" s="523">
        <f>AB47+AB55+AB64</f>
        <v>2404000</v>
      </c>
      <c r="AC45" s="523">
        <f>AC47+AC55+AC64</f>
        <v>2404000</v>
      </c>
      <c r="AD45" s="524">
        <f>O45/M45*100</f>
        <v>132.47260478124673</v>
      </c>
      <c r="AE45" s="524">
        <f>P45/O45*100</f>
        <v>111.12631748019923</v>
      </c>
      <c r="AF45" s="524">
        <f>Q45/P45*100</f>
        <v>104.28746427113107</v>
      </c>
      <c r="AG45" s="524">
        <f>AB45/Q45*100</f>
        <v>94.126859827721219</v>
      </c>
      <c r="AH45" s="522"/>
      <c r="AI45" s="522">
        <v>4430000</v>
      </c>
      <c r="AJ45" s="516">
        <f>W45/R45*100</f>
        <v>131.16679718089273</v>
      </c>
      <c r="AK45" s="516">
        <f>AT45/W45*100</f>
        <v>124.17910447761193</v>
      </c>
      <c r="AL45" s="516">
        <f>X45/AT45*100</f>
        <v>106.49038461538463</v>
      </c>
      <c r="AM45" s="427" t="e">
        <f ca="1">__xlfn.ISFORMULA(Sheet3!$T45)</f>
        <v>#NAME?</v>
      </c>
      <c r="AN45" s="662" t="e">
        <f ca="1">__xlfn.ISFORMULA(Sheet3!$N45)</f>
        <v>#NAME?</v>
      </c>
      <c r="AO45" t="b">
        <f t="shared" si="7"/>
        <v>1</v>
      </c>
      <c r="AP45" s="440">
        <f t="shared" ref="AP45:AU45" si="27">AP47+AP55+AP64+AP71</f>
        <v>3005542.72</v>
      </c>
      <c r="AQ45" s="441">
        <v>3005542.72</v>
      </c>
      <c r="AR45" s="440">
        <f t="shared" si="27"/>
        <v>3005542.72</v>
      </c>
      <c r="AS45" s="441">
        <f t="shared" si="27"/>
        <v>1301811.23</v>
      </c>
      <c r="AT45" s="612">
        <f t="shared" si="27"/>
        <v>4160000</v>
      </c>
      <c r="AU45" s="469">
        <f t="shared" si="27"/>
        <v>3885000</v>
      </c>
      <c r="AV45" s="636">
        <v>4430000</v>
      </c>
      <c r="AW45" s="636">
        <v>4430000</v>
      </c>
      <c r="AX45" s="655">
        <f t="shared" si="9"/>
        <v>162.88175411119812</v>
      </c>
      <c r="AY45" s="655">
        <f t="shared" si="10"/>
        <v>138.41094230063047</v>
      </c>
      <c r="AZ45" s="655">
        <f t="shared" si="11"/>
        <v>93.389423076923066</v>
      </c>
      <c r="BA45" s="655">
        <f t="shared" si="12"/>
        <v>129.26118048989167</v>
      </c>
      <c r="BB45" s="655">
        <f t="shared" si="13"/>
        <v>114.02831402831404</v>
      </c>
      <c r="BC45" s="655">
        <f t="shared" si="13"/>
        <v>100</v>
      </c>
    </row>
    <row r="46" spans="1:55" ht="12" customHeight="1">
      <c r="A46" s="415"/>
      <c r="B46" s="20"/>
      <c r="C46" s="20"/>
      <c r="D46" s="20"/>
      <c r="E46" s="20"/>
      <c r="F46" s="20"/>
      <c r="G46" s="20"/>
      <c r="H46" s="16"/>
      <c r="I46" s="17"/>
      <c r="J46" s="14"/>
      <c r="K46" s="19"/>
      <c r="L46" s="313"/>
      <c r="M46" s="313"/>
      <c r="N46" s="335"/>
      <c r="O46" s="335"/>
      <c r="P46" s="290"/>
      <c r="Q46" s="290"/>
      <c r="R46" s="439"/>
      <c r="S46" s="290"/>
      <c r="T46" s="290"/>
      <c r="U46" s="290"/>
      <c r="V46" s="467"/>
      <c r="W46" s="467"/>
      <c r="X46" s="514"/>
      <c r="Y46" s="514"/>
      <c r="Z46" s="514"/>
      <c r="AA46" s="514"/>
      <c r="AB46" s="515"/>
      <c r="AC46" s="515"/>
      <c r="AD46" s="524"/>
      <c r="AE46" s="524"/>
      <c r="AF46" s="524"/>
      <c r="AG46" s="524"/>
      <c r="AH46" s="514"/>
      <c r="AI46" s="514"/>
      <c r="AJ46" s="516"/>
      <c r="AK46" s="516"/>
      <c r="AL46" s="516"/>
      <c r="AM46" s="427" t="e">
        <f ca="1">__xlfn.ISFORMULA(Sheet3!$T46)</f>
        <v>#NAME?</v>
      </c>
      <c r="AN46" s="662" t="e">
        <f ca="1">__xlfn.ISFORMULA(Sheet3!$N46)</f>
        <v>#NAME?</v>
      </c>
      <c r="AO46" t="b">
        <f t="shared" si="7"/>
        <v>0</v>
      </c>
      <c r="AQ46" s="439"/>
      <c r="AS46" s="439"/>
      <c r="AT46" s="612"/>
      <c r="AU46" s="467"/>
      <c r="AV46" s="632"/>
      <c r="AW46" s="632"/>
      <c r="AX46" s="655" t="str">
        <f t="shared" si="9"/>
        <v/>
      </c>
      <c r="AY46" s="655" t="str">
        <f t="shared" si="10"/>
        <v/>
      </c>
      <c r="AZ46" s="655" t="str">
        <f t="shared" si="11"/>
        <v/>
      </c>
      <c r="BA46" s="655" t="str">
        <f t="shared" si="12"/>
        <v/>
      </c>
      <c r="BB46" s="655" t="str">
        <f t="shared" si="13"/>
        <v/>
      </c>
      <c r="BC46" s="655" t="str">
        <f t="shared" si="13"/>
        <v/>
      </c>
    </row>
    <row r="47" spans="1:55" ht="12" customHeight="1">
      <c r="A47" s="420"/>
      <c r="B47" s="56"/>
      <c r="C47" s="56"/>
      <c r="D47" s="56"/>
      <c r="E47" s="56"/>
      <c r="F47" s="56"/>
      <c r="G47" s="56"/>
      <c r="H47" s="57">
        <v>611</v>
      </c>
      <c r="I47" s="58"/>
      <c r="J47" s="59"/>
      <c r="K47" s="60" t="s">
        <v>14</v>
      </c>
      <c r="L47" s="315">
        <f t="shared" ref="L47:T47" si="28">L48+L49+L50+L51+L52+L53+L54</f>
        <v>5771415</v>
      </c>
      <c r="M47" s="315">
        <f t="shared" si="28"/>
        <v>765998.407326299</v>
      </c>
      <c r="N47" s="337">
        <f t="shared" si="28"/>
        <v>8886121</v>
      </c>
      <c r="O47" s="337">
        <f t="shared" si="28"/>
        <v>1179390.9350321852</v>
      </c>
      <c r="P47" s="292">
        <f t="shared" si="28"/>
        <v>1174000</v>
      </c>
      <c r="Q47" s="292">
        <f t="shared" si="28"/>
        <v>1364000</v>
      </c>
      <c r="R47" s="441">
        <f t="shared" si="28"/>
        <v>1364000</v>
      </c>
      <c r="S47" s="292">
        <f t="shared" si="28"/>
        <v>1547844.5100000002</v>
      </c>
      <c r="T47" s="292">
        <f t="shared" si="28"/>
        <v>1547844.5100000002</v>
      </c>
      <c r="U47" s="292">
        <f>U48+U49+U50+U51+U52+U53+U54</f>
        <v>1547844.5100000002</v>
      </c>
      <c r="V47" s="469">
        <v>1489000</v>
      </c>
      <c r="W47" s="469">
        <f>W48+W49+W50+W51+W52+W53+W54</f>
        <v>1930000</v>
      </c>
      <c r="X47" s="522">
        <f>X48+X49+X50+X51+X52+X53+X54</f>
        <v>2530000</v>
      </c>
      <c r="Y47" s="522"/>
      <c r="Z47" s="522"/>
      <c r="AA47" s="522"/>
      <c r="AB47" s="523">
        <f>AB48+AB49+AB50+AB51+AB52+AB53+AB54</f>
        <v>1194000</v>
      </c>
      <c r="AC47" s="523">
        <f>AC48+AC49+AC50+AC51+AC52+AC53+AC54</f>
        <v>1194000</v>
      </c>
      <c r="AD47" s="524">
        <f t="shared" ref="AD47:AD52" si="29">O47/M47*100</f>
        <v>153.96780512231402</v>
      </c>
      <c r="AE47" s="524">
        <f t="shared" ref="AE47:AF52" si="30">P47/O47*100</f>
        <v>99.542905166382511</v>
      </c>
      <c r="AF47" s="524">
        <f t="shared" si="30"/>
        <v>116.1839863713799</v>
      </c>
      <c r="AG47" s="524">
        <f t="shared" ref="AG47:AG52" si="31">AB47/Q47*100</f>
        <v>87.536656891495596</v>
      </c>
      <c r="AH47" s="522"/>
      <c r="AI47" s="522">
        <v>2530000</v>
      </c>
      <c r="AJ47" s="516">
        <f t="shared" ref="AJ47:AJ53" si="32">W47/R47*100</f>
        <v>141.49560117302053</v>
      </c>
      <c r="AK47" s="516">
        <f>AT47/W47*100</f>
        <v>125.90673575129534</v>
      </c>
      <c r="AL47" s="516">
        <f>X47/AT47*100</f>
        <v>104.11522633744856</v>
      </c>
      <c r="AM47" s="427" t="e">
        <f ca="1">__xlfn.ISFORMULA(Sheet3!$T47)</f>
        <v>#NAME?</v>
      </c>
      <c r="AN47" s="662" t="e">
        <f ca="1">__xlfn.ISFORMULA(Sheet3!$N47)</f>
        <v>#NAME?</v>
      </c>
      <c r="AO47" t="b">
        <f t="shared" si="7"/>
        <v>1</v>
      </c>
      <c r="AP47" s="440">
        <f t="shared" ref="AP47:AU47" si="33">AP48+AP49+AP50+AP51+AP52+AP53+AP54</f>
        <v>1912846.8800000001</v>
      </c>
      <c r="AQ47" s="441">
        <v>1912846.88</v>
      </c>
      <c r="AR47" s="440">
        <f t="shared" si="33"/>
        <v>1912846.8800000001</v>
      </c>
      <c r="AS47" s="441">
        <f t="shared" si="33"/>
        <v>848934.65</v>
      </c>
      <c r="AT47" s="612">
        <f t="shared" si="33"/>
        <v>2430000</v>
      </c>
      <c r="AU47" s="469">
        <f t="shared" si="33"/>
        <v>2430000</v>
      </c>
      <c r="AV47" s="636">
        <v>2530000</v>
      </c>
      <c r="AW47" s="636">
        <v>2530000</v>
      </c>
      <c r="AX47" s="655">
        <f t="shared" si="9"/>
        <v>178.1524926686217</v>
      </c>
      <c r="AY47" s="655">
        <f t="shared" si="10"/>
        <v>127.03578239362265</v>
      </c>
      <c r="AZ47" s="655">
        <f t="shared" si="11"/>
        <v>100</v>
      </c>
      <c r="BA47" s="655">
        <f t="shared" si="12"/>
        <v>127.03578239362265</v>
      </c>
      <c r="BB47" s="655">
        <f t="shared" si="13"/>
        <v>104.11522633744856</v>
      </c>
      <c r="BC47" s="655">
        <f t="shared" si="13"/>
        <v>100</v>
      </c>
    </row>
    <row r="48" spans="1:55" ht="12" customHeight="1">
      <c r="A48" s="417"/>
      <c r="B48" s="36"/>
      <c r="C48" s="36"/>
      <c r="D48" s="36"/>
      <c r="E48" s="36"/>
      <c r="F48" s="36"/>
      <c r="G48" s="36"/>
      <c r="H48" s="46">
        <v>6111</v>
      </c>
      <c r="I48" s="38" t="s">
        <v>858</v>
      </c>
      <c r="J48" s="39"/>
      <c r="K48" s="40" t="s">
        <v>15</v>
      </c>
      <c r="L48" s="309">
        <v>3668881</v>
      </c>
      <c r="M48" s="309">
        <f>3668881/7.5345</f>
        <v>486944.19005906163</v>
      </c>
      <c r="N48" s="339">
        <v>4784325</v>
      </c>
      <c r="O48" s="339">
        <f t="shared" ref="O48:O53" si="34">N48/7.5345</f>
        <v>634989.05036830576</v>
      </c>
      <c r="P48" s="294">
        <v>630000</v>
      </c>
      <c r="Q48" s="269">
        <v>820000</v>
      </c>
      <c r="R48" s="451">
        <v>820000</v>
      </c>
      <c r="S48" s="294">
        <v>1101793.8400000001</v>
      </c>
      <c r="T48" s="294">
        <v>1101793.8400000001</v>
      </c>
      <c r="U48" s="294">
        <v>1101793.8400000001</v>
      </c>
      <c r="V48" s="471">
        <v>920000</v>
      </c>
      <c r="W48" s="471">
        <v>1250000</v>
      </c>
      <c r="X48" s="527">
        <v>1600000</v>
      </c>
      <c r="Y48" s="527"/>
      <c r="Z48" s="527"/>
      <c r="AA48" s="527"/>
      <c r="AB48" s="528">
        <v>640000</v>
      </c>
      <c r="AC48" s="528">
        <v>640000</v>
      </c>
      <c r="AD48" s="524">
        <f t="shared" si="29"/>
        <v>130.40283944886738</v>
      </c>
      <c r="AE48" s="524">
        <f t="shared" si="30"/>
        <v>99.214309228574564</v>
      </c>
      <c r="AF48" s="524">
        <f t="shared" si="30"/>
        <v>130.15873015873015</v>
      </c>
      <c r="AG48" s="524">
        <f t="shared" si="31"/>
        <v>78.048780487804876</v>
      </c>
      <c r="AH48" s="527"/>
      <c r="AI48" s="527">
        <v>1600000</v>
      </c>
      <c r="AJ48" s="516">
        <f t="shared" si="32"/>
        <v>152.4390243902439</v>
      </c>
      <c r="AK48" s="516">
        <f>AT48/W48*100</f>
        <v>124</v>
      </c>
      <c r="AL48" s="516">
        <f>X48/AT48*100</f>
        <v>103.2258064516129</v>
      </c>
      <c r="AM48" s="427" t="e">
        <f ca="1">__xlfn.ISFORMULA(Sheet3!$T48)</f>
        <v>#NAME?</v>
      </c>
      <c r="AN48" s="662" t="e">
        <f ca="1">__xlfn.ISFORMULA(Sheet3!$N48)</f>
        <v>#NAME?</v>
      </c>
      <c r="AO48" t="b">
        <f t="shared" si="7"/>
        <v>0</v>
      </c>
      <c r="AP48" s="595">
        <v>1225141.5900000001</v>
      </c>
      <c r="AQ48" s="451">
        <v>1225141.5900000001</v>
      </c>
      <c r="AR48" s="595">
        <v>1225141.5900000001</v>
      </c>
      <c r="AS48" s="451">
        <v>848934.65</v>
      </c>
      <c r="AT48" s="613">
        <v>1550000</v>
      </c>
      <c r="AU48" s="471">
        <v>1550000</v>
      </c>
      <c r="AV48" s="638">
        <v>1600000</v>
      </c>
      <c r="AW48" s="638">
        <v>1600000</v>
      </c>
      <c r="AX48" s="655">
        <f t="shared" si="9"/>
        <v>189.02439024390242</v>
      </c>
      <c r="AY48" s="655">
        <f t="shared" si="10"/>
        <v>126.51598906212953</v>
      </c>
      <c r="AZ48" s="655">
        <f t="shared" si="11"/>
        <v>100</v>
      </c>
      <c r="BA48" s="655">
        <f t="shared" si="12"/>
        <v>126.51598906212953</v>
      </c>
      <c r="BB48" s="655">
        <f t="shared" si="13"/>
        <v>103.2258064516129</v>
      </c>
      <c r="BC48" s="655">
        <f t="shared" si="13"/>
        <v>100</v>
      </c>
    </row>
    <row r="49" spans="1:55" ht="12" customHeight="1">
      <c r="A49" s="417"/>
      <c r="B49" s="36"/>
      <c r="C49" s="36"/>
      <c r="D49" s="36"/>
      <c r="E49" s="36"/>
      <c r="F49" s="36"/>
      <c r="G49" s="36"/>
      <c r="H49" s="46">
        <v>6112</v>
      </c>
      <c r="I49" s="38" t="s">
        <v>860</v>
      </c>
      <c r="J49" s="39"/>
      <c r="K49" s="40" t="s">
        <v>16</v>
      </c>
      <c r="L49" s="309">
        <v>774471</v>
      </c>
      <c r="M49" s="309">
        <f>774471/7.5345</f>
        <v>102789.96615568385</v>
      </c>
      <c r="N49" s="339">
        <v>1430045</v>
      </c>
      <c r="O49" s="339">
        <f t="shared" si="34"/>
        <v>189799.58855929392</v>
      </c>
      <c r="P49" s="294">
        <v>185000</v>
      </c>
      <c r="Q49" s="294">
        <v>185000</v>
      </c>
      <c r="R49" s="451">
        <v>185000</v>
      </c>
      <c r="S49" s="294">
        <v>158847.59</v>
      </c>
      <c r="T49" s="294">
        <v>158847.59</v>
      </c>
      <c r="U49" s="294">
        <v>158847.59</v>
      </c>
      <c r="V49" s="471">
        <v>200000</v>
      </c>
      <c r="W49" s="471">
        <v>240000</v>
      </c>
      <c r="X49" s="527">
        <v>320000</v>
      </c>
      <c r="Y49" s="527"/>
      <c r="Z49" s="527"/>
      <c r="AA49" s="527"/>
      <c r="AB49" s="528">
        <v>190000</v>
      </c>
      <c r="AC49" s="528">
        <v>190000</v>
      </c>
      <c r="AD49" s="524">
        <f t="shared" si="29"/>
        <v>184.64797261614703</v>
      </c>
      <c r="AE49" s="524">
        <f t="shared" si="30"/>
        <v>97.471233422724453</v>
      </c>
      <c r="AF49" s="524">
        <f t="shared" si="30"/>
        <v>100</v>
      </c>
      <c r="AG49" s="524">
        <f t="shared" si="31"/>
        <v>102.70270270270269</v>
      </c>
      <c r="AH49" s="527"/>
      <c r="AI49" s="527">
        <v>320000</v>
      </c>
      <c r="AJ49" s="516">
        <f t="shared" si="32"/>
        <v>129.72972972972974</v>
      </c>
      <c r="AK49" s="516">
        <f>AT49/W49*100</f>
        <v>125</v>
      </c>
      <c r="AL49" s="516">
        <f>X49/AT49*100</f>
        <v>106.66666666666667</v>
      </c>
      <c r="AM49" s="427" t="e">
        <f ca="1">__xlfn.ISFORMULA(Sheet3!$T49)</f>
        <v>#NAME?</v>
      </c>
      <c r="AN49" s="662" t="e">
        <f ca="1">__xlfn.ISFORMULA(Sheet3!$N49)</f>
        <v>#NAME?</v>
      </c>
      <c r="AO49" t="b">
        <f t="shared" si="7"/>
        <v>0</v>
      </c>
      <c r="AP49" s="595">
        <v>237752.16</v>
      </c>
      <c r="AQ49" s="451">
        <v>237752.16</v>
      </c>
      <c r="AR49" s="595">
        <v>237752.16</v>
      </c>
      <c r="AS49" s="451"/>
      <c r="AT49" s="613">
        <v>300000</v>
      </c>
      <c r="AU49" s="471">
        <v>300000</v>
      </c>
      <c r="AV49" s="638">
        <v>320000</v>
      </c>
      <c r="AW49" s="638">
        <v>320000</v>
      </c>
      <c r="AX49" s="655">
        <f t="shared" si="9"/>
        <v>162.16216216216216</v>
      </c>
      <c r="AY49" s="655">
        <f t="shared" si="10"/>
        <v>126.18181891596694</v>
      </c>
      <c r="AZ49" s="655">
        <f t="shared" si="11"/>
        <v>100</v>
      </c>
      <c r="BA49" s="655">
        <f t="shared" si="12"/>
        <v>126.18181891596694</v>
      </c>
      <c r="BB49" s="655">
        <f t="shared" si="13"/>
        <v>106.66666666666667</v>
      </c>
      <c r="BC49" s="655">
        <f t="shared" si="13"/>
        <v>100</v>
      </c>
    </row>
    <row r="50" spans="1:55" ht="12" customHeight="1">
      <c r="A50" s="417"/>
      <c r="B50" s="36"/>
      <c r="C50" s="36"/>
      <c r="D50" s="36"/>
      <c r="E50" s="36"/>
      <c r="F50" s="36"/>
      <c r="G50" s="36"/>
      <c r="H50" s="46">
        <v>6113</v>
      </c>
      <c r="I50" s="38" t="s">
        <v>861</v>
      </c>
      <c r="J50" s="39"/>
      <c r="K50" s="40" t="s">
        <v>17</v>
      </c>
      <c r="L50" s="309">
        <v>1651040</v>
      </c>
      <c r="M50" s="309">
        <f>1651040/7.5345</f>
        <v>219130.66560488418</v>
      </c>
      <c r="N50" s="339">
        <v>1751558</v>
      </c>
      <c r="O50" s="339">
        <f t="shared" si="34"/>
        <v>232471.69686110556</v>
      </c>
      <c r="P50" s="294">
        <v>225000</v>
      </c>
      <c r="Q50" s="294">
        <v>225000</v>
      </c>
      <c r="R50" s="451">
        <v>225000</v>
      </c>
      <c r="S50" s="294">
        <v>216708.02</v>
      </c>
      <c r="T50" s="294">
        <v>216708.02</v>
      </c>
      <c r="U50" s="294">
        <v>216708.02</v>
      </c>
      <c r="V50" s="471">
        <v>230000</v>
      </c>
      <c r="W50" s="471">
        <v>280000</v>
      </c>
      <c r="X50" s="527">
        <v>360000</v>
      </c>
      <c r="Y50" s="527"/>
      <c r="Z50" s="527"/>
      <c r="AA50" s="527"/>
      <c r="AB50" s="528">
        <v>230000</v>
      </c>
      <c r="AC50" s="528">
        <v>230000</v>
      </c>
      <c r="AD50" s="524">
        <f t="shared" si="29"/>
        <v>106.08816261265626</v>
      </c>
      <c r="AE50" s="524">
        <f t="shared" si="30"/>
        <v>96.785975685646733</v>
      </c>
      <c r="AF50" s="524">
        <f t="shared" si="30"/>
        <v>100</v>
      </c>
      <c r="AG50" s="524">
        <f t="shared" si="31"/>
        <v>102.22222222222221</v>
      </c>
      <c r="AH50" s="527"/>
      <c r="AI50" s="527">
        <v>360000</v>
      </c>
      <c r="AJ50" s="516">
        <f t="shared" si="32"/>
        <v>124.44444444444444</v>
      </c>
      <c r="AK50" s="516">
        <f>AT50/W50*100</f>
        <v>135.71428571428572</v>
      </c>
      <c r="AL50" s="516">
        <f>X50/AT50*100</f>
        <v>94.73684210526315</v>
      </c>
      <c r="AM50" s="427" t="e">
        <f ca="1">__xlfn.ISFORMULA(Sheet3!$T50)</f>
        <v>#NAME?</v>
      </c>
      <c r="AN50" s="662" t="e">
        <f ca="1">__xlfn.ISFORMULA(Sheet3!$N50)</f>
        <v>#NAME?</v>
      </c>
      <c r="AO50" t="b">
        <f t="shared" si="7"/>
        <v>0</v>
      </c>
      <c r="AP50" s="595">
        <v>268087.09000000003</v>
      </c>
      <c r="AQ50" s="451">
        <v>268087.09000000003</v>
      </c>
      <c r="AR50" s="595">
        <v>268087.09000000003</v>
      </c>
      <c r="AS50" s="451"/>
      <c r="AT50" s="613">
        <v>380000</v>
      </c>
      <c r="AU50" s="471">
        <v>380000</v>
      </c>
      <c r="AV50" s="638">
        <v>360000</v>
      </c>
      <c r="AW50" s="638">
        <v>360000</v>
      </c>
      <c r="AX50" s="655">
        <f t="shared" si="9"/>
        <v>168.88888888888889</v>
      </c>
      <c r="AY50" s="655">
        <f t="shared" si="10"/>
        <v>141.74498294565396</v>
      </c>
      <c r="AZ50" s="655">
        <f t="shared" si="11"/>
        <v>100</v>
      </c>
      <c r="BA50" s="655">
        <f t="shared" si="12"/>
        <v>141.74498294565396</v>
      </c>
      <c r="BB50" s="655">
        <f t="shared" si="13"/>
        <v>94.73684210526315</v>
      </c>
      <c r="BC50" s="655">
        <f t="shared" si="13"/>
        <v>100</v>
      </c>
    </row>
    <row r="51" spans="1:55" ht="12" customHeight="1">
      <c r="A51" s="417"/>
      <c r="B51" s="36"/>
      <c r="C51" s="36"/>
      <c r="D51" s="36"/>
      <c r="E51" s="36"/>
      <c r="F51" s="36"/>
      <c r="G51" s="36"/>
      <c r="H51" s="46">
        <v>6114</v>
      </c>
      <c r="I51" s="38" t="s">
        <v>862</v>
      </c>
      <c r="J51" s="39"/>
      <c r="K51" s="40" t="s">
        <v>18</v>
      </c>
      <c r="L51" s="309">
        <v>251103</v>
      </c>
      <c r="M51" s="309">
        <f>251103/7.5345</f>
        <v>33327.095361337844</v>
      </c>
      <c r="N51" s="339">
        <v>982923</v>
      </c>
      <c r="O51" s="339">
        <f t="shared" si="34"/>
        <v>130456.30101532947</v>
      </c>
      <c r="P51" s="294">
        <v>130000</v>
      </c>
      <c r="Q51" s="294">
        <v>130000</v>
      </c>
      <c r="R51" s="451">
        <v>130000</v>
      </c>
      <c r="S51" s="294">
        <v>102688.59</v>
      </c>
      <c r="T51" s="294">
        <v>102688.59</v>
      </c>
      <c r="U51" s="294">
        <v>102688.59</v>
      </c>
      <c r="V51" s="471">
        <v>135000</v>
      </c>
      <c r="W51" s="471">
        <v>160000</v>
      </c>
      <c r="X51" s="527">
        <v>250000</v>
      </c>
      <c r="Y51" s="527"/>
      <c r="Z51" s="527"/>
      <c r="AA51" s="527"/>
      <c r="AB51" s="528">
        <v>130000</v>
      </c>
      <c r="AC51" s="528">
        <v>130000</v>
      </c>
      <c r="AD51" s="524">
        <f t="shared" si="29"/>
        <v>391.44215720242289</v>
      </c>
      <c r="AE51" s="524">
        <f t="shared" si="30"/>
        <v>99.650226925201679</v>
      </c>
      <c r="AF51" s="524">
        <f t="shared" si="30"/>
        <v>100</v>
      </c>
      <c r="AG51" s="524">
        <f t="shared" si="31"/>
        <v>100</v>
      </c>
      <c r="AH51" s="527"/>
      <c r="AI51" s="527">
        <v>250000</v>
      </c>
      <c r="AJ51" s="516">
        <f t="shared" si="32"/>
        <v>123.07692307692308</v>
      </c>
      <c r="AK51" s="516">
        <f>AT51/W51*100</f>
        <v>125</v>
      </c>
      <c r="AL51" s="516">
        <f>X51/AT51*100</f>
        <v>125</v>
      </c>
      <c r="AM51" s="427" t="e">
        <f ca="1">__xlfn.ISFORMULA(Sheet3!$T51)</f>
        <v>#NAME?</v>
      </c>
      <c r="AN51" s="662" t="e">
        <f ca="1">__xlfn.ISFORMULA(Sheet3!$N51)</f>
        <v>#NAME?</v>
      </c>
      <c r="AO51" t="b">
        <f t="shared" si="7"/>
        <v>0</v>
      </c>
      <c r="AP51" s="595">
        <v>125819.88</v>
      </c>
      <c r="AQ51" s="451">
        <v>125819.88</v>
      </c>
      <c r="AR51" s="595">
        <v>125819.88</v>
      </c>
      <c r="AS51" s="451"/>
      <c r="AT51" s="613">
        <v>200000</v>
      </c>
      <c r="AU51" s="471">
        <v>200000</v>
      </c>
      <c r="AV51" s="638">
        <v>250000</v>
      </c>
      <c r="AW51" s="638">
        <v>250000</v>
      </c>
      <c r="AX51" s="655">
        <f t="shared" si="9"/>
        <v>153.84615384615387</v>
      </c>
      <c r="AY51" s="655">
        <f t="shared" si="10"/>
        <v>158.95739210687532</v>
      </c>
      <c r="AZ51" s="655">
        <f t="shared" si="11"/>
        <v>100</v>
      </c>
      <c r="BA51" s="655">
        <f t="shared" si="12"/>
        <v>158.95739210687532</v>
      </c>
      <c r="BB51" s="655">
        <f t="shared" si="13"/>
        <v>125</v>
      </c>
      <c r="BC51" s="655">
        <f t="shared" si="13"/>
        <v>100</v>
      </c>
    </row>
    <row r="52" spans="1:55" ht="12" customHeight="1">
      <c r="A52" s="417"/>
      <c r="B52" s="36"/>
      <c r="C52" s="36"/>
      <c r="D52" s="36"/>
      <c r="E52" s="36"/>
      <c r="F52" s="36"/>
      <c r="G52" s="36"/>
      <c r="H52" s="46">
        <v>6115</v>
      </c>
      <c r="I52" s="38" t="s">
        <v>863</v>
      </c>
      <c r="J52" s="39"/>
      <c r="K52" s="40" t="s">
        <v>19</v>
      </c>
      <c r="L52" s="309">
        <v>-574080</v>
      </c>
      <c r="M52" s="309">
        <f>-574080/7.5345</f>
        <v>-76193.509854668519</v>
      </c>
      <c r="N52" s="339">
        <v>-62730</v>
      </c>
      <c r="O52" s="339">
        <f t="shared" si="34"/>
        <v>-8325.7017718494917</v>
      </c>
      <c r="P52" s="294">
        <v>3000</v>
      </c>
      <c r="Q52" s="294">
        <v>3000</v>
      </c>
      <c r="R52" s="451">
        <v>3000</v>
      </c>
      <c r="S52" s="294">
        <v>-32193.53</v>
      </c>
      <c r="T52" s="294">
        <v>-32193.53</v>
      </c>
      <c r="U52" s="294">
        <v>-32193.53</v>
      </c>
      <c r="V52" s="471">
        <v>3000</v>
      </c>
      <c r="W52" s="471">
        <v>0</v>
      </c>
      <c r="X52" s="527"/>
      <c r="Y52" s="527"/>
      <c r="Z52" s="527"/>
      <c r="AA52" s="527"/>
      <c r="AB52" s="528">
        <v>3000</v>
      </c>
      <c r="AC52" s="528">
        <v>3000</v>
      </c>
      <c r="AD52" s="524">
        <f t="shared" si="29"/>
        <v>10.927048494983278</v>
      </c>
      <c r="AE52" s="524">
        <f t="shared" si="30"/>
        <v>-36.032998565279769</v>
      </c>
      <c r="AF52" s="524">
        <f t="shared" si="30"/>
        <v>100</v>
      </c>
      <c r="AG52" s="524">
        <f t="shared" si="31"/>
        <v>100</v>
      </c>
      <c r="AH52" s="527"/>
      <c r="AI52" s="527"/>
      <c r="AJ52" s="516">
        <f t="shared" si="32"/>
        <v>0</v>
      </c>
      <c r="AK52" s="516"/>
      <c r="AL52" s="516"/>
      <c r="AM52" s="427" t="e">
        <f ca="1">__xlfn.ISFORMULA(Sheet3!$T52)</f>
        <v>#NAME?</v>
      </c>
      <c r="AN52" s="662" t="e">
        <f ca="1">__xlfn.ISFORMULA(Sheet3!$N52)</f>
        <v>#NAME?</v>
      </c>
      <c r="AO52" t="b">
        <f t="shared" si="7"/>
        <v>0</v>
      </c>
      <c r="AP52" s="595">
        <v>56046.16</v>
      </c>
      <c r="AQ52" s="451">
        <v>56046.16</v>
      </c>
      <c r="AR52" s="595">
        <v>56046.16</v>
      </c>
      <c r="AS52" s="451"/>
      <c r="AT52" s="613"/>
      <c r="AU52" s="471"/>
      <c r="AV52" s="638"/>
      <c r="AW52" s="638"/>
      <c r="AX52" s="655" t="str">
        <f t="shared" si="9"/>
        <v/>
      </c>
      <c r="AY52" s="655" t="str">
        <f t="shared" si="10"/>
        <v/>
      </c>
      <c r="AZ52" s="655" t="str">
        <f t="shared" si="11"/>
        <v/>
      </c>
      <c r="BA52" s="655" t="str">
        <f t="shared" si="12"/>
        <v/>
      </c>
      <c r="BB52" s="655" t="str">
        <f t="shared" si="13"/>
        <v/>
      </c>
      <c r="BC52" s="655" t="str">
        <f t="shared" si="13"/>
        <v/>
      </c>
    </row>
    <row r="53" spans="1:55" s="265" customFormat="1" ht="12" customHeight="1">
      <c r="A53" s="417"/>
      <c r="B53" s="36"/>
      <c r="C53" s="36"/>
      <c r="D53" s="36"/>
      <c r="E53" s="36"/>
      <c r="F53" s="36"/>
      <c r="G53" s="36"/>
      <c r="H53" s="46">
        <v>6116</v>
      </c>
      <c r="I53" s="38"/>
      <c r="J53" s="39"/>
      <c r="K53" s="69" t="s">
        <v>20</v>
      </c>
      <c r="L53" s="309">
        <v>0</v>
      </c>
      <c r="M53" s="309">
        <v>0</v>
      </c>
      <c r="N53" s="339">
        <v>0</v>
      </c>
      <c r="O53" s="339">
        <f t="shared" si="34"/>
        <v>0</v>
      </c>
      <c r="P53" s="294">
        <v>1000</v>
      </c>
      <c r="Q53" s="294">
        <v>1000</v>
      </c>
      <c r="R53" s="451">
        <v>1000</v>
      </c>
      <c r="S53" s="294"/>
      <c r="T53" s="294"/>
      <c r="U53" s="292" t="b">
        <f>__xlfn.ISFORMULA(S53)</f>
        <v>0</v>
      </c>
      <c r="V53" s="471">
        <v>1000</v>
      </c>
      <c r="W53" s="471">
        <v>0</v>
      </c>
      <c r="X53" s="527"/>
      <c r="Y53" s="527"/>
      <c r="Z53" s="527"/>
      <c r="AA53" s="527"/>
      <c r="AB53" s="528">
        <v>1000</v>
      </c>
      <c r="AC53" s="528">
        <v>1000</v>
      </c>
      <c r="AD53" s="524"/>
      <c r="AE53" s="524"/>
      <c r="AF53" s="524"/>
      <c r="AG53" s="524"/>
      <c r="AH53" s="527"/>
      <c r="AI53" s="527"/>
      <c r="AJ53" s="516">
        <f t="shared" si="32"/>
        <v>0</v>
      </c>
      <c r="AK53" s="516"/>
      <c r="AL53" s="516"/>
      <c r="AM53" s="427" t="e">
        <f ca="1">__xlfn.ISFORMULA(Sheet3!$T53)</f>
        <v>#NAME?</v>
      </c>
      <c r="AN53" s="662" t="e">
        <f ca="1">__xlfn.ISFORMULA(Sheet3!$N53)</f>
        <v>#NAME?</v>
      </c>
      <c r="AO53" t="b">
        <f t="shared" si="7"/>
        <v>0</v>
      </c>
      <c r="AQ53" s="451"/>
      <c r="AS53" s="451"/>
      <c r="AT53" s="613"/>
      <c r="AU53" s="471"/>
      <c r="AV53" s="638"/>
      <c r="AW53" s="638"/>
      <c r="AX53" s="655" t="str">
        <f t="shared" si="9"/>
        <v/>
      </c>
      <c r="AY53" s="655" t="str">
        <f t="shared" si="10"/>
        <v/>
      </c>
      <c r="AZ53" s="655" t="str">
        <f t="shared" si="11"/>
        <v/>
      </c>
      <c r="BA53" s="655" t="str">
        <f t="shared" si="12"/>
        <v/>
      </c>
      <c r="BB53" s="655" t="str">
        <f t="shared" si="13"/>
        <v/>
      </c>
      <c r="BC53" s="655" t="str">
        <f t="shared" si="13"/>
        <v/>
      </c>
    </row>
    <row r="54" spans="1:55" ht="12" customHeight="1">
      <c r="A54" s="421"/>
      <c r="B54" s="263"/>
      <c r="C54" s="263"/>
      <c r="D54" s="263"/>
      <c r="E54" s="263"/>
      <c r="F54" s="263"/>
      <c r="G54" s="263"/>
      <c r="H54" s="266"/>
      <c r="I54" s="264"/>
      <c r="J54" s="287"/>
      <c r="K54" s="262"/>
      <c r="L54" s="310"/>
      <c r="M54" s="310"/>
      <c r="N54" s="340"/>
      <c r="O54" s="340"/>
      <c r="P54" s="295"/>
      <c r="Q54" s="295"/>
      <c r="R54" s="452"/>
      <c r="S54" s="295"/>
      <c r="T54" s="295"/>
      <c r="U54" s="292" t="b">
        <f>__xlfn.ISFORMULA(S54)</f>
        <v>0</v>
      </c>
      <c r="V54" s="472"/>
      <c r="W54" s="472"/>
      <c r="X54" s="529"/>
      <c r="Y54" s="529"/>
      <c r="Z54" s="529"/>
      <c r="AA54" s="529"/>
      <c r="AB54" s="530"/>
      <c r="AC54" s="530"/>
      <c r="AD54" s="524"/>
      <c r="AE54" s="524"/>
      <c r="AF54" s="524"/>
      <c r="AG54" s="524"/>
      <c r="AH54" s="529"/>
      <c r="AI54" s="529"/>
      <c r="AJ54" s="516"/>
      <c r="AK54" s="516"/>
      <c r="AL54" s="516"/>
      <c r="AM54" s="427" t="e">
        <f ca="1">__xlfn.ISFORMULA(Sheet3!$T54)</f>
        <v>#NAME?</v>
      </c>
      <c r="AN54" s="662" t="e">
        <f ca="1">__xlfn.ISFORMULA(Sheet3!$N54)</f>
        <v>#NAME?</v>
      </c>
      <c r="AO54" t="b">
        <f t="shared" si="7"/>
        <v>0</v>
      </c>
      <c r="AQ54" s="452"/>
      <c r="AS54" s="452"/>
      <c r="AT54" s="613"/>
      <c r="AU54" s="472"/>
      <c r="AV54" s="639"/>
      <c r="AW54" s="639"/>
      <c r="AX54" s="655" t="str">
        <f t="shared" si="9"/>
        <v/>
      </c>
      <c r="AY54" s="655" t="str">
        <f t="shared" si="10"/>
        <v/>
      </c>
      <c r="AZ54" s="655" t="str">
        <f t="shared" si="11"/>
        <v/>
      </c>
      <c r="BA54" s="655" t="str">
        <f t="shared" si="12"/>
        <v/>
      </c>
      <c r="BB54" s="655" t="str">
        <f t="shared" si="13"/>
        <v/>
      </c>
      <c r="BC54" s="655" t="str">
        <f t="shared" si="13"/>
        <v/>
      </c>
    </row>
    <row r="55" spans="1:55" ht="12" customHeight="1">
      <c r="A55" s="420"/>
      <c r="B55" s="56"/>
      <c r="C55" s="56"/>
      <c r="D55" s="56"/>
      <c r="E55" s="56"/>
      <c r="F55" s="56"/>
      <c r="G55" s="56"/>
      <c r="H55" s="57">
        <v>613</v>
      </c>
      <c r="I55" s="58"/>
      <c r="J55" s="59"/>
      <c r="K55" s="246" t="s">
        <v>21</v>
      </c>
      <c r="L55" s="315">
        <f t="shared" ref="L55:Q55" si="35">L57+L61</f>
        <v>6426211</v>
      </c>
      <c r="M55" s="315">
        <f t="shared" si="35"/>
        <v>852904.77138496249</v>
      </c>
      <c r="N55" s="337">
        <f t="shared" si="35"/>
        <v>7200125</v>
      </c>
      <c r="O55" s="337">
        <f t="shared" si="35"/>
        <v>955620.81093635934</v>
      </c>
      <c r="P55" s="292">
        <f t="shared" si="35"/>
        <v>1200000</v>
      </c>
      <c r="Q55" s="292">
        <f t="shared" si="35"/>
        <v>1100000</v>
      </c>
      <c r="R55" s="453">
        <v>1100000</v>
      </c>
      <c r="S55" s="292">
        <f>S57+S61</f>
        <v>777792.2</v>
      </c>
      <c r="T55" s="292">
        <f>T57+T61</f>
        <v>0</v>
      </c>
      <c r="U55" s="292">
        <f>U57+U61</f>
        <v>0</v>
      </c>
      <c r="V55" s="469">
        <v>1260000</v>
      </c>
      <c r="W55" s="469">
        <f>W57+W61</f>
        <v>1320000</v>
      </c>
      <c r="X55" s="522">
        <f>X57+X61</f>
        <v>1750000</v>
      </c>
      <c r="Y55" s="522"/>
      <c r="Z55" s="522"/>
      <c r="AA55" s="522"/>
      <c r="AB55" s="523">
        <f>AB57+AB61</f>
        <v>1135000</v>
      </c>
      <c r="AC55" s="523">
        <f>AC57+AC61</f>
        <v>1135000</v>
      </c>
      <c r="AD55" s="524">
        <f>O55/M55*100</f>
        <v>112.04308417510723</v>
      </c>
      <c r="AE55" s="524">
        <f>P55/O55*100</f>
        <v>125.5728199163209</v>
      </c>
      <c r="AF55" s="524">
        <f>Q55/P55*100</f>
        <v>91.666666666666657</v>
      </c>
      <c r="AG55" s="524">
        <f>AB55/Q55*100</f>
        <v>103.18181818181817</v>
      </c>
      <c r="AH55" s="522"/>
      <c r="AI55" s="522">
        <v>1750000</v>
      </c>
      <c r="AJ55" s="516">
        <f>W55/R55*100</f>
        <v>120</v>
      </c>
      <c r="AK55" s="516">
        <f>AT55/W55*100</f>
        <v>121.96969696969697</v>
      </c>
      <c r="AL55" s="516">
        <f>X55/AT55*100</f>
        <v>108.69565217391303</v>
      </c>
      <c r="AM55" s="427" t="e">
        <f ca="1">__xlfn.ISFORMULA(Sheet3!$T55)</f>
        <v>#NAME?</v>
      </c>
      <c r="AN55" s="662" t="e">
        <f ca="1">__xlfn.ISFORMULA(Sheet3!$N55)</f>
        <v>#NAME?</v>
      </c>
      <c r="AO55" t="b">
        <f t="shared" si="7"/>
        <v>1</v>
      </c>
      <c r="AP55" s="440">
        <f t="shared" ref="AP55:AU55" si="36">AP57+AP61</f>
        <v>1001164.5900000001</v>
      </c>
      <c r="AQ55" s="453">
        <v>1001164.59</v>
      </c>
      <c r="AR55" s="440">
        <f t="shared" si="36"/>
        <v>1001164.5900000001</v>
      </c>
      <c r="AS55" s="453">
        <f t="shared" si="36"/>
        <v>433525.2</v>
      </c>
      <c r="AT55" s="612">
        <f t="shared" si="36"/>
        <v>1610000</v>
      </c>
      <c r="AU55" s="469">
        <f t="shared" si="36"/>
        <v>1365000</v>
      </c>
      <c r="AV55" s="636">
        <v>1750000</v>
      </c>
      <c r="AW55" s="636">
        <v>1750000</v>
      </c>
      <c r="AX55" s="655">
        <f t="shared" si="9"/>
        <v>146.36363636363637</v>
      </c>
      <c r="AY55" s="655">
        <f t="shared" si="10"/>
        <v>160.81271911544533</v>
      </c>
      <c r="AZ55" s="655">
        <f t="shared" si="11"/>
        <v>84.782608695652172</v>
      </c>
      <c r="BA55" s="655">
        <f t="shared" si="12"/>
        <v>136.34121838048628</v>
      </c>
      <c r="BB55" s="655">
        <f t="shared" si="13"/>
        <v>128.2051282051282</v>
      </c>
      <c r="BC55" s="655">
        <f t="shared" si="13"/>
        <v>100</v>
      </c>
    </row>
    <row r="56" spans="1:55" ht="12" customHeight="1">
      <c r="A56" s="422"/>
      <c r="B56" s="25"/>
      <c r="C56" s="25"/>
      <c r="D56" s="25"/>
      <c r="E56" s="25"/>
      <c r="F56" s="25"/>
      <c r="G56" s="25"/>
      <c r="H56" s="26"/>
      <c r="I56" s="27"/>
      <c r="J56" s="28"/>
      <c r="K56" s="28"/>
      <c r="L56" s="313"/>
      <c r="M56" s="313"/>
      <c r="N56" s="335"/>
      <c r="O56" s="335"/>
      <c r="P56" s="290"/>
      <c r="Q56" s="290"/>
      <c r="R56" s="446"/>
      <c r="S56" s="290"/>
      <c r="T56" s="290"/>
      <c r="U56" s="290"/>
      <c r="V56" s="467"/>
      <c r="W56" s="467"/>
      <c r="X56" s="514"/>
      <c r="Y56" s="514"/>
      <c r="Z56" s="514"/>
      <c r="AA56" s="514"/>
      <c r="AB56" s="515"/>
      <c r="AC56" s="515"/>
      <c r="AD56" s="524"/>
      <c r="AE56" s="524"/>
      <c r="AF56" s="524"/>
      <c r="AG56" s="524"/>
      <c r="AH56" s="514"/>
      <c r="AI56" s="514"/>
      <c r="AJ56" s="516"/>
      <c r="AK56" s="516"/>
      <c r="AL56" s="516"/>
      <c r="AM56" s="427" t="e">
        <f ca="1">__xlfn.ISFORMULA(Sheet3!$T56)</f>
        <v>#NAME?</v>
      </c>
      <c r="AN56" s="662" t="e">
        <f ca="1">__xlfn.ISFORMULA(Sheet3!$N56)</f>
        <v>#NAME?</v>
      </c>
      <c r="AO56" t="b">
        <f t="shared" si="7"/>
        <v>0</v>
      </c>
      <c r="AQ56" s="446"/>
      <c r="AS56" s="446"/>
      <c r="AT56" s="612"/>
      <c r="AU56" s="467"/>
      <c r="AV56" s="632"/>
      <c r="AW56" s="632"/>
      <c r="AX56" s="655" t="str">
        <f t="shared" si="9"/>
        <v/>
      </c>
      <c r="AY56" s="655" t="str">
        <f t="shared" si="10"/>
        <v/>
      </c>
      <c r="AZ56" s="655" t="str">
        <f t="shared" si="11"/>
        <v/>
      </c>
      <c r="BA56" s="655" t="str">
        <f t="shared" si="12"/>
        <v/>
      </c>
      <c r="BB56" s="655" t="str">
        <f t="shared" si="13"/>
        <v/>
      </c>
      <c r="BC56" s="655" t="str">
        <f t="shared" si="13"/>
        <v/>
      </c>
    </row>
    <row r="57" spans="1:55" ht="12" customHeight="1">
      <c r="A57" s="417"/>
      <c r="B57" s="36"/>
      <c r="C57" s="36"/>
      <c r="D57" s="36"/>
      <c r="E57" s="36"/>
      <c r="F57" s="36"/>
      <c r="G57" s="36"/>
      <c r="H57" s="46">
        <v>6131</v>
      </c>
      <c r="I57" s="38"/>
      <c r="J57" s="39"/>
      <c r="K57" s="40" t="s">
        <v>22</v>
      </c>
      <c r="L57" s="315">
        <f t="shared" ref="L57:Q57" si="37">L58+L59</f>
        <v>2032629</v>
      </c>
      <c r="M57" s="315">
        <f t="shared" si="37"/>
        <v>269776.22934501292</v>
      </c>
      <c r="N57" s="337">
        <f t="shared" si="37"/>
        <v>2391034</v>
      </c>
      <c r="O57" s="337">
        <f t="shared" si="37"/>
        <v>317344.74749485694</v>
      </c>
      <c r="P57" s="292">
        <f t="shared" si="37"/>
        <v>400000</v>
      </c>
      <c r="Q57" s="292">
        <f t="shared" si="37"/>
        <v>400000</v>
      </c>
      <c r="R57" s="453">
        <v>400000</v>
      </c>
      <c r="S57" s="292">
        <f>S58+S59</f>
        <v>327039.75</v>
      </c>
      <c r="T57" s="292">
        <f>T58+T59</f>
        <v>0</v>
      </c>
      <c r="U57" s="292">
        <f>U58+U59</f>
        <v>0</v>
      </c>
      <c r="V57" s="469">
        <v>410000</v>
      </c>
      <c r="W57" s="469">
        <f>W58+W59</f>
        <v>470000</v>
      </c>
      <c r="X57" s="522">
        <f>X58+X59</f>
        <v>850000</v>
      </c>
      <c r="Y57" s="522"/>
      <c r="Z57" s="522"/>
      <c r="AA57" s="522"/>
      <c r="AB57" s="523">
        <f>AB58+AB59</f>
        <v>335000</v>
      </c>
      <c r="AC57" s="523">
        <f>AC58+AC59</f>
        <v>335000</v>
      </c>
      <c r="AD57" s="524">
        <f>O57/M57*100</f>
        <v>117.63258322104033</v>
      </c>
      <c r="AE57" s="524">
        <f t="shared" ref="AE57:AF59" si="38">P57/O57*100</f>
        <v>126.04588642403247</v>
      </c>
      <c r="AF57" s="524">
        <f t="shared" si="38"/>
        <v>100</v>
      </c>
      <c r="AG57" s="524">
        <f>AB57/Q57*100</f>
        <v>83.75</v>
      </c>
      <c r="AH57" s="522"/>
      <c r="AI57" s="522">
        <v>850000</v>
      </c>
      <c r="AJ57" s="516">
        <f>W57/R57*100</f>
        <v>117.5</v>
      </c>
      <c r="AK57" s="516">
        <f>AT57/W57*100</f>
        <v>151.06382978723406</v>
      </c>
      <c r="AL57" s="516">
        <f>X57/AT57*100</f>
        <v>119.71830985915493</v>
      </c>
      <c r="AM57" s="427" t="e">
        <f ca="1">__xlfn.ISFORMULA(Sheet3!$T57)</f>
        <v>#NAME?</v>
      </c>
      <c r="AN57" s="662" t="e">
        <f ca="1">__xlfn.ISFORMULA(Sheet3!$N57)</f>
        <v>#NAME?</v>
      </c>
      <c r="AO57" t="b">
        <f t="shared" si="7"/>
        <v>1</v>
      </c>
      <c r="AP57" s="440">
        <f>AP58+AP59</f>
        <v>372707.54000000004</v>
      </c>
      <c r="AQ57" s="453">
        <v>372707.54</v>
      </c>
      <c r="AR57" s="440">
        <f>AR58+AR59</f>
        <v>372707.54000000004</v>
      </c>
      <c r="AS57" s="453">
        <f>AS58+AS59</f>
        <v>175248.88</v>
      </c>
      <c r="AT57" s="612">
        <f>AT58+AT59</f>
        <v>710000</v>
      </c>
      <c r="AU57" s="469">
        <f>AU58+AU59+AU60</f>
        <v>605000</v>
      </c>
      <c r="AV57" s="636">
        <v>850000</v>
      </c>
      <c r="AW57" s="636">
        <v>850000</v>
      </c>
      <c r="AX57" s="655">
        <f t="shared" si="9"/>
        <v>177.5</v>
      </c>
      <c r="AY57" s="655">
        <f t="shared" si="10"/>
        <v>190.49789011512888</v>
      </c>
      <c r="AZ57" s="655">
        <f t="shared" si="11"/>
        <v>85.211267605633793</v>
      </c>
      <c r="BA57" s="655">
        <f t="shared" si="12"/>
        <v>162.3256669290887</v>
      </c>
      <c r="BB57" s="655">
        <f t="shared" si="13"/>
        <v>140.49586776859505</v>
      </c>
      <c r="BC57" s="655">
        <f t="shared" si="13"/>
        <v>100</v>
      </c>
    </row>
    <row r="58" spans="1:55" ht="12" customHeight="1">
      <c r="A58" s="417"/>
      <c r="B58" s="36"/>
      <c r="C58" s="36"/>
      <c r="D58" s="36"/>
      <c r="E58" s="36"/>
      <c r="F58" s="36"/>
      <c r="G58" s="36"/>
      <c r="H58" s="46">
        <v>61314</v>
      </c>
      <c r="I58" s="38">
        <v>61</v>
      </c>
      <c r="J58" s="39"/>
      <c r="K58" s="40" t="s">
        <v>23</v>
      </c>
      <c r="L58" s="309">
        <v>1000002</v>
      </c>
      <c r="M58" s="309">
        <f>1000002/7.5345</f>
        <v>132723.07386024288</v>
      </c>
      <c r="N58" s="339">
        <v>1291255</v>
      </c>
      <c r="O58" s="339">
        <f>N58/7.5345</f>
        <v>171378.98997942795</v>
      </c>
      <c r="P58" s="294">
        <v>240000</v>
      </c>
      <c r="Q58" s="294">
        <v>240000</v>
      </c>
      <c r="R58" s="451">
        <v>240000</v>
      </c>
      <c r="S58" s="294">
        <v>134973.64000000001</v>
      </c>
      <c r="T58" s="294"/>
      <c r="U58" s="292" t="b">
        <f>__xlfn.ISFORMULA(S58)</f>
        <v>0</v>
      </c>
      <c r="V58" s="471">
        <v>250000</v>
      </c>
      <c r="W58" s="471">
        <v>250000</v>
      </c>
      <c r="X58" s="527">
        <v>500000</v>
      </c>
      <c r="Y58" s="527"/>
      <c r="Z58" s="527"/>
      <c r="AA58" s="527"/>
      <c r="AB58" s="528">
        <v>175000</v>
      </c>
      <c r="AC58" s="528">
        <v>175000</v>
      </c>
      <c r="AD58" s="524">
        <f>O58/M58*100</f>
        <v>129.1252417495165</v>
      </c>
      <c r="AE58" s="524">
        <f t="shared" si="38"/>
        <v>140.04050323135246</v>
      </c>
      <c r="AF58" s="524">
        <f t="shared" si="38"/>
        <v>100</v>
      </c>
      <c r="AG58" s="524">
        <f>AB58/Q58*100</f>
        <v>72.916666666666657</v>
      </c>
      <c r="AH58" s="527"/>
      <c r="AI58" s="527">
        <v>500000</v>
      </c>
      <c r="AJ58" s="516">
        <f>W58/R58*100</f>
        <v>104.16666666666667</v>
      </c>
      <c r="AK58" s="516">
        <f>AT58/W58*100</f>
        <v>180</v>
      </c>
      <c r="AL58" s="516">
        <f>X58/AT58*100</f>
        <v>111.11111111111111</v>
      </c>
      <c r="AM58" s="427" t="e">
        <f ca="1">__xlfn.ISFORMULA(Sheet3!$T58)</f>
        <v>#NAME?</v>
      </c>
      <c r="AN58" s="662" t="e">
        <f ca="1">__xlfn.ISFORMULA(Sheet3!$N58)</f>
        <v>#NAME?</v>
      </c>
      <c r="AO58" t="b">
        <f t="shared" si="7"/>
        <v>0</v>
      </c>
      <c r="AP58" s="595">
        <v>175974.87</v>
      </c>
      <c r="AQ58" s="451">
        <v>175974.87</v>
      </c>
      <c r="AR58" s="595">
        <v>175974.87</v>
      </c>
      <c r="AS58" s="451">
        <v>149638.81</v>
      </c>
      <c r="AT58" s="613">
        <v>450000</v>
      </c>
      <c r="AU58" s="471">
        <v>230000</v>
      </c>
      <c r="AV58" s="638">
        <v>500000</v>
      </c>
      <c r="AW58" s="638">
        <v>500000</v>
      </c>
      <c r="AX58" s="655">
        <f t="shared" si="9"/>
        <v>187.5</v>
      </c>
      <c r="AY58" s="655">
        <f t="shared" si="10"/>
        <v>255.71833069119472</v>
      </c>
      <c r="AZ58" s="655">
        <f t="shared" si="11"/>
        <v>51.111111111111107</v>
      </c>
      <c r="BA58" s="655">
        <f t="shared" si="12"/>
        <v>130.70048013105509</v>
      </c>
      <c r="BB58" s="655">
        <f t="shared" si="13"/>
        <v>217.39130434782606</v>
      </c>
      <c r="BC58" s="655">
        <f t="shared" si="13"/>
        <v>100</v>
      </c>
    </row>
    <row r="59" spans="1:55" ht="12" customHeight="1">
      <c r="A59" s="417"/>
      <c r="B59" s="36"/>
      <c r="C59" s="36"/>
      <c r="D59" s="36"/>
      <c r="E59" s="36"/>
      <c r="F59" s="36"/>
      <c r="G59" s="36"/>
      <c r="H59" s="46">
        <v>61315</v>
      </c>
      <c r="I59" s="38" t="s">
        <v>859</v>
      </c>
      <c r="J59" s="39"/>
      <c r="K59" s="40" t="s">
        <v>24</v>
      </c>
      <c r="L59" s="309">
        <v>1032627</v>
      </c>
      <c r="M59" s="309">
        <f>1032627/7.5345</f>
        <v>137053.15548477005</v>
      </c>
      <c r="N59" s="339">
        <v>1099779</v>
      </c>
      <c r="O59" s="339">
        <f>N59/7.5345</f>
        <v>145965.75751542902</v>
      </c>
      <c r="P59" s="294">
        <v>160000</v>
      </c>
      <c r="Q59" s="294">
        <v>160000</v>
      </c>
      <c r="R59" s="451">
        <v>160000</v>
      </c>
      <c r="S59" s="294">
        <v>192066.11</v>
      </c>
      <c r="T59" s="294"/>
      <c r="U59" s="292" t="b">
        <f>__xlfn.ISFORMULA(S59)</f>
        <v>0</v>
      </c>
      <c r="V59" s="471">
        <v>160000</v>
      </c>
      <c r="W59" s="471">
        <v>220000</v>
      </c>
      <c r="X59" s="527">
        <v>350000</v>
      </c>
      <c r="Y59" s="527"/>
      <c r="Z59" s="527"/>
      <c r="AA59" s="527"/>
      <c r="AB59" s="528">
        <v>160000</v>
      </c>
      <c r="AC59" s="528">
        <v>160000</v>
      </c>
      <c r="AD59" s="524">
        <f>O59/M59*100</f>
        <v>106.50302577794307</v>
      </c>
      <c r="AE59" s="524">
        <f t="shared" si="38"/>
        <v>109.61474987247438</v>
      </c>
      <c r="AF59" s="524">
        <f t="shared" si="38"/>
        <v>100</v>
      </c>
      <c r="AG59" s="524">
        <f>AB59/Q59*100</f>
        <v>100</v>
      </c>
      <c r="AH59" s="527"/>
      <c r="AI59" s="527">
        <v>350000</v>
      </c>
      <c r="AJ59" s="516">
        <f>W59/R59*100</f>
        <v>137.5</v>
      </c>
      <c r="AK59" s="516">
        <f>AT59/W59*100</f>
        <v>118.18181818181819</v>
      </c>
      <c r="AL59" s="516">
        <f>X59/AT59*100</f>
        <v>134.61538461538461</v>
      </c>
      <c r="AM59" s="427" t="e">
        <f ca="1">__xlfn.ISFORMULA(Sheet3!$T59)</f>
        <v>#NAME?</v>
      </c>
      <c r="AN59" s="662" t="e">
        <f ca="1">__xlfn.ISFORMULA(Sheet3!$N59)</f>
        <v>#NAME?</v>
      </c>
      <c r="AO59" t="b">
        <f t="shared" si="7"/>
        <v>0</v>
      </c>
      <c r="AP59" s="595">
        <v>196732.67</v>
      </c>
      <c r="AQ59" s="451">
        <v>196732.67</v>
      </c>
      <c r="AR59" s="595">
        <v>196732.67</v>
      </c>
      <c r="AS59" s="451">
        <v>25610.07</v>
      </c>
      <c r="AT59" s="613">
        <v>260000</v>
      </c>
      <c r="AU59" s="471">
        <v>250000</v>
      </c>
      <c r="AV59" s="638">
        <v>350000</v>
      </c>
      <c r="AW59" s="638">
        <v>350000</v>
      </c>
      <c r="AX59" s="655">
        <f t="shared" si="9"/>
        <v>162.5</v>
      </c>
      <c r="AY59" s="655">
        <f t="shared" si="10"/>
        <v>132.1590359140655</v>
      </c>
      <c r="AZ59" s="655">
        <f t="shared" si="11"/>
        <v>96.15384615384616</v>
      </c>
      <c r="BA59" s="655">
        <f t="shared" si="12"/>
        <v>127.07599607121685</v>
      </c>
      <c r="BB59" s="655">
        <f t="shared" si="13"/>
        <v>140</v>
      </c>
      <c r="BC59" s="655">
        <f t="shared" si="13"/>
        <v>100</v>
      </c>
    </row>
    <row r="60" spans="1:55" ht="12" customHeight="1">
      <c r="A60" s="417"/>
      <c r="B60" s="36"/>
      <c r="C60" s="36"/>
      <c r="D60" s="36"/>
      <c r="E60" s="36"/>
      <c r="F60" s="36"/>
      <c r="G60" s="36"/>
      <c r="H60" s="46"/>
      <c r="I60" s="38"/>
      <c r="J60" s="39"/>
      <c r="K60" s="40" t="s">
        <v>877</v>
      </c>
      <c r="L60" s="309"/>
      <c r="M60" s="309"/>
      <c r="N60" s="339"/>
      <c r="O60" s="339"/>
      <c r="P60" s="294"/>
      <c r="Q60" s="294"/>
      <c r="R60" s="451"/>
      <c r="S60" s="294"/>
      <c r="T60" s="294"/>
      <c r="U60" s="292" t="b">
        <f>__xlfn.ISFORMULA(S60)</f>
        <v>0</v>
      </c>
      <c r="V60" s="471"/>
      <c r="W60" s="471"/>
      <c r="X60" s="527"/>
      <c r="Y60" s="527"/>
      <c r="Z60" s="527"/>
      <c r="AA60" s="527"/>
      <c r="AB60" s="528"/>
      <c r="AC60" s="528"/>
      <c r="AD60" s="524"/>
      <c r="AE60" s="524"/>
      <c r="AF60" s="524"/>
      <c r="AG60" s="524"/>
      <c r="AH60" s="527"/>
      <c r="AI60" s="527"/>
      <c r="AJ60" s="516"/>
      <c r="AK60" s="516"/>
      <c r="AL60" s="516"/>
      <c r="AM60" s="427" t="e">
        <f ca="1">__xlfn.ISFORMULA(Sheet3!$T60)</f>
        <v>#NAME?</v>
      </c>
      <c r="AN60" s="662" t="e">
        <f ca="1">__xlfn.ISFORMULA(Sheet3!$N60)</f>
        <v>#NAME?</v>
      </c>
      <c r="AO60" t="b">
        <f t="shared" si="7"/>
        <v>0</v>
      </c>
      <c r="AQ60" s="451"/>
      <c r="AS60" s="451"/>
      <c r="AT60" s="613"/>
      <c r="AU60" s="471">
        <v>125000</v>
      </c>
      <c r="AV60" s="638"/>
      <c r="AW60" s="638"/>
      <c r="AX60" s="655" t="str">
        <f t="shared" si="9"/>
        <v/>
      </c>
      <c r="AY60" s="655" t="str">
        <f t="shared" si="10"/>
        <v/>
      </c>
      <c r="AZ60" s="655" t="str">
        <f t="shared" si="11"/>
        <v/>
      </c>
      <c r="BA60" s="655" t="str">
        <f t="shared" si="12"/>
        <v/>
      </c>
      <c r="BB60" s="655" t="str">
        <f t="shared" si="13"/>
        <v/>
      </c>
      <c r="BC60" s="655" t="str">
        <f t="shared" si="13"/>
        <v/>
      </c>
    </row>
    <row r="61" spans="1:55" ht="12" customHeight="1">
      <c r="A61" s="417"/>
      <c r="B61" s="36"/>
      <c r="C61" s="36"/>
      <c r="D61" s="36"/>
      <c r="E61" s="36"/>
      <c r="F61" s="36"/>
      <c r="G61" s="36"/>
      <c r="H61" s="46">
        <v>6134</v>
      </c>
      <c r="I61" s="38"/>
      <c r="J61" s="39"/>
      <c r="K61" s="40" t="s">
        <v>25</v>
      </c>
      <c r="L61" s="315">
        <f t="shared" ref="L61:Q61" si="39">L62</f>
        <v>4393582</v>
      </c>
      <c r="M61" s="315">
        <f t="shared" si="39"/>
        <v>583128.54203994956</v>
      </c>
      <c r="N61" s="337">
        <f t="shared" si="39"/>
        <v>4809091</v>
      </c>
      <c r="O61" s="337">
        <f t="shared" si="39"/>
        <v>638276.0634415024</v>
      </c>
      <c r="P61" s="292">
        <f t="shared" si="39"/>
        <v>800000</v>
      </c>
      <c r="Q61" s="292">
        <f t="shared" si="39"/>
        <v>700000</v>
      </c>
      <c r="R61" s="453">
        <v>700000</v>
      </c>
      <c r="S61" s="292">
        <f>S62</f>
        <v>450752.45</v>
      </c>
      <c r="T61" s="292">
        <f>T62</f>
        <v>0</v>
      </c>
      <c r="U61" s="292" t="b">
        <f>U62</f>
        <v>0</v>
      </c>
      <c r="V61" s="469">
        <v>850000</v>
      </c>
      <c r="W61" s="469">
        <f>W62</f>
        <v>850000</v>
      </c>
      <c r="X61" s="522">
        <f>X62</f>
        <v>900000</v>
      </c>
      <c r="Y61" s="522"/>
      <c r="Z61" s="522"/>
      <c r="AA61" s="522"/>
      <c r="AB61" s="523">
        <f>AB62</f>
        <v>800000</v>
      </c>
      <c r="AC61" s="523">
        <f>AC62</f>
        <v>800000</v>
      </c>
      <c r="AD61" s="524">
        <f>O61/M61*100</f>
        <v>109.45718095166997</v>
      </c>
      <c r="AE61" s="524">
        <f>P61/O61*100</f>
        <v>125.33761577811691</v>
      </c>
      <c r="AF61" s="524">
        <f>Q61/P61*100</f>
        <v>87.5</v>
      </c>
      <c r="AG61" s="524">
        <f>AB61/Q61*100</f>
        <v>114.28571428571428</v>
      </c>
      <c r="AH61" s="522"/>
      <c r="AI61" s="522">
        <v>900000</v>
      </c>
      <c r="AJ61" s="516">
        <f>W61/R61*100</f>
        <v>121.42857142857142</v>
      </c>
      <c r="AK61" s="516">
        <f>AT61/W61*100</f>
        <v>105.88235294117648</v>
      </c>
      <c r="AL61" s="516">
        <f>X61/AT61*100</f>
        <v>100</v>
      </c>
      <c r="AM61" s="427" t="e">
        <f ca="1">__xlfn.ISFORMULA(Sheet3!$T61)</f>
        <v>#NAME?</v>
      </c>
      <c r="AN61" s="662" t="e">
        <f ca="1">__xlfn.ISFORMULA(Sheet3!$N61)</f>
        <v>#NAME?</v>
      </c>
      <c r="AO61" t="b">
        <f t="shared" si="7"/>
        <v>1</v>
      </c>
      <c r="AP61" s="440">
        <f t="shared" ref="AP61:AU61" si="40">AP62</f>
        <v>628457.05000000005</v>
      </c>
      <c r="AQ61" s="453">
        <v>628457.05000000005</v>
      </c>
      <c r="AR61" s="440">
        <f t="shared" si="40"/>
        <v>628457.05000000005</v>
      </c>
      <c r="AS61" s="453">
        <f t="shared" si="40"/>
        <v>258276.32</v>
      </c>
      <c r="AT61" s="612">
        <f>AT62</f>
        <v>900000</v>
      </c>
      <c r="AU61" s="469">
        <f t="shared" si="40"/>
        <v>760000</v>
      </c>
      <c r="AV61" s="636">
        <v>900000</v>
      </c>
      <c r="AW61" s="636">
        <v>900000</v>
      </c>
      <c r="AX61" s="655">
        <f t="shared" si="9"/>
        <v>128.57142857142858</v>
      </c>
      <c r="AY61" s="655">
        <f t="shared" si="10"/>
        <v>143.20787713336972</v>
      </c>
      <c r="AZ61" s="655">
        <f t="shared" si="11"/>
        <v>84.444444444444443</v>
      </c>
      <c r="BA61" s="655">
        <f t="shared" si="12"/>
        <v>120.93109624595667</v>
      </c>
      <c r="BB61" s="655">
        <f t="shared" si="13"/>
        <v>118.42105263157893</v>
      </c>
      <c r="BC61" s="655">
        <f t="shared" si="13"/>
        <v>100</v>
      </c>
    </row>
    <row r="62" spans="1:55" ht="12" customHeight="1">
      <c r="A62" s="417"/>
      <c r="B62" s="36"/>
      <c r="C62" s="36"/>
      <c r="D62" s="36"/>
      <c r="E62" s="36"/>
      <c r="F62" s="36"/>
      <c r="G62" s="36"/>
      <c r="H62" s="46">
        <v>61341</v>
      </c>
      <c r="I62" s="38" t="s">
        <v>864</v>
      </c>
      <c r="J62" s="39"/>
      <c r="K62" s="40" t="s">
        <v>26</v>
      </c>
      <c r="L62" s="309">
        <v>4393582</v>
      </c>
      <c r="M62" s="309">
        <f>4393582/7.5345</f>
        <v>583128.54203994956</v>
      </c>
      <c r="N62" s="339">
        <v>4809091</v>
      </c>
      <c r="O62" s="339">
        <f>N62/7.5345</f>
        <v>638276.0634415024</v>
      </c>
      <c r="P62" s="294">
        <v>800000</v>
      </c>
      <c r="Q62" s="269">
        <v>700000</v>
      </c>
      <c r="R62" s="451">
        <v>700000</v>
      </c>
      <c r="S62" s="294">
        <v>450752.45</v>
      </c>
      <c r="T62" s="294"/>
      <c r="U62" s="292" t="b">
        <f>__xlfn.ISFORMULA(S62)</f>
        <v>0</v>
      </c>
      <c r="V62" s="471">
        <v>850000</v>
      </c>
      <c r="W62" s="471">
        <v>850000</v>
      </c>
      <c r="X62" s="527">
        <v>900000</v>
      </c>
      <c r="Y62" s="527"/>
      <c r="Z62" s="527"/>
      <c r="AA62" s="527"/>
      <c r="AB62" s="528">
        <v>800000</v>
      </c>
      <c r="AC62" s="528">
        <v>800000</v>
      </c>
      <c r="AD62" s="524">
        <f>O62/M62*100</f>
        <v>109.45718095166997</v>
      </c>
      <c r="AE62" s="524">
        <f>P62/O62*100</f>
        <v>125.33761577811691</v>
      </c>
      <c r="AF62" s="524">
        <f>Q62/P62*100</f>
        <v>87.5</v>
      </c>
      <c r="AG62" s="524">
        <f>AB62/Q62*100</f>
        <v>114.28571428571428</v>
      </c>
      <c r="AH62" s="527"/>
      <c r="AI62" s="527">
        <v>900000</v>
      </c>
      <c r="AJ62" s="516">
        <f>W62/R62*100</f>
        <v>121.42857142857142</v>
      </c>
      <c r="AK62" s="516">
        <f>AT62/W62*100</f>
        <v>105.88235294117648</v>
      </c>
      <c r="AL62" s="516">
        <f>X62/AT62*100</f>
        <v>100</v>
      </c>
      <c r="AM62" s="427" t="e">
        <f ca="1">__xlfn.ISFORMULA(Sheet3!$T62)</f>
        <v>#NAME?</v>
      </c>
      <c r="AN62" s="662" t="e">
        <f ca="1">__xlfn.ISFORMULA(Sheet3!$N62)</f>
        <v>#NAME?</v>
      </c>
      <c r="AO62" t="b">
        <f t="shared" si="7"/>
        <v>0</v>
      </c>
      <c r="AP62" s="595">
        <v>628457.05000000005</v>
      </c>
      <c r="AQ62" s="451">
        <v>628457.05000000005</v>
      </c>
      <c r="AR62" s="595">
        <v>628457.05000000005</v>
      </c>
      <c r="AS62" s="451">
        <v>258276.32</v>
      </c>
      <c r="AT62" s="613">
        <v>900000</v>
      </c>
      <c r="AU62" s="471">
        <v>760000</v>
      </c>
      <c r="AV62" s="638">
        <v>900000</v>
      </c>
      <c r="AW62" s="638">
        <v>900000</v>
      </c>
      <c r="AX62" s="655">
        <f t="shared" si="9"/>
        <v>128.57142857142858</v>
      </c>
      <c r="AY62" s="655">
        <f t="shared" si="10"/>
        <v>143.20787713336972</v>
      </c>
      <c r="AZ62" s="655">
        <f t="shared" si="11"/>
        <v>84.444444444444443</v>
      </c>
      <c r="BA62" s="655">
        <f t="shared" si="12"/>
        <v>120.93109624595667</v>
      </c>
      <c r="BB62" s="655">
        <f t="shared" si="13"/>
        <v>118.42105263157893</v>
      </c>
      <c r="BC62" s="655">
        <f t="shared" si="13"/>
        <v>100</v>
      </c>
    </row>
    <row r="63" spans="1:55" ht="12" customHeight="1">
      <c r="A63" s="417"/>
      <c r="B63" s="36"/>
      <c r="C63" s="36"/>
      <c r="D63" s="36"/>
      <c r="E63" s="36"/>
      <c r="F63" s="36"/>
      <c r="G63" s="36"/>
      <c r="H63" s="46"/>
      <c r="I63" s="38"/>
      <c r="J63" s="39"/>
      <c r="K63" s="40"/>
      <c r="L63" s="316"/>
      <c r="M63" s="316"/>
      <c r="N63" s="338"/>
      <c r="O63" s="338"/>
      <c r="P63" s="293"/>
      <c r="Q63" s="293"/>
      <c r="R63" s="454"/>
      <c r="S63" s="293"/>
      <c r="T63" s="293"/>
      <c r="U63" s="292" t="b">
        <f>__xlfn.ISFORMULA(S63)</f>
        <v>0</v>
      </c>
      <c r="V63" s="470"/>
      <c r="W63" s="470"/>
      <c r="X63" s="525"/>
      <c r="Y63" s="525"/>
      <c r="Z63" s="525"/>
      <c r="AA63" s="525"/>
      <c r="AB63" s="526"/>
      <c r="AC63" s="526"/>
      <c r="AD63" s="524"/>
      <c r="AE63" s="524"/>
      <c r="AF63" s="524"/>
      <c r="AG63" s="524"/>
      <c r="AH63" s="525"/>
      <c r="AI63" s="525"/>
      <c r="AJ63" s="516"/>
      <c r="AK63" s="516"/>
      <c r="AL63" s="516"/>
      <c r="AM63" s="427" t="e">
        <f ca="1">__xlfn.ISFORMULA(Sheet3!$T63)</f>
        <v>#NAME?</v>
      </c>
      <c r="AN63" s="662" t="e">
        <f ca="1">__xlfn.ISFORMULA(Sheet3!$N63)</f>
        <v>#NAME?</v>
      </c>
      <c r="AO63" t="b">
        <f t="shared" si="7"/>
        <v>0</v>
      </c>
      <c r="AQ63" s="454"/>
      <c r="AS63" s="454"/>
      <c r="AT63" s="613"/>
      <c r="AU63" s="470"/>
      <c r="AV63" s="637"/>
      <c r="AW63" s="637"/>
      <c r="AX63" s="655" t="str">
        <f t="shared" si="9"/>
        <v/>
      </c>
      <c r="AY63" s="655" t="str">
        <f t="shared" si="10"/>
        <v/>
      </c>
      <c r="AZ63" s="655" t="str">
        <f t="shared" si="11"/>
        <v/>
      </c>
      <c r="BA63" s="655" t="str">
        <f t="shared" si="12"/>
        <v/>
      </c>
      <c r="BB63" s="655" t="str">
        <f t="shared" si="13"/>
        <v/>
      </c>
      <c r="BC63" s="655" t="str">
        <f t="shared" si="13"/>
        <v/>
      </c>
    </row>
    <row r="64" spans="1:55" ht="12" customHeight="1">
      <c r="A64" s="420"/>
      <c r="B64" s="56"/>
      <c r="C64" s="56"/>
      <c r="D64" s="56"/>
      <c r="E64" s="56"/>
      <c r="F64" s="56"/>
      <c r="G64" s="56"/>
      <c r="H64" s="57">
        <v>614</v>
      </c>
      <c r="I64" s="58"/>
      <c r="J64" s="59"/>
      <c r="K64" s="60" t="s">
        <v>27</v>
      </c>
      <c r="L64" s="315">
        <f t="shared" ref="L64:Q64" si="41">L66+L69</f>
        <v>336678</v>
      </c>
      <c r="M64" s="315">
        <f t="shared" si="41"/>
        <v>44684.849691419469</v>
      </c>
      <c r="N64" s="337">
        <f t="shared" si="41"/>
        <v>518273</v>
      </c>
      <c r="O64" s="337">
        <f t="shared" si="41"/>
        <v>68786.648085473484</v>
      </c>
      <c r="P64" s="292">
        <f t="shared" si="41"/>
        <v>75000</v>
      </c>
      <c r="Q64" s="292">
        <f t="shared" si="41"/>
        <v>90000</v>
      </c>
      <c r="R64" s="453">
        <v>90000</v>
      </c>
      <c r="S64" s="292">
        <f>S66+S69</f>
        <v>61424</v>
      </c>
      <c r="T64" s="292">
        <f>T66+T69</f>
        <v>0</v>
      </c>
      <c r="U64" s="292">
        <f>U66+U69</f>
        <v>0</v>
      </c>
      <c r="V64" s="469">
        <v>100000</v>
      </c>
      <c r="W64" s="469">
        <f>W66+W69</f>
        <v>100000</v>
      </c>
      <c r="X64" s="522">
        <f>X66+X69</f>
        <v>150000</v>
      </c>
      <c r="Y64" s="522"/>
      <c r="Z64" s="522"/>
      <c r="AA64" s="522"/>
      <c r="AB64" s="523">
        <f>AB66+AB69</f>
        <v>75000</v>
      </c>
      <c r="AC64" s="523">
        <f>AC66+AC69</f>
        <v>75000</v>
      </c>
      <c r="AD64" s="524">
        <f>O64/M64*100</f>
        <v>153.93729320003089</v>
      </c>
      <c r="AE64" s="524">
        <f>P64/O64*100</f>
        <v>109.03278773928027</v>
      </c>
      <c r="AF64" s="524">
        <f>Q64/P64*100</f>
        <v>120</v>
      </c>
      <c r="AG64" s="524">
        <f>AB64/Q64*100</f>
        <v>83.333333333333343</v>
      </c>
      <c r="AH64" s="522"/>
      <c r="AI64" s="522">
        <v>150000</v>
      </c>
      <c r="AJ64" s="516">
        <f>W64/R64*100</f>
        <v>111.11111111111111</v>
      </c>
      <c r="AK64" s="516">
        <f>AT64/W64*100</f>
        <v>120</v>
      </c>
      <c r="AL64" s="516">
        <f>X64/AT64*100</f>
        <v>125</v>
      </c>
      <c r="AM64" s="427" t="e">
        <f ca="1">__xlfn.ISFORMULA(Sheet3!$T64)</f>
        <v>#NAME?</v>
      </c>
      <c r="AN64" s="662" t="e">
        <f ca="1">__xlfn.ISFORMULA(Sheet3!$N64)</f>
        <v>#NAME?</v>
      </c>
      <c r="AO64" t="b">
        <f t="shared" si="7"/>
        <v>1</v>
      </c>
      <c r="AP64" s="440">
        <f t="shared" ref="AP64:AU64" si="42">AP66+AP69</f>
        <v>91531.25</v>
      </c>
      <c r="AQ64" s="453">
        <v>91531.25</v>
      </c>
      <c r="AR64" s="440">
        <f t="shared" si="42"/>
        <v>91531.25</v>
      </c>
      <c r="AS64" s="453">
        <f t="shared" si="42"/>
        <v>19351.38</v>
      </c>
      <c r="AT64" s="612">
        <f t="shared" si="42"/>
        <v>120000</v>
      </c>
      <c r="AU64" s="469">
        <f t="shared" si="42"/>
        <v>90000</v>
      </c>
      <c r="AV64" s="636">
        <v>150000</v>
      </c>
      <c r="AW64" s="636">
        <v>150000</v>
      </c>
      <c r="AX64" s="655">
        <f t="shared" si="9"/>
        <v>133.33333333333331</v>
      </c>
      <c r="AY64" s="655">
        <f t="shared" si="10"/>
        <v>131.10276544895868</v>
      </c>
      <c r="AZ64" s="655">
        <f t="shared" si="11"/>
        <v>75</v>
      </c>
      <c r="BA64" s="655">
        <f t="shared" si="12"/>
        <v>98.327074086719009</v>
      </c>
      <c r="BB64" s="655">
        <f t="shared" si="13"/>
        <v>166.66666666666669</v>
      </c>
      <c r="BC64" s="655">
        <f t="shared" si="13"/>
        <v>100</v>
      </c>
    </row>
    <row r="65" spans="1:55" ht="12" customHeight="1">
      <c r="A65" s="417"/>
      <c r="B65" s="36"/>
      <c r="C65" s="36"/>
      <c r="D65" s="36"/>
      <c r="E65" s="36"/>
      <c r="F65" s="36"/>
      <c r="G65" s="36"/>
      <c r="H65" s="46"/>
      <c r="I65" s="38"/>
      <c r="J65" s="39"/>
      <c r="K65" s="40"/>
      <c r="L65" s="315"/>
      <c r="M65" s="315"/>
      <c r="N65" s="337"/>
      <c r="O65" s="337"/>
      <c r="P65" s="292"/>
      <c r="Q65" s="292"/>
      <c r="R65" s="453"/>
      <c r="S65" s="292"/>
      <c r="T65" s="292"/>
      <c r="U65" s="292"/>
      <c r="V65" s="469"/>
      <c r="W65" s="469"/>
      <c r="X65" s="522"/>
      <c r="Y65" s="522"/>
      <c r="Z65" s="522"/>
      <c r="AA65" s="522"/>
      <c r="AB65" s="523"/>
      <c r="AC65" s="523"/>
      <c r="AD65" s="524"/>
      <c r="AE65" s="524"/>
      <c r="AF65" s="524"/>
      <c r="AG65" s="524"/>
      <c r="AH65" s="522"/>
      <c r="AI65" s="522"/>
      <c r="AJ65" s="516"/>
      <c r="AK65" s="516"/>
      <c r="AL65" s="516"/>
      <c r="AM65" s="427" t="e">
        <f ca="1">__xlfn.ISFORMULA(Sheet3!$T65)</f>
        <v>#NAME?</v>
      </c>
      <c r="AN65" s="662" t="e">
        <f ca="1">__xlfn.ISFORMULA(Sheet3!$N65)</f>
        <v>#NAME?</v>
      </c>
      <c r="AO65" t="b">
        <f t="shared" si="7"/>
        <v>0</v>
      </c>
      <c r="AQ65" s="453"/>
      <c r="AS65" s="453"/>
      <c r="AT65" s="612"/>
      <c r="AU65" s="469"/>
      <c r="AV65" s="636"/>
      <c r="AW65" s="636"/>
      <c r="AX65" s="655" t="str">
        <f t="shared" si="9"/>
        <v/>
      </c>
      <c r="AY65" s="655" t="str">
        <f t="shared" si="10"/>
        <v/>
      </c>
      <c r="AZ65" s="655" t="str">
        <f t="shared" si="11"/>
        <v/>
      </c>
      <c r="BA65" s="655" t="str">
        <f t="shared" si="12"/>
        <v/>
      </c>
      <c r="BB65" s="655" t="str">
        <f t="shared" si="13"/>
        <v/>
      </c>
      <c r="BC65" s="655" t="str">
        <f t="shared" si="13"/>
        <v/>
      </c>
    </row>
    <row r="66" spans="1:55" ht="12" customHeight="1">
      <c r="A66" s="417"/>
      <c r="B66" s="36"/>
      <c r="C66" s="36"/>
      <c r="D66" s="36"/>
      <c r="E66" s="36"/>
      <c r="F66" s="36"/>
      <c r="G66" s="36"/>
      <c r="H66" s="46">
        <v>6142</v>
      </c>
      <c r="I66" s="38"/>
      <c r="J66" s="39"/>
      <c r="K66" s="40" t="s">
        <v>28</v>
      </c>
      <c r="L66" s="315">
        <f t="shared" ref="L66:Q66" si="43">L67</f>
        <v>336678</v>
      </c>
      <c r="M66" s="315">
        <f t="shared" si="43"/>
        <v>44684.849691419469</v>
      </c>
      <c r="N66" s="337">
        <f t="shared" si="43"/>
        <v>518273</v>
      </c>
      <c r="O66" s="337">
        <f t="shared" si="43"/>
        <v>68786.648085473484</v>
      </c>
      <c r="P66" s="292">
        <f t="shared" si="43"/>
        <v>75000</v>
      </c>
      <c r="Q66" s="292">
        <f t="shared" si="43"/>
        <v>90000</v>
      </c>
      <c r="R66" s="453">
        <v>90000</v>
      </c>
      <c r="S66" s="292">
        <f>S67</f>
        <v>61424</v>
      </c>
      <c r="T66" s="292">
        <f>T67</f>
        <v>0</v>
      </c>
      <c r="U66" s="292" t="b">
        <f>U67</f>
        <v>0</v>
      </c>
      <c r="V66" s="469">
        <v>100000</v>
      </c>
      <c r="W66" s="469">
        <f>W67</f>
        <v>100000</v>
      </c>
      <c r="X66" s="522">
        <f>X67</f>
        <v>150000</v>
      </c>
      <c r="Y66" s="522"/>
      <c r="Z66" s="522"/>
      <c r="AA66" s="522"/>
      <c r="AB66" s="523">
        <f>AB67</f>
        <v>75000</v>
      </c>
      <c r="AC66" s="523">
        <f>AC67</f>
        <v>75000</v>
      </c>
      <c r="AD66" s="524">
        <f>O66/M66*100</f>
        <v>153.93729320003089</v>
      </c>
      <c r="AE66" s="524">
        <f>P66/O66*100</f>
        <v>109.03278773928027</v>
      </c>
      <c r="AF66" s="524">
        <f>Q66/P66*100</f>
        <v>120</v>
      </c>
      <c r="AG66" s="524">
        <f>AB66/Q66*100</f>
        <v>83.333333333333343</v>
      </c>
      <c r="AH66" s="522"/>
      <c r="AI66" s="522">
        <v>150000</v>
      </c>
      <c r="AJ66" s="516">
        <f>W66/R66*100</f>
        <v>111.11111111111111</v>
      </c>
      <c r="AK66" s="516">
        <f>AT66/W66*100</f>
        <v>120</v>
      </c>
      <c r="AL66" s="516">
        <f>X66/AT66*100</f>
        <v>125</v>
      </c>
      <c r="AM66" s="427" t="e">
        <f ca="1">__xlfn.ISFORMULA(Sheet3!$T66)</f>
        <v>#NAME?</v>
      </c>
      <c r="AN66" s="662" t="e">
        <f ca="1">__xlfn.ISFORMULA(Sheet3!$N66)</f>
        <v>#NAME?</v>
      </c>
      <c r="AO66" t="b">
        <f t="shared" si="7"/>
        <v>1</v>
      </c>
      <c r="AP66" s="440">
        <f t="shared" ref="AP66:AU66" si="44">AP67</f>
        <v>91531.25</v>
      </c>
      <c r="AQ66" s="453">
        <v>91531.25</v>
      </c>
      <c r="AR66" s="440">
        <f t="shared" si="44"/>
        <v>91531.25</v>
      </c>
      <c r="AS66" s="453">
        <f t="shared" si="44"/>
        <v>19351.38</v>
      </c>
      <c r="AT66" s="612">
        <f>AT67</f>
        <v>120000</v>
      </c>
      <c r="AU66" s="469">
        <f t="shared" si="44"/>
        <v>90000</v>
      </c>
      <c r="AV66" s="636">
        <v>150000</v>
      </c>
      <c r="AW66" s="636">
        <v>150000</v>
      </c>
      <c r="AX66" s="655">
        <f t="shared" si="9"/>
        <v>133.33333333333331</v>
      </c>
      <c r="AY66" s="655">
        <f t="shared" si="10"/>
        <v>131.10276544895868</v>
      </c>
      <c r="AZ66" s="655">
        <f t="shared" si="11"/>
        <v>75</v>
      </c>
      <c r="BA66" s="655">
        <f t="shared" si="12"/>
        <v>98.327074086719009</v>
      </c>
      <c r="BB66" s="655">
        <f t="shared" si="13"/>
        <v>166.66666666666669</v>
      </c>
      <c r="BC66" s="655">
        <f t="shared" si="13"/>
        <v>100</v>
      </c>
    </row>
    <row r="67" spans="1:55" ht="12" customHeight="1">
      <c r="A67" s="417"/>
      <c r="B67" s="36"/>
      <c r="C67" s="36"/>
      <c r="D67" s="36"/>
      <c r="E67" s="36"/>
      <c r="F67" s="36"/>
      <c r="G67" s="36"/>
      <c r="H67" s="46">
        <v>61424</v>
      </c>
      <c r="I67" s="38" t="s">
        <v>865</v>
      </c>
      <c r="J67" s="39"/>
      <c r="K67" s="40" t="s">
        <v>29</v>
      </c>
      <c r="L67" s="309">
        <v>336678</v>
      </c>
      <c r="M67" s="309">
        <f>336678/7.5345</f>
        <v>44684.849691419469</v>
      </c>
      <c r="N67" s="339">
        <v>518273</v>
      </c>
      <c r="O67" s="339">
        <f>N67/7.5345</f>
        <v>68786.648085473484</v>
      </c>
      <c r="P67" s="294">
        <v>75000</v>
      </c>
      <c r="Q67" s="269">
        <v>90000</v>
      </c>
      <c r="R67" s="451">
        <v>90000</v>
      </c>
      <c r="S67" s="294">
        <v>61424</v>
      </c>
      <c r="T67" s="294"/>
      <c r="U67" s="292" t="b">
        <f>__xlfn.ISFORMULA(S67)</f>
        <v>0</v>
      </c>
      <c r="V67" s="471">
        <v>100000</v>
      </c>
      <c r="W67" s="471">
        <v>100000</v>
      </c>
      <c r="X67" s="527">
        <v>150000</v>
      </c>
      <c r="Y67" s="527"/>
      <c r="Z67" s="527"/>
      <c r="AA67" s="527"/>
      <c r="AB67" s="528">
        <v>75000</v>
      </c>
      <c r="AC67" s="528">
        <v>75000</v>
      </c>
      <c r="AD67" s="524">
        <f>O67/M67*100</f>
        <v>153.93729320003089</v>
      </c>
      <c r="AE67" s="524">
        <f>P67/O67*100</f>
        <v>109.03278773928027</v>
      </c>
      <c r="AF67" s="524">
        <f>Q67/P67*100</f>
        <v>120</v>
      </c>
      <c r="AG67" s="524">
        <f>AB67/Q67*100</f>
        <v>83.333333333333343</v>
      </c>
      <c r="AH67" s="527"/>
      <c r="AI67" s="527">
        <v>150000</v>
      </c>
      <c r="AJ67" s="516">
        <f>W67/R67*100</f>
        <v>111.11111111111111</v>
      </c>
      <c r="AK67" s="516">
        <f>AT67/W67*100</f>
        <v>120</v>
      </c>
      <c r="AL67" s="516">
        <f>X67/AT67*100</f>
        <v>125</v>
      </c>
      <c r="AM67" s="427" t="e">
        <f ca="1">__xlfn.ISFORMULA(Sheet3!$T67)</f>
        <v>#NAME?</v>
      </c>
      <c r="AN67" s="662" t="e">
        <f ca="1">__xlfn.ISFORMULA(Sheet3!$N67)</f>
        <v>#NAME?</v>
      </c>
      <c r="AO67" t="b">
        <f t="shared" si="7"/>
        <v>0</v>
      </c>
      <c r="AP67" s="595">
        <v>91531.25</v>
      </c>
      <c r="AQ67" s="451">
        <v>91531.25</v>
      </c>
      <c r="AR67" s="595">
        <v>91531.25</v>
      </c>
      <c r="AS67" s="451">
        <v>19351.38</v>
      </c>
      <c r="AT67" s="613">
        <v>120000</v>
      </c>
      <c r="AU67" s="471">
        <v>90000</v>
      </c>
      <c r="AV67" s="638">
        <v>150000</v>
      </c>
      <c r="AW67" s="638">
        <v>150000</v>
      </c>
      <c r="AX67" s="655">
        <f t="shared" si="9"/>
        <v>133.33333333333331</v>
      </c>
      <c r="AY67" s="655">
        <f t="shared" si="10"/>
        <v>131.10276544895868</v>
      </c>
      <c r="AZ67" s="655">
        <f t="shared" si="11"/>
        <v>75</v>
      </c>
      <c r="BA67" s="655">
        <f t="shared" si="12"/>
        <v>98.327074086719009</v>
      </c>
      <c r="BB67" s="655">
        <f t="shared" si="13"/>
        <v>166.66666666666669</v>
      </c>
      <c r="BC67" s="655">
        <f t="shared" si="13"/>
        <v>100</v>
      </c>
    </row>
    <row r="68" spans="1:55" ht="12" customHeight="1">
      <c r="A68" s="417"/>
      <c r="B68" s="36"/>
      <c r="C68" s="36"/>
      <c r="D68" s="36"/>
      <c r="E68" s="36"/>
      <c r="F68" s="36"/>
      <c r="G68" s="36"/>
      <c r="H68" s="46"/>
      <c r="I68" s="38"/>
      <c r="J68" s="39"/>
      <c r="K68" s="40"/>
      <c r="L68" s="316"/>
      <c r="M68" s="316"/>
      <c r="N68" s="338"/>
      <c r="O68" s="338"/>
      <c r="P68" s="293"/>
      <c r="Q68" s="293"/>
      <c r="R68" s="454"/>
      <c r="S68" s="293"/>
      <c r="T68" s="293"/>
      <c r="U68" s="292" t="b">
        <f>__xlfn.ISFORMULA(S68)</f>
        <v>0</v>
      </c>
      <c r="V68" s="470"/>
      <c r="W68" s="470"/>
      <c r="X68" s="525"/>
      <c r="Y68" s="525"/>
      <c r="Z68" s="525"/>
      <c r="AA68" s="525"/>
      <c r="AB68" s="526"/>
      <c r="AC68" s="526"/>
      <c r="AD68" s="524"/>
      <c r="AE68" s="524"/>
      <c r="AF68" s="524"/>
      <c r="AG68" s="524"/>
      <c r="AH68" s="525"/>
      <c r="AI68" s="525"/>
      <c r="AJ68" s="516"/>
      <c r="AK68" s="516"/>
      <c r="AL68" s="516"/>
      <c r="AM68" s="427" t="e">
        <f ca="1">__xlfn.ISFORMULA(Sheet3!$T68)</f>
        <v>#NAME?</v>
      </c>
      <c r="AN68" s="662" t="e">
        <f ca="1">__xlfn.ISFORMULA(Sheet3!$N68)</f>
        <v>#NAME?</v>
      </c>
      <c r="AO68" t="b">
        <f t="shared" si="7"/>
        <v>0</v>
      </c>
      <c r="AQ68" s="454"/>
      <c r="AS68" s="454"/>
      <c r="AT68" s="613"/>
      <c r="AU68" s="470"/>
      <c r="AV68" s="637"/>
      <c r="AW68" s="637"/>
      <c r="AX68" s="655" t="str">
        <f t="shared" si="9"/>
        <v/>
      </c>
      <c r="AY68" s="655" t="str">
        <f t="shared" si="10"/>
        <v/>
      </c>
      <c r="AZ68" s="655" t="str">
        <f t="shared" si="11"/>
        <v/>
      </c>
      <c r="BA68" s="655" t="str">
        <f t="shared" si="12"/>
        <v/>
      </c>
      <c r="BB68" s="655" t="str">
        <f t="shared" si="13"/>
        <v/>
      </c>
      <c r="BC68" s="655" t="str">
        <f t="shared" si="13"/>
        <v/>
      </c>
    </row>
    <row r="69" spans="1:55" ht="12" customHeight="1">
      <c r="A69" s="417"/>
      <c r="B69" s="36"/>
      <c r="C69" s="36"/>
      <c r="D69" s="36"/>
      <c r="E69" s="36"/>
      <c r="F69" s="36"/>
      <c r="G69" s="36"/>
      <c r="H69" s="46">
        <v>6145</v>
      </c>
      <c r="I69" s="38"/>
      <c r="J69" s="39"/>
      <c r="K69" s="40" t="s">
        <v>30</v>
      </c>
      <c r="L69" s="315">
        <f t="shared" ref="L69:Q69" si="45">L70</f>
        <v>0</v>
      </c>
      <c r="M69" s="315">
        <f t="shared" si="45"/>
        <v>0</v>
      </c>
      <c r="N69" s="337">
        <f t="shared" si="45"/>
        <v>0</v>
      </c>
      <c r="O69" s="337">
        <f t="shared" si="45"/>
        <v>0</v>
      </c>
      <c r="P69" s="292">
        <f t="shared" si="45"/>
        <v>0</v>
      </c>
      <c r="Q69" s="292">
        <f t="shared" si="45"/>
        <v>0</v>
      </c>
      <c r="R69" s="453">
        <v>0</v>
      </c>
      <c r="S69" s="292"/>
      <c r="T69" s="292"/>
      <c r="U69" s="292" t="b">
        <f>__xlfn.ISFORMULA(S69)</f>
        <v>0</v>
      </c>
      <c r="V69" s="469">
        <v>0</v>
      </c>
      <c r="W69" s="469"/>
      <c r="X69" s="522"/>
      <c r="Y69" s="522"/>
      <c r="Z69" s="522"/>
      <c r="AA69" s="522"/>
      <c r="AB69" s="523">
        <f>AB70</f>
        <v>0</v>
      </c>
      <c r="AC69" s="523">
        <f>AC70</f>
        <v>0</v>
      </c>
      <c r="AD69" s="524"/>
      <c r="AE69" s="524"/>
      <c r="AF69" s="524"/>
      <c r="AG69" s="524"/>
      <c r="AH69" s="522"/>
      <c r="AI69" s="522"/>
      <c r="AJ69" s="516"/>
      <c r="AK69" s="516"/>
      <c r="AL69" s="516"/>
      <c r="AM69" s="427" t="e">
        <f ca="1">__xlfn.ISFORMULA(Sheet3!$T69)</f>
        <v>#NAME?</v>
      </c>
      <c r="AN69" s="662" t="e">
        <f ca="1">__xlfn.ISFORMULA(Sheet3!$N69)</f>
        <v>#NAME?</v>
      </c>
      <c r="AO69" t="b">
        <f t="shared" si="7"/>
        <v>0</v>
      </c>
      <c r="AQ69" s="453"/>
      <c r="AS69" s="453"/>
      <c r="AT69" s="612"/>
      <c r="AU69" s="469"/>
      <c r="AV69" s="636"/>
      <c r="AW69" s="636"/>
      <c r="AX69" s="655" t="str">
        <f t="shared" si="9"/>
        <v/>
      </c>
      <c r="AY69" s="655" t="str">
        <f t="shared" si="10"/>
        <v/>
      </c>
      <c r="AZ69" s="655" t="str">
        <f t="shared" si="11"/>
        <v/>
      </c>
      <c r="BA69" s="655" t="str">
        <f t="shared" si="12"/>
        <v/>
      </c>
      <c r="BB69" s="655" t="str">
        <f t="shared" si="13"/>
        <v/>
      </c>
      <c r="BC69" s="655" t="str">
        <f t="shared" si="13"/>
        <v/>
      </c>
    </row>
    <row r="70" spans="1:55" ht="12" customHeight="1">
      <c r="A70" s="417"/>
      <c r="B70" s="36"/>
      <c r="C70" s="36"/>
      <c r="D70" s="36"/>
      <c r="E70" s="36"/>
      <c r="F70" s="36"/>
      <c r="G70" s="36"/>
      <c r="H70" s="46">
        <v>61453</v>
      </c>
      <c r="I70" s="38"/>
      <c r="J70" s="39"/>
      <c r="K70" s="40" t="s">
        <v>31</v>
      </c>
      <c r="L70" s="309">
        <v>0</v>
      </c>
      <c r="M70" s="309">
        <v>0</v>
      </c>
      <c r="N70" s="339">
        <v>0</v>
      </c>
      <c r="O70" s="339">
        <v>0</v>
      </c>
      <c r="P70" s="294">
        <v>0</v>
      </c>
      <c r="Q70" s="294">
        <v>0</v>
      </c>
      <c r="R70" s="451">
        <v>0</v>
      </c>
      <c r="S70" s="294"/>
      <c r="T70" s="294"/>
      <c r="U70" s="292" t="b">
        <f>__xlfn.ISFORMULA(S70)</f>
        <v>0</v>
      </c>
      <c r="V70" s="471">
        <v>0</v>
      </c>
      <c r="W70" s="471"/>
      <c r="X70" s="527"/>
      <c r="Y70" s="527"/>
      <c r="Z70" s="527"/>
      <c r="AA70" s="527"/>
      <c r="AB70" s="528">
        <v>0</v>
      </c>
      <c r="AC70" s="528">
        <v>0</v>
      </c>
      <c r="AD70" s="524"/>
      <c r="AE70" s="524"/>
      <c r="AF70" s="524"/>
      <c r="AG70" s="524"/>
      <c r="AH70" s="527"/>
      <c r="AI70" s="527"/>
      <c r="AJ70" s="516"/>
      <c r="AK70" s="516"/>
      <c r="AL70" s="516"/>
      <c r="AM70" s="427" t="e">
        <f ca="1">__xlfn.ISFORMULA(Sheet3!$T70)</f>
        <v>#NAME?</v>
      </c>
      <c r="AN70" s="662" t="e">
        <f ca="1">__xlfn.ISFORMULA(Sheet3!$N70)</f>
        <v>#NAME?</v>
      </c>
      <c r="AO70" t="b">
        <f t="shared" si="7"/>
        <v>0</v>
      </c>
      <c r="AQ70" s="451"/>
      <c r="AS70" s="451"/>
      <c r="AT70" s="613"/>
      <c r="AU70" s="471"/>
      <c r="AV70" s="638"/>
      <c r="AW70" s="638"/>
      <c r="AX70" s="655" t="str">
        <f t="shared" si="9"/>
        <v/>
      </c>
      <c r="AY70" s="655" t="str">
        <f t="shared" si="10"/>
        <v/>
      </c>
      <c r="AZ70" s="655" t="str">
        <f t="shared" si="11"/>
        <v/>
      </c>
      <c r="BA70" s="655" t="str">
        <f t="shared" si="12"/>
        <v/>
      </c>
      <c r="BB70" s="655" t="str">
        <f t="shared" si="13"/>
        <v/>
      </c>
      <c r="BC70" s="655" t="str">
        <f t="shared" si="13"/>
        <v/>
      </c>
    </row>
    <row r="71" spans="1:55" ht="12" customHeight="1">
      <c r="A71" s="417"/>
      <c r="B71" s="36"/>
      <c r="C71" s="36"/>
      <c r="D71" s="36"/>
      <c r="E71" s="36"/>
      <c r="F71" s="36"/>
      <c r="G71" s="36"/>
      <c r="H71" s="46"/>
      <c r="I71" s="38"/>
      <c r="J71" s="39"/>
      <c r="K71" s="40"/>
      <c r="L71" s="309"/>
      <c r="M71" s="309"/>
      <c r="N71" s="339"/>
      <c r="O71" s="339"/>
      <c r="P71" s="294"/>
      <c r="Q71" s="294"/>
      <c r="R71" s="451"/>
      <c r="S71" s="292"/>
      <c r="T71" s="292"/>
      <c r="U71" s="292" t="b">
        <f>__xlfn.ISFORMULA(S71)</f>
        <v>0</v>
      </c>
      <c r="V71" s="471"/>
      <c r="W71" s="469"/>
      <c r="X71" s="527"/>
      <c r="Y71" s="522"/>
      <c r="Z71" s="522"/>
      <c r="AA71" s="522"/>
      <c r="AB71" s="528"/>
      <c r="AC71" s="528"/>
      <c r="AD71" s="524"/>
      <c r="AE71" s="524"/>
      <c r="AF71" s="524"/>
      <c r="AG71" s="524"/>
      <c r="AH71" s="522"/>
      <c r="AI71" s="527"/>
      <c r="AJ71" s="516"/>
      <c r="AK71" s="516"/>
      <c r="AL71" s="516"/>
      <c r="AM71" s="427" t="e">
        <f ca="1">__xlfn.ISFORMULA(Sheet3!$T71)</f>
        <v>#NAME?</v>
      </c>
      <c r="AN71" s="662" t="e">
        <f ca="1">__xlfn.ISFORMULA(Sheet3!$N71)</f>
        <v>#NAME?</v>
      </c>
      <c r="AO71" t="b">
        <f t="shared" si="7"/>
        <v>0</v>
      </c>
      <c r="AQ71" s="451"/>
      <c r="AS71" s="451"/>
      <c r="AT71" s="613"/>
      <c r="AU71" s="471"/>
      <c r="AV71" s="638"/>
      <c r="AW71" s="638"/>
      <c r="AX71" s="655" t="str">
        <f t="shared" si="9"/>
        <v/>
      </c>
      <c r="AY71" s="655" t="str">
        <f t="shared" si="10"/>
        <v/>
      </c>
      <c r="AZ71" s="655" t="str">
        <f t="shared" si="11"/>
        <v/>
      </c>
      <c r="BA71" s="655" t="str">
        <f t="shared" si="12"/>
        <v/>
      </c>
      <c r="BB71" s="655" t="str">
        <f t="shared" si="13"/>
        <v/>
      </c>
      <c r="BC71" s="655" t="str">
        <f t="shared" si="13"/>
        <v/>
      </c>
    </row>
    <row r="72" spans="1:55" ht="12" customHeight="1">
      <c r="A72" s="419"/>
      <c r="B72" s="47"/>
      <c r="C72" s="47"/>
      <c r="D72" s="47"/>
      <c r="E72" s="47"/>
      <c r="F72" s="47"/>
      <c r="G72" s="47"/>
      <c r="H72" s="48">
        <v>63</v>
      </c>
      <c r="I72" s="49"/>
      <c r="J72" s="50"/>
      <c r="K72" s="51" t="s">
        <v>32</v>
      </c>
      <c r="L72" s="315">
        <f t="shared" ref="L72:Q72" si="46">L74+L86+L89</f>
        <v>6168546</v>
      </c>
      <c r="M72" s="315">
        <f t="shared" si="46"/>
        <v>818706.74895480787</v>
      </c>
      <c r="N72" s="337">
        <f t="shared" si="46"/>
        <v>2956331</v>
      </c>
      <c r="O72" s="337">
        <f t="shared" si="46"/>
        <v>392372.55292321986</v>
      </c>
      <c r="P72" s="292">
        <f t="shared" si="46"/>
        <v>984250</v>
      </c>
      <c r="Q72" s="292">
        <f t="shared" si="46"/>
        <v>572700</v>
      </c>
      <c r="R72" s="453">
        <v>572700</v>
      </c>
      <c r="S72" s="292">
        <f>S74+S86+S89</f>
        <v>419091.94</v>
      </c>
      <c r="T72" s="292">
        <f>T74+T86+T89</f>
        <v>0</v>
      </c>
      <c r="U72" s="292">
        <f>U74+U86+U89</f>
        <v>0</v>
      </c>
      <c r="V72" s="469">
        <v>1342930</v>
      </c>
      <c r="W72" s="469">
        <f>W74+W86+W89</f>
        <v>754970</v>
      </c>
      <c r="X72" s="522">
        <f>X74+X86+X89</f>
        <v>885000</v>
      </c>
      <c r="Y72" s="522"/>
      <c r="Z72" s="522"/>
      <c r="AA72" s="522"/>
      <c r="AB72" s="523">
        <f>AB74+AB86+AB89</f>
        <v>150000</v>
      </c>
      <c r="AC72" s="523">
        <f>AC74+AC86+AC89</f>
        <v>150000</v>
      </c>
      <c r="AD72" s="524">
        <f>O72/M72*100</f>
        <v>47.925896961779976</v>
      </c>
      <c r="AE72" s="524">
        <f>P72/O72*100</f>
        <v>250.84578232275075</v>
      </c>
      <c r="AF72" s="524">
        <f>Q72/P72*100</f>
        <v>58.186436372872741</v>
      </c>
      <c r="AG72" s="524">
        <f>AB72/Q72*100</f>
        <v>26.191723415400737</v>
      </c>
      <c r="AH72" s="522"/>
      <c r="AI72" s="522">
        <v>885000</v>
      </c>
      <c r="AJ72" s="516">
        <f>W72/R72*100</f>
        <v>131.8264361795006</v>
      </c>
      <c r="AK72" s="516">
        <f>AT72/W72*100</f>
        <v>123.7135250407301</v>
      </c>
      <c r="AL72" s="516">
        <f>X72/AT72*100</f>
        <v>94.753747323340477</v>
      </c>
      <c r="AM72" s="427" t="e">
        <f ca="1">__xlfn.ISFORMULA(Sheet3!$T72)</f>
        <v>#NAME?</v>
      </c>
      <c r="AN72" s="662" t="e">
        <f ca="1">__xlfn.ISFORMULA(Sheet3!$N72)</f>
        <v>#NAME?</v>
      </c>
      <c r="AO72" t="b">
        <f t="shared" si="7"/>
        <v>1</v>
      </c>
      <c r="AP72" s="440">
        <f t="shared" ref="AP72:AU72" si="47">AP74+AP86+AP89</f>
        <v>749411.49</v>
      </c>
      <c r="AQ72" s="453">
        <v>825611.49</v>
      </c>
      <c r="AR72" s="440">
        <f t="shared" si="47"/>
        <v>749411.49</v>
      </c>
      <c r="AS72" s="453">
        <f t="shared" si="47"/>
        <v>120582.31</v>
      </c>
      <c r="AT72" s="612">
        <f t="shared" si="47"/>
        <v>934000</v>
      </c>
      <c r="AU72" s="469">
        <f t="shared" si="47"/>
        <v>1524500</v>
      </c>
      <c r="AV72" s="636">
        <v>885000</v>
      </c>
      <c r="AW72" s="636">
        <v>885000</v>
      </c>
      <c r="AX72" s="655">
        <f t="shared" si="9"/>
        <v>163.08713113322858</v>
      </c>
      <c r="AY72" s="655">
        <f t="shared" si="10"/>
        <v>113.12827053799846</v>
      </c>
      <c r="AZ72" s="655">
        <f t="shared" si="11"/>
        <v>163.22269807280514</v>
      </c>
      <c r="BA72" s="655">
        <f t="shared" si="12"/>
        <v>184.65101545522339</v>
      </c>
      <c r="BB72" s="655">
        <f t="shared" si="13"/>
        <v>58.051820268940638</v>
      </c>
      <c r="BC72" s="655">
        <f t="shared" si="13"/>
        <v>100</v>
      </c>
    </row>
    <row r="73" spans="1:55" ht="12" customHeight="1">
      <c r="A73" s="423"/>
      <c r="B73" s="61"/>
      <c r="C73" s="61"/>
      <c r="D73" s="61"/>
      <c r="E73" s="61"/>
      <c r="F73" s="61"/>
      <c r="G73" s="61"/>
      <c r="H73" s="62"/>
      <c r="I73" s="63"/>
      <c r="J73" s="64"/>
      <c r="K73" s="65"/>
      <c r="L73" s="315"/>
      <c r="M73" s="315"/>
      <c r="N73" s="337"/>
      <c r="O73" s="337"/>
      <c r="P73" s="292"/>
      <c r="Q73" s="292"/>
      <c r="R73" s="453"/>
      <c r="S73" s="292"/>
      <c r="T73" s="292"/>
      <c r="U73" s="292"/>
      <c r="V73" s="469"/>
      <c r="W73" s="469"/>
      <c r="X73" s="522"/>
      <c r="Y73" s="522"/>
      <c r="Z73" s="522"/>
      <c r="AA73" s="522"/>
      <c r="AB73" s="523"/>
      <c r="AC73" s="523"/>
      <c r="AD73" s="524"/>
      <c r="AE73" s="524"/>
      <c r="AF73" s="524"/>
      <c r="AG73" s="524"/>
      <c r="AH73" s="522"/>
      <c r="AI73" s="522"/>
      <c r="AJ73" s="516"/>
      <c r="AK73" s="516"/>
      <c r="AL73" s="516"/>
      <c r="AM73" s="427" t="e">
        <f ca="1">__xlfn.ISFORMULA(Sheet3!$T73)</f>
        <v>#NAME?</v>
      </c>
      <c r="AN73" s="662" t="e">
        <f ca="1">__xlfn.ISFORMULA(Sheet3!$N73)</f>
        <v>#NAME?</v>
      </c>
      <c r="AO73" t="b">
        <f t="shared" si="7"/>
        <v>0</v>
      </c>
      <c r="AQ73" s="453"/>
      <c r="AS73" s="453"/>
      <c r="AT73" s="612"/>
      <c r="AU73" s="469"/>
      <c r="AV73" s="636"/>
      <c r="AW73" s="636"/>
      <c r="AX73" s="655" t="str">
        <f t="shared" si="9"/>
        <v/>
      </c>
      <c r="AY73" s="655" t="str">
        <f t="shared" si="10"/>
        <v/>
      </c>
      <c r="AZ73" s="655" t="str">
        <f t="shared" si="11"/>
        <v/>
      </c>
      <c r="BA73" s="655" t="str">
        <f t="shared" si="12"/>
        <v/>
      </c>
      <c r="BB73" s="655" t="str">
        <f t="shared" si="13"/>
        <v/>
      </c>
      <c r="BC73" s="655" t="str">
        <f t="shared" si="13"/>
        <v/>
      </c>
    </row>
    <row r="74" spans="1:55" ht="12" customHeight="1">
      <c r="A74" s="420"/>
      <c r="B74" s="56"/>
      <c r="C74" s="56"/>
      <c r="D74" s="56"/>
      <c r="E74" s="56"/>
      <c r="F74" s="56"/>
      <c r="G74" s="56"/>
      <c r="H74" s="57">
        <v>633</v>
      </c>
      <c r="I74" s="58"/>
      <c r="J74" s="59"/>
      <c r="K74" s="60" t="s">
        <v>33</v>
      </c>
      <c r="L74" s="315">
        <f t="shared" ref="L74:Q74" si="48">L76+L80</f>
        <v>3711855</v>
      </c>
      <c r="M74" s="315">
        <f t="shared" si="48"/>
        <v>492647.82002787181</v>
      </c>
      <c r="N74" s="337">
        <f t="shared" si="48"/>
        <v>1773050</v>
      </c>
      <c r="O74" s="337">
        <f t="shared" si="48"/>
        <v>235324.17545955273</v>
      </c>
      <c r="P74" s="292">
        <f t="shared" si="48"/>
        <v>389600</v>
      </c>
      <c r="Q74" s="292">
        <f t="shared" si="48"/>
        <v>372300</v>
      </c>
      <c r="R74" s="453">
        <v>372300</v>
      </c>
      <c r="S74" s="292">
        <f>S76+S80</f>
        <v>419091.94</v>
      </c>
      <c r="T74" s="292">
        <f>T76+T80</f>
        <v>0</v>
      </c>
      <c r="U74" s="292">
        <f>U76+U80</f>
        <v>0</v>
      </c>
      <c r="V74" s="469">
        <v>822600</v>
      </c>
      <c r="W74" s="469">
        <f>W76+W80</f>
        <v>298270</v>
      </c>
      <c r="X74" s="522">
        <f>X76+X80</f>
        <v>810000</v>
      </c>
      <c r="Y74" s="522"/>
      <c r="Z74" s="522"/>
      <c r="AA74" s="522"/>
      <c r="AB74" s="522">
        <f>AB76+AB80</f>
        <v>0</v>
      </c>
      <c r="AC74" s="522">
        <f>AC76+AC80</f>
        <v>0</v>
      </c>
      <c r="AD74" s="524">
        <f>O74/M74*100</f>
        <v>47.767221510538533</v>
      </c>
      <c r="AE74" s="524">
        <f>P74/O74*100</f>
        <v>165.55885056822987</v>
      </c>
      <c r="AF74" s="524">
        <f>Q74/P74*100</f>
        <v>95.559548254620125</v>
      </c>
      <c r="AG74" s="524">
        <f>AB74/Q74*100</f>
        <v>0</v>
      </c>
      <c r="AH74" s="522"/>
      <c r="AI74" s="522">
        <v>810000</v>
      </c>
      <c r="AJ74" s="516">
        <f>W74/R74*100</f>
        <v>80.115498254096167</v>
      </c>
      <c r="AK74" s="516">
        <f>AT74/W74*100</f>
        <v>287.99409930599791</v>
      </c>
      <c r="AL74" s="516">
        <f>X74/AT74*100</f>
        <v>94.29569266589057</v>
      </c>
      <c r="AM74" s="427" t="e">
        <f ca="1">__xlfn.ISFORMULA(Sheet3!$T74)</f>
        <v>#NAME?</v>
      </c>
      <c r="AN74" s="662" t="e">
        <f ca="1">__xlfn.ISFORMULA(Sheet3!$N74)</f>
        <v>#NAME?</v>
      </c>
      <c r="AO74" t="b">
        <f t="shared" ref="AO74:AO93" si="49">__xlfn.ISFORMULA(AT74)</f>
        <v>1</v>
      </c>
      <c r="AP74" s="440">
        <f t="shared" ref="AP74:AU74" si="50">AP76+AP80</f>
        <v>293226.74</v>
      </c>
      <c r="AQ74" s="453">
        <v>369426.74</v>
      </c>
      <c r="AR74" s="440">
        <f t="shared" si="50"/>
        <v>293226.74</v>
      </c>
      <c r="AS74" s="453">
        <f t="shared" si="50"/>
        <v>120582.31</v>
      </c>
      <c r="AT74" s="612">
        <f t="shared" si="50"/>
        <v>859000</v>
      </c>
      <c r="AU74" s="469">
        <f t="shared" si="50"/>
        <v>1003000</v>
      </c>
      <c r="AV74" s="636">
        <v>810000</v>
      </c>
      <c r="AW74" s="636">
        <v>810000</v>
      </c>
      <c r="AX74" s="655">
        <f t="shared" si="9"/>
        <v>230.72790760139674</v>
      </c>
      <c r="AY74" s="655">
        <f t="shared" si="10"/>
        <v>232.52242108949667</v>
      </c>
      <c r="AZ74" s="655">
        <f t="shared" si="11"/>
        <v>116.76367869615831</v>
      </c>
      <c r="BA74" s="655">
        <f t="shared" si="12"/>
        <v>271.50173265746815</v>
      </c>
      <c r="BB74" s="655">
        <f t="shared" si="13"/>
        <v>80.757726819541375</v>
      </c>
      <c r="BC74" s="655">
        <f t="shared" si="13"/>
        <v>100</v>
      </c>
    </row>
    <row r="75" spans="1:55" ht="12" customHeight="1">
      <c r="A75" s="417"/>
      <c r="B75" s="36"/>
      <c r="C75" s="36"/>
      <c r="D75" s="36"/>
      <c r="E75" s="36"/>
      <c r="F75" s="36"/>
      <c r="G75" s="36"/>
      <c r="H75" s="46"/>
      <c r="I75" s="38"/>
      <c r="J75" s="39"/>
      <c r="K75" s="40"/>
      <c r="L75" s="316"/>
      <c r="M75" s="316"/>
      <c r="N75" s="338"/>
      <c r="O75" s="338"/>
      <c r="P75" s="293"/>
      <c r="Q75" s="293"/>
      <c r="R75" s="454"/>
      <c r="S75" s="293"/>
      <c r="T75" s="293"/>
      <c r="U75" s="293"/>
      <c r="V75" s="470"/>
      <c r="W75" s="470"/>
      <c r="X75" s="525"/>
      <c r="Y75" s="525"/>
      <c r="Z75" s="525"/>
      <c r="AA75" s="525"/>
      <c r="AB75" s="526"/>
      <c r="AC75" s="526"/>
      <c r="AD75" s="524"/>
      <c r="AE75" s="524"/>
      <c r="AF75" s="524"/>
      <c r="AG75" s="524"/>
      <c r="AH75" s="525"/>
      <c r="AI75" s="525"/>
      <c r="AJ75" s="516"/>
      <c r="AK75" s="516"/>
      <c r="AL75" s="516"/>
      <c r="AM75" s="427" t="e">
        <f ca="1">__xlfn.ISFORMULA(Sheet3!$T75)</f>
        <v>#NAME?</v>
      </c>
      <c r="AN75" s="662" t="e">
        <f ca="1">__xlfn.ISFORMULA(Sheet3!$N75)</f>
        <v>#NAME?</v>
      </c>
      <c r="AO75" t="b">
        <f t="shared" si="49"/>
        <v>0</v>
      </c>
      <c r="AQ75" s="454"/>
      <c r="AS75" s="454"/>
      <c r="AT75" s="613"/>
      <c r="AU75" s="470"/>
      <c r="AV75" s="637"/>
      <c r="AW75" s="637"/>
      <c r="AX75" s="655" t="str">
        <f t="shared" ref="AX75:AX138" si="51">IF(AND(ISNUMBER(AT75), ISNUMBER(R75), R75&lt;&gt;0), (AT75/R75)*100, "")</f>
        <v/>
      </c>
      <c r="AY75" s="655" t="str">
        <f t="shared" ref="AY75:AY138" si="52">IF(AND(ISNUMBER(AT75), ISNUMBER(AQ75), AQ75&lt;&gt;0), (AT75/AQ75)*100, "")</f>
        <v/>
      </c>
      <c r="AZ75" s="655" t="str">
        <f t="shared" ref="AZ75:AZ138" si="53">IF(AND(ISNUMBER(AU75), ISNUMBER(AT75), AT75&lt;&gt;0), (AU75/AT75)*100, "")</f>
        <v/>
      </c>
      <c r="BA75" s="655" t="str">
        <f t="shared" ref="BA75:BA138" si="54">IF(AND(ISNUMBER(AU75), ISNUMBER(AQ75), AQ75&lt;&gt;0), (AU75/AQ75)*100, "")</f>
        <v/>
      </c>
      <c r="BB75" s="655" t="str">
        <f t="shared" ref="BB75:BC138" si="55">IF(AND(ISNUMBER(AV75), ISNUMBER(AU75), AU75&lt;&gt;0), (AV75/AU75)*100, "")</f>
        <v/>
      </c>
      <c r="BC75" s="655" t="str">
        <f t="shared" si="55"/>
        <v/>
      </c>
    </row>
    <row r="76" spans="1:55" ht="12" customHeight="1">
      <c r="A76" s="417"/>
      <c r="B76" s="36"/>
      <c r="C76" s="36"/>
      <c r="D76" s="36"/>
      <c r="E76" s="36"/>
      <c r="F76" s="36"/>
      <c r="G76" s="36"/>
      <c r="H76" s="46">
        <v>6331</v>
      </c>
      <c r="I76" s="38"/>
      <c r="J76" s="39"/>
      <c r="K76" s="40" t="s">
        <v>34</v>
      </c>
      <c r="L76" s="315">
        <f t="shared" ref="L76:Q76" si="56">L77+L78</f>
        <v>364855</v>
      </c>
      <c r="M76" s="315">
        <f t="shared" si="56"/>
        <v>48424.580264118384</v>
      </c>
      <c r="N76" s="337">
        <f t="shared" si="56"/>
        <v>538730</v>
      </c>
      <c r="O76" s="337">
        <f t="shared" si="56"/>
        <v>71501.758577211498</v>
      </c>
      <c r="P76" s="292">
        <f t="shared" si="56"/>
        <v>11600</v>
      </c>
      <c r="Q76" s="292">
        <f t="shared" si="56"/>
        <v>260300</v>
      </c>
      <c r="R76" s="453">
        <v>260300</v>
      </c>
      <c r="S76" s="292">
        <f>S77+S78</f>
        <v>393271.45</v>
      </c>
      <c r="T76" s="292">
        <f>T77+T78</f>
        <v>0</v>
      </c>
      <c r="U76" s="292">
        <f>U77+U78</f>
        <v>0</v>
      </c>
      <c r="V76" s="469">
        <v>145000</v>
      </c>
      <c r="W76" s="469">
        <f>W77+W78</f>
        <v>151500</v>
      </c>
      <c r="X76" s="522">
        <f>X77+X78</f>
        <v>110000</v>
      </c>
      <c r="Y76" s="522"/>
      <c r="Z76" s="522"/>
      <c r="AA76" s="522"/>
      <c r="AB76" s="523">
        <f>AB77+AB78</f>
        <v>0</v>
      </c>
      <c r="AC76" s="523">
        <f>AC77+AC78</f>
        <v>0</v>
      </c>
      <c r="AD76" s="524">
        <f>O76/M76*100</f>
        <v>147.6559181044525</v>
      </c>
      <c r="AE76" s="524">
        <f>P76/O76*100</f>
        <v>16.22337720193789</v>
      </c>
      <c r="AF76" s="524"/>
      <c r="AG76" s="524">
        <f>AB76/Q76*100</f>
        <v>0</v>
      </c>
      <c r="AH76" s="522"/>
      <c r="AI76" s="522">
        <v>110000</v>
      </c>
      <c r="AJ76" s="516">
        <f>W76/R76*100</f>
        <v>58.202074529389172</v>
      </c>
      <c r="AK76" s="516">
        <f>AT76/W76*100</f>
        <v>127.3927392739274</v>
      </c>
      <c r="AL76" s="516">
        <f>X76/AT76*100</f>
        <v>56.994818652849744</v>
      </c>
      <c r="AM76" s="427" t="e">
        <f ca="1">__xlfn.ISFORMULA(Sheet3!$T76)</f>
        <v>#NAME?</v>
      </c>
      <c r="AN76" s="662" t="e">
        <f ca="1">__xlfn.ISFORMULA(Sheet3!$N76)</f>
        <v>#NAME?</v>
      </c>
      <c r="AO76" t="b">
        <f t="shared" si="49"/>
        <v>1</v>
      </c>
      <c r="AP76" s="440">
        <f t="shared" ref="AP76:AU76" si="57">AP77+AP78</f>
        <v>77826.600000000006</v>
      </c>
      <c r="AQ76" s="453">
        <v>77826.600000000006</v>
      </c>
      <c r="AR76" s="440">
        <f t="shared" si="57"/>
        <v>77826.600000000006</v>
      </c>
      <c r="AS76" s="453">
        <f t="shared" si="57"/>
        <v>47730</v>
      </c>
      <c r="AT76" s="612">
        <f t="shared" si="57"/>
        <v>193000</v>
      </c>
      <c r="AU76" s="469">
        <f t="shared" si="57"/>
        <v>190000</v>
      </c>
      <c r="AV76" s="636">
        <v>110000</v>
      </c>
      <c r="AW76" s="636">
        <v>110000</v>
      </c>
      <c r="AX76" s="655">
        <f t="shared" si="51"/>
        <v>74.145217057241638</v>
      </c>
      <c r="AY76" s="655">
        <f t="shared" si="52"/>
        <v>247.98719203973963</v>
      </c>
      <c r="AZ76" s="655">
        <f t="shared" si="53"/>
        <v>98.445595854922274</v>
      </c>
      <c r="BA76" s="655">
        <f t="shared" si="54"/>
        <v>244.13246884741207</v>
      </c>
      <c r="BB76" s="655">
        <f t="shared" si="55"/>
        <v>57.894736842105267</v>
      </c>
      <c r="BC76" s="655">
        <f t="shared" si="55"/>
        <v>100</v>
      </c>
    </row>
    <row r="77" spans="1:55" ht="12" customHeight="1">
      <c r="A77" s="417"/>
      <c r="B77" s="36"/>
      <c r="C77" s="36"/>
      <c r="D77" s="36"/>
      <c r="E77" s="36"/>
      <c r="F77" s="36"/>
      <c r="G77" s="36"/>
      <c r="H77" s="46">
        <v>63311</v>
      </c>
      <c r="I77" s="38">
        <v>63</v>
      </c>
      <c r="J77" s="39"/>
      <c r="K77" s="40" t="s">
        <v>35</v>
      </c>
      <c r="L77" s="309">
        <v>245626</v>
      </c>
      <c r="M77" s="309">
        <f>245626/7.5345</f>
        <v>32600.172539650936</v>
      </c>
      <c r="N77" s="339">
        <v>528730</v>
      </c>
      <c r="O77" s="339">
        <f>N77/7.5345</f>
        <v>70174.530493065235</v>
      </c>
      <c r="P77" s="294">
        <v>7600</v>
      </c>
      <c r="Q77" s="269">
        <v>251300</v>
      </c>
      <c r="R77" s="451">
        <v>251300</v>
      </c>
      <c r="S77" s="294">
        <v>393271.45</v>
      </c>
      <c r="T77" s="294"/>
      <c r="U77" s="292" t="b">
        <f>__xlfn.ISFORMULA(S77)</f>
        <v>0</v>
      </c>
      <c r="V77" s="471">
        <v>145000</v>
      </c>
      <c r="W77" s="471">
        <f>90000+59500</f>
        <v>149500</v>
      </c>
      <c r="X77" s="527">
        <v>110000</v>
      </c>
      <c r="Y77" s="527"/>
      <c r="Z77" s="527"/>
      <c r="AA77" s="527"/>
      <c r="AB77" s="528">
        <v>0</v>
      </c>
      <c r="AC77" s="528">
        <v>0</v>
      </c>
      <c r="AD77" s="524">
        <f>O77/M77*100</f>
        <v>215.2581567097946</v>
      </c>
      <c r="AE77" s="524">
        <f>P77/O77*100</f>
        <v>10.830140147145045</v>
      </c>
      <c r="AF77" s="524"/>
      <c r="AG77" s="524">
        <f>AB77/Q77*100</f>
        <v>0</v>
      </c>
      <c r="AH77" s="527"/>
      <c r="AI77" s="527">
        <v>110000</v>
      </c>
      <c r="AJ77" s="516">
        <f>W77/R77*100</f>
        <v>59.490648627138874</v>
      </c>
      <c r="AK77" s="516">
        <f>AT77/W77*100</f>
        <v>127.09030100334448</v>
      </c>
      <c r="AL77" s="516">
        <f>X77/AT77*100</f>
        <v>57.894736842105267</v>
      </c>
      <c r="AM77" s="427" t="e">
        <f ca="1">__xlfn.ISFORMULA(Sheet3!$T77)</f>
        <v>#NAME?</v>
      </c>
      <c r="AN77" s="662" t="e">
        <f ca="1">__xlfn.ISFORMULA(Sheet3!$N77)</f>
        <v>#NAME?</v>
      </c>
      <c r="AO77" t="b">
        <f t="shared" si="49"/>
        <v>1</v>
      </c>
      <c r="AP77" s="462">
        <v>77826.600000000006</v>
      </c>
      <c r="AQ77" s="451">
        <v>77826.600000000006</v>
      </c>
      <c r="AR77" s="462">
        <v>77826.600000000006</v>
      </c>
      <c r="AS77" s="451">
        <v>47730</v>
      </c>
      <c r="AT77" s="613">
        <f>40000+150000</f>
        <v>190000</v>
      </c>
      <c r="AU77" s="471">
        <v>190000</v>
      </c>
      <c r="AV77" s="638">
        <v>110000</v>
      </c>
      <c r="AW77" s="638">
        <v>110000</v>
      </c>
      <c r="AX77" s="655">
        <f t="shared" si="51"/>
        <v>75.606844409072821</v>
      </c>
      <c r="AY77" s="655">
        <f t="shared" si="52"/>
        <v>244.13246884741207</v>
      </c>
      <c r="AZ77" s="655">
        <f t="shared" si="53"/>
        <v>100</v>
      </c>
      <c r="BA77" s="655">
        <f t="shared" si="54"/>
        <v>244.13246884741207</v>
      </c>
      <c r="BB77" s="655">
        <f t="shared" si="55"/>
        <v>57.894736842105267</v>
      </c>
      <c r="BC77" s="655">
        <f t="shared" si="55"/>
        <v>100</v>
      </c>
    </row>
    <row r="78" spans="1:55" ht="12" customHeight="1">
      <c r="A78" s="417"/>
      <c r="B78" s="36"/>
      <c r="C78" s="36"/>
      <c r="D78" s="36"/>
      <c r="E78" s="36"/>
      <c r="F78" s="36"/>
      <c r="G78" s="36"/>
      <c r="H78" s="46">
        <v>63312</v>
      </c>
      <c r="I78" s="38"/>
      <c r="J78" s="39"/>
      <c r="K78" s="40" t="s">
        <v>36</v>
      </c>
      <c r="L78" s="309">
        <v>119229</v>
      </c>
      <c r="M78" s="309">
        <f>119229/7.5345</f>
        <v>15824.407724467448</v>
      </c>
      <c r="N78" s="339">
        <v>10000</v>
      </c>
      <c r="O78" s="339">
        <f>N78/7.5345</f>
        <v>1327.2280841462605</v>
      </c>
      <c r="P78" s="294">
        <v>4000</v>
      </c>
      <c r="Q78" s="269">
        <v>9000</v>
      </c>
      <c r="R78" s="451">
        <v>9000</v>
      </c>
      <c r="S78" s="294"/>
      <c r="T78" s="294"/>
      <c r="U78" s="292" t="b">
        <f>__xlfn.ISFORMULA(S78)</f>
        <v>0</v>
      </c>
      <c r="V78" s="471">
        <v>0</v>
      </c>
      <c r="W78" s="471">
        <v>2000</v>
      </c>
      <c r="X78" s="527"/>
      <c r="Y78" s="527"/>
      <c r="Z78" s="527"/>
      <c r="AA78" s="527"/>
      <c r="AB78" s="528">
        <v>0</v>
      </c>
      <c r="AC78" s="528">
        <v>0</v>
      </c>
      <c r="AD78" s="524">
        <f>O78/M78*100</f>
        <v>8.3872212297343776</v>
      </c>
      <c r="AE78" s="524">
        <f>P78/O78*100</f>
        <v>301.38000000000005</v>
      </c>
      <c r="AF78" s="524">
        <f>Q78/P78*100</f>
        <v>225</v>
      </c>
      <c r="AG78" s="524">
        <f>AB78/Q78*100</f>
        <v>0</v>
      </c>
      <c r="AH78" s="527"/>
      <c r="AI78" s="527"/>
      <c r="AJ78" s="516">
        <f>W78/R78*100</f>
        <v>22.222222222222221</v>
      </c>
      <c r="AK78" s="516">
        <f>AT78/W78*100</f>
        <v>150</v>
      </c>
      <c r="AL78" s="516">
        <f>X78/AT78*100</f>
        <v>0</v>
      </c>
      <c r="AM78" s="427" t="e">
        <f ca="1">__xlfn.ISFORMULA(Sheet3!$T78)</f>
        <v>#NAME?</v>
      </c>
      <c r="AN78" s="662" t="e">
        <f ca="1">__xlfn.ISFORMULA(Sheet3!$N78)</f>
        <v>#NAME?</v>
      </c>
      <c r="AO78" t="b">
        <f t="shared" si="49"/>
        <v>0</v>
      </c>
      <c r="AQ78" s="451"/>
      <c r="AS78" s="451"/>
      <c r="AT78" s="613">
        <v>3000</v>
      </c>
      <c r="AU78" s="471"/>
      <c r="AV78" s="638"/>
      <c r="AW78" s="638"/>
      <c r="AX78" s="655">
        <f t="shared" si="51"/>
        <v>33.333333333333329</v>
      </c>
      <c r="AY78" s="655" t="str">
        <f t="shared" si="52"/>
        <v/>
      </c>
      <c r="AZ78" s="655" t="str">
        <f t="shared" si="53"/>
        <v/>
      </c>
      <c r="BA78" s="655" t="str">
        <f t="shared" si="54"/>
        <v/>
      </c>
      <c r="BB78" s="655" t="str">
        <f t="shared" si="55"/>
        <v/>
      </c>
      <c r="BC78" s="655" t="str">
        <f t="shared" si="55"/>
        <v/>
      </c>
    </row>
    <row r="79" spans="1:55" ht="12" customHeight="1">
      <c r="A79" s="424"/>
      <c r="B79" s="66"/>
      <c r="C79" s="66"/>
      <c r="D79" s="66"/>
      <c r="E79" s="66"/>
      <c r="F79" s="66"/>
      <c r="G79" s="66"/>
      <c r="H79" s="67"/>
      <c r="I79" s="68"/>
      <c r="J79" s="69"/>
      <c r="K79" s="40"/>
      <c r="L79" s="316"/>
      <c r="M79" s="316"/>
      <c r="N79" s="338"/>
      <c r="O79" s="338"/>
      <c r="P79" s="293"/>
      <c r="Q79" s="293"/>
      <c r="R79" s="454"/>
      <c r="S79" s="293"/>
      <c r="T79" s="293"/>
      <c r="U79" s="292" t="b">
        <f>__xlfn.ISFORMULA(S79)</f>
        <v>0</v>
      </c>
      <c r="V79" s="470"/>
      <c r="W79" s="470"/>
      <c r="X79" s="525"/>
      <c r="Y79" s="525"/>
      <c r="Z79" s="525"/>
      <c r="AA79" s="525"/>
      <c r="AB79" s="526"/>
      <c r="AC79" s="526"/>
      <c r="AD79" s="524"/>
      <c r="AE79" s="524"/>
      <c r="AF79" s="524"/>
      <c r="AG79" s="524"/>
      <c r="AH79" s="525"/>
      <c r="AI79" s="525"/>
      <c r="AJ79" s="516"/>
      <c r="AK79" s="516"/>
      <c r="AL79" s="516"/>
      <c r="AM79" s="427" t="e">
        <f ca="1">__xlfn.ISFORMULA(Sheet3!$T79)</f>
        <v>#NAME?</v>
      </c>
      <c r="AN79" s="662" t="e">
        <f ca="1">__xlfn.ISFORMULA(Sheet3!$N79)</f>
        <v>#NAME?</v>
      </c>
      <c r="AO79" t="b">
        <f t="shared" si="49"/>
        <v>0</v>
      </c>
      <c r="AQ79" s="454"/>
      <c r="AS79" s="454"/>
      <c r="AT79" s="613"/>
      <c r="AU79" s="470"/>
      <c r="AV79" s="637"/>
      <c r="AW79" s="637"/>
      <c r="AX79" s="655" t="str">
        <f t="shared" si="51"/>
        <v/>
      </c>
      <c r="AY79" s="655" t="str">
        <f t="shared" si="52"/>
        <v/>
      </c>
      <c r="AZ79" s="655" t="str">
        <f t="shared" si="53"/>
        <v/>
      </c>
      <c r="BA79" s="655" t="str">
        <f t="shared" si="54"/>
        <v/>
      </c>
      <c r="BB79" s="655" t="str">
        <f t="shared" si="55"/>
        <v/>
      </c>
      <c r="BC79" s="655" t="str">
        <f t="shared" si="55"/>
        <v/>
      </c>
    </row>
    <row r="80" spans="1:55" ht="12" customHeight="1">
      <c r="A80" s="417"/>
      <c r="B80" s="36"/>
      <c r="C80" s="36"/>
      <c r="D80" s="36"/>
      <c r="E80" s="36"/>
      <c r="F80" s="36"/>
      <c r="G80" s="36"/>
      <c r="H80" s="46">
        <v>6332</v>
      </c>
      <c r="I80" s="38"/>
      <c r="J80" s="39"/>
      <c r="K80" s="40" t="s">
        <v>37</v>
      </c>
      <c r="L80" s="315">
        <f>L81+L82+L83+L84</f>
        <v>3347000</v>
      </c>
      <c r="M80" s="315">
        <f>M81+M82+M83+M84</f>
        <v>444223.23976375343</v>
      </c>
      <c r="N80" s="337">
        <f>N81+N82+N83</f>
        <v>1234320</v>
      </c>
      <c r="O80" s="337">
        <f>O81+O82+O83</f>
        <v>163822.41688234123</v>
      </c>
      <c r="P80" s="292">
        <f>P81+P82+P83</f>
        <v>378000</v>
      </c>
      <c r="Q80" s="292">
        <f>Q81+Q82+Q83</f>
        <v>112000</v>
      </c>
      <c r="R80" s="453">
        <v>112000</v>
      </c>
      <c r="S80" s="292">
        <f>S81+S82+S83</f>
        <v>25820.49</v>
      </c>
      <c r="T80" s="292">
        <f>T81+T82+T83</f>
        <v>0</v>
      </c>
      <c r="U80" s="292">
        <f>U81+U82+U83</f>
        <v>0</v>
      </c>
      <c r="V80" s="469">
        <v>677600</v>
      </c>
      <c r="W80" s="469">
        <f>W81+W82+W83</f>
        <v>146770</v>
      </c>
      <c r="X80" s="522">
        <f>X81+X82+X83</f>
        <v>700000</v>
      </c>
      <c r="Y80" s="522"/>
      <c r="Z80" s="522"/>
      <c r="AA80" s="522"/>
      <c r="AB80" s="523">
        <f>AB81+AB82+AB83</f>
        <v>0</v>
      </c>
      <c r="AC80" s="523">
        <f>AC81+AC82+AC83</f>
        <v>0</v>
      </c>
      <c r="AD80" s="524">
        <f>O80/M80*100</f>
        <v>36.878398565879891</v>
      </c>
      <c r="AE80" s="524">
        <f>P80/O80*100</f>
        <v>230.73765312074664</v>
      </c>
      <c r="AF80" s="524">
        <f>Q80/P80*100</f>
        <v>29.629629629629626</v>
      </c>
      <c r="AG80" s="524">
        <f>AB80/Q80*100</f>
        <v>0</v>
      </c>
      <c r="AH80" s="522"/>
      <c r="AI80" s="522">
        <v>700000</v>
      </c>
      <c r="AJ80" s="516">
        <f>W80/R80*100</f>
        <v>131.04464285714286</v>
      </c>
      <c r="AK80" s="516">
        <f>AT80/W80*100</f>
        <v>453.77120664986029</v>
      </c>
      <c r="AL80" s="516">
        <f>X80/AT80*100</f>
        <v>105.10510510510511</v>
      </c>
      <c r="AM80" s="427" t="e">
        <f ca="1">__xlfn.ISFORMULA(Sheet3!$T80)</f>
        <v>#NAME?</v>
      </c>
      <c r="AN80" s="662" t="e">
        <f ca="1">__xlfn.ISFORMULA(Sheet3!$N80)</f>
        <v>#NAME?</v>
      </c>
      <c r="AO80" t="b">
        <f t="shared" si="49"/>
        <v>1</v>
      </c>
      <c r="AP80" s="440">
        <f t="shared" ref="AP80:AU80" si="58">AP81+AP82+AP83</f>
        <v>215400.14</v>
      </c>
      <c r="AQ80" s="453">
        <v>291600.14</v>
      </c>
      <c r="AR80" s="440">
        <f t="shared" si="58"/>
        <v>215400.14</v>
      </c>
      <c r="AS80" s="453">
        <f t="shared" si="58"/>
        <v>72852.31</v>
      </c>
      <c r="AT80" s="612">
        <f t="shared" si="58"/>
        <v>666000</v>
      </c>
      <c r="AU80" s="469">
        <f t="shared" si="58"/>
        <v>813000</v>
      </c>
      <c r="AV80" s="636">
        <v>700000</v>
      </c>
      <c r="AW80" s="636">
        <v>700000</v>
      </c>
      <c r="AX80" s="655">
        <f t="shared" si="51"/>
        <v>594.64285714285711</v>
      </c>
      <c r="AY80" s="655">
        <f t="shared" si="52"/>
        <v>228.39495207375413</v>
      </c>
      <c r="AZ80" s="655">
        <f t="shared" si="53"/>
        <v>122.07207207207207</v>
      </c>
      <c r="BA80" s="655">
        <f t="shared" si="54"/>
        <v>278.80645050444764</v>
      </c>
      <c r="BB80" s="655">
        <f t="shared" si="55"/>
        <v>86.100861008610082</v>
      </c>
      <c r="BC80" s="655">
        <f t="shared" si="55"/>
        <v>100</v>
      </c>
    </row>
    <row r="81" spans="1:55" ht="12" customHeight="1">
      <c r="A81" s="417"/>
      <c r="B81" s="36"/>
      <c r="C81" s="36"/>
      <c r="D81" s="36"/>
      <c r="E81" s="36"/>
      <c r="F81" s="36"/>
      <c r="G81" s="36"/>
      <c r="H81" s="46">
        <v>63321</v>
      </c>
      <c r="I81" s="38" t="s">
        <v>866</v>
      </c>
      <c r="J81" s="39"/>
      <c r="K81" s="40" t="s">
        <v>38</v>
      </c>
      <c r="L81" s="309">
        <v>3332000</v>
      </c>
      <c r="M81" s="309">
        <f>3332000/7.5345</f>
        <v>442232.39763753401</v>
      </c>
      <c r="N81" s="339">
        <v>964320</v>
      </c>
      <c r="O81" s="339">
        <f>N81/7.5345</f>
        <v>127987.25861039219</v>
      </c>
      <c r="P81" s="294">
        <v>363000</v>
      </c>
      <c r="Q81" s="294">
        <v>98700</v>
      </c>
      <c r="R81" s="451">
        <v>98700</v>
      </c>
      <c r="S81" s="294">
        <v>25820.49</v>
      </c>
      <c r="T81" s="294"/>
      <c r="U81" s="292" t="b">
        <f t="shared" ref="U81:U146" si="59">__xlfn.ISFORMULA(S81)</f>
        <v>0</v>
      </c>
      <c r="V81" s="471">
        <v>677600</v>
      </c>
      <c r="W81" s="471">
        <f>69570+9700+67500</f>
        <v>146770</v>
      </c>
      <c r="X81" s="527">
        <v>700000</v>
      </c>
      <c r="Y81" s="527"/>
      <c r="Z81" s="527"/>
      <c r="AA81" s="527"/>
      <c r="AB81" s="528">
        <v>0</v>
      </c>
      <c r="AC81" s="528">
        <v>0</v>
      </c>
      <c r="AD81" s="524">
        <f>O81/M81*100</f>
        <v>28.941176470588236</v>
      </c>
      <c r="AE81" s="524">
        <f>P81/O81*100</f>
        <v>283.62198232951721</v>
      </c>
      <c r="AF81" s="524">
        <f>Q81/P81*100</f>
        <v>27.190082644628099</v>
      </c>
      <c r="AG81" s="524">
        <f>AB81/Q81*100</f>
        <v>0</v>
      </c>
      <c r="AH81" s="527"/>
      <c r="AI81" s="527">
        <v>700000</v>
      </c>
      <c r="AJ81" s="516">
        <f>W81/R81*100</f>
        <v>148.70314083080041</v>
      </c>
      <c r="AK81" s="516">
        <f>AT81/W81*100</f>
        <v>449.68317776112281</v>
      </c>
      <c r="AL81" s="516">
        <f>X81/AT81*100</f>
        <v>106.06060606060606</v>
      </c>
      <c r="AM81" s="427" t="e">
        <f ca="1">__xlfn.ISFORMULA(Sheet3!$T81)</f>
        <v>#NAME?</v>
      </c>
      <c r="AN81" s="662" t="e">
        <f ca="1">__xlfn.ISFORMULA(Sheet3!$N81)</f>
        <v>#NAME?</v>
      </c>
      <c r="AO81" t="b">
        <f t="shared" si="49"/>
        <v>1</v>
      </c>
      <c r="AP81" s="462">
        <v>184385.56</v>
      </c>
      <c r="AQ81" s="451">
        <v>184385.56</v>
      </c>
      <c r="AR81" s="462">
        <v>184385.56</v>
      </c>
      <c r="AS81" s="451">
        <v>65975</v>
      </c>
      <c r="AT81" s="613">
        <f>660000</f>
        <v>660000</v>
      </c>
      <c r="AU81" s="471">
        <v>688000</v>
      </c>
      <c r="AV81" s="638">
        <v>700000</v>
      </c>
      <c r="AW81" s="638">
        <v>700000</v>
      </c>
      <c r="AX81" s="655">
        <f t="shared" si="51"/>
        <v>668.69300911854111</v>
      </c>
      <c r="AY81" s="655">
        <f t="shared" si="52"/>
        <v>357.94560051231781</v>
      </c>
      <c r="AZ81" s="655">
        <f t="shared" si="53"/>
        <v>104.24242424242425</v>
      </c>
      <c r="BA81" s="655">
        <f t="shared" si="54"/>
        <v>373.13117144314339</v>
      </c>
      <c r="BB81" s="655">
        <f t="shared" si="55"/>
        <v>101.74418604651163</v>
      </c>
      <c r="BC81" s="655">
        <f t="shared" si="55"/>
        <v>100</v>
      </c>
    </row>
    <row r="82" spans="1:55" ht="12" customHeight="1">
      <c r="A82" s="417"/>
      <c r="B82" s="36"/>
      <c r="C82" s="36"/>
      <c r="D82" s="36"/>
      <c r="E82" s="36"/>
      <c r="F82" s="36"/>
      <c r="G82" s="36"/>
      <c r="H82" s="46">
        <v>63321</v>
      </c>
      <c r="I82" s="38"/>
      <c r="J82" s="39"/>
      <c r="K82" s="40" t="s">
        <v>594</v>
      </c>
      <c r="L82" s="309">
        <v>0</v>
      </c>
      <c r="M82" s="309">
        <v>0</v>
      </c>
      <c r="N82" s="339">
        <v>0</v>
      </c>
      <c r="O82" s="339">
        <f>N82/7.5345</f>
        <v>0</v>
      </c>
      <c r="P82" s="294">
        <v>0</v>
      </c>
      <c r="Q82" s="294">
        <v>0</v>
      </c>
      <c r="R82" s="451">
        <v>0</v>
      </c>
      <c r="S82" s="294"/>
      <c r="T82" s="294"/>
      <c r="U82" s="292" t="b">
        <f t="shared" si="59"/>
        <v>0</v>
      </c>
      <c r="V82" s="471">
        <v>0</v>
      </c>
      <c r="W82" s="471"/>
      <c r="X82" s="527"/>
      <c r="Y82" s="527"/>
      <c r="Z82" s="527"/>
      <c r="AA82" s="527"/>
      <c r="AB82" s="528">
        <v>0</v>
      </c>
      <c r="AC82" s="528">
        <v>0</v>
      </c>
      <c r="AD82" s="524"/>
      <c r="AE82" s="524"/>
      <c r="AF82" s="524"/>
      <c r="AG82" s="524"/>
      <c r="AH82" s="527"/>
      <c r="AI82" s="527"/>
      <c r="AJ82" s="516"/>
      <c r="AK82" s="516"/>
      <c r="AL82" s="516"/>
      <c r="AM82" s="427" t="e">
        <f ca="1">__xlfn.ISFORMULA(Sheet3!$T82)</f>
        <v>#NAME?</v>
      </c>
      <c r="AN82" s="662" t="e">
        <f ca="1">__xlfn.ISFORMULA(Sheet3!$N82)</f>
        <v>#NAME?</v>
      </c>
      <c r="AO82" t="b">
        <f t="shared" si="49"/>
        <v>0</v>
      </c>
      <c r="AQ82" s="451">
        <v>76200</v>
      </c>
      <c r="AS82" s="451"/>
      <c r="AT82" s="613"/>
      <c r="AU82" s="471"/>
      <c r="AV82" s="638"/>
      <c r="AW82" s="638"/>
      <c r="AX82" s="655" t="str">
        <f t="shared" si="51"/>
        <v/>
      </c>
      <c r="AY82" s="655" t="str">
        <f t="shared" si="52"/>
        <v/>
      </c>
      <c r="AZ82" s="655" t="str">
        <f t="shared" si="53"/>
        <v/>
      </c>
      <c r="BA82" s="655" t="str">
        <f t="shared" si="54"/>
        <v/>
      </c>
      <c r="BB82" s="655" t="str">
        <f t="shared" si="55"/>
        <v/>
      </c>
      <c r="BC82" s="655" t="str">
        <f t="shared" si="55"/>
        <v/>
      </c>
    </row>
    <row r="83" spans="1:55" ht="12" customHeight="1">
      <c r="A83" s="417"/>
      <c r="B83" s="36"/>
      <c r="C83" s="36"/>
      <c r="D83" s="36"/>
      <c r="E83" s="36"/>
      <c r="F83" s="36"/>
      <c r="G83" s="36"/>
      <c r="H83" s="46">
        <v>63322</v>
      </c>
      <c r="I83" s="38" t="s">
        <v>867</v>
      </c>
      <c r="J83" s="39"/>
      <c r="K83" s="40" t="s">
        <v>39</v>
      </c>
      <c r="L83" s="309">
        <v>0</v>
      </c>
      <c r="M83" s="309">
        <v>0</v>
      </c>
      <c r="N83" s="339">
        <v>270000</v>
      </c>
      <c r="O83" s="339">
        <f>N83/7.5345</f>
        <v>35835.158271949032</v>
      </c>
      <c r="P83" s="294">
        <v>15000</v>
      </c>
      <c r="Q83" s="269">
        <v>13300</v>
      </c>
      <c r="R83" s="451">
        <v>13300</v>
      </c>
      <c r="S83" s="294"/>
      <c r="T83" s="294"/>
      <c r="U83" s="292" t="b">
        <f t="shared" si="59"/>
        <v>0</v>
      </c>
      <c r="V83" s="471">
        <v>0</v>
      </c>
      <c r="W83" s="471"/>
      <c r="X83" s="527"/>
      <c r="Y83" s="527"/>
      <c r="Z83" s="527"/>
      <c r="AA83" s="527"/>
      <c r="AB83" s="528">
        <v>0</v>
      </c>
      <c r="AC83" s="528">
        <v>0</v>
      </c>
      <c r="AD83" s="524"/>
      <c r="AE83" s="524">
        <f>P83/O83*100</f>
        <v>41.858333333333334</v>
      </c>
      <c r="AF83" s="524">
        <f>Q83/P83*100</f>
        <v>88.666666666666671</v>
      </c>
      <c r="AG83" s="524">
        <f>AB83/Q83*100</f>
        <v>0</v>
      </c>
      <c r="AH83" s="527"/>
      <c r="AI83" s="527"/>
      <c r="AJ83" s="516">
        <f>W83/R83*100</f>
        <v>0</v>
      </c>
      <c r="AK83" s="516"/>
      <c r="AL83" s="516">
        <f>X83/AT83*100</f>
        <v>0</v>
      </c>
      <c r="AM83" s="427" t="e">
        <f ca="1">__xlfn.ISFORMULA(Sheet3!$T83)</f>
        <v>#NAME?</v>
      </c>
      <c r="AN83" s="662" t="e">
        <f ca="1">__xlfn.ISFORMULA(Sheet3!$N83)</f>
        <v>#NAME?</v>
      </c>
      <c r="AO83" t="b">
        <f t="shared" si="49"/>
        <v>0</v>
      </c>
      <c r="AP83" s="595">
        <v>31014.58</v>
      </c>
      <c r="AQ83" s="451">
        <v>31014.58</v>
      </c>
      <c r="AR83" s="595">
        <v>31014.58</v>
      </c>
      <c r="AS83" s="451">
        <v>6877.31</v>
      </c>
      <c r="AT83" s="613">
        <v>6000</v>
      </c>
      <c r="AU83" s="471">
        <v>125000</v>
      </c>
      <c r="AV83" s="638"/>
      <c r="AW83" s="638"/>
      <c r="AX83" s="655">
        <f t="shared" si="51"/>
        <v>45.112781954887218</v>
      </c>
      <c r="AY83" s="655">
        <f t="shared" si="52"/>
        <v>19.345739971329611</v>
      </c>
      <c r="AZ83" s="655">
        <f t="shared" si="53"/>
        <v>2083.333333333333</v>
      </c>
      <c r="BA83" s="655">
        <f t="shared" si="54"/>
        <v>403.03624940270026</v>
      </c>
      <c r="BB83" s="655" t="str">
        <f t="shared" si="55"/>
        <v/>
      </c>
      <c r="BC83" s="655" t="str">
        <f t="shared" si="55"/>
        <v/>
      </c>
    </row>
    <row r="84" spans="1:55" ht="12" customHeight="1">
      <c r="A84" s="417"/>
      <c r="B84" s="36"/>
      <c r="C84" s="36"/>
      <c r="D84" s="36"/>
      <c r="E84" s="36"/>
      <c r="F84" s="36"/>
      <c r="G84" s="36"/>
      <c r="H84" s="46">
        <v>63323</v>
      </c>
      <c r="I84" s="38"/>
      <c r="J84" s="39"/>
      <c r="K84" s="69" t="s">
        <v>753</v>
      </c>
      <c r="L84" s="309">
        <v>15000</v>
      </c>
      <c r="M84" s="309">
        <f>15000/7.5345</f>
        <v>1990.8421262193906</v>
      </c>
      <c r="N84" s="339">
        <v>20000</v>
      </c>
      <c r="O84" s="339">
        <f>N84/7.5345</f>
        <v>2654.4561682925209</v>
      </c>
      <c r="P84" s="294">
        <v>0</v>
      </c>
      <c r="Q84" s="294">
        <v>0</v>
      </c>
      <c r="R84" s="451">
        <v>0</v>
      </c>
      <c r="S84" s="294"/>
      <c r="T84" s="294"/>
      <c r="U84" s="292" t="b">
        <f t="shared" si="59"/>
        <v>0</v>
      </c>
      <c r="V84" s="471">
        <v>0</v>
      </c>
      <c r="W84" s="471"/>
      <c r="X84" s="527"/>
      <c r="Y84" s="527"/>
      <c r="Z84" s="527"/>
      <c r="AA84" s="527"/>
      <c r="AB84" s="528"/>
      <c r="AC84" s="528"/>
      <c r="AD84" s="524">
        <f>O84/M84*100</f>
        <v>133.33333333333334</v>
      </c>
      <c r="AE84" s="524">
        <f>P84/O84*100</f>
        <v>0</v>
      </c>
      <c r="AF84" s="524"/>
      <c r="AG84" s="524"/>
      <c r="AH84" s="527"/>
      <c r="AI84" s="527"/>
      <c r="AJ84" s="516"/>
      <c r="AK84" s="516"/>
      <c r="AL84" s="516"/>
      <c r="AM84" s="427" t="e">
        <f ca="1">__xlfn.ISFORMULA(Sheet3!$T84)</f>
        <v>#NAME?</v>
      </c>
      <c r="AN84" s="662" t="e">
        <f ca="1">__xlfn.ISFORMULA(Sheet3!$N84)</f>
        <v>#NAME?</v>
      </c>
      <c r="AO84" t="b">
        <f t="shared" si="49"/>
        <v>0</v>
      </c>
      <c r="AQ84" s="451"/>
      <c r="AS84" s="451"/>
      <c r="AT84" s="613"/>
      <c r="AU84" s="471"/>
      <c r="AV84" s="638"/>
      <c r="AW84" s="638"/>
      <c r="AX84" s="655" t="str">
        <f t="shared" si="51"/>
        <v/>
      </c>
      <c r="AY84" s="655" t="str">
        <f t="shared" si="52"/>
        <v/>
      </c>
      <c r="AZ84" s="655" t="str">
        <f t="shared" si="53"/>
        <v/>
      </c>
      <c r="BA84" s="655" t="str">
        <f t="shared" si="54"/>
        <v/>
      </c>
      <c r="BB84" s="655" t="str">
        <f t="shared" si="55"/>
        <v/>
      </c>
      <c r="BC84" s="655" t="str">
        <f t="shared" si="55"/>
        <v/>
      </c>
    </row>
    <row r="85" spans="1:55" ht="12" customHeight="1">
      <c r="A85" s="415"/>
      <c r="B85" s="20"/>
      <c r="C85" s="20"/>
      <c r="D85" s="20"/>
      <c r="E85" s="20"/>
      <c r="F85" s="20"/>
      <c r="G85" s="20"/>
      <c r="H85" s="16"/>
      <c r="I85" s="17"/>
      <c r="J85" s="14"/>
      <c r="K85" s="19"/>
      <c r="L85" s="313">
        <v>1</v>
      </c>
      <c r="M85" s="313">
        <v>2</v>
      </c>
      <c r="N85" s="335">
        <v>3</v>
      </c>
      <c r="O85" s="335">
        <v>4</v>
      </c>
      <c r="P85" s="290">
        <v>5</v>
      </c>
      <c r="Q85" s="290">
        <v>6</v>
      </c>
      <c r="R85" s="446">
        <v>4</v>
      </c>
      <c r="S85" s="290"/>
      <c r="T85" s="290"/>
      <c r="U85" s="292" t="b">
        <f t="shared" si="59"/>
        <v>0</v>
      </c>
      <c r="V85" s="467">
        <v>5</v>
      </c>
      <c r="W85" s="467"/>
      <c r="X85" s="514"/>
      <c r="Y85" s="514"/>
      <c r="Z85" s="514"/>
      <c r="AA85" s="514"/>
      <c r="AB85" s="515">
        <v>7</v>
      </c>
      <c r="AC85" s="515">
        <v>8</v>
      </c>
      <c r="AD85" s="515">
        <v>9</v>
      </c>
      <c r="AE85" s="515">
        <v>10</v>
      </c>
      <c r="AF85" s="515">
        <v>11</v>
      </c>
      <c r="AG85" s="515">
        <v>12</v>
      </c>
      <c r="AH85" s="514"/>
      <c r="AI85" s="514"/>
      <c r="AJ85" s="516">
        <f>W85/R85*100</f>
        <v>0</v>
      </c>
      <c r="AK85" s="516"/>
      <c r="AL85" s="516"/>
      <c r="AM85" s="427" t="e">
        <f ca="1">__xlfn.ISFORMULA(Sheet3!$T85)</f>
        <v>#NAME?</v>
      </c>
      <c r="AN85" s="662" t="e">
        <f ca="1">__xlfn.ISFORMULA(Sheet3!$N85)</f>
        <v>#NAME?</v>
      </c>
      <c r="AO85" t="b">
        <f t="shared" si="49"/>
        <v>0</v>
      </c>
      <c r="AQ85" s="446"/>
      <c r="AS85" s="446"/>
      <c r="AT85" s="612"/>
      <c r="AU85" s="467"/>
      <c r="AV85" s="632"/>
      <c r="AW85" s="632"/>
      <c r="AX85" s="655" t="str">
        <f t="shared" si="51"/>
        <v/>
      </c>
      <c r="AY85" s="655" t="str">
        <f t="shared" si="52"/>
        <v/>
      </c>
      <c r="AZ85" s="655" t="str">
        <f t="shared" si="53"/>
        <v/>
      </c>
      <c r="BA85" s="655" t="str">
        <f t="shared" si="54"/>
        <v/>
      </c>
      <c r="BB85" s="655" t="str">
        <f t="shared" si="55"/>
        <v/>
      </c>
      <c r="BC85" s="655" t="str">
        <f t="shared" si="55"/>
        <v/>
      </c>
    </row>
    <row r="86" spans="1:55" ht="12" customHeight="1">
      <c r="A86" s="420"/>
      <c r="B86" s="56"/>
      <c r="C86" s="56"/>
      <c r="D86" s="56"/>
      <c r="E86" s="56"/>
      <c r="F86" s="56"/>
      <c r="G86" s="56"/>
      <c r="H86" s="57">
        <v>638</v>
      </c>
      <c r="I86" s="58"/>
      <c r="J86" s="59"/>
      <c r="K86" s="60" t="s">
        <v>714</v>
      </c>
      <c r="L86" s="315">
        <f t="shared" ref="L86:Q86" si="60">L87</f>
        <v>0</v>
      </c>
      <c r="M86" s="315">
        <f t="shared" si="60"/>
        <v>0</v>
      </c>
      <c r="N86" s="337">
        <f t="shared" si="60"/>
        <v>508281</v>
      </c>
      <c r="O86" s="337">
        <f t="shared" si="60"/>
        <v>67460.481783794545</v>
      </c>
      <c r="P86" s="292">
        <f t="shared" si="60"/>
        <v>265400</v>
      </c>
      <c r="Q86" s="292">
        <f t="shared" si="60"/>
        <v>200400</v>
      </c>
      <c r="R86" s="453">
        <v>200400</v>
      </c>
      <c r="S86" s="292"/>
      <c r="T86" s="292"/>
      <c r="U86" s="292" t="b">
        <f t="shared" si="59"/>
        <v>0</v>
      </c>
      <c r="V86" s="469">
        <v>297800</v>
      </c>
      <c r="W86" s="469">
        <f>W87</f>
        <v>323700</v>
      </c>
      <c r="X86" s="522">
        <f>X87</f>
        <v>0</v>
      </c>
      <c r="Y86" s="522"/>
      <c r="Z86" s="522"/>
      <c r="AA86" s="522"/>
      <c r="AB86" s="523">
        <f>AB87</f>
        <v>0</v>
      </c>
      <c r="AC86" s="523">
        <f>AC87</f>
        <v>0</v>
      </c>
      <c r="AD86" s="524"/>
      <c r="AE86" s="524">
        <f>P86/O86*100</f>
        <v>393.41551228552709</v>
      </c>
      <c r="AF86" s="524">
        <f>Q86/P86*100</f>
        <v>75.508666164280342</v>
      </c>
      <c r="AG86" s="524">
        <f>AB86/Q86*100</f>
        <v>0</v>
      </c>
      <c r="AH86" s="522"/>
      <c r="AI86" s="522">
        <v>0</v>
      </c>
      <c r="AJ86" s="516">
        <f>W86/R86*100</f>
        <v>161.52694610778445</v>
      </c>
      <c r="AK86" s="516">
        <f>AT86/W86*100</f>
        <v>0</v>
      </c>
      <c r="AL86" s="516"/>
      <c r="AM86" s="427" t="e">
        <f ca="1">__xlfn.ISFORMULA(Sheet3!$T86)</f>
        <v>#NAME?</v>
      </c>
      <c r="AN86" s="662" t="e">
        <f ca="1">__xlfn.ISFORMULA(Sheet3!$N86)</f>
        <v>#NAME?</v>
      </c>
      <c r="AO86" t="b">
        <f t="shared" si="49"/>
        <v>1</v>
      </c>
      <c r="AP86" s="440">
        <f>AP87</f>
        <v>323702.05</v>
      </c>
      <c r="AQ86" s="453">
        <v>323702.05</v>
      </c>
      <c r="AR86" s="440">
        <f>AR87</f>
        <v>323702.05</v>
      </c>
      <c r="AS86" s="453">
        <f>AS87</f>
        <v>0</v>
      </c>
      <c r="AT86" s="612">
        <f>AT87</f>
        <v>0</v>
      </c>
      <c r="AU86" s="469">
        <f>AU87</f>
        <v>424000</v>
      </c>
      <c r="AV86" s="636">
        <v>0</v>
      </c>
      <c r="AW86" s="636">
        <v>0</v>
      </c>
      <c r="AX86" s="655">
        <f t="shared" si="51"/>
        <v>0</v>
      </c>
      <c r="AY86" s="655">
        <f t="shared" si="52"/>
        <v>0</v>
      </c>
      <c r="AZ86" s="655" t="str">
        <f t="shared" si="53"/>
        <v/>
      </c>
      <c r="BA86" s="655">
        <f t="shared" si="54"/>
        <v>130.98465085408017</v>
      </c>
      <c r="BB86" s="655">
        <f t="shared" si="55"/>
        <v>0</v>
      </c>
      <c r="BC86" s="655" t="str">
        <f t="shared" si="55"/>
        <v/>
      </c>
    </row>
    <row r="87" spans="1:55" ht="12" customHeight="1">
      <c r="A87" s="417"/>
      <c r="B87" s="36"/>
      <c r="C87" s="36"/>
      <c r="D87" s="36"/>
      <c r="E87" s="36"/>
      <c r="F87" s="36"/>
      <c r="G87" s="36"/>
      <c r="H87" s="46">
        <v>6382</v>
      </c>
      <c r="I87" s="38"/>
      <c r="J87" s="260"/>
      <c r="K87" s="40" t="s">
        <v>713</v>
      </c>
      <c r="L87" s="309">
        <v>0</v>
      </c>
      <c r="M87" s="309">
        <v>0</v>
      </c>
      <c r="N87" s="339">
        <v>508281</v>
      </c>
      <c r="O87" s="339">
        <f>N87/7.5345</f>
        <v>67460.481783794545</v>
      </c>
      <c r="P87" s="294">
        <v>265400</v>
      </c>
      <c r="Q87" s="269">
        <v>200400</v>
      </c>
      <c r="R87" s="451">
        <v>200400</v>
      </c>
      <c r="S87" s="294"/>
      <c r="T87" s="294"/>
      <c r="U87" s="292" t="b">
        <f t="shared" si="59"/>
        <v>0</v>
      </c>
      <c r="V87" s="471">
        <v>297800</v>
      </c>
      <c r="W87" s="471">
        <v>323700</v>
      </c>
      <c r="X87" s="527"/>
      <c r="Y87" s="527"/>
      <c r="Z87" s="527"/>
      <c r="AA87" s="527"/>
      <c r="AB87" s="528"/>
      <c r="AC87" s="528"/>
      <c r="AD87" s="524"/>
      <c r="AE87" s="524">
        <f>P87/O87*100</f>
        <v>393.41551228552709</v>
      </c>
      <c r="AF87" s="524">
        <f>Q87/P87*100</f>
        <v>75.508666164280342</v>
      </c>
      <c r="AG87" s="524">
        <f>AB87/Q87*100</f>
        <v>0</v>
      </c>
      <c r="AH87" s="527"/>
      <c r="AI87" s="527"/>
      <c r="AJ87" s="516">
        <f>W87/R87*100</f>
        <v>161.52694610778445</v>
      </c>
      <c r="AK87" s="516">
        <f>AT87/W87*100</f>
        <v>0</v>
      </c>
      <c r="AL87" s="516"/>
      <c r="AM87" s="427" t="e">
        <f ca="1">__xlfn.ISFORMULA(Sheet3!$T87)</f>
        <v>#NAME?</v>
      </c>
      <c r="AN87" s="662" t="e">
        <f ca="1">__xlfn.ISFORMULA(Sheet3!$N87)</f>
        <v>#NAME?</v>
      </c>
      <c r="AO87" t="b">
        <f t="shared" si="49"/>
        <v>0</v>
      </c>
      <c r="AP87" s="595">
        <v>323702.05</v>
      </c>
      <c r="AQ87" s="451">
        <v>323702.05</v>
      </c>
      <c r="AR87" s="595">
        <v>323702.05</v>
      </c>
      <c r="AS87" s="451"/>
      <c r="AT87" s="613"/>
      <c r="AU87" s="471">
        <v>424000</v>
      </c>
      <c r="AV87" s="638"/>
      <c r="AW87" s="638"/>
      <c r="AX87" s="655" t="str">
        <f t="shared" si="51"/>
        <v/>
      </c>
      <c r="AY87" s="655" t="str">
        <f t="shared" si="52"/>
        <v/>
      </c>
      <c r="AZ87" s="655" t="str">
        <f t="shared" si="53"/>
        <v/>
      </c>
      <c r="BA87" s="655">
        <f t="shared" si="54"/>
        <v>130.98465085408017</v>
      </c>
      <c r="BB87" s="655" t="str">
        <f t="shared" si="55"/>
        <v/>
      </c>
      <c r="BC87" s="655" t="str">
        <f t="shared" si="55"/>
        <v/>
      </c>
    </row>
    <row r="88" spans="1:55" ht="12" customHeight="1">
      <c r="A88" s="417"/>
      <c r="B88" s="36"/>
      <c r="C88" s="36"/>
      <c r="D88" s="36"/>
      <c r="E88" s="36"/>
      <c r="F88" s="36"/>
      <c r="G88" s="36"/>
      <c r="H88" s="46"/>
      <c r="I88" s="38"/>
      <c r="J88" s="39"/>
      <c r="K88" s="40"/>
      <c r="L88" s="309"/>
      <c r="M88" s="309"/>
      <c r="N88" s="339"/>
      <c r="O88" s="339"/>
      <c r="P88" s="294"/>
      <c r="Q88" s="294"/>
      <c r="R88" s="451"/>
      <c r="S88" s="294"/>
      <c r="T88" s="294"/>
      <c r="U88" s="292" t="b">
        <f t="shared" si="59"/>
        <v>0</v>
      </c>
      <c r="V88" s="471"/>
      <c r="W88" s="471"/>
      <c r="X88" s="527"/>
      <c r="Y88" s="527"/>
      <c r="Z88" s="527"/>
      <c r="AA88" s="527"/>
      <c r="AB88" s="528"/>
      <c r="AC88" s="528"/>
      <c r="AD88" s="524"/>
      <c r="AE88" s="524"/>
      <c r="AF88" s="524"/>
      <c r="AG88" s="524"/>
      <c r="AH88" s="527"/>
      <c r="AI88" s="527"/>
      <c r="AJ88" s="516"/>
      <c r="AK88" s="516"/>
      <c r="AL88" s="516"/>
      <c r="AM88" s="427" t="e">
        <f ca="1">__xlfn.ISFORMULA(Sheet3!$T88)</f>
        <v>#NAME?</v>
      </c>
      <c r="AN88" s="662" t="e">
        <f ca="1">__xlfn.ISFORMULA(Sheet3!$N88)</f>
        <v>#NAME?</v>
      </c>
      <c r="AO88" t="b">
        <f t="shared" si="49"/>
        <v>0</v>
      </c>
      <c r="AQ88" s="451"/>
      <c r="AS88" s="451"/>
      <c r="AT88" s="613"/>
      <c r="AU88" s="471"/>
      <c r="AV88" s="638"/>
      <c r="AW88" s="638"/>
      <c r="AX88" s="655" t="str">
        <f t="shared" si="51"/>
        <v/>
      </c>
      <c r="AY88" s="655" t="str">
        <f t="shared" si="52"/>
        <v/>
      </c>
      <c r="AZ88" s="655" t="str">
        <f t="shared" si="53"/>
        <v/>
      </c>
      <c r="BA88" s="655" t="str">
        <f t="shared" si="54"/>
        <v/>
      </c>
      <c r="BB88" s="655" t="str">
        <f t="shared" si="55"/>
        <v/>
      </c>
      <c r="BC88" s="655" t="str">
        <f t="shared" si="55"/>
        <v/>
      </c>
    </row>
    <row r="89" spans="1:55" ht="12" customHeight="1">
      <c r="A89" s="420"/>
      <c r="B89" s="56"/>
      <c r="C89" s="56"/>
      <c r="D89" s="56"/>
      <c r="E89" s="56"/>
      <c r="F89" s="56"/>
      <c r="G89" s="56"/>
      <c r="H89" s="57">
        <v>634</v>
      </c>
      <c r="I89" s="58"/>
      <c r="J89" s="59"/>
      <c r="K89" s="60" t="s">
        <v>40</v>
      </c>
      <c r="L89" s="315">
        <f t="shared" ref="L89:Q89" si="61">L90+L93</f>
        <v>2456691</v>
      </c>
      <c r="M89" s="315">
        <f t="shared" si="61"/>
        <v>326058.92892693612</v>
      </c>
      <c r="N89" s="337">
        <f t="shared" si="61"/>
        <v>675000</v>
      </c>
      <c r="O89" s="337">
        <f t="shared" si="61"/>
        <v>89587.89567987257</v>
      </c>
      <c r="P89" s="292">
        <f t="shared" si="61"/>
        <v>329250</v>
      </c>
      <c r="Q89" s="292">
        <f t="shared" si="61"/>
        <v>0</v>
      </c>
      <c r="R89" s="453">
        <v>0</v>
      </c>
      <c r="S89" s="292"/>
      <c r="T89" s="292"/>
      <c r="U89" s="292" t="b">
        <f t="shared" si="59"/>
        <v>0</v>
      </c>
      <c r="V89" s="469">
        <v>222530</v>
      </c>
      <c r="W89" s="469">
        <f>SUM(W90+W93)</f>
        <v>133000</v>
      </c>
      <c r="X89" s="522">
        <f>SUM(X90+X93)</f>
        <v>75000</v>
      </c>
      <c r="Y89" s="522"/>
      <c r="Z89" s="522"/>
      <c r="AA89" s="522"/>
      <c r="AB89" s="523">
        <f>AB90+AB93</f>
        <v>150000</v>
      </c>
      <c r="AC89" s="523">
        <f>AC90+AC93</f>
        <v>150000</v>
      </c>
      <c r="AD89" s="524">
        <f>O89/M89*100</f>
        <v>27.475982938025169</v>
      </c>
      <c r="AE89" s="524">
        <f>P89/O89*100</f>
        <v>367.51616666666672</v>
      </c>
      <c r="AF89" s="524">
        <f>Q89/P89*100</f>
        <v>0</v>
      </c>
      <c r="AG89" s="524"/>
      <c r="AH89" s="522"/>
      <c r="AI89" s="522">
        <v>75000</v>
      </c>
      <c r="AJ89" s="516"/>
      <c r="AK89" s="516">
        <f>AT89/W89*100</f>
        <v>56.390977443609025</v>
      </c>
      <c r="AL89" s="516">
        <f>X89/AT89*100</f>
        <v>100</v>
      </c>
      <c r="AM89" s="427" t="e">
        <f ca="1">__xlfn.ISFORMULA(Sheet3!$T89)</f>
        <v>#NAME?</v>
      </c>
      <c r="AN89" s="662" t="e">
        <f ca="1">__xlfn.ISFORMULA(Sheet3!$N89)</f>
        <v>#NAME?</v>
      </c>
      <c r="AO89" t="b">
        <f t="shared" si="49"/>
        <v>1</v>
      </c>
      <c r="AP89" s="440">
        <f>SUM(AP90+AP93)</f>
        <v>132482.70000000001</v>
      </c>
      <c r="AQ89" s="453">
        <v>132482.70000000001</v>
      </c>
      <c r="AR89" s="440">
        <f>SUM(AR90+AR93)</f>
        <v>132482.70000000001</v>
      </c>
      <c r="AS89" s="453">
        <f>SUM(AS90+AS93)</f>
        <v>0</v>
      </c>
      <c r="AT89" s="612">
        <f>SUM(AT90+AT93)</f>
        <v>75000</v>
      </c>
      <c r="AU89" s="469">
        <f>SUM(AU90+AU93)</f>
        <v>97500</v>
      </c>
      <c r="AV89" s="636">
        <v>75000</v>
      </c>
      <c r="AW89" s="636">
        <v>75000</v>
      </c>
      <c r="AX89" s="655" t="str">
        <f t="shared" si="51"/>
        <v/>
      </c>
      <c r="AY89" s="655">
        <f t="shared" si="52"/>
        <v>56.61116508042182</v>
      </c>
      <c r="AZ89" s="655">
        <f t="shared" si="53"/>
        <v>130</v>
      </c>
      <c r="BA89" s="655">
        <f t="shared" si="54"/>
        <v>73.594514604548351</v>
      </c>
      <c r="BB89" s="655">
        <f t="shared" si="55"/>
        <v>76.923076923076934</v>
      </c>
      <c r="BC89" s="655">
        <f t="shared" si="55"/>
        <v>100</v>
      </c>
    </row>
    <row r="90" spans="1:55" ht="12" customHeight="1">
      <c r="A90" s="417"/>
      <c r="B90" s="36"/>
      <c r="C90" s="36"/>
      <c r="D90" s="36"/>
      <c r="E90" s="36"/>
      <c r="F90" s="36"/>
      <c r="G90" s="36"/>
      <c r="H90" s="46">
        <v>6341</v>
      </c>
      <c r="I90" s="38"/>
      <c r="J90" s="39"/>
      <c r="K90" s="40" t="s">
        <v>514</v>
      </c>
      <c r="L90" s="315">
        <f t="shared" ref="L90:Q90" si="62">L91</f>
        <v>0</v>
      </c>
      <c r="M90" s="315">
        <f t="shared" si="62"/>
        <v>0</v>
      </c>
      <c r="N90" s="337">
        <f t="shared" si="62"/>
        <v>0</v>
      </c>
      <c r="O90" s="337">
        <f t="shared" si="62"/>
        <v>0</v>
      </c>
      <c r="P90" s="292">
        <f t="shared" si="62"/>
        <v>0</v>
      </c>
      <c r="Q90" s="292">
        <f t="shared" si="62"/>
        <v>0</v>
      </c>
      <c r="R90" s="453">
        <v>0</v>
      </c>
      <c r="S90" s="292"/>
      <c r="T90" s="292"/>
      <c r="U90" s="292" t="b">
        <f t="shared" si="59"/>
        <v>0</v>
      </c>
      <c r="V90" s="469">
        <v>0</v>
      </c>
      <c r="W90" s="469">
        <f>W91</f>
        <v>0</v>
      </c>
      <c r="X90" s="522">
        <f>X91</f>
        <v>0</v>
      </c>
      <c r="Y90" s="522"/>
      <c r="Z90" s="522"/>
      <c r="AA90" s="522"/>
      <c r="AB90" s="523">
        <f>AB91</f>
        <v>0</v>
      </c>
      <c r="AC90" s="523">
        <f>AC91</f>
        <v>0</v>
      </c>
      <c r="AD90" s="524"/>
      <c r="AE90" s="524"/>
      <c r="AF90" s="524"/>
      <c r="AG90" s="524"/>
      <c r="AH90" s="522"/>
      <c r="AI90" s="522">
        <v>0</v>
      </c>
      <c r="AJ90" s="516"/>
      <c r="AK90" s="516"/>
      <c r="AL90" s="516"/>
      <c r="AM90" s="427" t="e">
        <f ca="1">__xlfn.ISFORMULA(Sheet3!$T90)</f>
        <v>#NAME?</v>
      </c>
      <c r="AN90" s="662" t="e">
        <f ca="1">__xlfn.ISFORMULA(Sheet3!$N90)</f>
        <v>#NAME?</v>
      </c>
      <c r="AO90" t="b">
        <f t="shared" si="49"/>
        <v>1</v>
      </c>
      <c r="AP90" s="440">
        <f>AP91</f>
        <v>0</v>
      </c>
      <c r="AQ90" s="453">
        <v>0</v>
      </c>
      <c r="AR90" s="440">
        <f>AR91</f>
        <v>0</v>
      </c>
      <c r="AS90" s="453">
        <f>AS91</f>
        <v>0</v>
      </c>
      <c r="AT90" s="612">
        <f>AT91</f>
        <v>0</v>
      </c>
      <c r="AU90" s="469">
        <f>AU91</f>
        <v>0</v>
      </c>
      <c r="AV90" s="636">
        <v>0</v>
      </c>
      <c r="AW90" s="636">
        <v>0</v>
      </c>
      <c r="AX90" s="655" t="str">
        <f t="shared" si="51"/>
        <v/>
      </c>
      <c r="AY90" s="655" t="str">
        <f t="shared" si="52"/>
        <v/>
      </c>
      <c r="AZ90" s="655" t="str">
        <f t="shared" si="53"/>
        <v/>
      </c>
      <c r="BA90" s="655" t="str">
        <f t="shared" si="54"/>
        <v/>
      </c>
      <c r="BB90" s="655" t="str">
        <f t="shared" si="55"/>
        <v/>
      </c>
      <c r="BC90" s="655" t="str">
        <f t="shared" si="55"/>
        <v/>
      </c>
    </row>
    <row r="91" spans="1:55" ht="12" customHeight="1">
      <c r="A91" s="417"/>
      <c r="B91" s="36"/>
      <c r="C91" s="36"/>
      <c r="D91" s="36"/>
      <c r="E91" s="36"/>
      <c r="F91" s="36"/>
      <c r="G91" s="36"/>
      <c r="H91" s="46">
        <v>63414</v>
      </c>
      <c r="I91" s="38"/>
      <c r="J91" s="39"/>
      <c r="K91" s="40" t="s">
        <v>516</v>
      </c>
      <c r="L91" s="309">
        <v>0</v>
      </c>
      <c r="M91" s="309">
        <v>0</v>
      </c>
      <c r="N91" s="339">
        <v>0</v>
      </c>
      <c r="O91" s="339">
        <v>0</v>
      </c>
      <c r="P91" s="294">
        <v>0</v>
      </c>
      <c r="Q91" s="294">
        <v>0</v>
      </c>
      <c r="R91" s="451">
        <v>0</v>
      </c>
      <c r="S91" s="294"/>
      <c r="T91" s="294"/>
      <c r="U91" s="292" t="b">
        <f t="shared" si="59"/>
        <v>0</v>
      </c>
      <c r="V91" s="471">
        <v>0</v>
      </c>
      <c r="W91" s="471"/>
      <c r="X91" s="527"/>
      <c r="Y91" s="527"/>
      <c r="Z91" s="527"/>
      <c r="AA91" s="527"/>
      <c r="AB91" s="528"/>
      <c r="AC91" s="528"/>
      <c r="AD91" s="524"/>
      <c r="AE91" s="524"/>
      <c r="AF91" s="524"/>
      <c r="AG91" s="524"/>
      <c r="AH91" s="527"/>
      <c r="AI91" s="527"/>
      <c r="AJ91" s="516"/>
      <c r="AK91" s="516"/>
      <c r="AL91" s="516"/>
      <c r="AM91" s="427" t="e">
        <f ca="1">__xlfn.ISFORMULA(Sheet3!$T91)</f>
        <v>#NAME?</v>
      </c>
      <c r="AN91" s="662" t="e">
        <f ca="1">__xlfn.ISFORMULA(Sheet3!$N91)</f>
        <v>#NAME?</v>
      </c>
      <c r="AO91" t="b">
        <f t="shared" si="49"/>
        <v>0</v>
      </c>
      <c r="AQ91" s="451"/>
      <c r="AS91" s="451"/>
      <c r="AT91" s="613"/>
      <c r="AU91" s="471"/>
      <c r="AV91" s="638"/>
      <c r="AW91" s="638"/>
      <c r="AX91" s="655" t="str">
        <f t="shared" si="51"/>
        <v/>
      </c>
      <c r="AY91" s="655" t="str">
        <f t="shared" si="52"/>
        <v/>
      </c>
      <c r="AZ91" s="655" t="str">
        <f t="shared" si="53"/>
        <v/>
      </c>
      <c r="BA91" s="655" t="str">
        <f t="shared" si="54"/>
        <v/>
      </c>
      <c r="BB91" s="655" t="str">
        <f t="shared" si="55"/>
        <v/>
      </c>
      <c r="BC91" s="655" t="str">
        <f t="shared" si="55"/>
        <v/>
      </c>
    </row>
    <row r="92" spans="1:55" ht="12" customHeight="1">
      <c r="A92" s="415"/>
      <c r="B92" s="20"/>
      <c r="C92" s="20"/>
      <c r="D92" s="20"/>
      <c r="E92" s="20"/>
      <c r="F92" s="20"/>
      <c r="G92" s="20"/>
      <c r="H92" s="16"/>
      <c r="I92" s="17"/>
      <c r="J92" s="14"/>
      <c r="K92" s="19"/>
      <c r="L92" s="313"/>
      <c r="M92" s="313"/>
      <c r="N92" s="335"/>
      <c r="O92" s="335"/>
      <c r="P92" s="290"/>
      <c r="Q92" s="290"/>
      <c r="R92" s="446"/>
      <c r="S92" s="290"/>
      <c r="T92" s="290"/>
      <c r="U92" s="292" t="b">
        <f t="shared" si="59"/>
        <v>0</v>
      </c>
      <c r="V92" s="467"/>
      <c r="W92" s="467"/>
      <c r="X92" s="514"/>
      <c r="Y92" s="514"/>
      <c r="Z92" s="514"/>
      <c r="AA92" s="514"/>
      <c r="AB92" s="515"/>
      <c r="AC92" s="515"/>
      <c r="AD92" s="524"/>
      <c r="AE92" s="524"/>
      <c r="AF92" s="524"/>
      <c r="AG92" s="524"/>
      <c r="AH92" s="514"/>
      <c r="AI92" s="514"/>
      <c r="AJ92" s="516"/>
      <c r="AK92" s="516"/>
      <c r="AL92" s="516"/>
      <c r="AM92" s="427" t="e">
        <f ca="1">__xlfn.ISFORMULA(Sheet3!$T92)</f>
        <v>#NAME?</v>
      </c>
      <c r="AN92" s="662" t="e">
        <f ca="1">__xlfn.ISFORMULA(Sheet3!$N92)</f>
        <v>#NAME?</v>
      </c>
      <c r="AO92" t="b">
        <f t="shared" si="49"/>
        <v>0</v>
      </c>
      <c r="AQ92" s="446"/>
      <c r="AS92" s="446"/>
      <c r="AT92" s="612"/>
      <c r="AU92" s="467"/>
      <c r="AV92" s="632"/>
      <c r="AW92" s="632"/>
      <c r="AX92" s="655" t="str">
        <f t="shared" si="51"/>
        <v/>
      </c>
      <c r="AY92" s="655" t="str">
        <f t="shared" si="52"/>
        <v/>
      </c>
      <c r="AZ92" s="655" t="str">
        <f t="shared" si="53"/>
        <v/>
      </c>
      <c r="BA92" s="655" t="str">
        <f t="shared" si="54"/>
        <v/>
      </c>
      <c r="BB92" s="655" t="str">
        <f t="shared" si="55"/>
        <v/>
      </c>
      <c r="BC92" s="655" t="str">
        <f t="shared" si="55"/>
        <v/>
      </c>
    </row>
    <row r="93" spans="1:55" ht="12" customHeight="1">
      <c r="A93" s="417"/>
      <c r="B93" s="36"/>
      <c r="C93" s="36"/>
      <c r="D93" s="36"/>
      <c r="E93" s="36"/>
      <c r="F93" s="36"/>
      <c r="G93" s="36"/>
      <c r="H93" s="46">
        <v>6342</v>
      </c>
      <c r="I93" s="38"/>
      <c r="J93" s="39"/>
      <c r="K93" s="40" t="s">
        <v>515</v>
      </c>
      <c r="L93" s="315">
        <f t="shared" ref="L93:Q93" si="63">L95+L96+L97</f>
        <v>2456691</v>
      </c>
      <c r="M93" s="315">
        <f t="shared" si="63"/>
        <v>326058.92892693612</v>
      </c>
      <c r="N93" s="337">
        <f t="shared" si="63"/>
        <v>675000</v>
      </c>
      <c r="O93" s="337">
        <f t="shared" si="63"/>
        <v>89587.89567987257</v>
      </c>
      <c r="P93" s="292">
        <f t="shared" si="63"/>
        <v>329250</v>
      </c>
      <c r="Q93" s="292">
        <f t="shared" si="63"/>
        <v>0</v>
      </c>
      <c r="R93" s="453">
        <v>0</v>
      </c>
      <c r="S93" s="292"/>
      <c r="T93" s="292"/>
      <c r="U93" s="292" t="b">
        <f t="shared" si="59"/>
        <v>0</v>
      </c>
      <c r="V93" s="469">
        <v>222530</v>
      </c>
      <c r="W93" s="469">
        <v>133000</v>
      </c>
      <c r="X93" s="522">
        <f>X95+X96+X97</f>
        <v>75000</v>
      </c>
      <c r="Y93" s="522"/>
      <c r="Z93" s="522"/>
      <c r="AA93" s="522"/>
      <c r="AB93" s="523">
        <f>AB95+AB96+AB97</f>
        <v>150000</v>
      </c>
      <c r="AC93" s="523">
        <f>AC95+AC96+AC97</f>
        <v>150000</v>
      </c>
      <c r="AD93" s="524">
        <f>O93/M93*100</f>
        <v>27.475982938025169</v>
      </c>
      <c r="AE93" s="524">
        <f>P93/O93*100</f>
        <v>367.51616666666672</v>
      </c>
      <c r="AF93" s="524">
        <f>Q93/P93*100</f>
        <v>0</v>
      </c>
      <c r="AG93" s="524"/>
      <c r="AH93" s="522"/>
      <c r="AI93" s="522">
        <v>75000</v>
      </c>
      <c r="AJ93" s="516"/>
      <c r="AK93" s="516">
        <f>AT93/W93*100</f>
        <v>56.390977443609025</v>
      </c>
      <c r="AL93" s="516">
        <f>X93/AT93*100</f>
        <v>100</v>
      </c>
      <c r="AM93" s="427" t="e">
        <f ca="1">__xlfn.ISFORMULA(Sheet3!$T93)</f>
        <v>#NAME?</v>
      </c>
      <c r="AN93" s="662" t="e">
        <f ca="1">__xlfn.ISFORMULA(Sheet3!$N93)</f>
        <v>#NAME?</v>
      </c>
      <c r="AO93" t="b">
        <f t="shared" si="49"/>
        <v>1</v>
      </c>
      <c r="AP93" s="440">
        <f>AP95+AP96+AP97</f>
        <v>132482.70000000001</v>
      </c>
      <c r="AQ93" s="453">
        <v>132482.70000000001</v>
      </c>
      <c r="AR93" s="440">
        <f>AR94+AR95+AR96</f>
        <v>132482.70000000001</v>
      </c>
      <c r="AS93" s="453">
        <f>AS95+AS96+AS97</f>
        <v>0</v>
      </c>
      <c r="AT93" s="612">
        <f>AT95+AT96+AT97</f>
        <v>75000</v>
      </c>
      <c r="AU93" s="469">
        <f>AU95+AU96+AU97+AU94</f>
        <v>97500</v>
      </c>
      <c r="AV93" s="636">
        <v>75000</v>
      </c>
      <c r="AW93" s="636">
        <v>75000</v>
      </c>
      <c r="AX93" s="655" t="str">
        <f t="shared" si="51"/>
        <v/>
      </c>
      <c r="AY93" s="655">
        <f t="shared" si="52"/>
        <v>56.61116508042182</v>
      </c>
      <c r="AZ93" s="655">
        <f t="shared" si="53"/>
        <v>130</v>
      </c>
      <c r="BA93" s="655">
        <f t="shared" si="54"/>
        <v>73.594514604548351</v>
      </c>
      <c r="BB93" s="655">
        <f t="shared" si="55"/>
        <v>76.923076923076934</v>
      </c>
      <c r="BC93" s="655">
        <f t="shared" si="55"/>
        <v>100</v>
      </c>
    </row>
    <row r="94" spans="1:55" ht="12" customHeight="1">
      <c r="A94" s="417"/>
      <c r="B94" s="36"/>
      <c r="C94" s="36"/>
      <c r="D94" s="36"/>
      <c r="E94" s="36"/>
      <c r="F94" s="36"/>
      <c r="G94" s="36"/>
      <c r="H94" s="46">
        <v>63425</v>
      </c>
      <c r="I94" s="38"/>
      <c r="J94" s="39"/>
      <c r="K94" s="40" t="s">
        <v>875</v>
      </c>
      <c r="L94" s="309"/>
      <c r="M94" s="309"/>
      <c r="N94" s="339"/>
      <c r="O94" s="339"/>
      <c r="P94" s="294"/>
      <c r="Q94" s="294"/>
      <c r="R94" s="451"/>
      <c r="S94" s="294"/>
      <c r="T94" s="294"/>
      <c r="U94" s="292" t="b">
        <f>__xlfn.ISFORMULA(S94)</f>
        <v>0</v>
      </c>
      <c r="V94" s="469"/>
      <c r="W94" s="471"/>
      <c r="X94" s="527"/>
      <c r="Y94" s="527"/>
      <c r="Z94" s="527"/>
      <c r="AA94" s="527"/>
      <c r="AB94" s="593"/>
      <c r="AC94" s="593"/>
      <c r="AD94" s="524"/>
      <c r="AE94" s="524"/>
      <c r="AF94" s="524"/>
      <c r="AG94" s="524"/>
      <c r="AH94" s="527"/>
      <c r="AI94" s="527"/>
      <c r="AJ94" s="604" t="e">
        <f>W94/R94*100</f>
        <v>#DIV/0!</v>
      </c>
      <c r="AK94" s="516"/>
      <c r="AL94" s="516"/>
      <c r="AM94" s="605"/>
      <c r="AN94" s="662" t="e">
        <f ca="1">__xlfn.ISFORMULA(Sheet3!$N94)</f>
        <v>#NAME?</v>
      </c>
      <c r="AP94" s="440"/>
      <c r="AQ94" s="451">
        <v>132482.70000000001</v>
      </c>
      <c r="AR94" s="595">
        <v>132482.70000000001</v>
      </c>
      <c r="AS94" s="453"/>
      <c r="AT94" s="613"/>
      <c r="AU94" s="471">
        <v>22500</v>
      </c>
      <c r="AV94" s="638">
        <v>75000</v>
      </c>
      <c r="AW94" s="638">
        <v>75000</v>
      </c>
      <c r="AX94" s="655" t="str">
        <f t="shared" si="51"/>
        <v/>
      </c>
      <c r="AY94" s="655" t="str">
        <f t="shared" si="52"/>
        <v/>
      </c>
      <c r="AZ94" s="655" t="str">
        <f t="shared" si="53"/>
        <v/>
      </c>
      <c r="BA94" s="655">
        <f t="shared" si="54"/>
        <v>16.983349524126545</v>
      </c>
      <c r="BB94" s="655">
        <f t="shared" si="55"/>
        <v>333.33333333333337</v>
      </c>
      <c r="BC94" s="655">
        <f t="shared" si="55"/>
        <v>100</v>
      </c>
    </row>
    <row r="95" spans="1:55" ht="12" customHeight="1">
      <c r="A95" s="417"/>
      <c r="B95" s="36"/>
      <c r="C95" s="36"/>
      <c r="D95" s="36"/>
      <c r="E95" s="36"/>
      <c r="F95" s="36"/>
      <c r="G95" s="36"/>
      <c r="H95" s="46">
        <v>63425</v>
      </c>
      <c r="I95" s="38"/>
      <c r="J95" s="39"/>
      <c r="K95" s="40" t="s">
        <v>525</v>
      </c>
      <c r="L95" s="309">
        <v>1756691</v>
      </c>
      <c r="M95" s="309">
        <f>1756691/7.5345</f>
        <v>233152.96303669785</v>
      </c>
      <c r="N95" s="339">
        <v>195000</v>
      </c>
      <c r="O95" s="339">
        <f>N95/7.5345</f>
        <v>25880.947640852079</v>
      </c>
      <c r="P95" s="294">
        <v>309250</v>
      </c>
      <c r="Q95" s="269">
        <v>0</v>
      </c>
      <c r="R95" s="451">
        <v>0</v>
      </c>
      <c r="S95" s="294"/>
      <c r="T95" s="294"/>
      <c r="U95" s="292" t="b">
        <f t="shared" si="59"/>
        <v>0</v>
      </c>
      <c r="V95" s="471">
        <v>222530</v>
      </c>
      <c r="W95" s="471">
        <v>133000</v>
      </c>
      <c r="X95" s="527">
        <v>75000</v>
      </c>
      <c r="Y95" s="527"/>
      <c r="Z95" s="527"/>
      <c r="AA95" s="527"/>
      <c r="AB95" s="528">
        <v>150000</v>
      </c>
      <c r="AC95" s="528">
        <v>150000</v>
      </c>
      <c r="AD95" s="524">
        <f>O95/M95*100</f>
        <v>11.100415497090836</v>
      </c>
      <c r="AE95" s="524"/>
      <c r="AF95" s="524"/>
      <c r="AG95" s="524"/>
      <c r="AH95" s="527"/>
      <c r="AI95" s="527">
        <v>75000</v>
      </c>
      <c r="AJ95" s="516"/>
      <c r="AK95" s="516">
        <f>AT95/W95*100</f>
        <v>56.390977443609025</v>
      </c>
      <c r="AL95" s="516">
        <f>X95/AT95*100</f>
        <v>100</v>
      </c>
      <c r="AM95" s="427" t="e">
        <f ca="1">__xlfn.ISFORMULA(Sheet3!$T95)</f>
        <v>#NAME?</v>
      </c>
      <c r="AN95" s="662" t="e">
        <f ca="1">__xlfn.ISFORMULA(Sheet3!$N95)</f>
        <v>#NAME?</v>
      </c>
      <c r="AO95" t="b">
        <f t="shared" ref="AO95:AO136" si="64">__xlfn.ISFORMULA(AT95)</f>
        <v>0</v>
      </c>
      <c r="AP95" s="595">
        <v>132482.70000000001</v>
      </c>
      <c r="AQ95" s="451"/>
      <c r="AS95" s="451"/>
      <c r="AT95" s="613">
        <v>75000</v>
      </c>
      <c r="AU95" s="471">
        <v>75000</v>
      </c>
      <c r="AV95" s="638"/>
      <c r="AW95" s="638"/>
      <c r="AX95" s="655" t="str">
        <f t="shared" si="51"/>
        <v/>
      </c>
      <c r="AY95" s="655" t="str">
        <f t="shared" si="52"/>
        <v/>
      </c>
      <c r="AZ95" s="655">
        <f t="shared" si="53"/>
        <v>100</v>
      </c>
      <c r="BA95" s="655" t="str">
        <f t="shared" si="54"/>
        <v/>
      </c>
      <c r="BB95" s="655" t="str">
        <f t="shared" si="55"/>
        <v/>
      </c>
      <c r="BC95" s="655" t="str">
        <f t="shared" si="55"/>
        <v/>
      </c>
    </row>
    <row r="96" spans="1:55" ht="12" customHeight="1">
      <c r="A96" s="417"/>
      <c r="B96" s="36"/>
      <c r="C96" s="36"/>
      <c r="D96" s="36"/>
      <c r="E96" s="36"/>
      <c r="F96" s="36"/>
      <c r="G96" s="36"/>
      <c r="H96" s="46">
        <v>63426</v>
      </c>
      <c r="I96" s="38"/>
      <c r="J96" s="39"/>
      <c r="K96" s="40" t="s">
        <v>526</v>
      </c>
      <c r="L96" s="309">
        <v>500000</v>
      </c>
      <c r="M96" s="309">
        <f>500000/7.5345</f>
        <v>66361.404207313026</v>
      </c>
      <c r="N96" s="339">
        <v>300000</v>
      </c>
      <c r="O96" s="339">
        <f>N96/7.5345</f>
        <v>39816.842524387816</v>
      </c>
      <c r="P96" s="294">
        <v>20000</v>
      </c>
      <c r="Q96" s="269">
        <v>0</v>
      </c>
      <c r="R96" s="451">
        <v>0</v>
      </c>
      <c r="S96" s="294"/>
      <c r="T96" s="294"/>
      <c r="U96" s="292" t="b">
        <f t="shared" si="59"/>
        <v>0</v>
      </c>
      <c r="V96" s="471">
        <v>0</v>
      </c>
      <c r="W96" s="471"/>
      <c r="X96" s="527"/>
      <c r="Y96" s="527"/>
      <c r="Z96" s="527"/>
      <c r="AA96" s="527"/>
      <c r="AB96" s="528">
        <v>0</v>
      </c>
      <c r="AC96" s="528">
        <v>0</v>
      </c>
      <c r="AD96" s="524">
        <f>O96/M96*100</f>
        <v>60</v>
      </c>
      <c r="AE96" s="524"/>
      <c r="AF96" s="524"/>
      <c r="AG96" s="524"/>
      <c r="AH96" s="527"/>
      <c r="AI96" s="527"/>
      <c r="AJ96" s="516"/>
      <c r="AK96" s="516"/>
      <c r="AL96" s="516"/>
      <c r="AM96" s="427" t="e">
        <f ca="1">__xlfn.ISFORMULA(Sheet3!$T96)</f>
        <v>#NAME?</v>
      </c>
      <c r="AN96" s="662" t="e">
        <f ca="1">__xlfn.ISFORMULA(Sheet3!$N96)</f>
        <v>#NAME?</v>
      </c>
      <c r="AO96" t="b">
        <f t="shared" si="64"/>
        <v>0</v>
      </c>
      <c r="AQ96" s="451"/>
      <c r="AS96" s="451"/>
      <c r="AT96" s="613"/>
      <c r="AU96" s="471"/>
      <c r="AV96" s="638"/>
      <c r="AW96" s="638"/>
      <c r="AX96" s="655" t="str">
        <f t="shared" si="51"/>
        <v/>
      </c>
      <c r="AY96" s="655" t="str">
        <f t="shared" si="52"/>
        <v/>
      </c>
      <c r="AZ96" s="655" t="str">
        <f t="shared" si="53"/>
        <v/>
      </c>
      <c r="BA96" s="655" t="str">
        <f t="shared" si="54"/>
        <v/>
      </c>
      <c r="BB96" s="655" t="str">
        <f t="shared" si="55"/>
        <v/>
      </c>
      <c r="BC96" s="655" t="str">
        <f t="shared" si="55"/>
        <v/>
      </c>
    </row>
    <row r="97" spans="1:55" ht="12" customHeight="1">
      <c r="A97" s="417"/>
      <c r="B97" s="36"/>
      <c r="C97" s="36"/>
      <c r="D97" s="36"/>
      <c r="E97" s="36"/>
      <c r="F97" s="36"/>
      <c r="G97" s="36"/>
      <c r="H97" s="46">
        <v>63426</v>
      </c>
      <c r="I97" s="38"/>
      <c r="J97" s="39"/>
      <c r="K97" s="69" t="s">
        <v>558</v>
      </c>
      <c r="L97" s="309">
        <v>200000</v>
      </c>
      <c r="M97" s="309">
        <f>200000/7.5345</f>
        <v>26544.56168292521</v>
      </c>
      <c r="N97" s="339">
        <v>180000</v>
      </c>
      <c r="O97" s="339">
        <f>N97/7.5345</f>
        <v>23890.105514632687</v>
      </c>
      <c r="P97" s="294">
        <v>0</v>
      </c>
      <c r="Q97" s="294">
        <v>0</v>
      </c>
      <c r="R97" s="451">
        <v>0</v>
      </c>
      <c r="S97" s="294"/>
      <c r="T97" s="294"/>
      <c r="U97" s="292" t="b">
        <f t="shared" si="59"/>
        <v>0</v>
      </c>
      <c r="V97" s="471">
        <v>0</v>
      </c>
      <c r="W97" s="471"/>
      <c r="X97" s="527"/>
      <c r="Y97" s="527"/>
      <c r="Z97" s="527"/>
      <c r="AA97" s="527"/>
      <c r="AB97" s="528">
        <v>0</v>
      </c>
      <c r="AC97" s="528">
        <v>0</v>
      </c>
      <c r="AD97" s="524">
        <f>O97/M97*100</f>
        <v>89.999999999999986</v>
      </c>
      <c r="AE97" s="524">
        <f>P97/O97*100</f>
        <v>0</v>
      </c>
      <c r="AF97" s="524"/>
      <c r="AG97" s="524"/>
      <c r="AH97" s="527"/>
      <c r="AI97" s="527"/>
      <c r="AJ97" s="516"/>
      <c r="AK97" s="516"/>
      <c r="AL97" s="516"/>
      <c r="AM97" s="427" t="e">
        <f ca="1">__xlfn.ISFORMULA(Sheet3!$T97)</f>
        <v>#NAME?</v>
      </c>
      <c r="AN97" s="662" t="e">
        <f ca="1">__xlfn.ISFORMULA(Sheet3!$N97)</f>
        <v>#NAME?</v>
      </c>
      <c r="AO97" t="b">
        <f t="shared" si="64"/>
        <v>0</v>
      </c>
      <c r="AQ97" s="451"/>
      <c r="AS97" s="451"/>
      <c r="AT97" s="613"/>
      <c r="AU97" s="471"/>
      <c r="AV97" s="638"/>
      <c r="AW97" s="638"/>
      <c r="AX97" s="655" t="str">
        <f t="shared" si="51"/>
        <v/>
      </c>
      <c r="AY97" s="655" t="str">
        <f t="shared" si="52"/>
        <v/>
      </c>
      <c r="AZ97" s="655" t="str">
        <f t="shared" si="53"/>
        <v/>
      </c>
      <c r="BA97" s="655" t="str">
        <f t="shared" si="54"/>
        <v/>
      </c>
      <c r="BB97" s="655" t="str">
        <f t="shared" si="55"/>
        <v/>
      </c>
      <c r="BC97" s="655" t="str">
        <f t="shared" si="55"/>
        <v/>
      </c>
    </row>
    <row r="98" spans="1:55" ht="12" customHeight="1">
      <c r="A98" s="415"/>
      <c r="B98" s="20"/>
      <c r="C98" s="20"/>
      <c r="D98" s="20"/>
      <c r="E98" s="20"/>
      <c r="F98" s="20"/>
      <c r="G98" s="20"/>
      <c r="H98" s="16"/>
      <c r="I98" s="17"/>
      <c r="J98" s="18"/>
      <c r="K98" s="19"/>
      <c r="L98" s="313"/>
      <c r="M98" s="313"/>
      <c r="N98" s="335"/>
      <c r="O98" s="335"/>
      <c r="P98" s="290"/>
      <c r="Q98" s="290"/>
      <c r="R98" s="446"/>
      <c r="S98" s="290"/>
      <c r="T98" s="290"/>
      <c r="U98" s="292" t="b">
        <f t="shared" si="59"/>
        <v>0</v>
      </c>
      <c r="V98" s="467"/>
      <c r="W98" s="467"/>
      <c r="X98" s="514"/>
      <c r="Y98" s="514"/>
      <c r="Z98" s="514"/>
      <c r="AA98" s="514"/>
      <c r="AB98" s="515"/>
      <c r="AC98" s="515"/>
      <c r="AD98" s="524"/>
      <c r="AE98" s="524"/>
      <c r="AF98" s="524"/>
      <c r="AG98" s="524"/>
      <c r="AH98" s="514"/>
      <c r="AI98" s="514"/>
      <c r="AJ98" s="516"/>
      <c r="AK98" s="516"/>
      <c r="AL98" s="516"/>
      <c r="AM98" s="427" t="e">
        <f ca="1">__xlfn.ISFORMULA(Sheet3!$T98)</f>
        <v>#NAME?</v>
      </c>
      <c r="AN98" s="662" t="e">
        <f ca="1">__xlfn.ISFORMULA(Sheet3!$N98)</f>
        <v>#NAME?</v>
      </c>
      <c r="AO98" t="b">
        <f t="shared" si="64"/>
        <v>0</v>
      </c>
      <c r="AQ98" s="446"/>
      <c r="AS98" s="446"/>
      <c r="AT98" s="612"/>
      <c r="AU98" s="467"/>
      <c r="AV98" s="632"/>
      <c r="AW98" s="632"/>
      <c r="AX98" s="655" t="str">
        <f t="shared" si="51"/>
        <v/>
      </c>
      <c r="AY98" s="655" t="str">
        <f t="shared" si="52"/>
        <v/>
      </c>
      <c r="AZ98" s="655" t="str">
        <f t="shared" si="53"/>
        <v/>
      </c>
      <c r="BA98" s="655" t="str">
        <f t="shared" si="54"/>
        <v/>
      </c>
      <c r="BB98" s="655" t="str">
        <f t="shared" si="55"/>
        <v/>
      </c>
      <c r="BC98" s="655" t="str">
        <f t="shared" si="55"/>
        <v/>
      </c>
    </row>
    <row r="99" spans="1:55" ht="12" customHeight="1">
      <c r="A99" s="419"/>
      <c r="B99" s="47"/>
      <c r="C99" s="47"/>
      <c r="D99" s="47"/>
      <c r="E99" s="47"/>
      <c r="F99" s="47"/>
      <c r="G99" s="47"/>
      <c r="H99" s="48">
        <v>64</v>
      </c>
      <c r="I99" s="49"/>
      <c r="J99" s="50"/>
      <c r="K99" s="51" t="s">
        <v>41</v>
      </c>
      <c r="L99" s="315">
        <f t="shared" ref="L99:Q99" si="65">L101+L110</f>
        <v>1448520</v>
      </c>
      <c r="M99" s="315">
        <f t="shared" si="65"/>
        <v>192251.64244475411</v>
      </c>
      <c r="N99" s="337">
        <f t="shared" si="65"/>
        <v>1973206</v>
      </c>
      <c r="O99" s="337">
        <f t="shared" si="65"/>
        <v>261889.44190059058</v>
      </c>
      <c r="P99" s="292">
        <f t="shared" si="65"/>
        <v>186370</v>
      </c>
      <c r="Q99" s="292">
        <f t="shared" si="65"/>
        <v>183670</v>
      </c>
      <c r="R99" s="453">
        <v>183670</v>
      </c>
      <c r="S99" s="292"/>
      <c r="T99" s="292"/>
      <c r="U99" s="292" t="b">
        <f t="shared" si="59"/>
        <v>0</v>
      </c>
      <c r="V99" s="469">
        <v>191570</v>
      </c>
      <c r="W99" s="469">
        <f>W101+W110</f>
        <v>228730</v>
      </c>
      <c r="X99" s="522">
        <f>X101+X110</f>
        <v>327720</v>
      </c>
      <c r="Y99" s="522"/>
      <c r="Z99" s="522"/>
      <c r="AA99" s="522"/>
      <c r="AB99" s="523">
        <f>AB101+AB110</f>
        <v>234670</v>
      </c>
      <c r="AC99" s="523">
        <f>AC101+AC110</f>
        <v>234670</v>
      </c>
      <c r="AD99" s="524">
        <f>O99/M99*100</f>
        <v>136.22221301742468</v>
      </c>
      <c r="AE99" s="524">
        <f>P99/O99*100</f>
        <v>71.163617230030724</v>
      </c>
      <c r="AF99" s="524">
        <f>Q99/P99*100</f>
        <v>98.551268981059181</v>
      </c>
      <c r="AG99" s="524">
        <f>AB99/Q99*100</f>
        <v>127.76719115805521</v>
      </c>
      <c r="AH99" s="522"/>
      <c r="AI99" s="522">
        <v>327720</v>
      </c>
      <c r="AJ99" s="516">
        <f>W99/R99*100</f>
        <v>124.53313007023465</v>
      </c>
      <c r="AK99" s="516">
        <f>AT99/W99*100</f>
        <v>123.16705285708041</v>
      </c>
      <c r="AL99" s="516">
        <f>X99/AT99*100</f>
        <v>116.32826920346444</v>
      </c>
      <c r="AM99" s="427" t="e">
        <f ca="1">__xlfn.ISFORMULA(Sheet3!$T99)</f>
        <v>#NAME?</v>
      </c>
      <c r="AN99" s="662" t="e">
        <f ca="1">__xlfn.ISFORMULA(Sheet3!$N99)</f>
        <v>#NAME?</v>
      </c>
      <c r="AO99" t="b">
        <f t="shared" si="64"/>
        <v>1</v>
      </c>
      <c r="AP99" s="440">
        <f>AP101+AP110</f>
        <v>204298.99999999997</v>
      </c>
      <c r="AQ99" s="453">
        <v>204299.08</v>
      </c>
      <c r="AR99" s="440">
        <f>AR101+AR110</f>
        <v>204298.99999999997</v>
      </c>
      <c r="AS99" s="453">
        <f>AS101+AS110</f>
        <v>80179.89</v>
      </c>
      <c r="AT99" s="612">
        <f>AT101+AT110</f>
        <v>281720</v>
      </c>
      <c r="AU99" s="469">
        <f>AU101+AU110</f>
        <v>281330</v>
      </c>
      <c r="AV99" s="636">
        <v>327720</v>
      </c>
      <c r="AW99" s="636">
        <v>327720</v>
      </c>
      <c r="AX99" s="655">
        <f t="shared" si="51"/>
        <v>153.38378613818261</v>
      </c>
      <c r="AY99" s="655">
        <f t="shared" si="52"/>
        <v>137.89587305043176</v>
      </c>
      <c r="AZ99" s="655">
        <f t="shared" si="53"/>
        <v>99.861564674144546</v>
      </c>
      <c r="BA99" s="655">
        <f t="shared" si="54"/>
        <v>137.70497644923316</v>
      </c>
      <c r="BB99" s="655">
        <f t="shared" si="55"/>
        <v>116.48953186649132</v>
      </c>
      <c r="BC99" s="655">
        <f t="shared" si="55"/>
        <v>100</v>
      </c>
    </row>
    <row r="100" spans="1:55" ht="12" customHeight="1">
      <c r="A100" s="417"/>
      <c r="B100" s="36"/>
      <c r="C100" s="36"/>
      <c r="D100" s="36"/>
      <c r="E100" s="36"/>
      <c r="F100" s="36"/>
      <c r="G100" s="36"/>
      <c r="H100" s="46"/>
      <c r="I100" s="38"/>
      <c r="J100" s="39"/>
      <c r="K100" s="40"/>
      <c r="L100" s="316"/>
      <c r="M100" s="316"/>
      <c r="N100" s="338"/>
      <c r="O100" s="338"/>
      <c r="P100" s="293"/>
      <c r="Q100" s="293"/>
      <c r="R100" s="454"/>
      <c r="S100" s="293"/>
      <c r="T100" s="293"/>
      <c r="U100" s="292" t="b">
        <f t="shared" si="59"/>
        <v>0</v>
      </c>
      <c r="V100" s="470"/>
      <c r="W100" s="470"/>
      <c r="X100" s="525"/>
      <c r="Y100" s="525"/>
      <c r="Z100" s="525"/>
      <c r="AA100" s="525"/>
      <c r="AB100" s="526"/>
      <c r="AC100" s="526"/>
      <c r="AD100" s="524"/>
      <c r="AE100" s="524"/>
      <c r="AF100" s="524"/>
      <c r="AG100" s="524"/>
      <c r="AH100" s="525"/>
      <c r="AI100" s="525"/>
      <c r="AJ100" s="516"/>
      <c r="AK100" s="516"/>
      <c r="AL100" s="516"/>
      <c r="AM100" s="427" t="e">
        <f ca="1">__xlfn.ISFORMULA(Sheet3!$T100)</f>
        <v>#NAME?</v>
      </c>
      <c r="AN100" s="662" t="e">
        <f ca="1">__xlfn.ISFORMULA(Sheet3!$N100)</f>
        <v>#NAME?</v>
      </c>
      <c r="AO100" t="b">
        <f t="shared" si="64"/>
        <v>0</v>
      </c>
      <c r="AQ100" s="454"/>
      <c r="AS100" s="454"/>
      <c r="AT100" s="613"/>
      <c r="AU100" s="470"/>
      <c r="AV100" s="637"/>
      <c r="AW100" s="637"/>
      <c r="AX100" s="655" t="str">
        <f t="shared" si="51"/>
        <v/>
      </c>
      <c r="AY100" s="655" t="str">
        <f t="shared" si="52"/>
        <v/>
      </c>
      <c r="AZ100" s="655" t="str">
        <f t="shared" si="53"/>
        <v/>
      </c>
      <c r="BA100" s="655" t="str">
        <f t="shared" si="54"/>
        <v/>
      </c>
      <c r="BB100" s="655" t="str">
        <f t="shared" si="55"/>
        <v/>
      </c>
      <c r="BC100" s="655" t="str">
        <f t="shared" si="55"/>
        <v/>
      </c>
    </row>
    <row r="101" spans="1:55" ht="12" customHeight="1">
      <c r="A101" s="420"/>
      <c r="B101" s="56"/>
      <c r="C101" s="56"/>
      <c r="D101" s="56"/>
      <c r="E101" s="56"/>
      <c r="F101" s="56"/>
      <c r="G101" s="56"/>
      <c r="H101" s="57">
        <v>641</v>
      </c>
      <c r="I101" s="58"/>
      <c r="J101" s="59"/>
      <c r="K101" s="60" t="s">
        <v>42</v>
      </c>
      <c r="L101" s="315">
        <f t="shared" ref="L101:Q101" si="66">L102+L105+L107</f>
        <v>4787</v>
      </c>
      <c r="M101" s="315">
        <f t="shared" si="66"/>
        <v>635.34408388081488</v>
      </c>
      <c r="N101" s="337">
        <f t="shared" si="66"/>
        <v>22</v>
      </c>
      <c r="O101" s="337">
        <f t="shared" si="66"/>
        <v>2.9199017851217732</v>
      </c>
      <c r="P101" s="292">
        <f t="shared" si="66"/>
        <v>8050</v>
      </c>
      <c r="Q101" s="292">
        <f t="shared" si="66"/>
        <v>8050</v>
      </c>
      <c r="R101" s="453">
        <v>8050</v>
      </c>
      <c r="S101" s="292"/>
      <c r="T101" s="292"/>
      <c r="U101" s="292" t="b">
        <f t="shared" si="59"/>
        <v>0</v>
      </c>
      <c r="V101" s="469">
        <v>8050</v>
      </c>
      <c r="W101" s="469">
        <f>W102</f>
        <v>10</v>
      </c>
      <c r="X101" s="522">
        <f>X102</f>
        <v>0</v>
      </c>
      <c r="Y101" s="522"/>
      <c r="Z101" s="522"/>
      <c r="AA101" s="522"/>
      <c r="AB101" s="523">
        <f>AB102+AB105+AB107</f>
        <v>60050</v>
      </c>
      <c r="AC101" s="523">
        <f>AC102+AC105+AC107</f>
        <v>60050</v>
      </c>
      <c r="AD101" s="524"/>
      <c r="AE101" s="524"/>
      <c r="AF101" s="524">
        <f>Q101/P101*100</f>
        <v>100</v>
      </c>
      <c r="AG101" s="524">
        <f>AB101/Q101*100</f>
        <v>745.96273291925468</v>
      </c>
      <c r="AH101" s="522"/>
      <c r="AI101" s="522">
        <v>0</v>
      </c>
      <c r="AJ101" s="516">
        <f>W101/R101*100</f>
        <v>0.12422360248447205</v>
      </c>
      <c r="AK101" s="516">
        <f>AT101/W101*100</f>
        <v>0</v>
      </c>
      <c r="AL101" s="516"/>
      <c r="AM101" s="427" t="e">
        <f ca="1">__xlfn.ISFORMULA(Sheet3!$T101)</f>
        <v>#NAME?</v>
      </c>
      <c r="AN101" s="662" t="e">
        <f ca="1">__xlfn.ISFORMULA(Sheet3!$N101)</f>
        <v>#NAME?</v>
      </c>
      <c r="AO101" t="b">
        <f t="shared" si="64"/>
        <v>1</v>
      </c>
      <c r="AP101" s="440">
        <f t="shared" ref="AP101:AU102" si="67">AP102</f>
        <v>1.65</v>
      </c>
      <c r="AQ101" s="453">
        <v>1.73</v>
      </c>
      <c r="AR101" s="440">
        <f>AR102</f>
        <v>1.65</v>
      </c>
      <c r="AS101" s="453">
        <f t="shared" si="67"/>
        <v>0.55000000000000004</v>
      </c>
      <c r="AT101" s="612">
        <f>AT102</f>
        <v>0</v>
      </c>
      <c r="AU101" s="469">
        <f t="shared" si="67"/>
        <v>10</v>
      </c>
      <c r="AV101" s="636">
        <v>0</v>
      </c>
      <c r="AW101" s="636">
        <v>0</v>
      </c>
      <c r="AX101" s="655">
        <f t="shared" si="51"/>
        <v>0</v>
      </c>
      <c r="AY101" s="655">
        <f t="shared" si="52"/>
        <v>0</v>
      </c>
      <c r="AZ101" s="655" t="str">
        <f t="shared" si="53"/>
        <v/>
      </c>
      <c r="BA101" s="655">
        <f t="shared" si="54"/>
        <v>578.03468208092488</v>
      </c>
      <c r="BB101" s="655">
        <f t="shared" si="55"/>
        <v>0</v>
      </c>
      <c r="BC101" s="655" t="str">
        <f t="shared" si="55"/>
        <v/>
      </c>
    </row>
    <row r="102" spans="1:55" ht="12" customHeight="1">
      <c r="A102" s="417"/>
      <c r="B102" s="36"/>
      <c r="C102" s="36"/>
      <c r="D102" s="36"/>
      <c r="E102" s="36"/>
      <c r="F102" s="36"/>
      <c r="G102" s="36"/>
      <c r="H102" s="46">
        <v>6413</v>
      </c>
      <c r="I102" s="38"/>
      <c r="J102" s="39"/>
      <c r="K102" s="40" t="s">
        <v>43</v>
      </c>
      <c r="L102" s="315">
        <f t="shared" ref="L102:Q102" si="68">L103</f>
        <v>6</v>
      </c>
      <c r="M102" s="315">
        <f t="shared" si="68"/>
        <v>0.79633685048775626</v>
      </c>
      <c r="N102" s="337">
        <f t="shared" si="68"/>
        <v>1</v>
      </c>
      <c r="O102" s="337">
        <f t="shared" si="68"/>
        <v>0.13272280841462605</v>
      </c>
      <c r="P102" s="292">
        <f t="shared" si="68"/>
        <v>50</v>
      </c>
      <c r="Q102" s="292">
        <f t="shared" si="68"/>
        <v>50</v>
      </c>
      <c r="R102" s="453">
        <v>50</v>
      </c>
      <c r="S102" s="292"/>
      <c r="T102" s="292"/>
      <c r="U102" s="292" t="b">
        <f t="shared" si="59"/>
        <v>0</v>
      </c>
      <c r="V102" s="469">
        <v>50</v>
      </c>
      <c r="W102" s="469">
        <f>W103</f>
        <v>10</v>
      </c>
      <c r="X102" s="522">
        <f>X103</f>
        <v>0</v>
      </c>
      <c r="Y102" s="522"/>
      <c r="Z102" s="522"/>
      <c r="AA102" s="522"/>
      <c r="AB102" s="523">
        <f>AB103</f>
        <v>50</v>
      </c>
      <c r="AC102" s="523">
        <f>AC103</f>
        <v>50</v>
      </c>
      <c r="AD102" s="524"/>
      <c r="AE102" s="524"/>
      <c r="AF102" s="524">
        <f>Q102/P102*100</f>
        <v>100</v>
      </c>
      <c r="AG102" s="524">
        <f>AB102/Q102*100</f>
        <v>100</v>
      </c>
      <c r="AH102" s="522"/>
      <c r="AI102" s="522">
        <v>0</v>
      </c>
      <c r="AJ102" s="516">
        <f>W102/R102*100</f>
        <v>20</v>
      </c>
      <c r="AK102" s="516">
        <f>AT102/W102*100</f>
        <v>0</v>
      </c>
      <c r="AL102" s="516"/>
      <c r="AM102" s="427" t="e">
        <f ca="1">__xlfn.ISFORMULA(Sheet3!$T102)</f>
        <v>#NAME?</v>
      </c>
      <c r="AN102" s="662" t="e">
        <f ca="1">__xlfn.ISFORMULA(Sheet3!$N102)</f>
        <v>#NAME?</v>
      </c>
      <c r="AO102" t="b">
        <f t="shared" si="64"/>
        <v>1</v>
      </c>
      <c r="AP102" s="440">
        <f t="shared" si="67"/>
        <v>1.65</v>
      </c>
      <c r="AQ102" s="453">
        <v>1.73</v>
      </c>
      <c r="AR102" s="440">
        <f>AR103</f>
        <v>1.65</v>
      </c>
      <c r="AS102" s="453">
        <f t="shared" si="67"/>
        <v>0.55000000000000004</v>
      </c>
      <c r="AT102" s="612">
        <f>AT103</f>
        <v>0</v>
      </c>
      <c r="AU102" s="469">
        <f t="shared" si="67"/>
        <v>10</v>
      </c>
      <c r="AV102" s="636">
        <v>0</v>
      </c>
      <c r="AW102" s="636">
        <v>0</v>
      </c>
      <c r="AX102" s="655">
        <f t="shared" si="51"/>
        <v>0</v>
      </c>
      <c r="AY102" s="655">
        <f t="shared" si="52"/>
        <v>0</v>
      </c>
      <c r="AZ102" s="655" t="str">
        <f t="shared" si="53"/>
        <v/>
      </c>
      <c r="BA102" s="655">
        <f t="shared" si="54"/>
        <v>578.03468208092488</v>
      </c>
      <c r="BB102" s="655">
        <f t="shared" si="55"/>
        <v>0</v>
      </c>
      <c r="BC102" s="655" t="str">
        <f t="shared" si="55"/>
        <v/>
      </c>
    </row>
    <row r="103" spans="1:55" ht="12" customHeight="1">
      <c r="A103" s="417"/>
      <c r="B103" s="36"/>
      <c r="C103" s="36"/>
      <c r="D103" s="36"/>
      <c r="E103" s="36"/>
      <c r="F103" s="36"/>
      <c r="G103" s="36"/>
      <c r="H103" s="46">
        <v>64132</v>
      </c>
      <c r="I103" s="38"/>
      <c r="J103" s="39"/>
      <c r="K103" s="40" t="s">
        <v>44</v>
      </c>
      <c r="L103" s="309">
        <v>6</v>
      </c>
      <c r="M103" s="309">
        <f>6/7.5345</f>
        <v>0.79633685048775626</v>
      </c>
      <c r="N103" s="339">
        <v>1</v>
      </c>
      <c r="O103" s="339">
        <f>N103/7.5345</f>
        <v>0.13272280841462605</v>
      </c>
      <c r="P103" s="294">
        <v>50</v>
      </c>
      <c r="Q103" s="294">
        <v>50</v>
      </c>
      <c r="R103" s="451">
        <v>50</v>
      </c>
      <c r="S103" s="294"/>
      <c r="T103" s="294"/>
      <c r="U103" s="292" t="b">
        <f t="shared" si="59"/>
        <v>0</v>
      </c>
      <c r="V103" s="471">
        <v>50</v>
      </c>
      <c r="W103" s="471">
        <v>10</v>
      </c>
      <c r="X103" s="527"/>
      <c r="Y103" s="527"/>
      <c r="Z103" s="527"/>
      <c r="AA103" s="527"/>
      <c r="AB103" s="528">
        <v>50</v>
      </c>
      <c r="AC103" s="528">
        <v>50</v>
      </c>
      <c r="AD103" s="524"/>
      <c r="AE103" s="524"/>
      <c r="AF103" s="524">
        <f>Q103/P103*100</f>
        <v>100</v>
      </c>
      <c r="AG103" s="524">
        <f>AB103/Q103*100</f>
        <v>100</v>
      </c>
      <c r="AH103" s="527"/>
      <c r="AI103" s="527"/>
      <c r="AJ103" s="516">
        <f>W103/R103*100</f>
        <v>20</v>
      </c>
      <c r="AK103" s="516">
        <f>AT103/W103*100</f>
        <v>0</v>
      </c>
      <c r="AL103" s="516"/>
      <c r="AM103" s="427" t="e">
        <f ca="1">__xlfn.ISFORMULA(Sheet3!$T103)</f>
        <v>#NAME?</v>
      </c>
      <c r="AN103" s="662" t="e">
        <f ca="1">__xlfn.ISFORMULA(Sheet3!$N103)</f>
        <v>#NAME?</v>
      </c>
      <c r="AO103" t="b">
        <f t="shared" si="64"/>
        <v>0</v>
      </c>
      <c r="AP103" s="595">
        <v>1.65</v>
      </c>
      <c r="AQ103" s="451">
        <v>1.73</v>
      </c>
      <c r="AR103" s="595">
        <v>1.65</v>
      </c>
      <c r="AS103" s="451">
        <v>0.55000000000000004</v>
      </c>
      <c r="AT103" s="613"/>
      <c r="AU103" s="471">
        <v>10</v>
      </c>
      <c r="AV103" s="638"/>
      <c r="AW103" s="638"/>
      <c r="AX103" s="655" t="str">
        <f t="shared" si="51"/>
        <v/>
      </c>
      <c r="AY103" s="655" t="str">
        <f t="shared" si="52"/>
        <v/>
      </c>
      <c r="AZ103" s="655" t="str">
        <f t="shared" si="53"/>
        <v/>
      </c>
      <c r="BA103" s="655">
        <f t="shared" si="54"/>
        <v>578.03468208092488</v>
      </c>
      <c r="BB103" s="655" t="str">
        <f t="shared" si="55"/>
        <v/>
      </c>
      <c r="BC103" s="655" t="str">
        <f t="shared" si="55"/>
        <v/>
      </c>
    </row>
    <row r="104" spans="1:55" ht="12" customHeight="1">
      <c r="A104" s="422"/>
      <c r="B104" s="25"/>
      <c r="C104" s="25"/>
      <c r="D104" s="25"/>
      <c r="E104" s="25"/>
      <c r="F104" s="25"/>
      <c r="G104" s="25"/>
      <c r="H104" s="26"/>
      <c r="I104" s="27"/>
      <c r="J104" s="28"/>
      <c r="K104" s="29"/>
      <c r="L104" s="313"/>
      <c r="M104" s="313"/>
      <c r="N104" s="335"/>
      <c r="O104" s="335"/>
      <c r="P104" s="290"/>
      <c r="Q104" s="290"/>
      <c r="R104" s="446"/>
      <c r="S104" s="290"/>
      <c r="T104" s="290"/>
      <c r="U104" s="292" t="b">
        <f t="shared" si="59"/>
        <v>0</v>
      </c>
      <c r="V104" s="467"/>
      <c r="W104" s="467"/>
      <c r="X104" s="514"/>
      <c r="Y104" s="514"/>
      <c r="Z104" s="514"/>
      <c r="AA104" s="514"/>
      <c r="AB104" s="515"/>
      <c r="AC104" s="515"/>
      <c r="AD104" s="524"/>
      <c r="AE104" s="524"/>
      <c r="AF104" s="524"/>
      <c r="AG104" s="524"/>
      <c r="AH104" s="514"/>
      <c r="AI104" s="514"/>
      <c r="AJ104" s="516"/>
      <c r="AK104" s="516"/>
      <c r="AL104" s="516"/>
      <c r="AM104" s="427" t="e">
        <f ca="1">__xlfn.ISFORMULA(Sheet3!$T104)</f>
        <v>#NAME?</v>
      </c>
      <c r="AN104" s="662" t="e">
        <f ca="1">__xlfn.ISFORMULA(Sheet3!$N104)</f>
        <v>#NAME?</v>
      </c>
      <c r="AO104" t="b">
        <f t="shared" si="64"/>
        <v>0</v>
      </c>
      <c r="AQ104" s="446"/>
      <c r="AS104" s="446"/>
      <c r="AT104" s="612"/>
      <c r="AU104" s="467"/>
      <c r="AV104" s="632"/>
      <c r="AW104" s="632"/>
      <c r="AX104" s="655" t="str">
        <f t="shared" si="51"/>
        <v/>
      </c>
      <c r="AY104" s="655" t="str">
        <f t="shared" si="52"/>
        <v/>
      </c>
      <c r="AZ104" s="655" t="str">
        <f t="shared" si="53"/>
        <v/>
      </c>
      <c r="BA104" s="655" t="str">
        <f t="shared" si="54"/>
        <v/>
      </c>
      <c r="BB104" s="655" t="str">
        <f t="shared" si="55"/>
        <v/>
      </c>
      <c r="BC104" s="655" t="str">
        <f t="shared" si="55"/>
        <v/>
      </c>
    </row>
    <row r="105" spans="1:55" ht="12" customHeight="1">
      <c r="A105" s="417"/>
      <c r="B105" s="36"/>
      <c r="C105" s="36"/>
      <c r="D105" s="36"/>
      <c r="E105" s="36"/>
      <c r="F105" s="36"/>
      <c r="G105" s="36"/>
      <c r="H105" s="46">
        <v>6414</v>
      </c>
      <c r="I105" s="38"/>
      <c r="J105" s="39"/>
      <c r="K105" s="40" t="s">
        <v>45</v>
      </c>
      <c r="L105" s="315">
        <v>4781</v>
      </c>
      <c r="M105" s="315">
        <f>4781/7.5345</f>
        <v>634.54774703032717</v>
      </c>
      <c r="N105" s="337">
        <v>21</v>
      </c>
      <c r="O105" s="337">
        <f>N105/7.5345</f>
        <v>2.7871789767071471</v>
      </c>
      <c r="P105" s="292">
        <v>8000</v>
      </c>
      <c r="Q105" s="292">
        <v>8000</v>
      </c>
      <c r="R105" s="453">
        <v>8000</v>
      </c>
      <c r="S105" s="292"/>
      <c r="T105" s="292"/>
      <c r="U105" s="292" t="b">
        <f t="shared" si="59"/>
        <v>0</v>
      </c>
      <c r="V105" s="469">
        <v>8000</v>
      </c>
      <c r="W105" s="469"/>
      <c r="X105" s="522"/>
      <c r="Y105" s="522"/>
      <c r="Z105" s="522"/>
      <c r="AA105" s="522"/>
      <c r="AB105" s="523">
        <v>60000</v>
      </c>
      <c r="AC105" s="523">
        <v>60000</v>
      </c>
      <c r="AD105" s="524"/>
      <c r="AE105" s="524"/>
      <c r="AF105" s="524">
        <f>Q105/P105*100</f>
        <v>100</v>
      </c>
      <c r="AG105" s="524">
        <f>AB105/Q105*100</f>
        <v>750</v>
      </c>
      <c r="AH105" s="522"/>
      <c r="AI105" s="522"/>
      <c r="AJ105" s="516">
        <f>W105/R105*100</f>
        <v>0</v>
      </c>
      <c r="AK105" s="516"/>
      <c r="AL105" s="516"/>
      <c r="AM105" s="427" t="e">
        <f ca="1">__xlfn.ISFORMULA(Sheet3!$T105)</f>
        <v>#NAME?</v>
      </c>
      <c r="AN105" s="662" t="e">
        <f ca="1">__xlfn.ISFORMULA(Sheet3!$N105)</f>
        <v>#NAME?</v>
      </c>
      <c r="AO105" t="b">
        <f t="shared" si="64"/>
        <v>0</v>
      </c>
      <c r="AQ105" s="453"/>
      <c r="AS105" s="453"/>
      <c r="AT105" s="612"/>
      <c r="AU105" s="469"/>
      <c r="AV105" s="636"/>
      <c r="AW105" s="636"/>
      <c r="AX105" s="655" t="str">
        <f t="shared" si="51"/>
        <v/>
      </c>
      <c r="AY105" s="655" t="str">
        <f t="shared" si="52"/>
        <v/>
      </c>
      <c r="AZ105" s="655" t="str">
        <f t="shared" si="53"/>
        <v/>
      </c>
      <c r="BA105" s="655" t="str">
        <f t="shared" si="54"/>
        <v/>
      </c>
      <c r="BB105" s="655" t="str">
        <f t="shared" si="55"/>
        <v/>
      </c>
      <c r="BC105" s="655" t="str">
        <f t="shared" si="55"/>
        <v/>
      </c>
    </row>
    <row r="106" spans="1:55" ht="12" customHeight="1">
      <c r="A106" s="417"/>
      <c r="B106" s="36"/>
      <c r="C106" s="36"/>
      <c r="D106" s="36"/>
      <c r="E106" s="36"/>
      <c r="F106" s="36"/>
      <c r="G106" s="36"/>
      <c r="H106" s="46">
        <v>6415</v>
      </c>
      <c r="I106" s="38"/>
      <c r="J106" s="39"/>
      <c r="K106" s="40" t="s">
        <v>694</v>
      </c>
      <c r="L106" s="315"/>
      <c r="M106" s="315"/>
      <c r="N106" s="337"/>
      <c r="O106" s="337"/>
      <c r="P106" s="292"/>
      <c r="Q106" s="292"/>
      <c r="R106" s="453"/>
      <c r="S106" s="292"/>
      <c r="T106" s="292"/>
      <c r="U106" s="292" t="b">
        <f t="shared" si="59"/>
        <v>0</v>
      </c>
      <c r="V106" s="469"/>
      <c r="W106" s="469"/>
      <c r="X106" s="522"/>
      <c r="Y106" s="522"/>
      <c r="Z106" s="522"/>
      <c r="AA106" s="522"/>
      <c r="AB106" s="523"/>
      <c r="AC106" s="523"/>
      <c r="AD106" s="524"/>
      <c r="AE106" s="524"/>
      <c r="AF106" s="524"/>
      <c r="AG106" s="524"/>
      <c r="AH106" s="522"/>
      <c r="AI106" s="522"/>
      <c r="AJ106" s="516"/>
      <c r="AK106" s="516"/>
      <c r="AL106" s="516"/>
      <c r="AM106" s="427" t="e">
        <f ca="1">__xlfn.ISFORMULA(Sheet3!$T106)</f>
        <v>#NAME?</v>
      </c>
      <c r="AN106" s="662" t="e">
        <f ca="1">__xlfn.ISFORMULA(Sheet3!$N106)</f>
        <v>#NAME?</v>
      </c>
      <c r="AO106" t="b">
        <f t="shared" si="64"/>
        <v>0</v>
      </c>
      <c r="AQ106" s="453">
        <v>0.13</v>
      </c>
      <c r="AS106" s="453"/>
      <c r="AT106" s="612"/>
      <c r="AU106" s="469"/>
      <c r="AV106" s="636"/>
      <c r="AW106" s="636"/>
      <c r="AX106" s="655" t="str">
        <f t="shared" si="51"/>
        <v/>
      </c>
      <c r="AY106" s="655" t="str">
        <f t="shared" si="52"/>
        <v/>
      </c>
      <c r="AZ106" s="655" t="str">
        <f t="shared" si="53"/>
        <v/>
      </c>
      <c r="BA106" s="655" t="str">
        <f t="shared" si="54"/>
        <v/>
      </c>
      <c r="BB106" s="655" t="str">
        <f t="shared" si="55"/>
        <v/>
      </c>
      <c r="BC106" s="655" t="str">
        <f t="shared" si="55"/>
        <v/>
      </c>
    </row>
    <row r="107" spans="1:55" ht="12" customHeight="1">
      <c r="A107" s="417"/>
      <c r="B107" s="36"/>
      <c r="C107" s="36"/>
      <c r="D107" s="36"/>
      <c r="E107" s="36"/>
      <c r="F107" s="36"/>
      <c r="G107" s="36"/>
      <c r="H107" s="46">
        <v>6417</v>
      </c>
      <c r="I107" s="38"/>
      <c r="J107" s="39"/>
      <c r="K107" s="40" t="s">
        <v>46</v>
      </c>
      <c r="L107" s="315">
        <f t="shared" ref="L107:Q107" si="69">L108</f>
        <v>0</v>
      </c>
      <c r="M107" s="315">
        <f t="shared" si="69"/>
        <v>0</v>
      </c>
      <c r="N107" s="337">
        <f t="shared" si="69"/>
        <v>0</v>
      </c>
      <c r="O107" s="337">
        <f t="shared" si="69"/>
        <v>0</v>
      </c>
      <c r="P107" s="292">
        <f t="shared" si="69"/>
        <v>0</v>
      </c>
      <c r="Q107" s="292">
        <f t="shared" si="69"/>
        <v>0</v>
      </c>
      <c r="R107" s="453">
        <v>0</v>
      </c>
      <c r="S107" s="292"/>
      <c r="T107" s="292"/>
      <c r="U107" s="292" t="b">
        <f t="shared" si="59"/>
        <v>0</v>
      </c>
      <c r="V107" s="469">
        <v>0</v>
      </c>
      <c r="W107" s="469"/>
      <c r="X107" s="522"/>
      <c r="Y107" s="522"/>
      <c r="Z107" s="522"/>
      <c r="AA107" s="522"/>
      <c r="AB107" s="523">
        <f>AB108</f>
        <v>0</v>
      </c>
      <c r="AC107" s="523">
        <f>AC108</f>
        <v>0</v>
      </c>
      <c r="AD107" s="524"/>
      <c r="AE107" s="524"/>
      <c r="AF107" s="524"/>
      <c r="AG107" s="524"/>
      <c r="AH107" s="522"/>
      <c r="AI107" s="522"/>
      <c r="AJ107" s="516"/>
      <c r="AK107" s="516"/>
      <c r="AL107" s="516"/>
      <c r="AM107" s="427" t="e">
        <f ca="1">__xlfn.ISFORMULA(Sheet3!$T107)</f>
        <v>#NAME?</v>
      </c>
      <c r="AN107" s="662" t="e">
        <f ca="1">__xlfn.ISFORMULA(Sheet3!$N107)</f>
        <v>#NAME?</v>
      </c>
      <c r="AO107" t="b">
        <f t="shared" si="64"/>
        <v>0</v>
      </c>
      <c r="AQ107" s="453"/>
      <c r="AS107" s="453"/>
      <c r="AT107" s="612"/>
      <c r="AU107" s="469"/>
      <c r="AV107" s="636"/>
      <c r="AW107" s="636"/>
      <c r="AX107" s="655" t="str">
        <f t="shared" si="51"/>
        <v/>
      </c>
      <c r="AY107" s="655" t="str">
        <f t="shared" si="52"/>
        <v/>
      </c>
      <c r="AZ107" s="655" t="str">
        <f t="shared" si="53"/>
        <v/>
      </c>
      <c r="BA107" s="655" t="str">
        <f t="shared" si="54"/>
        <v/>
      </c>
      <c r="BB107" s="655" t="str">
        <f t="shared" si="55"/>
        <v/>
      </c>
      <c r="BC107" s="655" t="str">
        <f t="shared" si="55"/>
        <v/>
      </c>
    </row>
    <row r="108" spans="1:55" ht="12" customHeight="1">
      <c r="A108" s="417"/>
      <c r="B108" s="36"/>
      <c r="C108" s="36"/>
      <c r="D108" s="36"/>
      <c r="E108" s="36"/>
      <c r="F108" s="36"/>
      <c r="G108" s="36"/>
      <c r="H108" s="46">
        <v>64172</v>
      </c>
      <c r="I108" s="38"/>
      <c r="J108" s="39"/>
      <c r="K108" s="40" t="s">
        <v>47</v>
      </c>
      <c r="L108" s="309"/>
      <c r="M108" s="309"/>
      <c r="N108" s="339"/>
      <c r="O108" s="339"/>
      <c r="P108" s="294"/>
      <c r="Q108" s="294"/>
      <c r="R108" s="451"/>
      <c r="S108" s="294"/>
      <c r="T108" s="294"/>
      <c r="U108" s="292" t="b">
        <f t="shared" si="59"/>
        <v>0</v>
      </c>
      <c r="V108" s="471"/>
      <c r="W108" s="471"/>
      <c r="X108" s="527"/>
      <c r="Y108" s="527"/>
      <c r="Z108" s="527"/>
      <c r="AA108" s="527"/>
      <c r="AB108" s="528"/>
      <c r="AC108" s="528"/>
      <c r="AD108" s="524"/>
      <c r="AE108" s="524"/>
      <c r="AF108" s="524"/>
      <c r="AG108" s="524"/>
      <c r="AH108" s="527"/>
      <c r="AI108" s="527"/>
      <c r="AJ108" s="516"/>
      <c r="AK108" s="516"/>
      <c r="AL108" s="516"/>
      <c r="AM108" s="427" t="e">
        <f ca="1">__xlfn.ISFORMULA(Sheet3!$T108)</f>
        <v>#NAME?</v>
      </c>
      <c r="AN108" s="662" t="e">
        <f ca="1">__xlfn.ISFORMULA(Sheet3!$N108)</f>
        <v>#NAME?</v>
      </c>
      <c r="AO108" t="b">
        <f t="shared" si="64"/>
        <v>0</v>
      </c>
      <c r="AQ108" s="451"/>
      <c r="AS108" s="451"/>
      <c r="AT108" s="613"/>
      <c r="AU108" s="471"/>
      <c r="AV108" s="638"/>
      <c r="AW108" s="638"/>
      <c r="AX108" s="655" t="str">
        <f t="shared" si="51"/>
        <v/>
      </c>
      <c r="AY108" s="655" t="str">
        <f t="shared" si="52"/>
        <v/>
      </c>
      <c r="AZ108" s="655" t="str">
        <f t="shared" si="53"/>
        <v/>
      </c>
      <c r="BA108" s="655" t="str">
        <f t="shared" si="54"/>
        <v/>
      </c>
      <c r="BB108" s="655" t="str">
        <f t="shared" si="55"/>
        <v/>
      </c>
      <c r="BC108" s="655" t="str">
        <f t="shared" si="55"/>
        <v/>
      </c>
    </row>
    <row r="109" spans="1:55" ht="12" customHeight="1">
      <c r="A109" s="422"/>
      <c r="B109" s="25"/>
      <c r="C109" s="25"/>
      <c r="D109" s="25"/>
      <c r="E109" s="25"/>
      <c r="F109" s="25"/>
      <c r="G109" s="25"/>
      <c r="H109" s="70"/>
      <c r="I109" s="27"/>
      <c r="J109" s="28"/>
      <c r="K109" s="29"/>
      <c r="L109" s="317"/>
      <c r="M109" s="317"/>
      <c r="N109" s="341"/>
      <c r="O109" s="341"/>
      <c r="P109" s="296"/>
      <c r="Q109" s="296"/>
      <c r="R109" s="455"/>
      <c r="S109" s="296"/>
      <c r="T109" s="296"/>
      <c r="U109" s="292" t="b">
        <f t="shared" si="59"/>
        <v>0</v>
      </c>
      <c r="V109" s="473"/>
      <c r="W109" s="473"/>
      <c r="X109" s="531"/>
      <c r="Y109" s="531"/>
      <c r="Z109" s="531"/>
      <c r="AA109" s="531"/>
      <c r="AB109" s="532"/>
      <c r="AC109" s="532"/>
      <c r="AD109" s="524"/>
      <c r="AE109" s="524"/>
      <c r="AF109" s="524"/>
      <c r="AG109" s="524"/>
      <c r="AH109" s="531"/>
      <c r="AI109" s="531"/>
      <c r="AJ109" s="516"/>
      <c r="AK109" s="516"/>
      <c r="AL109" s="516"/>
      <c r="AM109" s="427" t="e">
        <f ca="1">__xlfn.ISFORMULA(Sheet3!$T109)</f>
        <v>#NAME?</v>
      </c>
      <c r="AN109" s="662" t="e">
        <f ca="1">__xlfn.ISFORMULA(Sheet3!$N109)</f>
        <v>#NAME?</v>
      </c>
      <c r="AO109" t="b">
        <f t="shared" si="64"/>
        <v>0</v>
      </c>
      <c r="AQ109" s="455"/>
      <c r="AS109" s="455"/>
      <c r="AT109" s="612"/>
      <c r="AU109" s="473"/>
      <c r="AV109" s="640"/>
      <c r="AW109" s="640"/>
      <c r="AX109" s="655" t="str">
        <f t="shared" si="51"/>
        <v/>
      </c>
      <c r="AY109" s="655" t="str">
        <f t="shared" si="52"/>
        <v/>
      </c>
      <c r="AZ109" s="655" t="str">
        <f t="shared" si="53"/>
        <v/>
      </c>
      <c r="BA109" s="655" t="str">
        <f t="shared" si="54"/>
        <v/>
      </c>
      <c r="BB109" s="655" t="str">
        <f t="shared" si="55"/>
        <v/>
      </c>
      <c r="BC109" s="655" t="str">
        <f t="shared" si="55"/>
        <v/>
      </c>
    </row>
    <row r="110" spans="1:55" ht="12" customHeight="1">
      <c r="A110" s="420"/>
      <c r="B110" s="56"/>
      <c r="C110" s="56"/>
      <c r="D110" s="56"/>
      <c r="E110" s="56"/>
      <c r="F110" s="56"/>
      <c r="G110" s="56"/>
      <c r="H110" s="57">
        <v>642</v>
      </c>
      <c r="I110" s="58"/>
      <c r="J110" s="59"/>
      <c r="K110" s="60" t="s">
        <v>48</v>
      </c>
      <c r="L110" s="315">
        <f t="shared" ref="L110:Q110" si="70">L111+L115+L121+L127</f>
        <v>1443733</v>
      </c>
      <c r="M110" s="315">
        <f t="shared" si="70"/>
        <v>191616.2983608733</v>
      </c>
      <c r="N110" s="337">
        <f t="shared" si="70"/>
        <v>1973184</v>
      </c>
      <c r="O110" s="337">
        <f t="shared" si="70"/>
        <v>261886.52199880546</v>
      </c>
      <c r="P110" s="292">
        <f t="shared" si="70"/>
        <v>178320</v>
      </c>
      <c r="Q110" s="292">
        <f t="shared" si="70"/>
        <v>175620</v>
      </c>
      <c r="R110" s="453">
        <v>175620</v>
      </c>
      <c r="S110" s="292"/>
      <c r="T110" s="292"/>
      <c r="U110" s="292" t="b">
        <f t="shared" si="59"/>
        <v>0</v>
      </c>
      <c r="V110" s="469">
        <v>183520</v>
      </c>
      <c r="W110" s="469">
        <f>W111+W115+W121+W127</f>
        <v>228720</v>
      </c>
      <c r="X110" s="522">
        <f>X111+X115+X121+X127</f>
        <v>327720</v>
      </c>
      <c r="Y110" s="522"/>
      <c r="Z110" s="522"/>
      <c r="AA110" s="522"/>
      <c r="AB110" s="523">
        <f>AB111+AB115+AB121+AB127</f>
        <v>174620</v>
      </c>
      <c r="AC110" s="523">
        <f>AC111+AC115+AC121+AC127</f>
        <v>174620</v>
      </c>
      <c r="AD110" s="524">
        <f>O110/M110*100</f>
        <v>136.67236254903088</v>
      </c>
      <c r="AE110" s="524">
        <f t="shared" ref="AE110:AF112" si="71">P110/O110*100</f>
        <v>68.090560231585101</v>
      </c>
      <c r="AF110" s="524">
        <f t="shared" si="71"/>
        <v>98.485868102288023</v>
      </c>
      <c r="AG110" s="524">
        <f>AB110/Q110*100</f>
        <v>99.430588771210566</v>
      </c>
      <c r="AH110" s="522"/>
      <c r="AI110" s="522">
        <v>327720</v>
      </c>
      <c r="AJ110" s="516">
        <f>W110/R110*100</f>
        <v>130.23573624871884</v>
      </c>
      <c r="AK110" s="516">
        <f>AT110/W110*100</f>
        <v>123.17243791535502</v>
      </c>
      <c r="AL110" s="516">
        <f>X110/AT110*100</f>
        <v>116.32826920346444</v>
      </c>
      <c r="AM110" s="427" t="e">
        <f ca="1">__xlfn.ISFORMULA(Sheet3!$T110)</f>
        <v>#NAME?</v>
      </c>
      <c r="AN110" s="662" t="e">
        <f ca="1">__xlfn.ISFORMULA(Sheet3!$N110)</f>
        <v>#NAME?</v>
      </c>
      <c r="AO110" t="b">
        <f t="shared" si="64"/>
        <v>1</v>
      </c>
      <c r="AP110" s="440">
        <f>AP111+AP115+AP121+AP127</f>
        <v>204297.34999999998</v>
      </c>
      <c r="AQ110" s="453">
        <v>204297.35</v>
      </c>
      <c r="AR110" s="440">
        <f>AR111+AR115+AR121+AR127</f>
        <v>204297.34999999998</v>
      </c>
      <c r="AS110" s="453">
        <f>AS111+AS115+AS121+AS127</f>
        <v>80179.34</v>
      </c>
      <c r="AT110" s="612">
        <f>AT111+AT115+AT121+AT127</f>
        <v>281720</v>
      </c>
      <c r="AU110" s="469">
        <f>AU111+AU115+AU121+AU127</f>
        <v>281320</v>
      </c>
      <c r="AV110" s="636">
        <v>327720</v>
      </c>
      <c r="AW110" s="636">
        <v>327720</v>
      </c>
      <c r="AX110" s="655">
        <f t="shared" si="51"/>
        <v>160.41453137455869</v>
      </c>
      <c r="AY110" s="655">
        <f t="shared" si="52"/>
        <v>137.89704075946162</v>
      </c>
      <c r="AZ110" s="655">
        <f t="shared" si="53"/>
        <v>99.85801505040466</v>
      </c>
      <c r="BA110" s="655">
        <f t="shared" si="54"/>
        <v>137.70124771564585</v>
      </c>
      <c r="BB110" s="655">
        <f t="shared" si="55"/>
        <v>116.49367268590929</v>
      </c>
      <c r="BC110" s="655">
        <f t="shared" si="55"/>
        <v>100</v>
      </c>
    </row>
    <row r="111" spans="1:55" ht="12" customHeight="1">
      <c r="A111" s="417"/>
      <c r="B111" s="36"/>
      <c r="C111" s="36"/>
      <c r="D111" s="36"/>
      <c r="E111" s="36"/>
      <c r="F111" s="36"/>
      <c r="G111" s="36"/>
      <c r="H111" s="46">
        <v>6421</v>
      </c>
      <c r="I111" s="38"/>
      <c r="J111" s="39"/>
      <c r="K111" s="40" t="s">
        <v>49</v>
      </c>
      <c r="L111" s="315">
        <f t="shared" ref="L111:Q111" si="72">L112+L113</f>
        <v>363081</v>
      </c>
      <c r="M111" s="315">
        <f t="shared" si="72"/>
        <v>48189.130001990838</v>
      </c>
      <c r="N111" s="337">
        <f t="shared" si="72"/>
        <v>464831</v>
      </c>
      <c r="O111" s="337">
        <f t="shared" si="72"/>
        <v>61693.675758179037</v>
      </c>
      <c r="P111" s="292">
        <f t="shared" si="72"/>
        <v>59800</v>
      </c>
      <c r="Q111" s="292">
        <f t="shared" si="72"/>
        <v>57100</v>
      </c>
      <c r="R111" s="453">
        <v>57100</v>
      </c>
      <c r="S111" s="292"/>
      <c r="T111" s="292"/>
      <c r="U111" s="292" t="b">
        <f t="shared" si="59"/>
        <v>0</v>
      </c>
      <c r="V111" s="469">
        <v>65000</v>
      </c>
      <c r="W111" s="469">
        <f>W112</f>
        <v>105000</v>
      </c>
      <c r="X111" s="522">
        <f>X112</f>
        <v>170000</v>
      </c>
      <c r="Y111" s="522"/>
      <c r="Z111" s="522"/>
      <c r="AA111" s="522"/>
      <c r="AB111" s="523">
        <f>AB112+AB113</f>
        <v>59700</v>
      </c>
      <c r="AC111" s="523">
        <f>AC112+AC113</f>
        <v>59700</v>
      </c>
      <c r="AD111" s="524">
        <f>O111/M111*100</f>
        <v>128.02404972995006</v>
      </c>
      <c r="AE111" s="524">
        <f t="shared" si="71"/>
        <v>96.93051883372668</v>
      </c>
      <c r="AF111" s="524">
        <f t="shared" si="71"/>
        <v>95.484949832775925</v>
      </c>
      <c r="AG111" s="524">
        <f>AB111/Q111*100</f>
        <v>104.55341506129596</v>
      </c>
      <c r="AH111" s="522"/>
      <c r="AI111" s="522">
        <v>170000</v>
      </c>
      <c r="AJ111" s="516">
        <f>W111/R111*100</f>
        <v>183.88791593695271</v>
      </c>
      <c r="AK111" s="516">
        <f>AT111/W111*100</f>
        <v>142.85714285714286</v>
      </c>
      <c r="AL111" s="516">
        <f>X111/AT111*100</f>
        <v>113.33333333333333</v>
      </c>
      <c r="AM111" s="427" t="e">
        <f ca="1">__xlfn.ISFORMULA(Sheet3!$T111)</f>
        <v>#NAME?</v>
      </c>
      <c r="AN111" s="662" t="e">
        <f ca="1">__xlfn.ISFORMULA(Sheet3!$N111)</f>
        <v>#NAME?</v>
      </c>
      <c r="AO111" t="b">
        <f t="shared" si="64"/>
        <v>1</v>
      </c>
      <c r="AP111" s="440">
        <f>AP112</f>
        <v>114014.9</v>
      </c>
      <c r="AQ111" s="453">
        <v>114014.9</v>
      </c>
      <c r="AR111" s="440">
        <f>AR112</f>
        <v>114014.9</v>
      </c>
      <c r="AS111" s="453">
        <f>AS112</f>
        <v>34536.43</v>
      </c>
      <c r="AT111" s="612">
        <f>AT112</f>
        <v>150000</v>
      </c>
      <c r="AU111" s="469">
        <f>AU112</f>
        <v>140000</v>
      </c>
      <c r="AV111" s="636">
        <v>170000</v>
      </c>
      <c r="AW111" s="636">
        <v>170000</v>
      </c>
      <c r="AX111" s="655">
        <f t="shared" si="51"/>
        <v>262.69702276707528</v>
      </c>
      <c r="AY111" s="655">
        <f t="shared" si="52"/>
        <v>131.56175201662239</v>
      </c>
      <c r="AZ111" s="655">
        <f t="shared" si="53"/>
        <v>93.333333333333329</v>
      </c>
      <c r="BA111" s="655">
        <f t="shared" si="54"/>
        <v>122.79096854884757</v>
      </c>
      <c r="BB111" s="655">
        <f t="shared" si="55"/>
        <v>121.42857142857142</v>
      </c>
      <c r="BC111" s="655">
        <f t="shared" si="55"/>
        <v>100</v>
      </c>
    </row>
    <row r="112" spans="1:55" ht="12" customHeight="1">
      <c r="A112" s="417"/>
      <c r="B112" s="36"/>
      <c r="C112" s="36"/>
      <c r="D112" s="36"/>
      <c r="E112" s="36"/>
      <c r="F112" s="36"/>
      <c r="G112" s="36"/>
      <c r="H112" s="46">
        <v>64214</v>
      </c>
      <c r="I112" s="38"/>
      <c r="J112" s="39"/>
      <c r="K112" s="40" t="s">
        <v>50</v>
      </c>
      <c r="L112" s="309">
        <v>363081</v>
      </c>
      <c r="M112" s="309">
        <f>363081/7.5345</f>
        <v>48189.130001990838</v>
      </c>
      <c r="N112" s="339">
        <v>464831</v>
      </c>
      <c r="O112" s="339">
        <f>N112/7.5345</f>
        <v>61693.675758179037</v>
      </c>
      <c r="P112" s="294">
        <v>57100</v>
      </c>
      <c r="Q112" s="294">
        <v>57100</v>
      </c>
      <c r="R112" s="451">
        <v>57100</v>
      </c>
      <c r="S112" s="294"/>
      <c r="T112" s="294"/>
      <c r="U112" s="292" t="b">
        <f t="shared" si="59"/>
        <v>0</v>
      </c>
      <c r="V112" s="471">
        <v>65000</v>
      </c>
      <c r="W112" s="471">
        <v>105000</v>
      </c>
      <c r="X112" s="527">
        <v>170000</v>
      </c>
      <c r="Y112" s="527"/>
      <c r="Z112" s="527"/>
      <c r="AA112" s="527"/>
      <c r="AB112" s="528">
        <v>57000</v>
      </c>
      <c r="AC112" s="528">
        <v>57000</v>
      </c>
      <c r="AD112" s="524">
        <f>O112/M112*100</f>
        <v>128.02404972995006</v>
      </c>
      <c r="AE112" s="524">
        <f t="shared" si="71"/>
        <v>92.554057281033337</v>
      </c>
      <c r="AF112" s="524">
        <f t="shared" si="71"/>
        <v>100</v>
      </c>
      <c r="AG112" s="524">
        <f>AB112/Q112*100</f>
        <v>99.824868651488615</v>
      </c>
      <c r="AH112" s="527"/>
      <c r="AI112" s="527">
        <v>170000</v>
      </c>
      <c r="AJ112" s="516">
        <f>W112/R112*100</f>
        <v>183.88791593695271</v>
      </c>
      <c r="AK112" s="516">
        <f>AT112/W112*100</f>
        <v>142.85714285714286</v>
      </c>
      <c r="AL112" s="516">
        <f>X112/AT112*100</f>
        <v>113.33333333333333</v>
      </c>
      <c r="AM112" s="427" t="e">
        <f ca="1">__xlfn.ISFORMULA(Sheet3!$T112)</f>
        <v>#NAME?</v>
      </c>
      <c r="AN112" s="662" t="e">
        <f ca="1">__xlfn.ISFORMULA(Sheet3!$N112)</f>
        <v>#NAME?</v>
      </c>
      <c r="AO112" t="b">
        <f t="shared" si="64"/>
        <v>0</v>
      </c>
      <c r="AP112" s="595">
        <v>114014.9</v>
      </c>
      <c r="AQ112" s="451">
        <v>114014.9</v>
      </c>
      <c r="AR112" s="595">
        <v>114014.9</v>
      </c>
      <c r="AS112" s="451">
        <v>34536.43</v>
      </c>
      <c r="AT112" s="613">
        <v>150000</v>
      </c>
      <c r="AU112" s="471">
        <v>140000</v>
      </c>
      <c r="AV112" s="638">
        <v>170000</v>
      </c>
      <c r="AW112" s="638">
        <v>170000</v>
      </c>
      <c r="AX112" s="655">
        <f t="shared" si="51"/>
        <v>262.69702276707528</v>
      </c>
      <c r="AY112" s="655">
        <f t="shared" si="52"/>
        <v>131.56175201662239</v>
      </c>
      <c r="AZ112" s="655">
        <f t="shared" si="53"/>
        <v>93.333333333333329</v>
      </c>
      <c r="BA112" s="655">
        <f t="shared" si="54"/>
        <v>122.79096854884757</v>
      </c>
      <c r="BB112" s="655">
        <f t="shared" si="55"/>
        <v>121.42857142857142</v>
      </c>
      <c r="BC112" s="655">
        <f t="shared" si="55"/>
        <v>100</v>
      </c>
    </row>
    <row r="113" spans="1:55" ht="12" customHeight="1">
      <c r="A113" s="417"/>
      <c r="B113" s="36"/>
      <c r="C113" s="36"/>
      <c r="D113" s="36"/>
      <c r="E113" s="36"/>
      <c r="F113" s="36"/>
      <c r="G113" s="36"/>
      <c r="H113" s="46">
        <v>64219</v>
      </c>
      <c r="I113" s="38"/>
      <c r="J113" s="39"/>
      <c r="K113" s="40" t="s">
        <v>51</v>
      </c>
      <c r="L113" s="309">
        <v>0</v>
      </c>
      <c r="M113" s="309">
        <v>0</v>
      </c>
      <c r="N113" s="339">
        <v>0</v>
      </c>
      <c r="O113" s="339">
        <f>N113/7.5345</f>
        <v>0</v>
      </c>
      <c r="P113" s="294">
        <v>2700</v>
      </c>
      <c r="Q113" s="269">
        <v>0</v>
      </c>
      <c r="R113" s="451">
        <v>0</v>
      </c>
      <c r="S113" s="294"/>
      <c r="T113" s="294"/>
      <c r="U113" s="292" t="b">
        <f t="shared" si="59"/>
        <v>0</v>
      </c>
      <c r="V113" s="471">
        <v>0</v>
      </c>
      <c r="W113" s="471"/>
      <c r="X113" s="527"/>
      <c r="Y113" s="527"/>
      <c r="Z113" s="527"/>
      <c r="AA113" s="527"/>
      <c r="AB113" s="528">
        <v>2700</v>
      </c>
      <c r="AC113" s="528">
        <v>2700</v>
      </c>
      <c r="AD113" s="524"/>
      <c r="AE113" s="524"/>
      <c r="AF113" s="524"/>
      <c r="AG113" s="524"/>
      <c r="AH113" s="527"/>
      <c r="AI113" s="527"/>
      <c r="AJ113" s="516"/>
      <c r="AK113" s="516"/>
      <c r="AL113" s="516"/>
      <c r="AM113" s="427" t="e">
        <f ca="1">__xlfn.ISFORMULA(Sheet3!$T113)</f>
        <v>#NAME?</v>
      </c>
      <c r="AN113" s="662" t="e">
        <f ca="1">__xlfn.ISFORMULA(Sheet3!$N113)</f>
        <v>#NAME?</v>
      </c>
      <c r="AO113" t="b">
        <f t="shared" si="64"/>
        <v>0</v>
      </c>
      <c r="AQ113" s="451"/>
      <c r="AS113" s="451"/>
      <c r="AT113" s="613"/>
      <c r="AU113" s="471"/>
      <c r="AV113" s="638"/>
      <c r="AW113" s="638"/>
      <c r="AX113" s="655" t="str">
        <f t="shared" si="51"/>
        <v/>
      </c>
      <c r="AY113" s="655" t="str">
        <f t="shared" si="52"/>
        <v/>
      </c>
      <c r="AZ113" s="655" t="str">
        <f t="shared" si="53"/>
        <v/>
      </c>
      <c r="BA113" s="655" t="str">
        <f t="shared" si="54"/>
        <v/>
      </c>
      <c r="BB113" s="655" t="str">
        <f t="shared" si="55"/>
        <v/>
      </c>
      <c r="BC113" s="655" t="str">
        <f t="shared" si="55"/>
        <v/>
      </c>
    </row>
    <row r="114" spans="1:55" ht="12" customHeight="1">
      <c r="A114" s="417"/>
      <c r="B114" s="36"/>
      <c r="C114" s="36"/>
      <c r="D114" s="36"/>
      <c r="E114" s="36"/>
      <c r="F114" s="36"/>
      <c r="G114" s="36"/>
      <c r="H114" s="46"/>
      <c r="I114" s="38"/>
      <c r="J114" s="39"/>
      <c r="K114" s="40"/>
      <c r="L114" s="316"/>
      <c r="M114" s="316"/>
      <c r="N114" s="338"/>
      <c r="O114" s="338"/>
      <c r="P114" s="293"/>
      <c r="Q114" s="293"/>
      <c r="R114" s="454"/>
      <c r="S114" s="293"/>
      <c r="T114" s="293"/>
      <c r="U114" s="292" t="b">
        <f t="shared" si="59"/>
        <v>0</v>
      </c>
      <c r="V114" s="470"/>
      <c r="W114" s="470"/>
      <c r="X114" s="525"/>
      <c r="Y114" s="525"/>
      <c r="Z114" s="525"/>
      <c r="AA114" s="525"/>
      <c r="AB114" s="526"/>
      <c r="AC114" s="526"/>
      <c r="AD114" s="524"/>
      <c r="AE114" s="524"/>
      <c r="AF114" s="524"/>
      <c r="AG114" s="524"/>
      <c r="AH114" s="525"/>
      <c r="AI114" s="525"/>
      <c r="AJ114" s="516"/>
      <c r="AK114" s="516"/>
      <c r="AL114" s="516"/>
      <c r="AM114" s="427" t="e">
        <f ca="1">__xlfn.ISFORMULA(Sheet3!$T114)</f>
        <v>#NAME?</v>
      </c>
      <c r="AN114" s="662" t="e">
        <f ca="1">__xlfn.ISFORMULA(Sheet3!$N114)</f>
        <v>#NAME?</v>
      </c>
      <c r="AO114" t="b">
        <f t="shared" si="64"/>
        <v>0</v>
      </c>
      <c r="AQ114" s="454"/>
      <c r="AS114" s="454"/>
      <c r="AT114" s="613"/>
      <c r="AU114" s="470"/>
      <c r="AV114" s="637"/>
      <c r="AW114" s="637"/>
      <c r="AX114" s="655" t="str">
        <f t="shared" si="51"/>
        <v/>
      </c>
      <c r="AY114" s="655" t="str">
        <f t="shared" si="52"/>
        <v/>
      </c>
      <c r="AZ114" s="655" t="str">
        <f t="shared" si="53"/>
        <v/>
      </c>
      <c r="BA114" s="655" t="str">
        <f t="shared" si="54"/>
        <v/>
      </c>
      <c r="BB114" s="655" t="str">
        <f t="shared" si="55"/>
        <v/>
      </c>
      <c r="BC114" s="655" t="str">
        <f t="shared" si="55"/>
        <v/>
      </c>
    </row>
    <row r="115" spans="1:55" ht="12" customHeight="1">
      <c r="A115" s="417"/>
      <c r="B115" s="36"/>
      <c r="C115" s="36"/>
      <c r="D115" s="36"/>
      <c r="E115" s="36"/>
      <c r="F115" s="36"/>
      <c r="G115" s="36"/>
      <c r="H115" s="46">
        <v>6422</v>
      </c>
      <c r="I115" s="38"/>
      <c r="J115" s="39"/>
      <c r="K115" s="40" t="s">
        <v>52</v>
      </c>
      <c r="L115" s="315">
        <f t="shared" ref="L115:Q115" si="73">L116+L117+L118+L119</f>
        <v>583460</v>
      </c>
      <c r="M115" s="315">
        <f t="shared" si="73"/>
        <v>77438.449797597714</v>
      </c>
      <c r="N115" s="337">
        <f t="shared" si="73"/>
        <v>542635</v>
      </c>
      <c r="O115" s="337">
        <f t="shared" si="73"/>
        <v>72020.041144070594</v>
      </c>
      <c r="P115" s="292">
        <f t="shared" si="73"/>
        <v>80720</v>
      </c>
      <c r="Q115" s="292">
        <f t="shared" si="73"/>
        <v>80720</v>
      </c>
      <c r="R115" s="453">
        <v>80720</v>
      </c>
      <c r="S115" s="292"/>
      <c r="T115" s="292"/>
      <c r="U115" s="292" t="b">
        <f t="shared" si="59"/>
        <v>0</v>
      </c>
      <c r="V115" s="469">
        <v>80720</v>
      </c>
      <c r="W115" s="469">
        <f>SUM(W116:W119)</f>
        <v>90520</v>
      </c>
      <c r="X115" s="522">
        <f>SUM(X116:X119)</f>
        <v>125720</v>
      </c>
      <c r="Y115" s="522"/>
      <c r="Z115" s="522"/>
      <c r="AA115" s="522"/>
      <c r="AB115" s="523">
        <f>AB116+AB117+AB118+AB119</f>
        <v>80720</v>
      </c>
      <c r="AC115" s="523">
        <f>AC116+AC117+AC118+AC119</f>
        <v>80720</v>
      </c>
      <c r="AD115" s="524">
        <f>O115/M115*100</f>
        <v>93.002947931306338</v>
      </c>
      <c r="AE115" s="524">
        <f t="shared" ref="AE115:AF119" si="74">P115/O115*100</f>
        <v>112.07991375418101</v>
      </c>
      <c r="AF115" s="524">
        <f t="shared" si="74"/>
        <v>100</v>
      </c>
      <c r="AG115" s="524">
        <f>AB115/Q115*100</f>
        <v>100</v>
      </c>
      <c r="AH115" s="522"/>
      <c r="AI115" s="522">
        <v>125720</v>
      </c>
      <c r="AJ115" s="516">
        <f>W115/R115*100</f>
        <v>112.14073339940536</v>
      </c>
      <c r="AK115" s="516">
        <f>AT115/W115*100</f>
        <v>111.26822801590808</v>
      </c>
      <c r="AL115" s="516">
        <f>X115/AT115*100</f>
        <v>124.82128673550437</v>
      </c>
      <c r="AM115" s="427" t="e">
        <f ca="1">__xlfn.ISFORMULA(Sheet3!$T115)</f>
        <v>#NAME?</v>
      </c>
      <c r="AN115" s="662" t="e">
        <f ca="1">__xlfn.ISFORMULA(Sheet3!$N115)</f>
        <v>#NAME?</v>
      </c>
      <c r="AO115" t="b">
        <f t="shared" si="64"/>
        <v>1</v>
      </c>
      <c r="AP115" s="440">
        <f>SUM(AP116:AP119)</f>
        <v>57406.58</v>
      </c>
      <c r="AQ115" s="453">
        <v>57406.58</v>
      </c>
      <c r="AR115" s="440">
        <f>SUM(AR116:AR119)</f>
        <v>57406.58</v>
      </c>
      <c r="AS115" s="453">
        <f>SUM(AS116:AS119)</f>
        <v>45238.51</v>
      </c>
      <c r="AT115" s="612">
        <f>SUM(AT116:AT119)</f>
        <v>100720</v>
      </c>
      <c r="AU115" s="469">
        <f>SUM(AU116:AU119)</f>
        <v>109720</v>
      </c>
      <c r="AV115" s="636">
        <v>125720</v>
      </c>
      <c r="AW115" s="636">
        <v>125720</v>
      </c>
      <c r="AX115" s="655">
        <f t="shared" si="51"/>
        <v>124.77700693756195</v>
      </c>
      <c r="AY115" s="655">
        <f t="shared" si="52"/>
        <v>175.45027068325615</v>
      </c>
      <c r="AZ115" s="655">
        <f t="shared" si="53"/>
        <v>108.93566322478156</v>
      </c>
      <c r="BA115" s="655">
        <f t="shared" si="54"/>
        <v>191.12791599847961</v>
      </c>
      <c r="BB115" s="655">
        <f t="shared" si="55"/>
        <v>114.58257382427999</v>
      </c>
      <c r="BC115" s="655">
        <f t="shared" si="55"/>
        <v>100</v>
      </c>
    </row>
    <row r="116" spans="1:55" ht="12" customHeight="1">
      <c r="A116" s="417"/>
      <c r="B116" s="36"/>
      <c r="C116" s="36"/>
      <c r="D116" s="36"/>
      <c r="E116" s="36"/>
      <c r="F116" s="36"/>
      <c r="G116" s="36"/>
      <c r="H116" s="46">
        <v>64222</v>
      </c>
      <c r="I116" s="38"/>
      <c r="J116" s="39"/>
      <c r="K116" s="40" t="s">
        <v>616</v>
      </c>
      <c r="L116" s="309">
        <v>617</v>
      </c>
      <c r="M116" s="309">
        <f>617/7.5345</f>
        <v>81.889972791824277</v>
      </c>
      <c r="N116" s="339">
        <v>367</v>
      </c>
      <c r="O116" s="339">
        <f>N116/7.5345</f>
        <v>48.709270688167756</v>
      </c>
      <c r="P116" s="294">
        <v>400</v>
      </c>
      <c r="Q116" s="294">
        <v>400</v>
      </c>
      <c r="R116" s="451">
        <v>400</v>
      </c>
      <c r="S116" s="294"/>
      <c r="T116" s="294"/>
      <c r="U116" s="292" t="b">
        <f t="shared" si="59"/>
        <v>0</v>
      </c>
      <c r="V116" s="471">
        <v>400</v>
      </c>
      <c r="W116" s="471">
        <v>200</v>
      </c>
      <c r="X116" s="527">
        <v>400</v>
      </c>
      <c r="Y116" s="527"/>
      <c r="Z116" s="527"/>
      <c r="AA116" s="527"/>
      <c r="AB116" s="528">
        <v>400</v>
      </c>
      <c r="AC116" s="528">
        <v>400</v>
      </c>
      <c r="AD116" s="524">
        <f>O116/M116*100</f>
        <v>59.481361426256072</v>
      </c>
      <c r="AE116" s="524">
        <f t="shared" si="74"/>
        <v>821.19891008174386</v>
      </c>
      <c r="AF116" s="524">
        <f t="shared" si="74"/>
        <v>100</v>
      </c>
      <c r="AG116" s="524">
        <f>AB116/Q116*100</f>
        <v>100</v>
      </c>
      <c r="AH116" s="527"/>
      <c r="AI116" s="527">
        <v>400</v>
      </c>
      <c r="AJ116" s="516">
        <f>W116/R116*100</f>
        <v>50</v>
      </c>
      <c r="AK116" s="516">
        <f>AT116/W116*100</f>
        <v>200</v>
      </c>
      <c r="AL116" s="516">
        <f>X116/AT116*100</f>
        <v>100</v>
      </c>
      <c r="AM116" s="427" t="e">
        <f ca="1">__xlfn.ISFORMULA(Sheet3!$T116)</f>
        <v>#NAME?</v>
      </c>
      <c r="AN116" s="662" t="e">
        <f ca="1">__xlfn.ISFORMULA(Sheet3!$N116)</f>
        <v>#NAME?</v>
      </c>
      <c r="AO116" t="b">
        <f t="shared" si="64"/>
        <v>0</v>
      </c>
      <c r="AP116" s="595">
        <v>131.30000000000001</v>
      </c>
      <c r="AQ116" s="451">
        <v>131.30000000000001</v>
      </c>
      <c r="AR116" s="595">
        <v>131.30000000000001</v>
      </c>
      <c r="AS116" s="451"/>
      <c r="AT116" s="613">
        <v>400</v>
      </c>
      <c r="AU116" s="471">
        <v>400</v>
      </c>
      <c r="AV116" s="638">
        <v>400</v>
      </c>
      <c r="AW116" s="638">
        <v>400</v>
      </c>
      <c r="AX116" s="655">
        <f t="shared" si="51"/>
        <v>100</v>
      </c>
      <c r="AY116" s="655">
        <f t="shared" si="52"/>
        <v>304.64584920030461</v>
      </c>
      <c r="AZ116" s="655">
        <f t="shared" si="53"/>
        <v>100</v>
      </c>
      <c r="BA116" s="655">
        <f t="shared" si="54"/>
        <v>304.64584920030461</v>
      </c>
      <c r="BB116" s="655">
        <f t="shared" si="55"/>
        <v>100</v>
      </c>
      <c r="BC116" s="655">
        <f t="shared" si="55"/>
        <v>100</v>
      </c>
    </row>
    <row r="117" spans="1:55" ht="12" customHeight="1">
      <c r="A117" s="417"/>
      <c r="B117" s="36"/>
      <c r="C117" s="36"/>
      <c r="D117" s="36"/>
      <c r="E117" s="36"/>
      <c r="F117" s="36"/>
      <c r="G117" s="36"/>
      <c r="H117" s="46">
        <v>64224</v>
      </c>
      <c r="I117" s="38"/>
      <c r="J117" s="39"/>
      <c r="K117" s="40" t="s">
        <v>443</v>
      </c>
      <c r="L117" s="309">
        <v>2000</v>
      </c>
      <c r="M117" s="309">
        <f>2000/7.5345</f>
        <v>265.44561682925212</v>
      </c>
      <c r="N117" s="339">
        <v>2200</v>
      </c>
      <c r="O117" s="339">
        <f>N117/7.5345</f>
        <v>291.99017851217729</v>
      </c>
      <c r="P117" s="294">
        <v>320</v>
      </c>
      <c r="Q117" s="294">
        <v>320</v>
      </c>
      <c r="R117" s="451">
        <v>320</v>
      </c>
      <c r="S117" s="294"/>
      <c r="T117" s="294"/>
      <c r="U117" s="292" t="b">
        <f t="shared" si="59"/>
        <v>0</v>
      </c>
      <c r="V117" s="471">
        <v>320</v>
      </c>
      <c r="W117" s="471">
        <v>320</v>
      </c>
      <c r="X117" s="527">
        <v>320</v>
      </c>
      <c r="Y117" s="527"/>
      <c r="Z117" s="527"/>
      <c r="AA117" s="527"/>
      <c r="AB117" s="528">
        <v>320</v>
      </c>
      <c r="AC117" s="528">
        <v>320</v>
      </c>
      <c r="AD117" s="524">
        <f>O117/M117*100</f>
        <v>109.99999999999999</v>
      </c>
      <c r="AE117" s="524">
        <f t="shared" si="74"/>
        <v>109.59272727272729</v>
      </c>
      <c r="AF117" s="524">
        <f t="shared" si="74"/>
        <v>100</v>
      </c>
      <c r="AG117" s="524">
        <f>AB117/Q117*100</f>
        <v>100</v>
      </c>
      <c r="AH117" s="527"/>
      <c r="AI117" s="527">
        <v>320</v>
      </c>
      <c r="AJ117" s="516">
        <f>W117/R117*100</f>
        <v>100</v>
      </c>
      <c r="AK117" s="516">
        <f>AT117/W117*100</f>
        <v>100</v>
      </c>
      <c r="AL117" s="516">
        <f>X117/AT117*100</f>
        <v>100</v>
      </c>
      <c r="AM117" s="427" t="e">
        <f ca="1">__xlfn.ISFORMULA(Sheet3!$T117)</f>
        <v>#NAME?</v>
      </c>
      <c r="AN117" s="662" t="e">
        <f ca="1">__xlfn.ISFORMULA(Sheet3!$N117)</f>
        <v>#NAME?</v>
      </c>
      <c r="AO117" t="b">
        <f t="shared" si="64"/>
        <v>0</v>
      </c>
      <c r="AP117" s="595">
        <v>371.56</v>
      </c>
      <c r="AQ117" s="451">
        <v>371.56</v>
      </c>
      <c r="AR117" s="595">
        <v>371.56</v>
      </c>
      <c r="AS117" s="451">
        <v>185.78</v>
      </c>
      <c r="AT117" s="613">
        <v>320</v>
      </c>
      <c r="AU117" s="471">
        <v>320</v>
      </c>
      <c r="AV117" s="638">
        <v>320</v>
      </c>
      <c r="AW117" s="638">
        <v>320</v>
      </c>
      <c r="AX117" s="655">
        <f t="shared" si="51"/>
        <v>100</v>
      </c>
      <c r="AY117" s="655">
        <f t="shared" si="52"/>
        <v>86.123371730003228</v>
      </c>
      <c r="AZ117" s="655">
        <f t="shared" si="53"/>
        <v>100</v>
      </c>
      <c r="BA117" s="655">
        <f t="shared" si="54"/>
        <v>86.123371730003228</v>
      </c>
      <c r="BB117" s="655">
        <f t="shared" si="55"/>
        <v>100</v>
      </c>
      <c r="BC117" s="655">
        <f t="shared" si="55"/>
        <v>100</v>
      </c>
    </row>
    <row r="118" spans="1:55" ht="12" customHeight="1">
      <c r="A118" s="417"/>
      <c r="B118" s="36"/>
      <c r="C118" s="36"/>
      <c r="D118" s="36"/>
      <c r="E118" s="36"/>
      <c r="F118" s="36"/>
      <c r="G118" s="36"/>
      <c r="H118" s="46">
        <v>64225</v>
      </c>
      <c r="I118" s="38"/>
      <c r="J118" s="39"/>
      <c r="K118" s="40" t="s">
        <v>53</v>
      </c>
      <c r="L118" s="309">
        <v>526058</v>
      </c>
      <c r="M118" s="309">
        <f>526058/7.5345</f>
        <v>69819.895148981348</v>
      </c>
      <c r="N118" s="339">
        <v>387968</v>
      </c>
      <c r="O118" s="339">
        <f>N118/7.5345</f>
        <v>51492.202535005636</v>
      </c>
      <c r="P118" s="294">
        <v>60000</v>
      </c>
      <c r="Q118" s="294">
        <v>60000</v>
      </c>
      <c r="R118" s="451">
        <v>60000</v>
      </c>
      <c r="S118" s="294"/>
      <c r="T118" s="294"/>
      <c r="U118" s="292" t="b">
        <f t="shared" si="59"/>
        <v>0</v>
      </c>
      <c r="V118" s="471">
        <v>60000</v>
      </c>
      <c r="W118" s="471">
        <v>80000</v>
      </c>
      <c r="X118" s="527">
        <v>100000</v>
      </c>
      <c r="Y118" s="527"/>
      <c r="Z118" s="527"/>
      <c r="AA118" s="527"/>
      <c r="AB118" s="528">
        <v>60000</v>
      </c>
      <c r="AC118" s="528">
        <v>60000</v>
      </c>
      <c r="AD118" s="524">
        <f>O118/M118*100</f>
        <v>73.750042770949207</v>
      </c>
      <c r="AE118" s="524">
        <f t="shared" si="74"/>
        <v>116.52249670075882</v>
      </c>
      <c r="AF118" s="524">
        <f t="shared" si="74"/>
        <v>100</v>
      </c>
      <c r="AG118" s="524">
        <f>AB118/Q118*100</f>
        <v>100</v>
      </c>
      <c r="AH118" s="527"/>
      <c r="AI118" s="527">
        <v>100000</v>
      </c>
      <c r="AJ118" s="516">
        <f>W118/R118*100</f>
        <v>133.33333333333331</v>
      </c>
      <c r="AK118" s="516">
        <f>AT118/W118*100</f>
        <v>100</v>
      </c>
      <c r="AL118" s="516">
        <f>X118/AT118*100</f>
        <v>125</v>
      </c>
      <c r="AM118" s="427" t="e">
        <f ca="1">__xlfn.ISFORMULA(Sheet3!$T118)</f>
        <v>#NAME?</v>
      </c>
      <c r="AN118" s="662" t="e">
        <f ca="1">__xlfn.ISFORMULA(Sheet3!$N118)</f>
        <v>#NAME?</v>
      </c>
      <c r="AO118" t="b">
        <f t="shared" si="64"/>
        <v>0</v>
      </c>
      <c r="AP118" s="595">
        <v>46100.75</v>
      </c>
      <c r="AQ118" s="451">
        <v>46100.75</v>
      </c>
      <c r="AR118" s="595">
        <v>46100.75</v>
      </c>
      <c r="AS118" s="451">
        <v>39796.15</v>
      </c>
      <c r="AT118" s="613">
        <v>80000</v>
      </c>
      <c r="AU118" s="471">
        <v>88000</v>
      </c>
      <c r="AV118" s="638">
        <v>100000</v>
      </c>
      <c r="AW118" s="638">
        <v>100000</v>
      </c>
      <c r="AX118" s="655">
        <f t="shared" si="51"/>
        <v>133.33333333333331</v>
      </c>
      <c r="AY118" s="655">
        <f t="shared" si="52"/>
        <v>173.53296855257236</v>
      </c>
      <c r="AZ118" s="655">
        <f t="shared" si="53"/>
        <v>110.00000000000001</v>
      </c>
      <c r="BA118" s="655">
        <f t="shared" si="54"/>
        <v>190.88626540782957</v>
      </c>
      <c r="BB118" s="655">
        <f t="shared" si="55"/>
        <v>113.63636363636364</v>
      </c>
      <c r="BC118" s="655">
        <f t="shared" si="55"/>
        <v>100</v>
      </c>
    </row>
    <row r="119" spans="1:55" ht="12" customHeight="1">
      <c r="A119" s="417"/>
      <c r="B119" s="36"/>
      <c r="C119" s="36"/>
      <c r="D119" s="36"/>
      <c r="E119" s="36"/>
      <c r="F119" s="36"/>
      <c r="G119" s="36"/>
      <c r="H119" s="46">
        <v>64229</v>
      </c>
      <c r="I119" s="38"/>
      <c r="J119" s="39"/>
      <c r="K119" s="40" t="s">
        <v>695</v>
      </c>
      <c r="L119" s="309">
        <v>54785</v>
      </c>
      <c r="M119" s="309">
        <f>54785/7.5345</f>
        <v>7271.2190589952879</v>
      </c>
      <c r="N119" s="339">
        <v>152100</v>
      </c>
      <c r="O119" s="339">
        <f>N119/7.5345</f>
        <v>20187.139159864622</v>
      </c>
      <c r="P119" s="294">
        <v>20000</v>
      </c>
      <c r="Q119" s="294">
        <v>20000</v>
      </c>
      <c r="R119" s="451">
        <v>20000</v>
      </c>
      <c r="S119" s="294"/>
      <c r="T119" s="294"/>
      <c r="U119" s="292" t="b">
        <f t="shared" si="59"/>
        <v>0</v>
      </c>
      <c r="V119" s="471">
        <v>20000</v>
      </c>
      <c r="W119" s="471">
        <v>10000</v>
      </c>
      <c r="X119" s="527">
        <v>25000</v>
      </c>
      <c r="Y119" s="527"/>
      <c r="Z119" s="527"/>
      <c r="AA119" s="527"/>
      <c r="AB119" s="528">
        <v>20000</v>
      </c>
      <c r="AC119" s="528">
        <v>20000</v>
      </c>
      <c r="AD119" s="524">
        <f>O119/M119*100</f>
        <v>277.63073834078671</v>
      </c>
      <c r="AE119" s="524">
        <f t="shared" si="74"/>
        <v>99.072978303747533</v>
      </c>
      <c r="AF119" s="524">
        <f t="shared" si="74"/>
        <v>100</v>
      </c>
      <c r="AG119" s="524">
        <f>AB119/Q119*100</f>
        <v>100</v>
      </c>
      <c r="AH119" s="527"/>
      <c r="AI119" s="527">
        <v>25000</v>
      </c>
      <c r="AJ119" s="516">
        <f>W119/R119*100</f>
        <v>50</v>
      </c>
      <c r="AK119" s="516">
        <f>AT119/W119*100</f>
        <v>200</v>
      </c>
      <c r="AL119" s="516">
        <f>X119/AT119*100</f>
        <v>125</v>
      </c>
      <c r="AM119" s="427" t="e">
        <f ca="1">__xlfn.ISFORMULA(Sheet3!$T119)</f>
        <v>#NAME?</v>
      </c>
      <c r="AN119" s="662" t="e">
        <f ca="1">__xlfn.ISFORMULA(Sheet3!$N119)</f>
        <v>#NAME?</v>
      </c>
      <c r="AO119" t="b">
        <f t="shared" si="64"/>
        <v>0</v>
      </c>
      <c r="AP119" s="595">
        <v>10802.97</v>
      </c>
      <c r="AQ119" s="451">
        <v>10802.97</v>
      </c>
      <c r="AR119" s="595">
        <v>10802.97</v>
      </c>
      <c r="AS119" s="451">
        <v>5256.58</v>
      </c>
      <c r="AT119" s="613">
        <v>20000</v>
      </c>
      <c r="AU119" s="471">
        <v>21000</v>
      </c>
      <c r="AV119" s="638">
        <v>25000</v>
      </c>
      <c r="AW119" s="638">
        <v>25000</v>
      </c>
      <c r="AX119" s="655">
        <f t="shared" si="51"/>
        <v>100</v>
      </c>
      <c r="AY119" s="655">
        <f t="shared" si="52"/>
        <v>185.1342732600387</v>
      </c>
      <c r="AZ119" s="655">
        <f t="shared" si="53"/>
        <v>105</v>
      </c>
      <c r="BA119" s="655">
        <f t="shared" si="54"/>
        <v>194.39098692304063</v>
      </c>
      <c r="BB119" s="655">
        <f t="shared" si="55"/>
        <v>119.04761904761905</v>
      </c>
      <c r="BC119" s="655">
        <f t="shared" si="55"/>
        <v>100</v>
      </c>
    </row>
    <row r="120" spans="1:55" ht="12" customHeight="1">
      <c r="A120" s="417"/>
      <c r="B120" s="36"/>
      <c r="C120" s="36"/>
      <c r="D120" s="36"/>
      <c r="E120" s="36"/>
      <c r="F120" s="36"/>
      <c r="G120" s="36"/>
      <c r="H120" s="46"/>
      <c r="I120" s="38"/>
      <c r="J120" s="39"/>
      <c r="K120" s="40"/>
      <c r="L120" s="309"/>
      <c r="M120" s="309"/>
      <c r="N120" s="339"/>
      <c r="O120" s="339"/>
      <c r="P120" s="294"/>
      <c r="Q120" s="294"/>
      <c r="R120" s="451"/>
      <c r="S120" s="294"/>
      <c r="T120" s="294"/>
      <c r="U120" s="292" t="b">
        <f t="shared" si="59"/>
        <v>0</v>
      </c>
      <c r="V120" s="471"/>
      <c r="W120" s="471"/>
      <c r="X120" s="527"/>
      <c r="Y120" s="527"/>
      <c r="Z120" s="527"/>
      <c r="AA120" s="527"/>
      <c r="AB120" s="528"/>
      <c r="AC120" s="528"/>
      <c r="AD120" s="524"/>
      <c r="AE120" s="524"/>
      <c r="AF120" s="524"/>
      <c r="AG120" s="524"/>
      <c r="AH120" s="527"/>
      <c r="AI120" s="527"/>
      <c r="AJ120" s="516"/>
      <c r="AK120" s="516"/>
      <c r="AL120" s="516"/>
      <c r="AM120" s="427" t="e">
        <f ca="1">__xlfn.ISFORMULA(Sheet3!$T120)</f>
        <v>#NAME?</v>
      </c>
      <c r="AN120" s="662" t="e">
        <f ca="1">__xlfn.ISFORMULA(Sheet3!$N120)</f>
        <v>#NAME?</v>
      </c>
      <c r="AO120" t="b">
        <f t="shared" si="64"/>
        <v>0</v>
      </c>
      <c r="AQ120" s="451"/>
      <c r="AS120" s="451"/>
      <c r="AT120" s="613"/>
      <c r="AU120" s="471"/>
      <c r="AV120" s="638"/>
      <c r="AW120" s="638"/>
      <c r="AX120" s="655" t="str">
        <f t="shared" si="51"/>
        <v/>
      </c>
      <c r="AY120" s="655" t="str">
        <f t="shared" si="52"/>
        <v/>
      </c>
      <c r="AZ120" s="655" t="str">
        <f t="shared" si="53"/>
        <v/>
      </c>
      <c r="BA120" s="655" t="str">
        <f t="shared" si="54"/>
        <v/>
      </c>
      <c r="BB120" s="655" t="str">
        <f t="shared" si="55"/>
        <v/>
      </c>
      <c r="BC120" s="655" t="str">
        <f t="shared" si="55"/>
        <v/>
      </c>
    </row>
    <row r="121" spans="1:55" ht="12" customHeight="1">
      <c r="A121" s="417"/>
      <c r="B121" s="36"/>
      <c r="C121" s="36"/>
      <c r="D121" s="36"/>
      <c r="E121" s="36"/>
      <c r="F121" s="36"/>
      <c r="G121" s="36"/>
      <c r="H121" s="46">
        <v>6423</v>
      </c>
      <c r="I121" s="38"/>
      <c r="J121" s="39"/>
      <c r="K121" s="40" t="s">
        <v>448</v>
      </c>
      <c r="L121" s="315">
        <f t="shared" ref="L121:Q121" si="75">L122+L123+L124</f>
        <v>426903</v>
      </c>
      <c r="M121" s="315">
        <f t="shared" si="75"/>
        <v>56659.765080629106</v>
      </c>
      <c r="N121" s="337">
        <f t="shared" si="75"/>
        <v>934012</v>
      </c>
      <c r="O121" s="337">
        <f t="shared" si="75"/>
        <v>123964.6957329617</v>
      </c>
      <c r="P121" s="292">
        <f t="shared" si="75"/>
        <v>31200</v>
      </c>
      <c r="Q121" s="292">
        <f t="shared" si="75"/>
        <v>31200</v>
      </c>
      <c r="R121" s="453">
        <v>31200</v>
      </c>
      <c r="S121" s="292"/>
      <c r="T121" s="292"/>
      <c r="U121" s="292" t="b">
        <f t="shared" si="59"/>
        <v>0</v>
      </c>
      <c r="V121" s="469">
        <v>31200</v>
      </c>
      <c r="W121" s="469">
        <f>SUM(W123:W125)</f>
        <v>31200</v>
      </c>
      <c r="X121" s="522">
        <f>SUM(X123:X125)</f>
        <v>32000</v>
      </c>
      <c r="Y121" s="522"/>
      <c r="Z121" s="522"/>
      <c r="AA121" s="522"/>
      <c r="AB121" s="523">
        <f>AB122+AB123+AB124</f>
        <v>31200</v>
      </c>
      <c r="AC121" s="523">
        <f>AC122+AC123+AC124</f>
        <v>31200</v>
      </c>
      <c r="AD121" s="524">
        <f>O121/M121*100</f>
        <v>218.78787452887423</v>
      </c>
      <c r="AE121" s="524">
        <f>P121/O121*100</f>
        <v>25.168456079793412</v>
      </c>
      <c r="AF121" s="524">
        <f>Q121/P121*100</f>
        <v>100</v>
      </c>
      <c r="AG121" s="524">
        <f>AB121/Q121*100</f>
        <v>100</v>
      </c>
      <c r="AH121" s="522"/>
      <c r="AI121" s="522">
        <v>32000</v>
      </c>
      <c r="AJ121" s="516">
        <f>W121/R121*100</f>
        <v>100</v>
      </c>
      <c r="AK121" s="516">
        <f>AT121/W121*100</f>
        <v>99.358974358974365</v>
      </c>
      <c r="AL121" s="516">
        <f>X121/AT121*100</f>
        <v>103.2258064516129</v>
      </c>
      <c r="AM121" s="427" t="e">
        <f ca="1">__xlfn.ISFORMULA(Sheet3!$T121)</f>
        <v>#NAME?</v>
      </c>
      <c r="AN121" s="662" t="e">
        <f ca="1">__xlfn.ISFORMULA(Sheet3!$N121)</f>
        <v>#NAME?</v>
      </c>
      <c r="AO121" t="b">
        <f t="shared" si="64"/>
        <v>1</v>
      </c>
      <c r="AP121" s="440">
        <f>SUM(AP123:AP125)</f>
        <v>31190.01</v>
      </c>
      <c r="AQ121" s="453">
        <v>31190.01</v>
      </c>
      <c r="AR121" s="440">
        <f>SUM(AR123:AR125)</f>
        <v>31190.01</v>
      </c>
      <c r="AS121" s="453">
        <f>SUM(AS123:AS125)</f>
        <v>78.45</v>
      </c>
      <c r="AT121" s="612">
        <f>SUM(AT123:AT125)</f>
        <v>31000</v>
      </c>
      <c r="AU121" s="469">
        <f>SUM(AU123:AU125)</f>
        <v>31100</v>
      </c>
      <c r="AV121" s="636">
        <v>32000</v>
      </c>
      <c r="AW121" s="636">
        <v>32000</v>
      </c>
      <c r="AX121" s="655">
        <f t="shared" si="51"/>
        <v>99.358974358974365</v>
      </c>
      <c r="AY121" s="655">
        <f t="shared" si="52"/>
        <v>99.390798528118466</v>
      </c>
      <c r="AZ121" s="655">
        <f t="shared" si="53"/>
        <v>100.32258064516128</v>
      </c>
      <c r="BA121" s="655">
        <f t="shared" si="54"/>
        <v>99.71141400724143</v>
      </c>
      <c r="BB121" s="655">
        <f t="shared" si="55"/>
        <v>102.89389067524115</v>
      </c>
      <c r="BC121" s="655">
        <f t="shared" si="55"/>
        <v>100</v>
      </c>
    </row>
    <row r="122" spans="1:55" ht="12" customHeight="1">
      <c r="A122" s="417"/>
      <c r="B122" s="36"/>
      <c r="C122" s="36"/>
      <c r="D122" s="36"/>
      <c r="E122" s="36"/>
      <c r="F122" s="36"/>
      <c r="G122" s="36"/>
      <c r="H122" s="46">
        <v>64231</v>
      </c>
      <c r="I122" s="38"/>
      <c r="J122" s="39"/>
      <c r="K122" s="40" t="s">
        <v>693</v>
      </c>
      <c r="L122" s="309"/>
      <c r="M122" s="309"/>
      <c r="N122" s="339"/>
      <c r="O122" s="339"/>
      <c r="P122" s="294"/>
      <c r="Q122" s="294"/>
      <c r="R122" s="451"/>
      <c r="S122" s="294"/>
      <c r="T122" s="294"/>
      <c r="U122" s="292" t="b">
        <f t="shared" si="59"/>
        <v>0</v>
      </c>
      <c r="V122" s="471"/>
      <c r="W122" s="471"/>
      <c r="X122" s="527"/>
      <c r="Y122" s="527"/>
      <c r="Z122" s="527"/>
      <c r="AA122" s="527"/>
      <c r="AB122" s="528"/>
      <c r="AC122" s="528"/>
      <c r="AD122" s="524"/>
      <c r="AE122" s="524"/>
      <c r="AF122" s="524"/>
      <c r="AG122" s="524"/>
      <c r="AH122" s="527"/>
      <c r="AI122" s="527"/>
      <c r="AJ122" s="516"/>
      <c r="AK122" s="516"/>
      <c r="AL122" s="516"/>
      <c r="AM122" s="427" t="e">
        <f ca="1">__xlfn.ISFORMULA(Sheet3!$T122)</f>
        <v>#NAME?</v>
      </c>
      <c r="AN122" s="662" t="e">
        <f ca="1">__xlfn.ISFORMULA(Sheet3!$N122)</f>
        <v>#NAME?</v>
      </c>
      <c r="AO122" t="b">
        <f t="shared" si="64"/>
        <v>0</v>
      </c>
      <c r="AQ122" s="451"/>
      <c r="AS122" s="451"/>
      <c r="AT122" s="613"/>
      <c r="AU122" s="471"/>
      <c r="AV122" s="638"/>
      <c r="AW122" s="638"/>
      <c r="AX122" s="655" t="str">
        <f t="shared" si="51"/>
        <v/>
      </c>
      <c r="AY122" s="655" t="str">
        <f t="shared" si="52"/>
        <v/>
      </c>
      <c r="AZ122" s="655" t="str">
        <f t="shared" si="53"/>
        <v/>
      </c>
      <c r="BA122" s="655" t="str">
        <f t="shared" si="54"/>
        <v/>
      </c>
      <c r="BB122" s="655" t="str">
        <f t="shared" si="55"/>
        <v/>
      </c>
      <c r="BC122" s="655" t="str">
        <f t="shared" si="55"/>
        <v/>
      </c>
    </row>
    <row r="123" spans="1:55" ht="12" customHeight="1">
      <c r="A123" s="417"/>
      <c r="B123" s="36"/>
      <c r="C123" s="36"/>
      <c r="D123" s="36"/>
      <c r="E123" s="36"/>
      <c r="F123" s="36"/>
      <c r="G123" s="36"/>
      <c r="H123" s="46">
        <v>64236</v>
      </c>
      <c r="I123" s="38"/>
      <c r="J123" s="39"/>
      <c r="K123" s="40" t="s">
        <v>692</v>
      </c>
      <c r="L123" s="309">
        <v>639</v>
      </c>
      <c r="M123" s="309">
        <f>639/7.5345</f>
        <v>84.809874576946044</v>
      </c>
      <c r="N123" s="339">
        <v>193</v>
      </c>
      <c r="O123" s="339">
        <f>N123/7.5345</f>
        <v>25.615502024022827</v>
      </c>
      <c r="P123" s="294"/>
      <c r="Q123" s="294"/>
      <c r="R123" s="451"/>
      <c r="S123" s="294"/>
      <c r="T123" s="294"/>
      <c r="U123" s="292" t="b">
        <f t="shared" si="59"/>
        <v>0</v>
      </c>
      <c r="V123" s="471"/>
      <c r="W123" s="471">
        <v>200</v>
      </c>
      <c r="X123" s="527"/>
      <c r="Y123" s="527"/>
      <c r="Z123" s="527"/>
      <c r="AA123" s="527"/>
      <c r="AB123" s="528"/>
      <c r="AC123" s="528"/>
      <c r="AD123" s="524">
        <f>O123/M123*100</f>
        <v>30.203442879499221</v>
      </c>
      <c r="AE123" s="524"/>
      <c r="AF123" s="524"/>
      <c r="AG123" s="524"/>
      <c r="AH123" s="527"/>
      <c r="AI123" s="527"/>
      <c r="AJ123" s="516"/>
      <c r="AK123" s="516">
        <f>AT123/W123*100</f>
        <v>0</v>
      </c>
      <c r="AL123" s="516"/>
      <c r="AM123" s="427" t="e">
        <f ca="1">__xlfn.ISFORMULA(Sheet3!$T123)</f>
        <v>#NAME?</v>
      </c>
      <c r="AN123" s="662" t="e">
        <f ca="1">__xlfn.ISFORMULA(Sheet3!$N123)</f>
        <v>#NAME?</v>
      </c>
      <c r="AO123" t="b">
        <f t="shared" si="64"/>
        <v>0</v>
      </c>
      <c r="AP123" s="595">
        <v>156.94</v>
      </c>
      <c r="AQ123" s="451">
        <v>156.94</v>
      </c>
      <c r="AR123" s="595">
        <v>156.94</v>
      </c>
      <c r="AS123" s="451">
        <v>78.45</v>
      </c>
      <c r="AT123" s="613"/>
      <c r="AU123" s="471">
        <v>100</v>
      </c>
      <c r="AV123" s="638"/>
      <c r="AW123" s="638"/>
      <c r="AX123" s="655" t="str">
        <f t="shared" si="51"/>
        <v/>
      </c>
      <c r="AY123" s="655" t="str">
        <f t="shared" si="52"/>
        <v/>
      </c>
      <c r="AZ123" s="655" t="str">
        <f t="shared" si="53"/>
        <v/>
      </c>
      <c r="BA123" s="655">
        <f t="shared" si="54"/>
        <v>63.718618580349187</v>
      </c>
      <c r="BB123" s="655" t="str">
        <f t="shared" si="55"/>
        <v/>
      </c>
      <c r="BC123" s="655" t="str">
        <f t="shared" si="55"/>
        <v/>
      </c>
    </row>
    <row r="124" spans="1:55" ht="12" customHeight="1">
      <c r="A124" s="417"/>
      <c r="B124" s="36"/>
      <c r="C124" s="36"/>
      <c r="D124" s="36"/>
      <c r="E124" s="36"/>
      <c r="F124" s="36"/>
      <c r="G124" s="36"/>
      <c r="H124" s="46">
        <v>64239</v>
      </c>
      <c r="I124" s="38"/>
      <c r="J124" s="39"/>
      <c r="K124" s="40" t="s">
        <v>612</v>
      </c>
      <c r="L124" s="309">
        <v>426264</v>
      </c>
      <c r="M124" s="309">
        <f>426264/7.5345</f>
        <v>56574.95520605216</v>
      </c>
      <c r="N124" s="339">
        <v>933819</v>
      </c>
      <c r="O124" s="339">
        <f>N124/7.5345</f>
        <v>123939.08023093767</v>
      </c>
      <c r="P124" s="294">
        <v>31200</v>
      </c>
      <c r="Q124" s="294">
        <v>31200</v>
      </c>
      <c r="R124" s="451">
        <v>31200</v>
      </c>
      <c r="S124" s="294"/>
      <c r="T124" s="294"/>
      <c r="U124" s="292" t="b">
        <f t="shared" si="59"/>
        <v>0</v>
      </c>
      <c r="V124" s="471">
        <v>31200</v>
      </c>
      <c r="W124" s="471">
        <v>31000</v>
      </c>
      <c r="X124" s="527">
        <v>32000</v>
      </c>
      <c r="Y124" s="527"/>
      <c r="Z124" s="527"/>
      <c r="AA124" s="527"/>
      <c r="AB124" s="528">
        <v>31200</v>
      </c>
      <c r="AC124" s="528">
        <v>31200</v>
      </c>
      <c r="AD124" s="524">
        <f>O124/M124*100</f>
        <v>219.07057598108213</v>
      </c>
      <c r="AE124" s="524">
        <f>P124/O124*100</f>
        <v>25.173657850182963</v>
      </c>
      <c r="AF124" s="524">
        <f>Q124/P124*100</f>
        <v>100</v>
      </c>
      <c r="AG124" s="524">
        <f>AB124/Q124*100</f>
        <v>100</v>
      </c>
      <c r="AH124" s="527"/>
      <c r="AI124" s="527">
        <v>32000</v>
      </c>
      <c r="AJ124" s="516">
        <f>W124/R124*100</f>
        <v>99.358974358974365</v>
      </c>
      <c r="AK124" s="516">
        <f>AT124/W124*100</f>
        <v>100</v>
      </c>
      <c r="AL124" s="516">
        <f>X124/AT124*100</f>
        <v>103.2258064516129</v>
      </c>
      <c r="AM124" s="427" t="e">
        <f ca="1">__xlfn.ISFORMULA(Sheet3!$T124)</f>
        <v>#NAME?</v>
      </c>
      <c r="AN124" s="662" t="e">
        <f ca="1">__xlfn.ISFORMULA(Sheet3!$N124)</f>
        <v>#NAME?</v>
      </c>
      <c r="AO124" t="b">
        <f t="shared" si="64"/>
        <v>0</v>
      </c>
      <c r="AP124" s="595">
        <v>31033.07</v>
      </c>
      <c r="AQ124" s="451">
        <v>31033.07</v>
      </c>
      <c r="AR124" s="595">
        <v>31033.07</v>
      </c>
      <c r="AS124" s="451"/>
      <c r="AT124" s="613">
        <v>31000</v>
      </c>
      <c r="AU124" s="471">
        <v>31000</v>
      </c>
      <c r="AV124" s="638">
        <v>32000</v>
      </c>
      <c r="AW124" s="638">
        <v>32000</v>
      </c>
      <c r="AX124" s="655">
        <f t="shared" si="51"/>
        <v>99.358974358974365</v>
      </c>
      <c r="AY124" s="655">
        <f t="shared" si="52"/>
        <v>99.893436260092855</v>
      </c>
      <c r="AZ124" s="655">
        <f t="shared" si="53"/>
        <v>100</v>
      </c>
      <c r="BA124" s="655">
        <f t="shared" si="54"/>
        <v>99.893436260092855</v>
      </c>
      <c r="BB124" s="655">
        <f t="shared" si="55"/>
        <v>103.2258064516129</v>
      </c>
      <c r="BC124" s="655">
        <f t="shared" si="55"/>
        <v>100</v>
      </c>
    </row>
    <row r="125" spans="1:55" ht="12" customHeight="1">
      <c r="A125" s="417"/>
      <c r="B125" s="36"/>
      <c r="C125" s="36"/>
      <c r="D125" s="36"/>
      <c r="E125" s="36"/>
      <c r="F125" s="36"/>
      <c r="G125" s="36"/>
      <c r="H125" s="46"/>
      <c r="I125" s="38"/>
      <c r="J125" s="39"/>
      <c r="K125" s="40"/>
      <c r="L125" s="309"/>
      <c r="M125" s="309"/>
      <c r="N125" s="339"/>
      <c r="O125" s="339"/>
      <c r="P125" s="294"/>
      <c r="Q125" s="294"/>
      <c r="R125" s="451"/>
      <c r="S125" s="294"/>
      <c r="T125" s="294"/>
      <c r="U125" s="292" t="b">
        <f t="shared" si="59"/>
        <v>0</v>
      </c>
      <c r="V125" s="471"/>
      <c r="W125" s="471"/>
      <c r="X125" s="527"/>
      <c r="Y125" s="527"/>
      <c r="Z125" s="527"/>
      <c r="AA125" s="527"/>
      <c r="AB125" s="528"/>
      <c r="AC125" s="528"/>
      <c r="AD125" s="524"/>
      <c r="AE125" s="524"/>
      <c r="AF125" s="524"/>
      <c r="AG125" s="524"/>
      <c r="AH125" s="527"/>
      <c r="AI125" s="527"/>
      <c r="AJ125" s="516"/>
      <c r="AK125" s="516"/>
      <c r="AL125" s="516"/>
      <c r="AM125" s="427" t="e">
        <f ca="1">__xlfn.ISFORMULA(Sheet3!$T125)</f>
        <v>#NAME?</v>
      </c>
      <c r="AN125" s="662" t="e">
        <f ca="1">__xlfn.ISFORMULA(Sheet3!$N125)</f>
        <v>#NAME?</v>
      </c>
      <c r="AO125" t="b">
        <f t="shared" si="64"/>
        <v>0</v>
      </c>
      <c r="AQ125" s="451"/>
      <c r="AS125" s="451"/>
      <c r="AT125" s="613"/>
      <c r="AU125" s="471"/>
      <c r="AV125" s="638"/>
      <c r="AW125" s="638"/>
      <c r="AX125" s="655" t="str">
        <f t="shared" si="51"/>
        <v/>
      </c>
      <c r="AY125" s="655" t="str">
        <f t="shared" si="52"/>
        <v/>
      </c>
      <c r="AZ125" s="655" t="str">
        <f t="shared" si="53"/>
        <v/>
      </c>
      <c r="BA125" s="655" t="str">
        <f t="shared" si="54"/>
        <v/>
      </c>
      <c r="BB125" s="655" t="str">
        <f t="shared" si="55"/>
        <v/>
      </c>
      <c r="BC125" s="655" t="str">
        <f t="shared" si="55"/>
        <v/>
      </c>
    </row>
    <row r="126" spans="1:55" ht="12" customHeight="1">
      <c r="A126" s="415"/>
      <c r="B126" s="20"/>
      <c r="C126" s="20"/>
      <c r="D126" s="20"/>
      <c r="E126" s="20"/>
      <c r="F126" s="20"/>
      <c r="G126" s="20"/>
      <c r="H126" s="16"/>
      <c r="I126" s="17"/>
      <c r="J126" s="14"/>
      <c r="K126" s="19"/>
      <c r="L126" s="313">
        <v>1</v>
      </c>
      <c r="M126" s="313">
        <v>2</v>
      </c>
      <c r="N126" s="335">
        <v>3</v>
      </c>
      <c r="O126" s="335">
        <v>4</v>
      </c>
      <c r="P126" s="290">
        <v>5</v>
      </c>
      <c r="Q126" s="290">
        <v>6</v>
      </c>
      <c r="R126" s="446">
        <v>4</v>
      </c>
      <c r="S126" s="290"/>
      <c r="T126" s="290"/>
      <c r="U126" s="292" t="b">
        <f t="shared" si="59"/>
        <v>0</v>
      </c>
      <c r="V126" s="467">
        <v>5</v>
      </c>
      <c r="W126" s="467"/>
      <c r="X126" s="514"/>
      <c r="Y126" s="514"/>
      <c r="Z126" s="514"/>
      <c r="AA126" s="514"/>
      <c r="AB126" s="515">
        <v>7</v>
      </c>
      <c r="AC126" s="515">
        <v>8</v>
      </c>
      <c r="AD126" s="515">
        <v>9</v>
      </c>
      <c r="AE126" s="515">
        <v>10</v>
      </c>
      <c r="AF126" s="515">
        <v>11</v>
      </c>
      <c r="AG126" s="515">
        <v>12</v>
      </c>
      <c r="AH126" s="514"/>
      <c r="AI126" s="514"/>
      <c r="AJ126" s="516">
        <f>W126/R126*100</f>
        <v>0</v>
      </c>
      <c r="AK126" s="516"/>
      <c r="AL126" s="516"/>
      <c r="AM126" s="427" t="e">
        <f ca="1">__xlfn.ISFORMULA(Sheet3!$T126)</f>
        <v>#NAME?</v>
      </c>
      <c r="AN126" s="662" t="e">
        <f ca="1">__xlfn.ISFORMULA(Sheet3!$N126)</f>
        <v>#NAME?</v>
      </c>
      <c r="AO126" t="b">
        <f t="shared" si="64"/>
        <v>0</v>
      </c>
      <c r="AQ126" s="446"/>
      <c r="AS126" s="446"/>
      <c r="AT126" s="612"/>
      <c r="AU126" s="467"/>
      <c r="AV126" s="632"/>
      <c r="AW126" s="632"/>
      <c r="AX126" s="655" t="str">
        <f t="shared" si="51"/>
        <v/>
      </c>
      <c r="AY126" s="655" t="str">
        <f t="shared" si="52"/>
        <v/>
      </c>
      <c r="AZ126" s="655" t="str">
        <f t="shared" si="53"/>
        <v/>
      </c>
      <c r="BA126" s="655" t="str">
        <f t="shared" si="54"/>
        <v/>
      </c>
      <c r="BB126" s="655" t="str">
        <f t="shared" si="55"/>
        <v/>
      </c>
      <c r="BC126" s="655" t="str">
        <f t="shared" si="55"/>
        <v/>
      </c>
    </row>
    <row r="127" spans="1:55" ht="12" customHeight="1">
      <c r="A127" s="417"/>
      <c r="B127" s="36"/>
      <c r="C127" s="36"/>
      <c r="D127" s="36"/>
      <c r="E127" s="36"/>
      <c r="F127" s="36"/>
      <c r="G127" s="36"/>
      <c r="H127" s="46">
        <v>6429</v>
      </c>
      <c r="I127" s="38"/>
      <c r="J127" s="39"/>
      <c r="K127" s="40" t="s">
        <v>449</v>
      </c>
      <c r="L127" s="315">
        <f t="shared" ref="L127:Q127" si="76">L128</f>
        <v>70289</v>
      </c>
      <c r="M127" s="315">
        <f t="shared" si="76"/>
        <v>9328.9534806556494</v>
      </c>
      <c r="N127" s="337">
        <f t="shared" si="76"/>
        <v>31706</v>
      </c>
      <c r="O127" s="337">
        <f t="shared" si="76"/>
        <v>4208.1093635941334</v>
      </c>
      <c r="P127" s="292">
        <f t="shared" si="76"/>
        <v>6600</v>
      </c>
      <c r="Q127" s="292">
        <f t="shared" si="76"/>
        <v>6600</v>
      </c>
      <c r="R127" s="453">
        <v>6600</v>
      </c>
      <c r="S127" s="292"/>
      <c r="T127" s="292"/>
      <c r="U127" s="292" t="b">
        <f t="shared" si="59"/>
        <v>0</v>
      </c>
      <c r="V127" s="469">
        <v>6600</v>
      </c>
      <c r="W127" s="469">
        <f>W128</f>
        <v>2000</v>
      </c>
      <c r="X127" s="522">
        <f>X128</f>
        <v>0</v>
      </c>
      <c r="Y127" s="522"/>
      <c r="Z127" s="522"/>
      <c r="AA127" s="522"/>
      <c r="AB127" s="523">
        <f>AB128</f>
        <v>3000</v>
      </c>
      <c r="AC127" s="523">
        <f>AC128</f>
        <v>3000</v>
      </c>
      <c r="AD127" s="524">
        <f>O127/M127*100</f>
        <v>45.108053891789609</v>
      </c>
      <c r="AE127" s="524">
        <f>P127/O127*100</f>
        <v>156.84003027818079</v>
      </c>
      <c r="AF127" s="524">
        <f>Q127/P127*100</f>
        <v>100</v>
      </c>
      <c r="AG127" s="524">
        <f>AB127/Q127*100</f>
        <v>45.454545454545453</v>
      </c>
      <c r="AH127" s="522"/>
      <c r="AI127" s="522">
        <v>0</v>
      </c>
      <c r="AJ127" s="516">
        <f>W127/R127*100</f>
        <v>30.303030303030305</v>
      </c>
      <c r="AK127" s="516">
        <f>AT127/W127*100</f>
        <v>0</v>
      </c>
      <c r="AL127" s="516"/>
      <c r="AM127" s="427" t="e">
        <f ca="1">__xlfn.ISFORMULA(Sheet3!$T127)</f>
        <v>#NAME?</v>
      </c>
      <c r="AN127" s="662" t="e">
        <f ca="1">__xlfn.ISFORMULA(Sheet3!$N127)</f>
        <v>#NAME?</v>
      </c>
      <c r="AO127" t="b">
        <f t="shared" si="64"/>
        <v>1</v>
      </c>
      <c r="AP127" s="440">
        <f>AP128</f>
        <v>1685.86</v>
      </c>
      <c r="AQ127" s="453">
        <v>1685.86</v>
      </c>
      <c r="AR127" s="440">
        <f>AR128</f>
        <v>1685.86</v>
      </c>
      <c r="AS127" s="453">
        <f>AS128</f>
        <v>325.95</v>
      </c>
      <c r="AT127" s="612">
        <f>AT128</f>
        <v>0</v>
      </c>
      <c r="AU127" s="469">
        <f>AU128</f>
        <v>500</v>
      </c>
      <c r="AV127" s="636">
        <v>0</v>
      </c>
      <c r="AW127" s="636">
        <v>0</v>
      </c>
      <c r="AX127" s="655">
        <f t="shared" si="51"/>
        <v>0</v>
      </c>
      <c r="AY127" s="655">
        <f t="shared" si="52"/>
        <v>0</v>
      </c>
      <c r="AZ127" s="655" t="str">
        <f t="shared" si="53"/>
        <v/>
      </c>
      <c r="BA127" s="655">
        <f t="shared" si="54"/>
        <v>29.658453252345986</v>
      </c>
      <c r="BB127" s="655">
        <f t="shared" si="55"/>
        <v>0</v>
      </c>
      <c r="BC127" s="655" t="str">
        <f t="shared" si="55"/>
        <v/>
      </c>
    </row>
    <row r="128" spans="1:55" ht="12" customHeight="1">
      <c r="A128" s="417"/>
      <c r="B128" s="36"/>
      <c r="C128" s="36"/>
      <c r="D128" s="36"/>
      <c r="E128" s="36"/>
      <c r="F128" s="36"/>
      <c r="G128" s="36"/>
      <c r="H128" s="46">
        <v>64299</v>
      </c>
      <c r="I128" s="38"/>
      <c r="J128" s="39"/>
      <c r="K128" s="40" t="s">
        <v>450</v>
      </c>
      <c r="L128" s="309">
        <v>70289</v>
      </c>
      <c r="M128" s="309">
        <f>70289/7.5345</f>
        <v>9328.9534806556494</v>
      </c>
      <c r="N128" s="339">
        <v>31706</v>
      </c>
      <c r="O128" s="339">
        <f>N128/7.5345</f>
        <v>4208.1093635941334</v>
      </c>
      <c r="P128" s="294">
        <v>6600</v>
      </c>
      <c r="Q128" s="294">
        <v>6600</v>
      </c>
      <c r="R128" s="451">
        <v>6600</v>
      </c>
      <c r="S128" s="294"/>
      <c r="T128" s="294"/>
      <c r="U128" s="292" t="b">
        <f t="shared" si="59"/>
        <v>0</v>
      </c>
      <c r="V128" s="471">
        <v>6600</v>
      </c>
      <c r="W128" s="471">
        <v>2000</v>
      </c>
      <c r="X128" s="527"/>
      <c r="Y128" s="527"/>
      <c r="Z128" s="527"/>
      <c r="AA128" s="527"/>
      <c r="AB128" s="528">
        <v>3000</v>
      </c>
      <c r="AC128" s="528">
        <v>3000</v>
      </c>
      <c r="AD128" s="524">
        <f>O128/M128*100</f>
        <v>45.108053891789609</v>
      </c>
      <c r="AE128" s="524">
        <f>P128/O128*100</f>
        <v>156.84003027818079</v>
      </c>
      <c r="AF128" s="524">
        <f>Q128/P128*100</f>
        <v>100</v>
      </c>
      <c r="AG128" s="524">
        <f>AB128/Q128*100</f>
        <v>45.454545454545453</v>
      </c>
      <c r="AH128" s="527"/>
      <c r="AI128" s="527"/>
      <c r="AJ128" s="516">
        <f>W128/R128*100</f>
        <v>30.303030303030305</v>
      </c>
      <c r="AK128" s="516">
        <f>AT128/W128*100</f>
        <v>0</v>
      </c>
      <c r="AL128" s="516"/>
      <c r="AM128" s="427" t="e">
        <f ca="1">__xlfn.ISFORMULA(Sheet3!$T128)</f>
        <v>#NAME?</v>
      </c>
      <c r="AN128" s="662" t="e">
        <f ca="1">__xlfn.ISFORMULA(Sheet3!$N128)</f>
        <v>#NAME?</v>
      </c>
      <c r="AO128" t="b">
        <f t="shared" si="64"/>
        <v>0</v>
      </c>
      <c r="AP128" s="595">
        <v>1685.86</v>
      </c>
      <c r="AQ128" s="451">
        <v>1685.86</v>
      </c>
      <c r="AR128" s="595">
        <v>1685.86</v>
      </c>
      <c r="AS128" s="451">
        <v>325.95</v>
      </c>
      <c r="AT128" s="613"/>
      <c r="AU128" s="471">
        <v>500</v>
      </c>
      <c r="AV128" s="638"/>
      <c r="AW128" s="638"/>
      <c r="AX128" s="655" t="str">
        <f t="shared" si="51"/>
        <v/>
      </c>
      <c r="AY128" s="655" t="str">
        <f t="shared" si="52"/>
        <v/>
      </c>
      <c r="AZ128" s="655" t="str">
        <f t="shared" si="53"/>
        <v/>
      </c>
      <c r="BA128" s="655">
        <f t="shared" si="54"/>
        <v>29.658453252345986</v>
      </c>
      <c r="BB128" s="655" t="str">
        <f t="shared" si="55"/>
        <v/>
      </c>
      <c r="BC128" s="655" t="str">
        <f t="shared" si="55"/>
        <v/>
      </c>
    </row>
    <row r="129" spans="1:55" ht="12" customHeight="1">
      <c r="A129" s="415"/>
      <c r="B129" s="20"/>
      <c r="C129" s="20"/>
      <c r="D129" s="20"/>
      <c r="E129" s="20"/>
      <c r="F129" s="20"/>
      <c r="G129" s="20"/>
      <c r="H129" s="16"/>
      <c r="I129" s="17"/>
      <c r="J129" s="14"/>
      <c r="K129" s="19"/>
      <c r="L129" s="313"/>
      <c r="M129" s="313"/>
      <c r="N129" s="335"/>
      <c r="O129" s="335"/>
      <c r="P129" s="290"/>
      <c r="Q129" s="290"/>
      <c r="R129" s="446"/>
      <c r="S129" s="290"/>
      <c r="T129" s="290"/>
      <c r="U129" s="292" t="b">
        <f t="shared" si="59"/>
        <v>0</v>
      </c>
      <c r="V129" s="467"/>
      <c r="W129" s="467"/>
      <c r="X129" s="514"/>
      <c r="Y129" s="514"/>
      <c r="Z129" s="514"/>
      <c r="AA129" s="514"/>
      <c r="AB129" s="515"/>
      <c r="AC129" s="515"/>
      <c r="AD129" s="524"/>
      <c r="AE129" s="524"/>
      <c r="AF129" s="524"/>
      <c r="AG129" s="524"/>
      <c r="AH129" s="514"/>
      <c r="AI129" s="514"/>
      <c r="AJ129" s="516"/>
      <c r="AK129" s="516"/>
      <c r="AL129" s="516"/>
      <c r="AM129" s="427" t="e">
        <f ca="1">__xlfn.ISFORMULA(Sheet3!$T129)</f>
        <v>#NAME?</v>
      </c>
      <c r="AN129" s="662" t="e">
        <f ca="1">__xlfn.ISFORMULA(Sheet3!$N129)</f>
        <v>#NAME?</v>
      </c>
      <c r="AO129" t="b">
        <f t="shared" si="64"/>
        <v>0</v>
      </c>
      <c r="AQ129" s="446"/>
      <c r="AS129" s="446"/>
      <c r="AT129" s="612"/>
      <c r="AU129" s="467"/>
      <c r="AV129" s="632"/>
      <c r="AW129" s="632"/>
      <c r="AX129" s="655" t="str">
        <f t="shared" si="51"/>
        <v/>
      </c>
      <c r="AY129" s="655" t="str">
        <f t="shared" si="52"/>
        <v/>
      </c>
      <c r="AZ129" s="655" t="str">
        <f t="shared" si="53"/>
        <v/>
      </c>
      <c r="BA129" s="655" t="str">
        <f t="shared" si="54"/>
        <v/>
      </c>
      <c r="BB129" s="655" t="str">
        <f t="shared" si="55"/>
        <v/>
      </c>
      <c r="BC129" s="655" t="str">
        <f t="shared" si="55"/>
        <v/>
      </c>
    </row>
    <row r="130" spans="1:55" ht="12" customHeight="1">
      <c r="A130" s="419"/>
      <c r="B130" s="47"/>
      <c r="C130" s="47"/>
      <c r="D130" s="47"/>
      <c r="E130" s="47"/>
      <c r="F130" s="47"/>
      <c r="G130" s="47"/>
      <c r="H130" s="48">
        <v>65</v>
      </c>
      <c r="I130" s="49"/>
      <c r="J130" s="50"/>
      <c r="K130" s="51" t="s">
        <v>54</v>
      </c>
      <c r="L130" s="315">
        <f t="shared" ref="L130:Q130" si="77">L132+L142+L150</f>
        <v>6212249</v>
      </c>
      <c r="M130" s="315">
        <f t="shared" si="77"/>
        <v>824507.26206118509</v>
      </c>
      <c r="N130" s="337">
        <f t="shared" si="77"/>
        <v>6564620</v>
      </c>
      <c r="O130" s="337">
        <f t="shared" si="77"/>
        <v>871274.80257482245</v>
      </c>
      <c r="P130" s="292">
        <f t="shared" si="77"/>
        <v>1250800</v>
      </c>
      <c r="Q130" s="292">
        <f t="shared" si="77"/>
        <v>869000</v>
      </c>
      <c r="R130" s="453">
        <v>869000</v>
      </c>
      <c r="S130" s="292"/>
      <c r="T130" s="292"/>
      <c r="U130" s="292" t="b">
        <f t="shared" si="59"/>
        <v>0</v>
      </c>
      <c r="V130" s="469">
        <v>1295600</v>
      </c>
      <c r="W130" s="469">
        <f>W132+W142+W150</f>
        <v>1073100</v>
      </c>
      <c r="X130" s="522">
        <f>X132+X142+X150</f>
        <v>1210000</v>
      </c>
      <c r="Y130" s="522"/>
      <c r="Z130" s="522"/>
      <c r="AA130" s="522"/>
      <c r="AB130" s="523">
        <f>AB132+AB142+AB150</f>
        <v>1255300</v>
      </c>
      <c r="AC130" s="523">
        <f>AC132+AC142+AC150</f>
        <v>1255300</v>
      </c>
      <c r="AD130" s="524">
        <f>O130/M130*100</f>
        <v>105.67218054535059</v>
      </c>
      <c r="AE130" s="524">
        <f>P130/O130*100</f>
        <v>143.55975821905915</v>
      </c>
      <c r="AF130" s="524">
        <f>Q130/P130*100</f>
        <v>69.475535657179407</v>
      </c>
      <c r="AG130" s="524">
        <f>AB130/Q130*100</f>
        <v>144.45339470655927</v>
      </c>
      <c r="AH130" s="522"/>
      <c r="AI130" s="522">
        <v>1210000</v>
      </c>
      <c r="AJ130" s="516">
        <f>W130/R130*100</f>
        <v>123.48676639815881</v>
      </c>
      <c r="AK130" s="516">
        <f>AT130/W130*100</f>
        <v>125.80374615599665</v>
      </c>
      <c r="AL130" s="516">
        <f>X130/AT130*100</f>
        <v>89.629629629629619</v>
      </c>
      <c r="AM130" s="427" t="e">
        <f ca="1">__xlfn.ISFORMULA(Sheet3!$T130)</f>
        <v>#NAME?</v>
      </c>
      <c r="AN130" s="662" t="e">
        <f ca="1">__xlfn.ISFORMULA(Sheet3!$N130)</f>
        <v>#NAME?</v>
      </c>
      <c r="AO130" t="b">
        <f t="shared" si="64"/>
        <v>1</v>
      </c>
      <c r="AP130" s="440">
        <f>AP132+AP142+AP150</f>
        <v>582587.56000000006</v>
      </c>
      <c r="AQ130" s="453">
        <v>689452.57</v>
      </c>
      <c r="AR130" s="440">
        <f>AR132+AR142+AR150</f>
        <v>582587.56000000006</v>
      </c>
      <c r="AS130" s="453">
        <f>AS132+AS142+AS150</f>
        <v>389291.80000000005</v>
      </c>
      <c r="AT130" s="612">
        <f>AT132+AT142+AT150</f>
        <v>1350000</v>
      </c>
      <c r="AU130" s="469">
        <f>AU132+AU142+AU150</f>
        <v>1307200</v>
      </c>
      <c r="AV130" s="636">
        <v>1210000</v>
      </c>
      <c r="AW130" s="636">
        <v>1210000</v>
      </c>
      <c r="AX130" s="655">
        <f t="shared" si="51"/>
        <v>155.35097813578827</v>
      </c>
      <c r="AY130" s="655">
        <f t="shared" si="52"/>
        <v>195.80752306137609</v>
      </c>
      <c r="AZ130" s="655">
        <f t="shared" si="53"/>
        <v>96.829629629629636</v>
      </c>
      <c r="BA130" s="655">
        <f t="shared" si="54"/>
        <v>189.59969936728208</v>
      </c>
      <c r="BB130" s="655">
        <f t="shared" si="55"/>
        <v>92.564259485924111</v>
      </c>
      <c r="BC130" s="655">
        <f t="shared" si="55"/>
        <v>100</v>
      </c>
    </row>
    <row r="131" spans="1:55" ht="12" customHeight="1">
      <c r="A131" s="422"/>
      <c r="B131" s="25"/>
      <c r="C131" s="25"/>
      <c r="D131" s="25"/>
      <c r="E131" s="25"/>
      <c r="F131" s="25"/>
      <c r="G131" s="25"/>
      <c r="H131" s="70"/>
      <c r="I131" s="27"/>
      <c r="J131" s="28"/>
      <c r="K131" s="29"/>
      <c r="L131" s="317"/>
      <c r="M131" s="317"/>
      <c r="N131" s="341"/>
      <c r="O131" s="341"/>
      <c r="P131" s="296"/>
      <c r="Q131" s="296"/>
      <c r="R131" s="455"/>
      <c r="S131" s="296"/>
      <c r="T131" s="296"/>
      <c r="U131" s="292" t="b">
        <f t="shared" si="59"/>
        <v>0</v>
      </c>
      <c r="V131" s="473"/>
      <c r="W131" s="473"/>
      <c r="X131" s="531"/>
      <c r="Y131" s="531"/>
      <c r="Z131" s="531"/>
      <c r="AA131" s="531"/>
      <c r="AB131" s="532"/>
      <c r="AC131" s="532"/>
      <c r="AD131" s="524"/>
      <c r="AE131" s="524"/>
      <c r="AF131" s="524"/>
      <c r="AG131" s="524"/>
      <c r="AH131" s="531"/>
      <c r="AI131" s="531"/>
      <c r="AJ131" s="516"/>
      <c r="AK131" s="516"/>
      <c r="AL131" s="516"/>
      <c r="AM131" s="427" t="e">
        <f ca="1">__xlfn.ISFORMULA(Sheet3!$T131)</f>
        <v>#NAME?</v>
      </c>
      <c r="AN131" s="662" t="e">
        <f ca="1">__xlfn.ISFORMULA(Sheet3!$N131)</f>
        <v>#NAME?</v>
      </c>
      <c r="AO131" t="b">
        <f t="shared" si="64"/>
        <v>0</v>
      </c>
      <c r="AQ131" s="455"/>
      <c r="AS131" s="455"/>
      <c r="AT131" s="612"/>
      <c r="AU131" s="473"/>
      <c r="AV131" s="640"/>
      <c r="AW131" s="640"/>
      <c r="AX131" s="655" t="str">
        <f t="shared" si="51"/>
        <v/>
      </c>
      <c r="AY131" s="655" t="str">
        <f t="shared" si="52"/>
        <v/>
      </c>
      <c r="AZ131" s="655" t="str">
        <f t="shared" si="53"/>
        <v/>
      </c>
      <c r="BA131" s="655" t="str">
        <f t="shared" si="54"/>
        <v/>
      </c>
      <c r="BB131" s="655" t="str">
        <f t="shared" si="55"/>
        <v/>
      </c>
      <c r="BC131" s="655" t="str">
        <f t="shared" si="55"/>
        <v/>
      </c>
    </row>
    <row r="132" spans="1:55" ht="12" customHeight="1">
      <c r="A132" s="420"/>
      <c r="B132" s="56"/>
      <c r="C132" s="56"/>
      <c r="D132" s="56"/>
      <c r="E132" s="56"/>
      <c r="F132" s="56"/>
      <c r="G132" s="56"/>
      <c r="H132" s="57">
        <v>651</v>
      </c>
      <c r="I132" s="58"/>
      <c r="J132" s="59"/>
      <c r="K132" s="60" t="s">
        <v>55</v>
      </c>
      <c r="L132" s="315">
        <f t="shared" ref="L132:Q132" si="78">L134+L138</f>
        <v>694053</v>
      </c>
      <c r="M132" s="315">
        <f t="shared" si="78"/>
        <v>92116.791558829384</v>
      </c>
      <c r="N132" s="337">
        <f t="shared" si="78"/>
        <v>868465</v>
      </c>
      <c r="O132" s="337">
        <f t="shared" si="78"/>
        <v>115265.11380980822</v>
      </c>
      <c r="P132" s="292">
        <f t="shared" si="78"/>
        <v>107800</v>
      </c>
      <c r="Q132" s="292">
        <f t="shared" si="78"/>
        <v>113000</v>
      </c>
      <c r="R132" s="453">
        <v>113000</v>
      </c>
      <c r="S132" s="292"/>
      <c r="T132" s="292"/>
      <c r="U132" s="292" t="b">
        <f t="shared" si="59"/>
        <v>0</v>
      </c>
      <c r="V132" s="469">
        <v>118000</v>
      </c>
      <c r="W132" s="469">
        <f>W134+W138</f>
        <v>160100</v>
      </c>
      <c r="X132" s="522">
        <f>X134+X138</f>
        <v>240000</v>
      </c>
      <c r="Y132" s="522"/>
      <c r="Z132" s="522"/>
      <c r="AA132" s="522"/>
      <c r="AB132" s="523">
        <f>AB134+AB138</f>
        <v>108300</v>
      </c>
      <c r="AC132" s="523">
        <f>AC134+AC138</f>
        <v>108300</v>
      </c>
      <c r="AD132" s="524">
        <f>O132/M132*100</f>
        <v>125.12931883455298</v>
      </c>
      <c r="AE132" s="524">
        <f>P132/O132*100</f>
        <v>93.523527142717327</v>
      </c>
      <c r="AF132" s="524">
        <f>Q132/P132*100</f>
        <v>104.82374768089053</v>
      </c>
      <c r="AG132" s="524">
        <f>AB132/Q132*100</f>
        <v>95.840707964601762</v>
      </c>
      <c r="AH132" s="522"/>
      <c r="AI132" s="522">
        <v>240000</v>
      </c>
      <c r="AJ132" s="516">
        <f>W132/R132*100</f>
        <v>141.68141592920352</v>
      </c>
      <c r="AK132" s="516">
        <f>AT132/W132*100</f>
        <v>131.16801998750779</v>
      </c>
      <c r="AL132" s="516">
        <f>X132/AT132*100</f>
        <v>114.28571428571428</v>
      </c>
      <c r="AM132" s="427" t="e">
        <f ca="1">__xlfn.ISFORMULA(Sheet3!$T132)</f>
        <v>#NAME?</v>
      </c>
      <c r="AN132" s="662" t="e">
        <f ca="1">__xlfn.ISFORMULA(Sheet3!$N132)</f>
        <v>#NAME?</v>
      </c>
      <c r="AO132" t="b">
        <f t="shared" si="64"/>
        <v>1</v>
      </c>
      <c r="AP132" s="440">
        <f>AP134+AP138</f>
        <v>142871.34</v>
      </c>
      <c r="AQ132" s="453">
        <v>142871.34</v>
      </c>
      <c r="AR132" s="440">
        <f>AR134+AR138</f>
        <v>142871.34</v>
      </c>
      <c r="AS132" s="453">
        <f>AS134+AS138+AS137</f>
        <v>20352.390000000003</v>
      </c>
      <c r="AT132" s="612">
        <f>AT134+AT138</f>
        <v>210000</v>
      </c>
      <c r="AU132" s="469">
        <f>AU134+AU138+AU137</f>
        <v>210200</v>
      </c>
      <c r="AV132" s="636">
        <v>240000</v>
      </c>
      <c r="AW132" s="636">
        <v>240000</v>
      </c>
      <c r="AX132" s="655">
        <f t="shared" si="51"/>
        <v>185.84070796460176</v>
      </c>
      <c r="AY132" s="655">
        <f t="shared" si="52"/>
        <v>146.98539259168425</v>
      </c>
      <c r="AZ132" s="655">
        <f t="shared" si="53"/>
        <v>100.0952380952381</v>
      </c>
      <c r="BA132" s="655">
        <f t="shared" si="54"/>
        <v>147.1253786798668</v>
      </c>
      <c r="BB132" s="655">
        <f t="shared" si="55"/>
        <v>114.1769743101808</v>
      </c>
      <c r="BC132" s="655">
        <f t="shared" si="55"/>
        <v>100</v>
      </c>
    </row>
    <row r="133" spans="1:55" ht="12" customHeight="1">
      <c r="A133" s="417"/>
      <c r="B133" s="36"/>
      <c r="C133" s="36"/>
      <c r="D133" s="36"/>
      <c r="E133" s="36"/>
      <c r="F133" s="36"/>
      <c r="G133" s="36"/>
      <c r="H133" s="46"/>
      <c r="I133" s="38"/>
      <c r="J133" s="39"/>
      <c r="K133" s="40"/>
      <c r="L133" s="316"/>
      <c r="M133" s="316"/>
      <c r="N133" s="338"/>
      <c r="O133" s="338"/>
      <c r="P133" s="293"/>
      <c r="Q133" s="293"/>
      <c r="R133" s="454"/>
      <c r="S133" s="293"/>
      <c r="T133" s="293"/>
      <c r="U133" s="292" t="b">
        <f t="shared" si="59"/>
        <v>0</v>
      </c>
      <c r="V133" s="470"/>
      <c r="W133" s="470"/>
      <c r="X133" s="525"/>
      <c r="Y133" s="525"/>
      <c r="Z133" s="525"/>
      <c r="AA133" s="525"/>
      <c r="AB133" s="526"/>
      <c r="AC133" s="526"/>
      <c r="AD133" s="524"/>
      <c r="AE133" s="524"/>
      <c r="AF133" s="524"/>
      <c r="AG133" s="524"/>
      <c r="AH133" s="525"/>
      <c r="AI133" s="525"/>
      <c r="AJ133" s="516"/>
      <c r="AK133" s="516"/>
      <c r="AL133" s="516"/>
      <c r="AM133" s="427" t="e">
        <f ca="1">__xlfn.ISFORMULA(Sheet3!$T133)</f>
        <v>#NAME?</v>
      </c>
      <c r="AN133" s="662" t="e">
        <f ca="1">__xlfn.ISFORMULA(Sheet3!$N133)</f>
        <v>#NAME?</v>
      </c>
      <c r="AO133" t="b">
        <f t="shared" si="64"/>
        <v>0</v>
      </c>
      <c r="AQ133" s="454"/>
      <c r="AS133" s="454"/>
      <c r="AT133" s="613"/>
      <c r="AU133" s="470"/>
      <c r="AV133" s="637"/>
      <c r="AW133" s="637"/>
      <c r="AX133" s="655" t="str">
        <f t="shared" si="51"/>
        <v/>
      </c>
      <c r="AY133" s="655" t="str">
        <f t="shared" si="52"/>
        <v/>
      </c>
      <c r="AZ133" s="655" t="str">
        <f t="shared" si="53"/>
        <v/>
      </c>
      <c r="BA133" s="655" t="str">
        <f t="shared" si="54"/>
        <v/>
      </c>
      <c r="BB133" s="655" t="str">
        <f t="shared" si="55"/>
        <v/>
      </c>
      <c r="BC133" s="655" t="str">
        <f t="shared" si="55"/>
        <v/>
      </c>
    </row>
    <row r="134" spans="1:55" ht="12" customHeight="1">
      <c r="A134" s="417"/>
      <c r="B134" s="36"/>
      <c r="C134" s="36"/>
      <c r="D134" s="36"/>
      <c r="E134" s="36"/>
      <c r="F134" s="36"/>
      <c r="G134" s="36"/>
      <c r="H134" s="46">
        <v>6511</v>
      </c>
      <c r="I134" s="38"/>
      <c r="J134" s="39"/>
      <c r="K134" s="40" t="s">
        <v>56</v>
      </c>
      <c r="L134" s="315">
        <f t="shared" ref="L134:Q134" si="79">L135+L136</f>
        <v>8297</v>
      </c>
      <c r="M134" s="315">
        <f t="shared" si="79"/>
        <v>1101.3293516490808</v>
      </c>
      <c r="N134" s="337">
        <f t="shared" si="79"/>
        <v>3148</v>
      </c>
      <c r="O134" s="337">
        <f t="shared" si="79"/>
        <v>417.8114008892428</v>
      </c>
      <c r="P134" s="292">
        <f t="shared" si="79"/>
        <v>1300</v>
      </c>
      <c r="Q134" s="292">
        <f t="shared" si="79"/>
        <v>500</v>
      </c>
      <c r="R134" s="453">
        <v>500</v>
      </c>
      <c r="S134" s="292"/>
      <c r="T134" s="292"/>
      <c r="U134" s="292" t="b">
        <f t="shared" si="59"/>
        <v>0</v>
      </c>
      <c r="V134" s="469">
        <v>500</v>
      </c>
      <c r="W134" s="469">
        <f>W135</f>
        <v>100</v>
      </c>
      <c r="X134" s="522">
        <f>X135</f>
        <v>0</v>
      </c>
      <c r="Y134" s="522"/>
      <c r="Z134" s="522"/>
      <c r="AA134" s="522"/>
      <c r="AB134" s="523">
        <f>AB135+AB136</f>
        <v>1300</v>
      </c>
      <c r="AC134" s="523">
        <f>AC135+AC136</f>
        <v>1300</v>
      </c>
      <c r="AD134" s="524">
        <f>O134/M134*100</f>
        <v>37.937007695620835</v>
      </c>
      <c r="AE134" s="524">
        <f>P134/O134*100</f>
        <v>311.14517153748415</v>
      </c>
      <c r="AF134" s="524">
        <f>Q134/P134*100</f>
        <v>38.461538461538467</v>
      </c>
      <c r="AG134" s="524">
        <f>AB134/Q134*100</f>
        <v>260</v>
      </c>
      <c r="AH134" s="522"/>
      <c r="AI134" s="522">
        <v>0</v>
      </c>
      <c r="AJ134" s="516">
        <f>W134/R134*100</f>
        <v>20</v>
      </c>
      <c r="AK134" s="516">
        <f>AT134/W134*100</f>
        <v>0</v>
      </c>
      <c r="AL134" s="516"/>
      <c r="AM134" s="427" t="e">
        <f ca="1">__xlfn.ISFORMULA(Sheet3!$T134)</f>
        <v>#NAME?</v>
      </c>
      <c r="AN134" s="662" t="e">
        <f ca="1">__xlfn.ISFORMULA(Sheet3!$N134)</f>
        <v>#NAME?</v>
      </c>
      <c r="AO134" t="b">
        <f t="shared" si="64"/>
        <v>1</v>
      </c>
      <c r="AP134" s="440">
        <f>AP135</f>
        <v>0</v>
      </c>
      <c r="AQ134" s="453">
        <v>0</v>
      </c>
      <c r="AR134" s="440">
        <f>AR135</f>
        <v>0</v>
      </c>
      <c r="AS134" s="453">
        <f>AS135</f>
        <v>0</v>
      </c>
      <c r="AT134" s="612">
        <f>AT135</f>
        <v>0</v>
      </c>
      <c r="AU134" s="471">
        <f>AU135</f>
        <v>100</v>
      </c>
      <c r="AV134" s="636">
        <v>0</v>
      </c>
      <c r="AW134" s="636">
        <v>0</v>
      </c>
      <c r="AX134" s="655">
        <f t="shared" si="51"/>
        <v>0</v>
      </c>
      <c r="AY134" s="655" t="str">
        <f t="shared" si="52"/>
        <v/>
      </c>
      <c r="AZ134" s="655" t="str">
        <f t="shared" si="53"/>
        <v/>
      </c>
      <c r="BA134" s="655" t="str">
        <f t="shared" si="54"/>
        <v/>
      </c>
      <c r="BB134" s="655">
        <f t="shared" si="55"/>
        <v>0</v>
      </c>
      <c r="BC134" s="655" t="str">
        <f t="shared" si="55"/>
        <v/>
      </c>
    </row>
    <row r="135" spans="1:55" ht="12" customHeight="1">
      <c r="A135" s="417"/>
      <c r="B135" s="36"/>
      <c r="C135" s="36"/>
      <c r="D135" s="36"/>
      <c r="E135" s="36"/>
      <c r="F135" s="36"/>
      <c r="G135" s="36"/>
      <c r="H135" s="46">
        <v>65111</v>
      </c>
      <c r="I135" s="38"/>
      <c r="J135" s="39"/>
      <c r="K135" s="40" t="s">
        <v>57</v>
      </c>
      <c r="L135" s="309">
        <v>8087</v>
      </c>
      <c r="M135" s="309">
        <f>8087/7.5345</f>
        <v>1073.3293516490808</v>
      </c>
      <c r="N135" s="339">
        <v>3148</v>
      </c>
      <c r="O135" s="339">
        <f>N135/7.5345</f>
        <v>417.8114008892428</v>
      </c>
      <c r="P135" s="294">
        <v>1300</v>
      </c>
      <c r="Q135" s="269">
        <v>500</v>
      </c>
      <c r="R135" s="451">
        <v>500</v>
      </c>
      <c r="S135" s="294"/>
      <c r="T135" s="294"/>
      <c r="U135" s="292" t="b">
        <f t="shared" si="59"/>
        <v>0</v>
      </c>
      <c r="V135" s="471">
        <v>500</v>
      </c>
      <c r="W135" s="471">
        <v>100</v>
      </c>
      <c r="X135" s="527"/>
      <c r="Y135" s="527"/>
      <c r="Z135" s="527"/>
      <c r="AA135" s="527"/>
      <c r="AB135" s="528">
        <v>1300</v>
      </c>
      <c r="AC135" s="528">
        <v>1300</v>
      </c>
      <c r="AD135" s="524">
        <f>O135/M135*100</f>
        <v>38.92667243724496</v>
      </c>
      <c r="AE135" s="524">
        <f>P135/O135*100</f>
        <v>311.14517153748415</v>
      </c>
      <c r="AF135" s="524">
        <f>Q135/P135*100</f>
        <v>38.461538461538467</v>
      </c>
      <c r="AG135" s="524">
        <f>AB135/Q135*100</f>
        <v>260</v>
      </c>
      <c r="AH135" s="527"/>
      <c r="AI135" s="527"/>
      <c r="AJ135" s="516">
        <f>W135/R135*100</f>
        <v>20</v>
      </c>
      <c r="AK135" s="516">
        <f>AT135/W135*100</f>
        <v>0</v>
      </c>
      <c r="AL135" s="516"/>
      <c r="AM135" s="427" t="e">
        <f ca="1">__xlfn.ISFORMULA(Sheet3!$T135)</f>
        <v>#NAME?</v>
      </c>
      <c r="AN135" s="662" t="e">
        <f ca="1">__xlfn.ISFORMULA(Sheet3!$N135)</f>
        <v>#NAME?</v>
      </c>
      <c r="AO135" t="b">
        <f t="shared" si="64"/>
        <v>0</v>
      </c>
      <c r="AQ135" s="451"/>
      <c r="AS135" s="451"/>
      <c r="AT135" s="613"/>
      <c r="AU135" s="471">
        <v>100</v>
      </c>
      <c r="AV135" s="638"/>
      <c r="AW135" s="638"/>
      <c r="AX135" s="655" t="str">
        <f t="shared" si="51"/>
        <v/>
      </c>
      <c r="AY135" s="655" t="str">
        <f t="shared" si="52"/>
        <v/>
      </c>
      <c r="AZ135" s="655" t="str">
        <f t="shared" si="53"/>
        <v/>
      </c>
      <c r="BA135" s="655" t="str">
        <f t="shared" si="54"/>
        <v/>
      </c>
      <c r="BB135" s="655" t="str">
        <f t="shared" si="55"/>
        <v/>
      </c>
      <c r="BC135" s="655" t="str">
        <f t="shared" si="55"/>
        <v/>
      </c>
    </row>
    <row r="136" spans="1:55" ht="12" customHeight="1">
      <c r="A136" s="415"/>
      <c r="B136" s="20"/>
      <c r="C136" s="20"/>
      <c r="D136" s="20"/>
      <c r="E136" s="20"/>
      <c r="F136" s="20"/>
      <c r="G136" s="20"/>
      <c r="H136" s="46">
        <v>65123</v>
      </c>
      <c r="I136" s="17"/>
      <c r="J136" s="14"/>
      <c r="K136" s="332" t="s">
        <v>778</v>
      </c>
      <c r="L136" s="354">
        <v>210</v>
      </c>
      <c r="M136" s="354">
        <v>28</v>
      </c>
      <c r="N136" s="335"/>
      <c r="O136" s="335"/>
      <c r="P136" s="290"/>
      <c r="Q136" s="290"/>
      <c r="R136" s="446"/>
      <c r="S136" s="290"/>
      <c r="T136" s="290"/>
      <c r="U136" s="292" t="b">
        <f t="shared" si="59"/>
        <v>0</v>
      </c>
      <c r="V136" s="467"/>
      <c r="W136" s="467"/>
      <c r="X136" s="514"/>
      <c r="Y136" s="514"/>
      <c r="Z136" s="514"/>
      <c r="AA136" s="514"/>
      <c r="AB136" s="515"/>
      <c r="AC136" s="515"/>
      <c r="AD136" s="524">
        <f>O136/M136*100</f>
        <v>0</v>
      </c>
      <c r="AE136" s="524"/>
      <c r="AF136" s="524"/>
      <c r="AG136" s="524"/>
      <c r="AH136" s="514"/>
      <c r="AI136" s="514"/>
      <c r="AJ136" s="516"/>
      <c r="AK136" s="516"/>
      <c r="AL136" s="516"/>
      <c r="AM136" s="427" t="e">
        <f ca="1">__xlfn.ISFORMULA(Sheet3!$T136)</f>
        <v>#NAME?</v>
      </c>
      <c r="AN136" s="662" t="e">
        <f ca="1">__xlfn.ISFORMULA(Sheet3!$N136)</f>
        <v>#NAME?</v>
      </c>
      <c r="AO136" t="b">
        <f t="shared" si="64"/>
        <v>0</v>
      </c>
      <c r="AQ136" s="446"/>
      <c r="AS136" s="446"/>
      <c r="AT136" s="612"/>
      <c r="AU136" s="467"/>
      <c r="AV136" s="638"/>
      <c r="AW136" s="638"/>
      <c r="AX136" s="655" t="str">
        <f t="shared" si="51"/>
        <v/>
      </c>
      <c r="AY136" s="655" t="str">
        <f t="shared" si="52"/>
        <v/>
      </c>
      <c r="AZ136" s="655" t="str">
        <f t="shared" si="53"/>
        <v/>
      </c>
      <c r="BA136" s="655" t="str">
        <f t="shared" si="54"/>
        <v/>
      </c>
      <c r="BB136" s="655" t="str">
        <f t="shared" si="55"/>
        <v/>
      </c>
      <c r="BC136" s="655" t="str">
        <f t="shared" si="55"/>
        <v/>
      </c>
    </row>
    <row r="137" spans="1:55" ht="12" customHeight="1">
      <c r="A137" s="417"/>
      <c r="B137" s="36"/>
      <c r="C137" s="36"/>
      <c r="D137" s="36"/>
      <c r="E137" s="36"/>
      <c r="F137" s="36"/>
      <c r="G137" s="36"/>
      <c r="H137" s="46">
        <v>65139</v>
      </c>
      <c r="I137" s="38"/>
      <c r="J137" s="39"/>
      <c r="K137" s="71" t="s">
        <v>874</v>
      </c>
      <c r="L137" s="310"/>
      <c r="M137" s="310"/>
      <c r="N137" s="598"/>
      <c r="O137" s="598"/>
      <c r="P137" s="599"/>
      <c r="Q137" s="599"/>
      <c r="R137" s="451"/>
      <c r="S137" s="599"/>
      <c r="T137" s="599"/>
      <c r="U137" s="292" t="b">
        <f>__xlfn.ISFORMULA(S137)</f>
        <v>0</v>
      </c>
      <c r="V137" s="600"/>
      <c r="W137" s="601"/>
      <c r="X137" s="602"/>
      <c r="Y137" s="602"/>
      <c r="Z137" s="602"/>
      <c r="AA137" s="602"/>
      <c r="AB137" s="603"/>
      <c r="AC137" s="603"/>
      <c r="AD137" s="524"/>
      <c r="AE137" s="524"/>
      <c r="AF137" s="524"/>
      <c r="AG137" s="524"/>
      <c r="AH137" s="602"/>
      <c r="AI137" s="602"/>
      <c r="AJ137" s="604" t="e">
        <f>W137/R137*100</f>
        <v>#DIV/0!</v>
      </c>
      <c r="AK137" s="516"/>
      <c r="AL137" s="516"/>
      <c r="AM137" s="605"/>
      <c r="AN137" s="662" t="e">
        <f ca="1">__xlfn.ISFORMULA(Sheet3!$N137)</f>
        <v>#NAME?</v>
      </c>
      <c r="AQ137" s="451"/>
      <c r="AS137" s="451">
        <v>16.739999999999998</v>
      </c>
      <c r="AT137" s="613"/>
      <c r="AU137" s="471">
        <v>100</v>
      </c>
      <c r="AV137" s="632"/>
      <c r="AW137" s="632"/>
      <c r="AX137" s="655" t="str">
        <f t="shared" si="51"/>
        <v/>
      </c>
      <c r="AY137" s="655" t="str">
        <f t="shared" si="52"/>
        <v/>
      </c>
      <c r="AZ137" s="655" t="str">
        <f t="shared" si="53"/>
        <v/>
      </c>
      <c r="BA137" s="655" t="str">
        <f t="shared" si="54"/>
        <v/>
      </c>
      <c r="BB137" s="655" t="str">
        <f t="shared" si="55"/>
        <v/>
      </c>
      <c r="BC137" s="655" t="str">
        <f t="shared" si="55"/>
        <v/>
      </c>
    </row>
    <row r="138" spans="1:55" ht="12" customHeight="1">
      <c r="A138" s="417"/>
      <c r="B138" s="36"/>
      <c r="C138" s="36"/>
      <c r="D138" s="36"/>
      <c r="E138" s="36"/>
      <c r="F138" s="36"/>
      <c r="G138" s="36"/>
      <c r="H138" s="46">
        <v>6514</v>
      </c>
      <c r="I138" s="38"/>
      <c r="J138" s="39"/>
      <c r="K138" s="40" t="s">
        <v>58</v>
      </c>
      <c r="L138" s="315">
        <f t="shared" ref="L138:Q138" si="80">L139+L140</f>
        <v>685756</v>
      </c>
      <c r="M138" s="315">
        <f t="shared" si="80"/>
        <v>91015.462207180302</v>
      </c>
      <c r="N138" s="337">
        <f t="shared" si="80"/>
        <v>865317</v>
      </c>
      <c r="O138" s="337">
        <f t="shared" si="80"/>
        <v>114847.30240891897</v>
      </c>
      <c r="P138" s="292">
        <f t="shared" si="80"/>
        <v>106500</v>
      </c>
      <c r="Q138" s="292">
        <f t="shared" si="80"/>
        <v>112500</v>
      </c>
      <c r="R138" s="453">
        <v>112500</v>
      </c>
      <c r="S138" s="292"/>
      <c r="T138" s="292"/>
      <c r="U138" s="292" t="b">
        <f t="shared" si="59"/>
        <v>0</v>
      </c>
      <c r="V138" s="469">
        <v>117500</v>
      </c>
      <c r="W138" s="469">
        <f>SUM(W139:W141)</f>
        <v>160000</v>
      </c>
      <c r="X138" s="522">
        <f>SUM(X139:X141)</f>
        <v>240000</v>
      </c>
      <c r="Y138" s="522"/>
      <c r="Z138" s="522"/>
      <c r="AA138" s="522"/>
      <c r="AB138" s="523">
        <f>AB139+AB140</f>
        <v>107000</v>
      </c>
      <c r="AC138" s="523">
        <f>AC139+AC140</f>
        <v>107000</v>
      </c>
      <c r="AD138" s="524">
        <f>O138/M138*100</f>
        <v>126.18438628316777</v>
      </c>
      <c r="AE138" s="524">
        <f t="shared" ref="AE138:AF140" si="81">P138/O138*100</f>
        <v>92.731825446628235</v>
      </c>
      <c r="AF138" s="524">
        <f t="shared" si="81"/>
        <v>105.63380281690141</v>
      </c>
      <c r="AG138" s="524">
        <f>AB138/Q138*100</f>
        <v>95.111111111111114</v>
      </c>
      <c r="AH138" s="522"/>
      <c r="AI138" s="522">
        <v>240000</v>
      </c>
      <c r="AJ138" s="516">
        <f>W138/R138*100</f>
        <v>142.22222222222223</v>
      </c>
      <c r="AK138" s="516">
        <f>AT138/W138*100</f>
        <v>131.25</v>
      </c>
      <c r="AL138" s="516">
        <f>X138/AT138*100</f>
        <v>114.28571428571428</v>
      </c>
      <c r="AM138" s="427" t="e">
        <f ca="1">__xlfn.ISFORMULA(Sheet3!$T138)</f>
        <v>#NAME?</v>
      </c>
      <c r="AN138" s="662" t="e">
        <f ca="1">__xlfn.ISFORMULA(Sheet3!$N138)</f>
        <v>#NAME?</v>
      </c>
      <c r="AO138" t="b">
        <f t="shared" ref="AO138:AO201" si="82">__xlfn.ISFORMULA(AT138)</f>
        <v>1</v>
      </c>
      <c r="AP138" s="440">
        <f>SUM(AP139:AP141)</f>
        <v>142871.34</v>
      </c>
      <c r="AQ138" s="453">
        <v>142871.34</v>
      </c>
      <c r="AR138" s="440">
        <f>SUM(AR139:AR141)</f>
        <v>142871.34</v>
      </c>
      <c r="AS138" s="453">
        <f>SUM(AS139:AS141)</f>
        <v>20335.650000000001</v>
      </c>
      <c r="AT138" s="612">
        <f>SUM(AT139:AT141)</f>
        <v>210000</v>
      </c>
      <c r="AU138" s="469">
        <f>SUM(AU139:AU141)</f>
        <v>210000</v>
      </c>
      <c r="AV138" s="636">
        <v>240000</v>
      </c>
      <c r="AW138" s="636">
        <v>240000</v>
      </c>
      <c r="AX138" s="655">
        <f t="shared" si="51"/>
        <v>186.66666666666666</v>
      </c>
      <c r="AY138" s="655">
        <f t="shared" si="52"/>
        <v>146.98539259168425</v>
      </c>
      <c r="AZ138" s="655">
        <f t="shared" si="53"/>
        <v>100</v>
      </c>
      <c r="BA138" s="655">
        <f t="shared" si="54"/>
        <v>146.98539259168425</v>
      </c>
      <c r="BB138" s="655">
        <f t="shared" si="55"/>
        <v>114.28571428571428</v>
      </c>
      <c r="BC138" s="655">
        <f t="shared" si="55"/>
        <v>100</v>
      </c>
    </row>
    <row r="139" spans="1:55" ht="12" customHeight="1">
      <c r="A139" s="417"/>
      <c r="B139" s="36"/>
      <c r="C139" s="36"/>
      <c r="D139" s="36"/>
      <c r="E139" s="36"/>
      <c r="F139" s="36"/>
      <c r="G139" s="36"/>
      <c r="H139" s="46">
        <v>65141</v>
      </c>
      <c r="I139" s="38"/>
      <c r="J139" s="39"/>
      <c r="K139" s="40" t="s">
        <v>59</v>
      </c>
      <c r="L139" s="309">
        <v>504528</v>
      </c>
      <c r="M139" s="309">
        <f>504528/7.5345</f>
        <v>66962.373083814455</v>
      </c>
      <c r="N139" s="339">
        <v>676946</v>
      </c>
      <c r="O139" s="339">
        <f>N139/7.5345</f>
        <v>89846.174265047448</v>
      </c>
      <c r="P139" s="294">
        <v>80000</v>
      </c>
      <c r="Q139" s="294">
        <v>80000</v>
      </c>
      <c r="R139" s="451">
        <v>80000</v>
      </c>
      <c r="S139" s="294"/>
      <c r="T139" s="294"/>
      <c r="U139" s="292" t="b">
        <f t="shared" si="59"/>
        <v>0</v>
      </c>
      <c r="V139" s="471">
        <v>85000</v>
      </c>
      <c r="W139" s="471">
        <v>110000</v>
      </c>
      <c r="X139" s="527">
        <v>150000</v>
      </c>
      <c r="Y139" s="527"/>
      <c r="Z139" s="527"/>
      <c r="AA139" s="527"/>
      <c r="AB139" s="528">
        <v>80000</v>
      </c>
      <c r="AC139" s="528">
        <v>80000</v>
      </c>
      <c r="AD139" s="524">
        <f>O139/M139*100</f>
        <v>134.17411917673547</v>
      </c>
      <c r="AE139" s="524">
        <f t="shared" si="81"/>
        <v>89.041075654483521</v>
      </c>
      <c r="AF139" s="524">
        <f t="shared" si="81"/>
        <v>100</v>
      </c>
      <c r="AG139" s="524">
        <f>AB139/Q139*100</f>
        <v>100</v>
      </c>
      <c r="AH139" s="527"/>
      <c r="AI139" s="527">
        <v>150000</v>
      </c>
      <c r="AJ139" s="516">
        <f>W139/R139*100</f>
        <v>137.5</v>
      </c>
      <c r="AK139" s="516">
        <f>AT139/W139*100</f>
        <v>127.27272727272727</v>
      </c>
      <c r="AL139" s="516">
        <f>X139/AT139*100</f>
        <v>107.14285714285714</v>
      </c>
      <c r="AM139" s="427" t="e">
        <f ca="1">__xlfn.ISFORMULA(Sheet3!$T139)</f>
        <v>#NAME?</v>
      </c>
      <c r="AN139" s="662" t="e">
        <f ca="1">__xlfn.ISFORMULA(Sheet3!$N139)</f>
        <v>#NAME?</v>
      </c>
      <c r="AO139" t="b">
        <f t="shared" si="82"/>
        <v>0</v>
      </c>
      <c r="AP139" s="595">
        <v>98053.65</v>
      </c>
      <c r="AQ139" s="451">
        <v>98053.65</v>
      </c>
      <c r="AR139" s="595">
        <v>98053.65</v>
      </c>
      <c r="AS139" s="451">
        <v>13022.42</v>
      </c>
      <c r="AT139" s="613">
        <v>140000</v>
      </c>
      <c r="AU139" s="471">
        <v>140000</v>
      </c>
      <c r="AV139" s="638">
        <v>150000</v>
      </c>
      <c r="AW139" s="638">
        <v>150000</v>
      </c>
      <c r="AX139" s="655">
        <f t="shared" ref="AX139:AX202" si="83">IF(AND(ISNUMBER(AT139), ISNUMBER(R139), R139&lt;&gt;0), (AT139/R139)*100, "")</f>
        <v>175</v>
      </c>
      <c r="AY139" s="655">
        <f t="shared" ref="AY139:AY202" si="84">IF(AND(ISNUMBER(AT139), ISNUMBER(AQ139), AQ139&lt;&gt;0), (AT139/AQ139)*100, "")</f>
        <v>142.77897865097322</v>
      </c>
      <c r="AZ139" s="655">
        <f t="shared" ref="AZ139:AZ202" si="85">IF(AND(ISNUMBER(AU139), ISNUMBER(AT139), AT139&lt;&gt;0), (AU139/AT139)*100, "")</f>
        <v>100</v>
      </c>
      <c r="BA139" s="655">
        <f t="shared" ref="BA139:BA202" si="86">IF(AND(ISNUMBER(AU139), ISNUMBER(AQ139), AQ139&lt;&gt;0), (AU139/AQ139)*100, "")</f>
        <v>142.77897865097322</v>
      </c>
      <c r="BB139" s="655">
        <f t="shared" ref="BB139:BC202" si="87">IF(AND(ISNUMBER(AV139), ISNUMBER(AU139), AU139&lt;&gt;0), (AV139/AU139)*100, "")</f>
        <v>107.14285714285714</v>
      </c>
      <c r="BC139" s="655">
        <f t="shared" si="87"/>
        <v>100</v>
      </c>
    </row>
    <row r="140" spans="1:55" ht="12" customHeight="1">
      <c r="A140" s="417"/>
      <c r="B140" s="36"/>
      <c r="C140" s="36"/>
      <c r="D140" s="36"/>
      <c r="E140" s="36"/>
      <c r="F140" s="36"/>
      <c r="G140" s="36"/>
      <c r="H140" s="46">
        <v>65141</v>
      </c>
      <c r="I140" s="38"/>
      <c r="J140" s="39"/>
      <c r="K140" s="40" t="s">
        <v>60</v>
      </c>
      <c r="L140" s="309">
        <v>181228</v>
      </c>
      <c r="M140" s="309">
        <f>181228/7.5345</f>
        <v>24053.089123365848</v>
      </c>
      <c r="N140" s="339">
        <v>188371</v>
      </c>
      <c r="O140" s="339">
        <f>N140/7.5345</f>
        <v>25001.128143871523</v>
      </c>
      <c r="P140" s="294">
        <v>26500</v>
      </c>
      <c r="Q140" s="269">
        <v>32500</v>
      </c>
      <c r="R140" s="451">
        <v>32500</v>
      </c>
      <c r="S140" s="294"/>
      <c r="T140" s="294"/>
      <c r="U140" s="292" t="b">
        <f t="shared" si="59"/>
        <v>0</v>
      </c>
      <c r="V140" s="471">
        <v>32500</v>
      </c>
      <c r="W140" s="471">
        <v>35000</v>
      </c>
      <c r="X140" s="527">
        <v>70000</v>
      </c>
      <c r="Y140" s="527"/>
      <c r="Z140" s="527"/>
      <c r="AA140" s="527"/>
      <c r="AB140" s="528">
        <v>27000</v>
      </c>
      <c r="AC140" s="528">
        <v>27000</v>
      </c>
      <c r="AD140" s="524">
        <f>O140/M140*100</f>
        <v>103.94144392698701</v>
      </c>
      <c r="AE140" s="524">
        <f t="shared" si="81"/>
        <v>105.99521688582638</v>
      </c>
      <c r="AF140" s="524">
        <f t="shared" si="81"/>
        <v>122.64150943396226</v>
      </c>
      <c r="AG140" s="524">
        <f>AB140/Q140*100</f>
        <v>83.07692307692308</v>
      </c>
      <c r="AH140" s="527"/>
      <c r="AI140" s="527">
        <v>70000</v>
      </c>
      <c r="AJ140" s="516">
        <f>W140/R140*100</f>
        <v>107.69230769230769</v>
      </c>
      <c r="AK140" s="516">
        <f>AT140/W140*100</f>
        <v>157.14285714285714</v>
      </c>
      <c r="AL140" s="516">
        <f>X140/AT140*100</f>
        <v>127.27272727272727</v>
      </c>
      <c r="AM140" s="427" t="e">
        <f ca="1">__xlfn.ISFORMULA(Sheet3!$T140)</f>
        <v>#NAME?</v>
      </c>
      <c r="AN140" s="662" t="e">
        <f ca="1">__xlfn.ISFORMULA(Sheet3!$N140)</f>
        <v>#NAME?</v>
      </c>
      <c r="AO140" t="b">
        <f t="shared" si="82"/>
        <v>0</v>
      </c>
      <c r="AP140" s="595">
        <v>30543.3</v>
      </c>
      <c r="AQ140" s="451">
        <v>30543.3</v>
      </c>
      <c r="AR140" s="595">
        <v>30543.3</v>
      </c>
      <c r="AS140" s="451">
        <v>7313.23</v>
      </c>
      <c r="AT140" s="613">
        <v>55000</v>
      </c>
      <c r="AU140" s="471">
        <v>55000</v>
      </c>
      <c r="AV140" s="638">
        <v>70000</v>
      </c>
      <c r="AW140" s="638">
        <v>70000</v>
      </c>
      <c r="AX140" s="655">
        <f t="shared" si="83"/>
        <v>169.23076923076923</v>
      </c>
      <c r="AY140" s="655">
        <f t="shared" si="84"/>
        <v>180.07222533256066</v>
      </c>
      <c r="AZ140" s="655">
        <f t="shared" si="85"/>
        <v>100</v>
      </c>
      <c r="BA140" s="655">
        <f t="shared" si="86"/>
        <v>180.07222533256066</v>
      </c>
      <c r="BB140" s="655">
        <f t="shared" si="87"/>
        <v>127.27272727272727</v>
      </c>
      <c r="BC140" s="655">
        <f t="shared" si="87"/>
        <v>100</v>
      </c>
    </row>
    <row r="141" spans="1:55" ht="12" customHeight="1">
      <c r="A141" s="415"/>
      <c r="B141" s="20"/>
      <c r="C141" s="20"/>
      <c r="D141" s="20"/>
      <c r="E141" s="20"/>
      <c r="F141" s="20"/>
      <c r="G141" s="20"/>
      <c r="H141" s="46">
        <v>65149</v>
      </c>
      <c r="I141" s="17"/>
      <c r="J141" s="18"/>
      <c r="K141" s="430" t="s">
        <v>849</v>
      </c>
      <c r="L141" s="313"/>
      <c r="M141" s="313"/>
      <c r="N141" s="335"/>
      <c r="O141" s="335"/>
      <c r="P141" s="290"/>
      <c r="Q141" s="290"/>
      <c r="R141" s="446"/>
      <c r="S141" s="295"/>
      <c r="T141" s="295"/>
      <c r="U141" s="292" t="b">
        <f t="shared" si="59"/>
        <v>0</v>
      </c>
      <c r="V141" s="467"/>
      <c r="W141" s="472">
        <v>15000</v>
      </c>
      <c r="X141" s="527">
        <v>20000</v>
      </c>
      <c r="Y141" s="529"/>
      <c r="Z141" s="529"/>
      <c r="AA141" s="529"/>
      <c r="AB141" s="515"/>
      <c r="AC141" s="515"/>
      <c r="AD141" s="524"/>
      <c r="AE141" s="524"/>
      <c r="AF141" s="524"/>
      <c r="AG141" s="524"/>
      <c r="AH141" s="529"/>
      <c r="AI141" s="527">
        <v>20000</v>
      </c>
      <c r="AJ141" s="516"/>
      <c r="AK141" s="516">
        <f>AT141/W141*100</f>
        <v>100</v>
      </c>
      <c r="AL141" s="516">
        <f>X141/AT141*100</f>
        <v>133.33333333333331</v>
      </c>
      <c r="AM141" s="427" t="e">
        <f ca="1">__xlfn.ISFORMULA(Sheet3!$T141)</f>
        <v>#NAME?</v>
      </c>
      <c r="AN141" s="662" t="e">
        <f ca="1">__xlfn.ISFORMULA(Sheet3!$N141)</f>
        <v>#NAME?</v>
      </c>
      <c r="AO141" t="b">
        <f t="shared" si="82"/>
        <v>0</v>
      </c>
      <c r="AP141" s="595">
        <v>14274.39</v>
      </c>
      <c r="AQ141" s="446">
        <v>14274.39</v>
      </c>
      <c r="AR141" s="595">
        <v>14274.39</v>
      </c>
      <c r="AS141" s="446"/>
      <c r="AT141" s="613">
        <v>15000</v>
      </c>
      <c r="AU141" s="471">
        <v>15000</v>
      </c>
      <c r="AV141" s="638">
        <v>20000</v>
      </c>
      <c r="AW141" s="638">
        <v>20000</v>
      </c>
      <c r="AX141" s="655" t="str">
        <f t="shared" si="83"/>
        <v/>
      </c>
      <c r="AY141" s="655">
        <f t="shared" si="84"/>
        <v>105.08329953153866</v>
      </c>
      <c r="AZ141" s="655">
        <f t="shared" si="85"/>
        <v>100</v>
      </c>
      <c r="BA141" s="655">
        <f t="shared" si="86"/>
        <v>105.08329953153866</v>
      </c>
      <c r="BB141" s="655">
        <f t="shared" si="87"/>
        <v>133.33333333333331</v>
      </c>
      <c r="BC141" s="655">
        <f t="shared" si="87"/>
        <v>100</v>
      </c>
    </row>
    <row r="142" spans="1:55" ht="12" customHeight="1">
      <c r="A142" s="420"/>
      <c r="B142" s="56"/>
      <c r="C142" s="56"/>
      <c r="D142" s="56"/>
      <c r="E142" s="56"/>
      <c r="F142" s="56"/>
      <c r="G142" s="56"/>
      <c r="H142" s="57">
        <v>652</v>
      </c>
      <c r="I142" s="58"/>
      <c r="J142" s="59"/>
      <c r="K142" s="60" t="s">
        <v>61</v>
      </c>
      <c r="L142" s="315">
        <f t="shared" ref="L142:Q142" si="88">L144+L147+L148</f>
        <v>573398</v>
      </c>
      <c r="M142" s="315">
        <f t="shared" si="88"/>
        <v>76102.992899329751</v>
      </c>
      <c r="N142" s="337">
        <f t="shared" si="88"/>
        <v>599438</v>
      </c>
      <c r="O142" s="337">
        <f t="shared" si="88"/>
        <v>79559.094830446615</v>
      </c>
      <c r="P142" s="292">
        <f t="shared" si="88"/>
        <v>107000</v>
      </c>
      <c r="Q142" s="292">
        <f t="shared" si="88"/>
        <v>116000</v>
      </c>
      <c r="R142" s="453">
        <v>116000</v>
      </c>
      <c r="S142" s="292"/>
      <c r="T142" s="292"/>
      <c r="U142" s="292" t="b">
        <f t="shared" si="59"/>
        <v>0</v>
      </c>
      <c r="V142" s="469">
        <v>137600</v>
      </c>
      <c r="W142" s="469">
        <f>W144+W148</f>
        <v>133000</v>
      </c>
      <c r="X142" s="522">
        <f>X144+X148</f>
        <v>170000</v>
      </c>
      <c r="Y142" s="522"/>
      <c r="Z142" s="522"/>
      <c r="AA142" s="522"/>
      <c r="AB142" s="523">
        <f>AB144+AB147+AB148</f>
        <v>107000</v>
      </c>
      <c r="AC142" s="523">
        <f>AC144+AC147+AC148</f>
        <v>107000</v>
      </c>
      <c r="AD142" s="524">
        <f>O142/M142*100</f>
        <v>104.54134824327954</v>
      </c>
      <c r="AE142" s="524">
        <f>P142/O142*100</f>
        <v>134.49122344596105</v>
      </c>
      <c r="AF142" s="524">
        <f>Q142/P142*100</f>
        <v>108.41121495327101</v>
      </c>
      <c r="AG142" s="524">
        <f>AB142/Q142*100</f>
        <v>92.241379310344826</v>
      </c>
      <c r="AH142" s="522"/>
      <c r="AI142" s="522">
        <v>170000</v>
      </c>
      <c r="AJ142" s="516">
        <f>W142/R142*100</f>
        <v>114.65517241379311</v>
      </c>
      <c r="AK142" s="516">
        <f>AT142/W142*100</f>
        <v>112.78195488721805</v>
      </c>
      <c r="AL142" s="516">
        <f>X142/AT142*100</f>
        <v>113.33333333333333</v>
      </c>
      <c r="AM142" s="427" t="e">
        <f ca="1">__xlfn.ISFORMULA(Sheet3!$T142)</f>
        <v>#NAME?</v>
      </c>
      <c r="AN142" s="662" t="e">
        <f ca="1">__xlfn.ISFORMULA(Sheet3!$N142)</f>
        <v>#NAME?</v>
      </c>
      <c r="AO142" t="b">
        <f t="shared" si="82"/>
        <v>1</v>
      </c>
      <c r="AP142" s="440">
        <f>AP144+AP148</f>
        <v>1396.08</v>
      </c>
      <c r="AQ142" s="453">
        <v>108261.09</v>
      </c>
      <c r="AR142" s="440">
        <f>AR144+AR148</f>
        <v>1396.08</v>
      </c>
      <c r="AS142" s="453">
        <f>AS144+AS148</f>
        <v>256.77</v>
      </c>
      <c r="AT142" s="612">
        <f>AT144+AT148</f>
        <v>150000</v>
      </c>
      <c r="AU142" s="469">
        <f>AU144+AU148</f>
        <v>155000</v>
      </c>
      <c r="AV142" s="636">
        <v>170000</v>
      </c>
      <c r="AW142" s="636">
        <v>170000</v>
      </c>
      <c r="AX142" s="655">
        <f t="shared" si="83"/>
        <v>129.31034482758622</v>
      </c>
      <c r="AY142" s="655">
        <f t="shared" si="84"/>
        <v>138.55393475162683</v>
      </c>
      <c r="AZ142" s="655">
        <f t="shared" si="85"/>
        <v>103.33333333333334</v>
      </c>
      <c r="BA142" s="655">
        <f t="shared" si="86"/>
        <v>143.17239924334771</v>
      </c>
      <c r="BB142" s="655">
        <f t="shared" si="87"/>
        <v>109.6774193548387</v>
      </c>
      <c r="BC142" s="655">
        <f t="shared" si="87"/>
        <v>100</v>
      </c>
    </row>
    <row r="143" spans="1:55" ht="12" customHeight="1">
      <c r="A143" s="417"/>
      <c r="B143" s="36"/>
      <c r="C143" s="36"/>
      <c r="D143" s="36"/>
      <c r="E143" s="36"/>
      <c r="F143" s="36"/>
      <c r="G143" s="36"/>
      <c r="H143" s="46"/>
      <c r="I143" s="38"/>
      <c r="J143" s="39"/>
      <c r="K143" s="40"/>
      <c r="L143" s="316"/>
      <c r="M143" s="316"/>
      <c r="N143" s="338"/>
      <c r="O143" s="338"/>
      <c r="P143" s="293"/>
      <c r="Q143" s="293"/>
      <c r="R143" s="454"/>
      <c r="S143" s="293"/>
      <c r="T143" s="293"/>
      <c r="U143" s="292" t="b">
        <f t="shared" si="59"/>
        <v>0</v>
      </c>
      <c r="V143" s="470"/>
      <c r="W143" s="470"/>
      <c r="X143" s="525"/>
      <c r="Y143" s="525"/>
      <c r="Z143" s="525"/>
      <c r="AA143" s="525"/>
      <c r="AB143" s="526"/>
      <c r="AC143" s="526"/>
      <c r="AD143" s="524"/>
      <c r="AE143" s="524"/>
      <c r="AF143" s="524"/>
      <c r="AG143" s="524"/>
      <c r="AH143" s="525"/>
      <c r="AI143" s="525"/>
      <c r="AJ143" s="516"/>
      <c r="AK143" s="516"/>
      <c r="AL143" s="516"/>
      <c r="AM143" s="427" t="e">
        <f ca="1">__xlfn.ISFORMULA(Sheet3!$T143)</f>
        <v>#NAME?</v>
      </c>
      <c r="AN143" s="662" t="e">
        <f ca="1">__xlfn.ISFORMULA(Sheet3!$N143)</f>
        <v>#NAME?</v>
      </c>
      <c r="AO143" t="b">
        <f t="shared" si="82"/>
        <v>0</v>
      </c>
      <c r="AQ143" s="454"/>
      <c r="AS143" s="454"/>
      <c r="AT143" s="613"/>
      <c r="AU143" s="470"/>
      <c r="AV143" s="637"/>
      <c r="AW143" s="637"/>
      <c r="AX143" s="655" t="str">
        <f t="shared" si="83"/>
        <v/>
      </c>
      <c r="AY143" s="655" t="str">
        <f t="shared" si="84"/>
        <v/>
      </c>
      <c r="AZ143" s="655" t="str">
        <f t="shared" si="85"/>
        <v/>
      </c>
      <c r="BA143" s="655" t="str">
        <f t="shared" si="86"/>
        <v/>
      </c>
      <c r="BB143" s="655" t="str">
        <f t="shared" si="87"/>
        <v/>
      </c>
      <c r="BC143" s="655" t="str">
        <f t="shared" si="87"/>
        <v/>
      </c>
    </row>
    <row r="144" spans="1:55" ht="12" customHeight="1">
      <c r="A144" s="417"/>
      <c r="B144" s="36"/>
      <c r="C144" s="36"/>
      <c r="D144" s="36"/>
      <c r="E144" s="36"/>
      <c r="F144" s="36"/>
      <c r="G144" s="36"/>
      <c r="H144" s="46">
        <v>6522</v>
      </c>
      <c r="I144" s="38"/>
      <c r="J144" s="39"/>
      <c r="K144" s="40" t="s">
        <v>62</v>
      </c>
      <c r="L144" s="315">
        <f t="shared" ref="L144:Q144" si="89">L145</f>
        <v>27036</v>
      </c>
      <c r="M144" s="315">
        <f t="shared" si="89"/>
        <v>3588.2938482978298</v>
      </c>
      <c r="N144" s="337">
        <f t="shared" si="89"/>
        <v>23645</v>
      </c>
      <c r="O144" s="337">
        <f t="shared" si="89"/>
        <v>3138.2308049638327</v>
      </c>
      <c r="P144" s="292">
        <f t="shared" si="89"/>
        <v>5000</v>
      </c>
      <c r="Q144" s="292">
        <f t="shared" si="89"/>
        <v>3000</v>
      </c>
      <c r="R144" s="453">
        <v>3000</v>
      </c>
      <c r="S144" s="292"/>
      <c r="T144" s="292"/>
      <c r="U144" s="292" t="b">
        <f t="shared" si="59"/>
        <v>0</v>
      </c>
      <c r="V144" s="469">
        <v>5000</v>
      </c>
      <c r="W144" s="469">
        <f>W145</f>
        <v>3000</v>
      </c>
      <c r="X144" s="522">
        <f>X145</f>
        <v>5000</v>
      </c>
      <c r="Y144" s="522"/>
      <c r="Z144" s="522"/>
      <c r="AA144" s="522"/>
      <c r="AB144" s="523">
        <f>AB145</f>
        <v>5000</v>
      </c>
      <c r="AC144" s="523">
        <f>AC145</f>
        <v>5000</v>
      </c>
      <c r="AD144" s="524">
        <f>O144/M144*100</f>
        <v>87.457464121911528</v>
      </c>
      <c r="AE144" s="524">
        <f>P144/O144*100</f>
        <v>159.32543878198354</v>
      </c>
      <c r="AF144" s="524">
        <f>Q144/P144*100</f>
        <v>60</v>
      </c>
      <c r="AG144" s="524">
        <f>AB144/Q144*100</f>
        <v>166.66666666666669</v>
      </c>
      <c r="AH144" s="522"/>
      <c r="AI144" s="522">
        <v>5000</v>
      </c>
      <c r="AJ144" s="516">
        <f>W144/R144*100</f>
        <v>100</v>
      </c>
      <c r="AK144" s="516">
        <f>AT144/W144*100</f>
        <v>166.66666666666669</v>
      </c>
      <c r="AL144" s="516">
        <f>X144/AT144*100</f>
        <v>100</v>
      </c>
      <c r="AM144" s="427" t="e">
        <f ca="1">__xlfn.ISFORMULA(Sheet3!$T144)</f>
        <v>#NAME?</v>
      </c>
      <c r="AN144" s="662" t="e">
        <f ca="1">__xlfn.ISFORMULA(Sheet3!$N144)</f>
        <v>#NAME?</v>
      </c>
      <c r="AO144" t="b">
        <f t="shared" si="82"/>
        <v>1</v>
      </c>
      <c r="AP144" s="440">
        <f>AP145</f>
        <v>1396.08</v>
      </c>
      <c r="AQ144" s="453">
        <v>1396.08</v>
      </c>
      <c r="AR144" s="440">
        <f>AR145</f>
        <v>1396.08</v>
      </c>
      <c r="AS144" s="453">
        <f>AS145</f>
        <v>256.77</v>
      </c>
      <c r="AT144" s="612">
        <f>AT145</f>
        <v>5000</v>
      </c>
      <c r="AU144" s="469">
        <f>AU145</f>
        <v>5000</v>
      </c>
      <c r="AV144" s="636">
        <v>5000</v>
      </c>
      <c r="AW144" s="636">
        <v>5000</v>
      </c>
      <c r="AX144" s="655">
        <f t="shared" si="83"/>
        <v>166.66666666666669</v>
      </c>
      <c r="AY144" s="655">
        <f t="shared" si="84"/>
        <v>358.14566500487081</v>
      </c>
      <c r="AZ144" s="655">
        <f t="shared" si="85"/>
        <v>100</v>
      </c>
      <c r="BA144" s="655">
        <f t="shared" si="86"/>
        <v>358.14566500487081</v>
      </c>
      <c r="BB144" s="655">
        <f t="shared" si="87"/>
        <v>100</v>
      </c>
      <c r="BC144" s="655">
        <f t="shared" si="87"/>
        <v>100</v>
      </c>
    </row>
    <row r="145" spans="1:55" ht="12" customHeight="1">
      <c r="A145" s="417"/>
      <c r="B145" s="36"/>
      <c r="C145" s="36"/>
      <c r="D145" s="36"/>
      <c r="E145" s="36"/>
      <c r="F145" s="36"/>
      <c r="G145" s="36"/>
      <c r="H145" s="46">
        <v>65221</v>
      </c>
      <c r="I145" s="38"/>
      <c r="J145" s="39"/>
      <c r="K145" s="40" t="s">
        <v>63</v>
      </c>
      <c r="L145" s="309">
        <v>27036</v>
      </c>
      <c r="M145" s="309">
        <f>27036/7.5345</f>
        <v>3588.2938482978298</v>
      </c>
      <c r="N145" s="339">
        <v>23645</v>
      </c>
      <c r="O145" s="339">
        <f>N145/7.5345</f>
        <v>3138.2308049638327</v>
      </c>
      <c r="P145" s="294">
        <v>5000</v>
      </c>
      <c r="Q145" s="294">
        <v>3000</v>
      </c>
      <c r="R145" s="451">
        <v>3000</v>
      </c>
      <c r="S145" s="294"/>
      <c r="T145" s="294"/>
      <c r="U145" s="292" t="b">
        <f t="shared" si="59"/>
        <v>0</v>
      </c>
      <c r="V145" s="471">
        <v>5000</v>
      </c>
      <c r="W145" s="471">
        <v>3000</v>
      </c>
      <c r="X145" s="527">
        <v>5000</v>
      </c>
      <c r="Y145" s="527"/>
      <c r="Z145" s="527"/>
      <c r="AA145" s="527"/>
      <c r="AB145" s="528">
        <v>5000</v>
      </c>
      <c r="AC145" s="528">
        <v>5000</v>
      </c>
      <c r="AD145" s="524">
        <f>O145/M145*100</f>
        <v>87.457464121911528</v>
      </c>
      <c r="AE145" s="524">
        <f>P145/O145*100</f>
        <v>159.32543878198354</v>
      </c>
      <c r="AF145" s="524">
        <f>Q145/P145*100</f>
        <v>60</v>
      </c>
      <c r="AG145" s="524">
        <f>AB145/Q145*100</f>
        <v>166.66666666666669</v>
      </c>
      <c r="AH145" s="527"/>
      <c r="AI145" s="527">
        <v>5000</v>
      </c>
      <c r="AJ145" s="516">
        <f>W145/R145*100</f>
        <v>100</v>
      </c>
      <c r="AK145" s="516">
        <f>AT145/W145*100</f>
        <v>166.66666666666669</v>
      </c>
      <c r="AL145" s="516">
        <f>X145/AT145*100</f>
        <v>100</v>
      </c>
      <c r="AM145" s="427" t="e">
        <f ca="1">__xlfn.ISFORMULA(Sheet3!$T145)</f>
        <v>#NAME?</v>
      </c>
      <c r="AN145" s="662" t="e">
        <f ca="1">__xlfn.ISFORMULA(Sheet3!$N145)</f>
        <v>#NAME?</v>
      </c>
      <c r="AO145" t="b">
        <f t="shared" si="82"/>
        <v>0</v>
      </c>
      <c r="AP145" s="595">
        <v>1396.08</v>
      </c>
      <c r="AQ145" s="451">
        <v>1396.08</v>
      </c>
      <c r="AR145" s="595">
        <v>1396.08</v>
      </c>
      <c r="AS145" s="451">
        <v>256.77</v>
      </c>
      <c r="AT145" s="613">
        <v>5000</v>
      </c>
      <c r="AU145" s="471">
        <v>5000</v>
      </c>
      <c r="AV145" s="638">
        <v>5000</v>
      </c>
      <c r="AW145" s="638">
        <v>5000</v>
      </c>
      <c r="AX145" s="655">
        <f t="shared" si="83"/>
        <v>166.66666666666669</v>
      </c>
      <c r="AY145" s="655">
        <f t="shared" si="84"/>
        <v>358.14566500487081</v>
      </c>
      <c r="AZ145" s="655">
        <f t="shared" si="85"/>
        <v>100</v>
      </c>
      <c r="BA145" s="655">
        <f t="shared" si="86"/>
        <v>358.14566500487081</v>
      </c>
      <c r="BB145" s="655">
        <f t="shared" si="87"/>
        <v>100</v>
      </c>
      <c r="BC145" s="655">
        <f t="shared" si="87"/>
        <v>100</v>
      </c>
    </row>
    <row r="146" spans="1:55" ht="12" customHeight="1">
      <c r="A146" s="417"/>
      <c r="B146" s="36"/>
      <c r="C146" s="36"/>
      <c r="D146" s="36"/>
      <c r="E146" s="36"/>
      <c r="F146" s="36"/>
      <c r="G146" s="36"/>
      <c r="H146" s="46"/>
      <c r="I146" s="38"/>
      <c r="J146" s="39"/>
      <c r="K146" s="40"/>
      <c r="L146" s="316"/>
      <c r="M146" s="316"/>
      <c r="N146" s="338"/>
      <c r="O146" s="339"/>
      <c r="P146" s="293"/>
      <c r="Q146" s="293"/>
      <c r="R146" s="454"/>
      <c r="S146" s="293"/>
      <c r="T146" s="293"/>
      <c r="U146" s="292" t="b">
        <f t="shared" si="59"/>
        <v>0</v>
      </c>
      <c r="V146" s="470"/>
      <c r="W146" s="470"/>
      <c r="X146" s="525"/>
      <c r="Y146" s="525"/>
      <c r="Z146" s="525"/>
      <c r="AA146" s="525"/>
      <c r="AB146" s="526"/>
      <c r="AC146" s="526"/>
      <c r="AD146" s="524"/>
      <c r="AE146" s="524"/>
      <c r="AF146" s="524"/>
      <c r="AG146" s="524"/>
      <c r="AH146" s="525"/>
      <c r="AI146" s="525"/>
      <c r="AJ146" s="516"/>
      <c r="AK146" s="516"/>
      <c r="AL146" s="516"/>
      <c r="AM146" s="427" t="e">
        <f ca="1">__xlfn.ISFORMULA(Sheet3!$T146)</f>
        <v>#NAME?</v>
      </c>
      <c r="AN146" s="662" t="e">
        <f ca="1">__xlfn.ISFORMULA(Sheet3!$N146)</f>
        <v>#NAME?</v>
      </c>
      <c r="AO146" t="b">
        <f t="shared" si="82"/>
        <v>0</v>
      </c>
      <c r="AQ146" s="454"/>
      <c r="AS146" s="454"/>
      <c r="AT146" s="613"/>
      <c r="AU146" s="470"/>
      <c r="AV146" s="637"/>
      <c r="AW146" s="637"/>
      <c r="AX146" s="655" t="str">
        <f t="shared" si="83"/>
        <v/>
      </c>
      <c r="AY146" s="655" t="str">
        <f t="shared" si="84"/>
        <v/>
      </c>
      <c r="AZ146" s="655" t="str">
        <f t="shared" si="85"/>
        <v/>
      </c>
      <c r="BA146" s="655" t="str">
        <f t="shared" si="86"/>
        <v/>
      </c>
      <c r="BB146" s="655" t="str">
        <f t="shared" si="87"/>
        <v/>
      </c>
      <c r="BC146" s="655" t="str">
        <f t="shared" si="87"/>
        <v/>
      </c>
    </row>
    <row r="147" spans="1:55" ht="12" customHeight="1">
      <c r="A147" s="422"/>
      <c r="B147" s="25"/>
      <c r="C147" s="25"/>
      <c r="D147" s="25"/>
      <c r="E147" s="25"/>
      <c r="F147" s="25"/>
      <c r="G147" s="25"/>
      <c r="H147" s="46">
        <v>6524</v>
      </c>
      <c r="I147" s="27"/>
      <c r="J147" s="28"/>
      <c r="K147" s="71" t="s">
        <v>64</v>
      </c>
      <c r="L147" s="317"/>
      <c r="M147" s="317"/>
      <c r="N147" s="341"/>
      <c r="O147" s="339"/>
      <c r="P147" s="296"/>
      <c r="Q147" s="296"/>
      <c r="R147" s="455"/>
      <c r="S147" s="296"/>
      <c r="T147" s="296"/>
      <c r="U147" s="292" t="b">
        <f t="shared" ref="U147:U210" si="90">__xlfn.ISFORMULA(S147)</f>
        <v>0</v>
      </c>
      <c r="V147" s="473"/>
      <c r="W147" s="473"/>
      <c r="X147" s="531"/>
      <c r="Y147" s="531"/>
      <c r="Z147" s="531"/>
      <c r="AA147" s="531"/>
      <c r="AB147" s="532"/>
      <c r="AC147" s="532"/>
      <c r="AD147" s="524"/>
      <c r="AE147" s="524"/>
      <c r="AF147" s="524"/>
      <c r="AG147" s="524"/>
      <c r="AH147" s="531"/>
      <c r="AI147" s="531"/>
      <c r="AJ147" s="516"/>
      <c r="AK147" s="516"/>
      <c r="AL147" s="516"/>
      <c r="AM147" s="427" t="e">
        <f ca="1">__xlfn.ISFORMULA(Sheet3!$T147)</f>
        <v>#NAME?</v>
      </c>
      <c r="AN147" s="662" t="e">
        <f ca="1">__xlfn.ISFORMULA(Sheet3!$N147)</f>
        <v>#NAME?</v>
      </c>
      <c r="AO147" t="b">
        <f t="shared" si="82"/>
        <v>0</v>
      </c>
      <c r="AQ147" s="455"/>
      <c r="AS147" s="455"/>
      <c r="AT147" s="612"/>
      <c r="AU147" s="473"/>
      <c r="AV147" s="640"/>
      <c r="AW147" s="640"/>
      <c r="AX147" s="655" t="str">
        <f t="shared" si="83"/>
        <v/>
      </c>
      <c r="AY147" s="655" t="str">
        <f t="shared" si="84"/>
        <v/>
      </c>
      <c r="AZ147" s="655" t="str">
        <f t="shared" si="85"/>
        <v/>
      </c>
      <c r="BA147" s="655" t="str">
        <f t="shared" si="86"/>
        <v/>
      </c>
      <c r="BB147" s="655" t="str">
        <f t="shared" si="87"/>
        <v/>
      </c>
      <c r="BC147" s="655" t="str">
        <f t="shared" si="87"/>
        <v/>
      </c>
    </row>
    <row r="148" spans="1:55" ht="12" customHeight="1">
      <c r="A148" s="417"/>
      <c r="B148" s="36"/>
      <c r="C148" s="36"/>
      <c r="D148" s="36"/>
      <c r="E148" s="36"/>
      <c r="F148" s="36"/>
      <c r="G148" s="36"/>
      <c r="H148" s="46">
        <v>6526</v>
      </c>
      <c r="I148" s="38"/>
      <c r="J148" s="39"/>
      <c r="K148" s="40" t="s">
        <v>65</v>
      </c>
      <c r="L148" s="309">
        <v>546362</v>
      </c>
      <c r="M148" s="309">
        <f>546362/7.5345</f>
        <v>72514.699051031916</v>
      </c>
      <c r="N148" s="339">
        <v>575793</v>
      </c>
      <c r="O148" s="339">
        <f>N148/7.5345</f>
        <v>76420.864025482777</v>
      </c>
      <c r="P148" s="294">
        <v>102000</v>
      </c>
      <c r="Q148" s="269">
        <v>113000</v>
      </c>
      <c r="R148" s="451">
        <v>113000</v>
      </c>
      <c r="S148" s="294"/>
      <c r="T148" s="294"/>
      <c r="U148" s="292" t="b">
        <f t="shared" si="90"/>
        <v>0</v>
      </c>
      <c r="V148" s="471">
        <v>132600</v>
      </c>
      <c r="W148" s="471">
        <v>130000</v>
      </c>
      <c r="X148" s="527">
        <v>165000</v>
      </c>
      <c r="Y148" s="527"/>
      <c r="Z148" s="527"/>
      <c r="AA148" s="527"/>
      <c r="AB148" s="528">
        <v>102000</v>
      </c>
      <c r="AC148" s="528">
        <v>102000</v>
      </c>
      <c r="AD148" s="524">
        <f>O148/M148*100</f>
        <v>105.38672162412466</v>
      </c>
      <c r="AE148" s="524">
        <f>P148/O148*100</f>
        <v>133.4714037857355</v>
      </c>
      <c r="AF148" s="524">
        <f>Q148/P148*100</f>
        <v>110.78431372549021</v>
      </c>
      <c r="AG148" s="524">
        <f>AB148/Q148*100</f>
        <v>90.265486725663706</v>
      </c>
      <c r="AH148" s="527"/>
      <c r="AI148" s="527">
        <v>165000</v>
      </c>
      <c r="AJ148" s="516">
        <f>W148/R148*100</f>
        <v>115.04424778761062</v>
      </c>
      <c r="AK148" s="516">
        <f>AT148/W148*100</f>
        <v>111.53846153846155</v>
      </c>
      <c r="AL148" s="516">
        <f>X148/AT148*100</f>
        <v>113.79310344827587</v>
      </c>
      <c r="AM148" s="427" t="e">
        <f ca="1">__xlfn.ISFORMULA(Sheet3!$T148)</f>
        <v>#NAME?</v>
      </c>
      <c r="AN148" s="662" t="e">
        <f ca="1">__xlfn.ISFORMULA(Sheet3!$N148)</f>
        <v>#NAME?</v>
      </c>
      <c r="AO148" t="b">
        <f t="shared" si="82"/>
        <v>0</v>
      </c>
      <c r="AP148" s="596"/>
      <c r="AQ148" s="451">
        <v>106865.01</v>
      </c>
      <c r="AR148" s="596"/>
      <c r="AS148" s="451"/>
      <c r="AT148" s="613">
        <v>145000</v>
      </c>
      <c r="AU148" s="471">
        <v>150000</v>
      </c>
      <c r="AV148" s="638">
        <v>165000</v>
      </c>
      <c r="AW148" s="638">
        <v>165000</v>
      </c>
      <c r="AX148" s="655">
        <f t="shared" si="83"/>
        <v>128.31858407079645</v>
      </c>
      <c r="AY148" s="655">
        <f t="shared" si="84"/>
        <v>135.68519761519698</v>
      </c>
      <c r="AZ148" s="655">
        <f t="shared" si="85"/>
        <v>103.44827586206897</v>
      </c>
      <c r="BA148" s="655">
        <f t="shared" si="86"/>
        <v>140.36399753296237</v>
      </c>
      <c r="BB148" s="655">
        <f t="shared" si="87"/>
        <v>110.00000000000001</v>
      </c>
      <c r="BC148" s="655">
        <f t="shared" si="87"/>
        <v>100</v>
      </c>
    </row>
    <row r="149" spans="1:55" ht="12" customHeight="1">
      <c r="A149" s="422"/>
      <c r="B149" s="25"/>
      <c r="C149" s="25"/>
      <c r="D149" s="25"/>
      <c r="E149" s="25"/>
      <c r="F149" s="25"/>
      <c r="G149" s="25"/>
      <c r="H149" s="26"/>
      <c r="I149" s="27"/>
      <c r="J149" s="28"/>
      <c r="K149" s="29"/>
      <c r="L149" s="313"/>
      <c r="M149" s="313"/>
      <c r="N149" s="335"/>
      <c r="O149" s="335"/>
      <c r="P149" s="290"/>
      <c r="Q149" s="290"/>
      <c r="R149" s="446"/>
      <c r="S149" s="290"/>
      <c r="T149" s="290"/>
      <c r="U149" s="292" t="b">
        <f t="shared" si="90"/>
        <v>0</v>
      </c>
      <c r="V149" s="467"/>
      <c r="W149" s="467"/>
      <c r="X149" s="514"/>
      <c r="Y149" s="514"/>
      <c r="Z149" s="514"/>
      <c r="AA149" s="514"/>
      <c r="AB149" s="515"/>
      <c r="AC149" s="515"/>
      <c r="AD149" s="524"/>
      <c r="AE149" s="524"/>
      <c r="AF149" s="524"/>
      <c r="AG149" s="524"/>
      <c r="AH149" s="514"/>
      <c r="AI149" s="514"/>
      <c r="AJ149" s="516"/>
      <c r="AK149" s="516"/>
      <c r="AL149" s="516"/>
      <c r="AM149" s="427" t="e">
        <f ca="1">__xlfn.ISFORMULA(Sheet3!$T149)</f>
        <v>#NAME?</v>
      </c>
      <c r="AN149" s="662" t="e">
        <f ca="1">__xlfn.ISFORMULA(Sheet3!$N149)</f>
        <v>#NAME?</v>
      </c>
      <c r="AO149" t="b">
        <f t="shared" si="82"/>
        <v>0</v>
      </c>
      <c r="AQ149" s="446"/>
      <c r="AS149" s="446"/>
      <c r="AT149" s="612"/>
      <c r="AU149" s="467"/>
      <c r="AV149" s="632"/>
      <c r="AW149" s="632"/>
      <c r="AX149" s="655" t="str">
        <f t="shared" si="83"/>
        <v/>
      </c>
      <c r="AY149" s="655" t="str">
        <f t="shared" si="84"/>
        <v/>
      </c>
      <c r="AZ149" s="655" t="str">
        <f t="shared" si="85"/>
        <v/>
      </c>
      <c r="BA149" s="655" t="str">
        <f t="shared" si="86"/>
        <v/>
      </c>
      <c r="BB149" s="655" t="str">
        <f t="shared" si="87"/>
        <v/>
      </c>
      <c r="BC149" s="655" t="str">
        <f t="shared" si="87"/>
        <v/>
      </c>
    </row>
    <row r="150" spans="1:55" ht="12" customHeight="1">
      <c r="A150" s="420"/>
      <c r="B150" s="56"/>
      <c r="C150" s="56"/>
      <c r="D150" s="56"/>
      <c r="E150" s="56"/>
      <c r="F150" s="56"/>
      <c r="G150" s="56"/>
      <c r="H150" s="57">
        <v>653</v>
      </c>
      <c r="I150" s="58"/>
      <c r="J150" s="59"/>
      <c r="K150" s="60" t="s">
        <v>66</v>
      </c>
      <c r="L150" s="315">
        <f t="shared" ref="L150:Q150" si="91">L151+L152</f>
        <v>4944798</v>
      </c>
      <c r="M150" s="315">
        <f t="shared" si="91"/>
        <v>656287.47760302597</v>
      </c>
      <c r="N150" s="337">
        <f t="shared" si="91"/>
        <v>5096717</v>
      </c>
      <c r="O150" s="337">
        <f t="shared" si="91"/>
        <v>676450.59393456765</v>
      </c>
      <c r="P150" s="292">
        <f t="shared" si="91"/>
        <v>1036000</v>
      </c>
      <c r="Q150" s="292">
        <f t="shared" si="91"/>
        <v>640000</v>
      </c>
      <c r="R150" s="453">
        <v>640000</v>
      </c>
      <c r="S150" s="292"/>
      <c r="T150" s="292"/>
      <c r="U150" s="292" t="b">
        <f t="shared" si="90"/>
        <v>0</v>
      </c>
      <c r="V150" s="469">
        <v>1040000</v>
      </c>
      <c r="W150" s="469">
        <f>W151+W152</f>
        <v>780000</v>
      </c>
      <c r="X150" s="522">
        <f>X151+X152</f>
        <v>800000</v>
      </c>
      <c r="Y150" s="522"/>
      <c r="Z150" s="522"/>
      <c r="AA150" s="522"/>
      <c r="AB150" s="523">
        <f>AB151+AB152</f>
        <v>1040000</v>
      </c>
      <c r="AC150" s="523">
        <f>AC151+AC152</f>
        <v>1040000</v>
      </c>
      <c r="AD150" s="524">
        <f>O150/M150*100</f>
        <v>103.07229941445537</v>
      </c>
      <c r="AE150" s="524">
        <f t="shared" ref="AE150:AF152" si="92">P150/O150*100</f>
        <v>153.15235277924987</v>
      </c>
      <c r="AF150" s="524">
        <f t="shared" si="92"/>
        <v>61.776061776061773</v>
      </c>
      <c r="AG150" s="524">
        <f>AB150/Q150*100</f>
        <v>162.5</v>
      </c>
      <c r="AH150" s="522"/>
      <c r="AI150" s="522">
        <v>800000</v>
      </c>
      <c r="AJ150" s="516">
        <f>W150/R150*100</f>
        <v>121.875</v>
      </c>
      <c r="AK150" s="516">
        <f>AT150/W150*100</f>
        <v>126.92307692307692</v>
      </c>
      <c r="AL150" s="516">
        <f>X150/AT150*100</f>
        <v>80.808080808080803</v>
      </c>
      <c r="AM150" s="427" t="e">
        <f ca="1">__xlfn.ISFORMULA(Sheet3!$T150)</f>
        <v>#NAME?</v>
      </c>
      <c r="AN150" s="662" t="e">
        <f ca="1">__xlfn.ISFORMULA(Sheet3!$N150)</f>
        <v>#NAME?</v>
      </c>
      <c r="AO150" t="b">
        <f t="shared" si="82"/>
        <v>1</v>
      </c>
      <c r="AP150" s="440">
        <f>AP151+AP152</f>
        <v>438320.14</v>
      </c>
      <c r="AQ150" s="453">
        <v>438320.14</v>
      </c>
      <c r="AR150" s="440">
        <f>AR151+AR152</f>
        <v>438320.14</v>
      </c>
      <c r="AS150" s="453">
        <f>AS151+AS152</f>
        <v>368682.64</v>
      </c>
      <c r="AT150" s="612">
        <f>AT151+AT152</f>
        <v>990000</v>
      </c>
      <c r="AU150" s="469">
        <f>AU151+AU152</f>
        <v>942000</v>
      </c>
      <c r="AV150" s="636">
        <v>800000</v>
      </c>
      <c r="AW150" s="636">
        <v>800000</v>
      </c>
      <c r="AX150" s="655">
        <f t="shared" si="83"/>
        <v>154.6875</v>
      </c>
      <c r="AY150" s="655">
        <f t="shared" si="84"/>
        <v>225.86231150592351</v>
      </c>
      <c r="AZ150" s="655">
        <f t="shared" si="85"/>
        <v>95.151515151515156</v>
      </c>
      <c r="BA150" s="655">
        <f t="shared" si="86"/>
        <v>214.91141155412112</v>
      </c>
      <c r="BB150" s="655">
        <f t="shared" si="87"/>
        <v>84.925690021231432</v>
      </c>
      <c r="BC150" s="655">
        <f t="shared" si="87"/>
        <v>100</v>
      </c>
    </row>
    <row r="151" spans="1:55" ht="12" customHeight="1">
      <c r="A151" s="417"/>
      <c r="B151" s="36"/>
      <c r="C151" s="36"/>
      <c r="D151" s="36"/>
      <c r="E151" s="36"/>
      <c r="F151" s="36"/>
      <c r="G151" s="36"/>
      <c r="H151" s="46">
        <v>6531</v>
      </c>
      <c r="I151" s="38"/>
      <c r="J151" s="39"/>
      <c r="K151" s="40" t="s">
        <v>67</v>
      </c>
      <c r="L151" s="309">
        <v>3475242</v>
      </c>
      <c r="M151" s="309">
        <f>3475242/7.5345</f>
        <v>461243.87816046184</v>
      </c>
      <c r="N151" s="339">
        <v>3514127</v>
      </c>
      <c r="O151" s="339">
        <f>N151/7.5345</f>
        <v>466404.80456566456</v>
      </c>
      <c r="P151" s="294">
        <v>796000</v>
      </c>
      <c r="Q151" s="269">
        <v>400000</v>
      </c>
      <c r="R151" s="451">
        <v>400000</v>
      </c>
      <c r="S151" s="294"/>
      <c r="T151" s="294"/>
      <c r="U151" s="292" t="b">
        <f t="shared" si="90"/>
        <v>0</v>
      </c>
      <c r="V151" s="471">
        <v>800000</v>
      </c>
      <c r="W151" s="471">
        <v>500000</v>
      </c>
      <c r="X151" s="527">
        <v>460000</v>
      </c>
      <c r="Y151" s="527"/>
      <c r="Z151" s="527"/>
      <c r="AA151" s="527"/>
      <c r="AB151" s="528">
        <v>800000</v>
      </c>
      <c r="AC151" s="528">
        <v>800000</v>
      </c>
      <c r="AD151" s="524">
        <f>O151/M151*100</f>
        <v>101.11891488420086</v>
      </c>
      <c r="AE151" s="524">
        <f t="shared" si="92"/>
        <v>170.66719557944265</v>
      </c>
      <c r="AF151" s="524">
        <f t="shared" si="92"/>
        <v>50.251256281407031</v>
      </c>
      <c r="AG151" s="524">
        <f>AB151/Q151*100</f>
        <v>200</v>
      </c>
      <c r="AH151" s="527"/>
      <c r="AI151" s="527">
        <v>460000</v>
      </c>
      <c r="AJ151" s="516">
        <f>W151/R151*100</f>
        <v>125</v>
      </c>
      <c r="AK151" s="516">
        <f>AT151/W151*100</f>
        <v>130</v>
      </c>
      <c r="AL151" s="516">
        <f>X151/AT151*100</f>
        <v>70.769230769230774</v>
      </c>
      <c r="AM151" s="427" t="e">
        <f ca="1">__xlfn.ISFORMULA(Sheet3!$T151)</f>
        <v>#NAME?</v>
      </c>
      <c r="AN151" s="662" t="e">
        <f ca="1">__xlfn.ISFORMULA(Sheet3!$N151)</f>
        <v>#NAME?</v>
      </c>
      <c r="AO151" t="b">
        <f t="shared" si="82"/>
        <v>0</v>
      </c>
      <c r="AP151" s="595">
        <v>183488.07</v>
      </c>
      <c r="AQ151" s="451">
        <v>183488.07</v>
      </c>
      <c r="AR151" s="595">
        <v>183488.07</v>
      </c>
      <c r="AS151" s="451">
        <v>176933.04</v>
      </c>
      <c r="AT151" s="613">
        <v>650000</v>
      </c>
      <c r="AU151" s="471">
        <v>625000</v>
      </c>
      <c r="AV151" s="638">
        <v>460000</v>
      </c>
      <c r="AW151" s="638">
        <v>460000</v>
      </c>
      <c r="AX151" s="655">
        <f t="shared" si="83"/>
        <v>162.5</v>
      </c>
      <c r="AY151" s="655">
        <f t="shared" si="84"/>
        <v>354.24646408891869</v>
      </c>
      <c r="AZ151" s="655">
        <f t="shared" si="85"/>
        <v>96.15384615384616</v>
      </c>
      <c r="BA151" s="655">
        <f t="shared" si="86"/>
        <v>340.62160008549876</v>
      </c>
      <c r="BB151" s="655">
        <f t="shared" si="87"/>
        <v>73.599999999999994</v>
      </c>
      <c r="BC151" s="655">
        <f t="shared" si="87"/>
        <v>100</v>
      </c>
    </row>
    <row r="152" spans="1:55" ht="12" customHeight="1">
      <c r="A152" s="417"/>
      <c r="B152" s="36"/>
      <c r="C152" s="36"/>
      <c r="D152" s="36"/>
      <c r="E152" s="36"/>
      <c r="F152" s="36"/>
      <c r="G152" s="36"/>
      <c r="H152" s="46">
        <v>6532</v>
      </c>
      <c r="I152" s="38"/>
      <c r="J152" s="39"/>
      <c r="K152" s="40" t="s">
        <v>68</v>
      </c>
      <c r="L152" s="309">
        <v>1469556</v>
      </c>
      <c r="M152" s="309">
        <f>1469556/7.5345</f>
        <v>195043.59944256418</v>
      </c>
      <c r="N152" s="339">
        <v>1582590</v>
      </c>
      <c r="O152" s="339">
        <f>N152/7.5345</f>
        <v>210045.78936890303</v>
      </c>
      <c r="P152" s="294">
        <v>240000</v>
      </c>
      <c r="Q152" s="294">
        <v>240000</v>
      </c>
      <c r="R152" s="451">
        <v>240000</v>
      </c>
      <c r="S152" s="294"/>
      <c r="T152" s="294"/>
      <c r="U152" s="292" t="b">
        <f t="shared" si="90"/>
        <v>0</v>
      </c>
      <c r="V152" s="471">
        <v>240000</v>
      </c>
      <c r="W152" s="471">
        <v>280000</v>
      </c>
      <c r="X152" s="527">
        <v>340000</v>
      </c>
      <c r="Y152" s="527"/>
      <c r="Z152" s="527"/>
      <c r="AA152" s="527"/>
      <c r="AB152" s="528">
        <v>240000</v>
      </c>
      <c r="AC152" s="528">
        <v>240000</v>
      </c>
      <c r="AD152" s="524">
        <f>O152/M152*100</f>
        <v>107.69171096576109</v>
      </c>
      <c r="AE152" s="524">
        <f t="shared" si="92"/>
        <v>114.26080033363033</v>
      </c>
      <c r="AF152" s="524">
        <f t="shared" si="92"/>
        <v>100</v>
      </c>
      <c r="AG152" s="524">
        <f>AB152/Q152*100</f>
        <v>100</v>
      </c>
      <c r="AH152" s="527"/>
      <c r="AI152" s="527">
        <v>340000</v>
      </c>
      <c r="AJ152" s="516">
        <f>W152/R152*100</f>
        <v>116.66666666666667</v>
      </c>
      <c r="AK152" s="516">
        <f>AT152/W152*100</f>
        <v>121.42857142857142</v>
      </c>
      <c r="AL152" s="516">
        <f>X152/AT152*100</f>
        <v>100</v>
      </c>
      <c r="AM152" s="427" t="e">
        <f ca="1">__xlfn.ISFORMULA(Sheet3!$T152)</f>
        <v>#NAME?</v>
      </c>
      <c r="AN152" s="662" t="e">
        <f ca="1">__xlfn.ISFORMULA(Sheet3!$N152)</f>
        <v>#NAME?</v>
      </c>
      <c r="AO152" t="b">
        <f t="shared" si="82"/>
        <v>0</v>
      </c>
      <c r="AP152" s="595">
        <v>254832.07</v>
      </c>
      <c r="AQ152" s="451">
        <v>254832.07</v>
      </c>
      <c r="AR152" s="595">
        <v>254832.07</v>
      </c>
      <c r="AS152" s="451">
        <v>191749.6</v>
      </c>
      <c r="AT152" s="613">
        <v>340000</v>
      </c>
      <c r="AU152" s="471">
        <v>317000</v>
      </c>
      <c r="AV152" s="638">
        <v>340000</v>
      </c>
      <c r="AW152" s="638">
        <v>340000</v>
      </c>
      <c r="AX152" s="655">
        <f t="shared" si="83"/>
        <v>141.66666666666669</v>
      </c>
      <c r="AY152" s="655">
        <f t="shared" si="84"/>
        <v>133.42119773229484</v>
      </c>
      <c r="AZ152" s="655">
        <f t="shared" si="85"/>
        <v>93.235294117647058</v>
      </c>
      <c r="BA152" s="655">
        <f t="shared" si="86"/>
        <v>124.39564612099254</v>
      </c>
      <c r="BB152" s="655">
        <f t="shared" si="87"/>
        <v>107.25552050473186</v>
      </c>
      <c r="BC152" s="655">
        <f t="shared" si="87"/>
        <v>100</v>
      </c>
    </row>
    <row r="153" spans="1:55" ht="12" customHeight="1">
      <c r="A153" s="417"/>
      <c r="B153" s="36"/>
      <c r="C153" s="36"/>
      <c r="D153" s="36"/>
      <c r="E153" s="36"/>
      <c r="F153" s="36"/>
      <c r="G153" s="36"/>
      <c r="H153" s="46"/>
      <c r="I153" s="38"/>
      <c r="J153" s="39"/>
      <c r="K153" s="40"/>
      <c r="L153" s="309"/>
      <c r="M153" s="309"/>
      <c r="N153" s="339"/>
      <c r="O153" s="339"/>
      <c r="P153" s="294"/>
      <c r="Q153" s="294"/>
      <c r="R153" s="451"/>
      <c r="S153" s="294"/>
      <c r="T153" s="294"/>
      <c r="U153" s="292" t="b">
        <f t="shared" si="90"/>
        <v>0</v>
      </c>
      <c r="V153" s="471"/>
      <c r="W153" s="471"/>
      <c r="X153" s="527"/>
      <c r="Y153" s="527"/>
      <c r="Z153" s="527"/>
      <c r="AA153" s="527"/>
      <c r="AB153" s="528"/>
      <c r="AC153" s="528"/>
      <c r="AD153" s="524"/>
      <c r="AE153" s="524"/>
      <c r="AF153" s="524"/>
      <c r="AG153" s="524"/>
      <c r="AH153" s="527"/>
      <c r="AI153" s="527"/>
      <c r="AJ153" s="516"/>
      <c r="AK153" s="516"/>
      <c r="AL153" s="516"/>
      <c r="AM153" s="427" t="e">
        <f ca="1">__xlfn.ISFORMULA(Sheet3!$T153)</f>
        <v>#NAME?</v>
      </c>
      <c r="AN153" s="662" t="e">
        <f ca="1">__xlfn.ISFORMULA(Sheet3!$N153)</f>
        <v>#NAME?</v>
      </c>
      <c r="AO153" t="b">
        <f t="shared" si="82"/>
        <v>0</v>
      </c>
      <c r="AQ153" s="451"/>
      <c r="AS153" s="451"/>
      <c r="AT153" s="613"/>
      <c r="AU153" s="471"/>
      <c r="AV153" s="638"/>
      <c r="AW153" s="638"/>
      <c r="AX153" s="655" t="str">
        <f t="shared" si="83"/>
        <v/>
      </c>
      <c r="AY153" s="655" t="str">
        <f t="shared" si="84"/>
        <v/>
      </c>
      <c r="AZ153" s="655" t="str">
        <f t="shared" si="85"/>
        <v/>
      </c>
      <c r="BA153" s="655" t="str">
        <f t="shared" si="86"/>
        <v/>
      </c>
      <c r="BB153" s="655" t="str">
        <f t="shared" si="87"/>
        <v/>
      </c>
      <c r="BC153" s="655" t="str">
        <f t="shared" si="87"/>
        <v/>
      </c>
    </row>
    <row r="154" spans="1:55" ht="12" customHeight="1">
      <c r="A154" s="419"/>
      <c r="B154" s="47"/>
      <c r="C154" s="47"/>
      <c r="D154" s="47"/>
      <c r="E154" s="47"/>
      <c r="F154" s="47"/>
      <c r="G154" s="47"/>
      <c r="H154" s="48">
        <v>66</v>
      </c>
      <c r="I154" s="49"/>
      <c r="J154" s="50"/>
      <c r="K154" s="51" t="s">
        <v>69</v>
      </c>
      <c r="L154" s="315">
        <f t="shared" ref="L154:Q154" si="93">L156+L157</f>
        <v>114500</v>
      </c>
      <c r="M154" s="315">
        <f t="shared" si="93"/>
        <v>15196.761563474682</v>
      </c>
      <c r="N154" s="337">
        <f t="shared" si="93"/>
        <v>194250</v>
      </c>
      <c r="O154" s="337">
        <f t="shared" si="93"/>
        <v>25781.405534541107</v>
      </c>
      <c r="P154" s="292">
        <f t="shared" si="93"/>
        <v>15300</v>
      </c>
      <c r="Q154" s="292">
        <f t="shared" si="93"/>
        <v>0</v>
      </c>
      <c r="R154" s="453">
        <v>0</v>
      </c>
      <c r="S154" s="292"/>
      <c r="T154" s="292"/>
      <c r="U154" s="292" t="b">
        <f t="shared" si="90"/>
        <v>0</v>
      </c>
      <c r="V154" s="469">
        <v>12000</v>
      </c>
      <c r="W154" s="469">
        <f>W157</f>
        <v>4200</v>
      </c>
      <c r="X154" s="522">
        <f>X157</f>
        <v>0</v>
      </c>
      <c r="Y154" s="522"/>
      <c r="Z154" s="522"/>
      <c r="AA154" s="522"/>
      <c r="AB154" s="523">
        <f>AB156+AB157</f>
        <v>15000</v>
      </c>
      <c r="AC154" s="523">
        <f>AC156+AC157</f>
        <v>15000</v>
      </c>
      <c r="AD154" s="524">
        <f>O154/M154*100</f>
        <v>169.65065502183404</v>
      </c>
      <c r="AE154" s="524">
        <f>P154/O154*100</f>
        <v>59.34509652509653</v>
      </c>
      <c r="AF154" s="524">
        <f>Q154/P154*100</f>
        <v>0</v>
      </c>
      <c r="AG154" s="524"/>
      <c r="AH154" s="522"/>
      <c r="AI154" s="522">
        <v>0</v>
      </c>
      <c r="AJ154" s="516"/>
      <c r="AK154" s="516">
        <f>AT154/W154*100</f>
        <v>0</v>
      </c>
      <c r="AL154" s="516"/>
      <c r="AM154" s="427" t="e">
        <f ca="1">__xlfn.ISFORMULA(Sheet3!$T154)</f>
        <v>#NAME?</v>
      </c>
      <c r="AN154" s="662" t="e">
        <f ca="1">__xlfn.ISFORMULA(Sheet3!$N154)</f>
        <v>#NAME?</v>
      </c>
      <c r="AO154" t="b">
        <f t="shared" si="82"/>
        <v>1</v>
      </c>
      <c r="AP154" s="440">
        <f>AP157</f>
        <v>4187.84</v>
      </c>
      <c r="AQ154" s="453">
        <v>4337.84</v>
      </c>
      <c r="AR154" s="440">
        <f>AR157</f>
        <v>4187.84</v>
      </c>
      <c r="AS154" s="453">
        <f>AS157</f>
        <v>5865.25</v>
      </c>
      <c r="AT154" s="612">
        <f>AT157</f>
        <v>0</v>
      </c>
      <c r="AU154" s="469">
        <f>AU157</f>
        <v>6000</v>
      </c>
      <c r="AV154" s="636">
        <v>0</v>
      </c>
      <c r="AW154" s="636">
        <v>0</v>
      </c>
      <c r="AX154" s="655" t="str">
        <f t="shared" si="83"/>
        <v/>
      </c>
      <c r="AY154" s="655">
        <f t="shared" si="84"/>
        <v>0</v>
      </c>
      <c r="AZ154" s="655" t="str">
        <f t="shared" si="85"/>
        <v/>
      </c>
      <c r="BA154" s="655">
        <f t="shared" si="86"/>
        <v>138.31768806594985</v>
      </c>
      <c r="BB154" s="655">
        <f t="shared" si="87"/>
        <v>0</v>
      </c>
      <c r="BC154" s="655" t="str">
        <f t="shared" si="87"/>
        <v/>
      </c>
    </row>
    <row r="155" spans="1:55" ht="12" customHeight="1">
      <c r="A155" s="425"/>
      <c r="B155" s="52"/>
      <c r="C155" s="52"/>
      <c r="D155" s="52"/>
      <c r="E155" s="52"/>
      <c r="F155" s="52"/>
      <c r="G155" s="52"/>
      <c r="H155" s="53"/>
      <c r="I155" s="54"/>
      <c r="J155" s="55"/>
      <c r="K155" s="21"/>
      <c r="L155" s="315"/>
      <c r="M155" s="315"/>
      <c r="N155" s="337"/>
      <c r="O155" s="337"/>
      <c r="P155" s="292"/>
      <c r="Q155" s="292"/>
      <c r="R155" s="453"/>
      <c r="S155" s="292"/>
      <c r="T155" s="292"/>
      <c r="U155" s="292" t="b">
        <f t="shared" si="90"/>
        <v>0</v>
      </c>
      <c r="V155" s="469"/>
      <c r="W155" s="469"/>
      <c r="X155" s="522"/>
      <c r="Y155" s="522"/>
      <c r="Z155" s="522"/>
      <c r="AA155" s="522"/>
      <c r="AB155" s="523"/>
      <c r="AC155" s="523"/>
      <c r="AD155" s="524"/>
      <c r="AE155" s="524"/>
      <c r="AF155" s="524"/>
      <c r="AG155" s="524"/>
      <c r="AH155" s="522"/>
      <c r="AI155" s="522"/>
      <c r="AJ155" s="516"/>
      <c r="AK155" s="516"/>
      <c r="AL155" s="516"/>
      <c r="AM155" s="427" t="e">
        <f ca="1">__xlfn.ISFORMULA(Sheet3!$T155)</f>
        <v>#NAME?</v>
      </c>
      <c r="AN155" s="662" t="e">
        <f ca="1">__xlfn.ISFORMULA(Sheet3!$N155)</f>
        <v>#NAME?</v>
      </c>
      <c r="AO155" t="b">
        <f t="shared" si="82"/>
        <v>0</v>
      </c>
      <c r="AQ155" s="453"/>
      <c r="AS155" s="453"/>
      <c r="AT155" s="612"/>
      <c r="AU155" s="469"/>
      <c r="AV155" s="636"/>
      <c r="AW155" s="636"/>
      <c r="AX155" s="655" t="str">
        <f t="shared" si="83"/>
        <v/>
      </c>
      <c r="AY155" s="655" t="str">
        <f t="shared" si="84"/>
        <v/>
      </c>
      <c r="AZ155" s="655" t="str">
        <f t="shared" si="85"/>
        <v/>
      </c>
      <c r="BA155" s="655" t="str">
        <f t="shared" si="86"/>
        <v/>
      </c>
      <c r="BB155" s="655" t="str">
        <f t="shared" si="87"/>
        <v/>
      </c>
      <c r="BC155" s="655" t="str">
        <f t="shared" si="87"/>
        <v/>
      </c>
    </row>
    <row r="156" spans="1:55" ht="12" customHeight="1">
      <c r="A156" s="417"/>
      <c r="B156" s="36"/>
      <c r="C156" s="36"/>
      <c r="D156" s="36"/>
      <c r="E156" s="36"/>
      <c r="F156" s="36"/>
      <c r="G156" s="36"/>
      <c r="H156" s="46">
        <v>6614</v>
      </c>
      <c r="I156" s="38"/>
      <c r="J156" s="39"/>
      <c r="K156" s="40" t="s">
        <v>662</v>
      </c>
      <c r="L156" s="316"/>
      <c r="M156" s="316"/>
      <c r="N156" s="338"/>
      <c r="O156" s="338"/>
      <c r="P156" s="293"/>
      <c r="Q156" s="293"/>
      <c r="R156" s="454"/>
      <c r="S156" s="293"/>
      <c r="T156" s="293"/>
      <c r="U156" s="292" t="b">
        <f t="shared" si="90"/>
        <v>0</v>
      </c>
      <c r="V156" s="470"/>
      <c r="W156" s="470"/>
      <c r="X156" s="525"/>
      <c r="Y156" s="525"/>
      <c r="Z156" s="525"/>
      <c r="AA156" s="525"/>
      <c r="AB156" s="526"/>
      <c r="AC156" s="526"/>
      <c r="AD156" s="524"/>
      <c r="AE156" s="524"/>
      <c r="AF156" s="524"/>
      <c r="AG156" s="524"/>
      <c r="AH156" s="525"/>
      <c r="AI156" s="525"/>
      <c r="AJ156" s="516"/>
      <c r="AK156" s="516"/>
      <c r="AL156" s="516"/>
      <c r="AM156" s="427" t="e">
        <f ca="1">__xlfn.ISFORMULA(Sheet3!$T156)</f>
        <v>#NAME?</v>
      </c>
      <c r="AN156" s="662" t="e">
        <f ca="1">__xlfn.ISFORMULA(Sheet3!$N156)</f>
        <v>#NAME?</v>
      </c>
      <c r="AO156" t="b">
        <f t="shared" si="82"/>
        <v>0</v>
      </c>
      <c r="AQ156" s="454"/>
      <c r="AS156" s="454"/>
      <c r="AT156" s="613"/>
      <c r="AU156" s="470"/>
      <c r="AV156" s="637"/>
      <c r="AW156" s="637"/>
      <c r="AX156" s="655" t="str">
        <f t="shared" si="83"/>
        <v/>
      </c>
      <c r="AY156" s="655" t="str">
        <f t="shared" si="84"/>
        <v/>
      </c>
      <c r="AZ156" s="655" t="str">
        <f t="shared" si="85"/>
        <v/>
      </c>
      <c r="BA156" s="655" t="str">
        <f t="shared" si="86"/>
        <v/>
      </c>
      <c r="BB156" s="655" t="str">
        <f t="shared" si="87"/>
        <v/>
      </c>
      <c r="BC156" s="655" t="str">
        <f t="shared" si="87"/>
        <v/>
      </c>
    </row>
    <row r="157" spans="1:55" ht="12" customHeight="1">
      <c r="A157" s="420"/>
      <c r="B157" s="56"/>
      <c r="C157" s="56"/>
      <c r="D157" s="56"/>
      <c r="E157" s="56"/>
      <c r="F157" s="56"/>
      <c r="G157" s="56"/>
      <c r="H157" s="57">
        <v>663</v>
      </c>
      <c r="I157" s="58"/>
      <c r="J157" s="59"/>
      <c r="K157" s="60" t="s">
        <v>70</v>
      </c>
      <c r="L157" s="315">
        <f t="shared" ref="L157:Q157" si="94">L158+L159</f>
        <v>114500</v>
      </c>
      <c r="M157" s="315">
        <f t="shared" si="94"/>
        <v>15196.761563474682</v>
      </c>
      <c r="N157" s="337">
        <f t="shared" si="94"/>
        <v>194250</v>
      </c>
      <c r="O157" s="337">
        <f t="shared" si="94"/>
        <v>25781.405534541107</v>
      </c>
      <c r="P157" s="292">
        <f t="shared" si="94"/>
        <v>15300</v>
      </c>
      <c r="Q157" s="292">
        <f t="shared" si="94"/>
        <v>0</v>
      </c>
      <c r="R157" s="453">
        <v>0</v>
      </c>
      <c r="S157" s="292"/>
      <c r="T157" s="292"/>
      <c r="U157" s="292" t="b">
        <f t="shared" si="90"/>
        <v>0</v>
      </c>
      <c r="V157" s="469">
        <v>12000</v>
      </c>
      <c r="W157" s="469">
        <f>W158+W159</f>
        <v>4200</v>
      </c>
      <c r="X157" s="522">
        <f>X158+X159</f>
        <v>0</v>
      </c>
      <c r="Y157" s="522"/>
      <c r="Z157" s="522"/>
      <c r="AA157" s="522"/>
      <c r="AB157" s="523">
        <f>AB158+AB159</f>
        <v>15000</v>
      </c>
      <c r="AC157" s="523">
        <f>AC158+AC159</f>
        <v>15000</v>
      </c>
      <c r="AD157" s="524">
        <f>O157/M157*100</f>
        <v>169.65065502183404</v>
      </c>
      <c r="AE157" s="524">
        <f>P157/O157*100</f>
        <v>59.34509652509653</v>
      </c>
      <c r="AF157" s="524">
        <f>Q157/P157*100</f>
        <v>0</v>
      </c>
      <c r="AG157" s="524"/>
      <c r="AH157" s="522"/>
      <c r="AI157" s="522">
        <v>0</v>
      </c>
      <c r="AJ157" s="516"/>
      <c r="AK157" s="516">
        <f>AT157/W157*100</f>
        <v>0</v>
      </c>
      <c r="AL157" s="516"/>
      <c r="AM157" s="427" t="e">
        <f ca="1">__xlfn.ISFORMULA(Sheet3!$T157)</f>
        <v>#NAME?</v>
      </c>
      <c r="AN157" s="662" t="e">
        <f ca="1">__xlfn.ISFORMULA(Sheet3!$N157)</f>
        <v>#NAME?</v>
      </c>
      <c r="AO157" t="b">
        <f t="shared" si="82"/>
        <v>1</v>
      </c>
      <c r="AP157" s="440">
        <f>AP158+AP159</f>
        <v>4187.84</v>
      </c>
      <c r="AQ157" s="453">
        <v>4337.84</v>
      </c>
      <c r="AR157" s="440">
        <f>AR158+AR159</f>
        <v>4187.84</v>
      </c>
      <c r="AS157" s="453">
        <f>AS158+AS159</f>
        <v>5865.25</v>
      </c>
      <c r="AT157" s="612">
        <f>AT158+AT159</f>
        <v>0</v>
      </c>
      <c r="AU157" s="469">
        <f>AU158+AU159</f>
        <v>6000</v>
      </c>
      <c r="AV157" s="636">
        <v>0</v>
      </c>
      <c r="AW157" s="636">
        <v>0</v>
      </c>
      <c r="AX157" s="655" t="str">
        <f t="shared" si="83"/>
        <v/>
      </c>
      <c r="AY157" s="655">
        <f t="shared" si="84"/>
        <v>0</v>
      </c>
      <c r="AZ157" s="655" t="str">
        <f t="shared" si="85"/>
        <v/>
      </c>
      <c r="BA157" s="655">
        <f t="shared" si="86"/>
        <v>138.31768806594985</v>
      </c>
      <c r="BB157" s="655">
        <f t="shared" si="87"/>
        <v>0</v>
      </c>
      <c r="BC157" s="655" t="str">
        <f t="shared" si="87"/>
        <v/>
      </c>
    </row>
    <row r="158" spans="1:55" ht="12" customHeight="1">
      <c r="A158" s="417"/>
      <c r="B158" s="36"/>
      <c r="C158" s="36"/>
      <c r="D158" s="36"/>
      <c r="E158" s="36"/>
      <c r="F158" s="36"/>
      <c r="G158" s="36"/>
      <c r="H158" s="46">
        <v>6631</v>
      </c>
      <c r="I158" s="38"/>
      <c r="J158" s="39"/>
      <c r="K158" s="40" t="s">
        <v>71</v>
      </c>
      <c r="L158" s="309">
        <v>5000</v>
      </c>
      <c r="M158" s="309">
        <f>5000/7.5345</f>
        <v>663.61404207313024</v>
      </c>
      <c r="N158" s="339">
        <v>8000</v>
      </c>
      <c r="O158" s="339">
        <f>N158/7.5345</f>
        <v>1061.7824673170085</v>
      </c>
      <c r="P158" s="294">
        <v>3300</v>
      </c>
      <c r="Q158" s="269">
        <v>0</v>
      </c>
      <c r="R158" s="451">
        <v>0</v>
      </c>
      <c r="S158" s="294"/>
      <c r="T158" s="294"/>
      <c r="U158" s="292" t="b">
        <f t="shared" si="90"/>
        <v>0</v>
      </c>
      <c r="V158" s="471">
        <v>0</v>
      </c>
      <c r="W158" s="471"/>
      <c r="X158" s="527"/>
      <c r="Y158" s="527"/>
      <c r="Z158" s="527"/>
      <c r="AA158" s="527"/>
      <c r="AB158" s="528">
        <v>3000</v>
      </c>
      <c r="AC158" s="528">
        <v>3000</v>
      </c>
      <c r="AD158" s="524">
        <f>O158/M158*100</f>
        <v>160</v>
      </c>
      <c r="AE158" s="524">
        <f>P158/O158*100</f>
        <v>310.79812499999997</v>
      </c>
      <c r="AF158" s="524">
        <f>Q158/P158*100</f>
        <v>0</v>
      </c>
      <c r="AG158" s="524"/>
      <c r="AH158" s="527"/>
      <c r="AI158" s="527"/>
      <c r="AJ158" s="516"/>
      <c r="AK158" s="516"/>
      <c r="AL158" s="516"/>
      <c r="AM158" s="427" t="e">
        <f ca="1">__xlfn.ISFORMULA(Sheet3!$T158)</f>
        <v>#NAME?</v>
      </c>
      <c r="AN158" s="662" t="e">
        <f ca="1">__xlfn.ISFORMULA(Sheet3!$N158)</f>
        <v>#NAME?</v>
      </c>
      <c r="AO158" t="b">
        <f t="shared" si="82"/>
        <v>0</v>
      </c>
      <c r="AQ158" s="451">
        <v>150</v>
      </c>
      <c r="AS158" s="451"/>
      <c r="AT158" s="613"/>
      <c r="AU158" s="471"/>
      <c r="AV158" s="638"/>
      <c r="AW158" s="638"/>
      <c r="AX158" s="655" t="str">
        <f t="shared" si="83"/>
        <v/>
      </c>
      <c r="AY158" s="655" t="str">
        <f t="shared" si="84"/>
        <v/>
      </c>
      <c r="AZ158" s="655" t="str">
        <f t="shared" si="85"/>
        <v/>
      </c>
      <c r="BA158" s="655" t="str">
        <f t="shared" si="86"/>
        <v/>
      </c>
      <c r="BB158" s="655" t="str">
        <f t="shared" si="87"/>
        <v/>
      </c>
      <c r="BC158" s="655" t="str">
        <f t="shared" si="87"/>
        <v/>
      </c>
    </row>
    <row r="159" spans="1:55" ht="12" customHeight="1">
      <c r="A159" s="417"/>
      <c r="B159" s="36"/>
      <c r="C159" s="36"/>
      <c r="D159" s="36"/>
      <c r="E159" s="36"/>
      <c r="F159" s="36"/>
      <c r="G159" s="36"/>
      <c r="H159" s="46">
        <v>6632</v>
      </c>
      <c r="I159" s="38"/>
      <c r="J159" s="39"/>
      <c r="K159" s="40" t="s">
        <v>72</v>
      </c>
      <c r="L159" s="309">
        <v>109500</v>
      </c>
      <c r="M159" s="309">
        <f>109500/7.5345</f>
        <v>14533.147521401552</v>
      </c>
      <c r="N159" s="339">
        <v>186250</v>
      </c>
      <c r="O159" s="339">
        <f>N159/7.5345</f>
        <v>24719.6230672241</v>
      </c>
      <c r="P159" s="294">
        <v>12000</v>
      </c>
      <c r="Q159" s="269">
        <v>0</v>
      </c>
      <c r="R159" s="451">
        <v>0</v>
      </c>
      <c r="S159" s="294"/>
      <c r="T159" s="294"/>
      <c r="U159" s="292" t="b">
        <f t="shared" si="90"/>
        <v>0</v>
      </c>
      <c r="V159" s="471">
        <v>12000</v>
      </c>
      <c r="W159" s="471">
        <v>4200</v>
      </c>
      <c r="X159" s="527"/>
      <c r="Y159" s="527"/>
      <c r="Z159" s="527"/>
      <c r="AA159" s="527"/>
      <c r="AB159" s="528">
        <v>12000</v>
      </c>
      <c r="AC159" s="528">
        <v>12000</v>
      </c>
      <c r="AD159" s="524">
        <f>O159/M159*100</f>
        <v>170.09132420091325</v>
      </c>
      <c r="AE159" s="524"/>
      <c r="AF159" s="524"/>
      <c r="AG159" s="524"/>
      <c r="AH159" s="527"/>
      <c r="AI159" s="527"/>
      <c r="AJ159" s="516"/>
      <c r="AK159" s="516">
        <f>AT159/W159*100</f>
        <v>0</v>
      </c>
      <c r="AL159" s="516"/>
      <c r="AM159" s="427" t="e">
        <f ca="1">__xlfn.ISFORMULA(Sheet3!$T159)</f>
        <v>#NAME?</v>
      </c>
      <c r="AN159" s="662" t="e">
        <f ca="1">__xlfn.ISFORMULA(Sheet3!$N159)</f>
        <v>#NAME?</v>
      </c>
      <c r="AO159" t="b">
        <f t="shared" si="82"/>
        <v>0</v>
      </c>
      <c r="AP159" s="595">
        <v>4187.84</v>
      </c>
      <c r="AQ159" s="451">
        <v>4187.84</v>
      </c>
      <c r="AR159" s="595">
        <v>4187.84</v>
      </c>
      <c r="AS159" s="451">
        <v>5865.25</v>
      </c>
      <c r="AT159" s="613"/>
      <c r="AU159" s="471">
        <v>6000</v>
      </c>
      <c r="AV159" s="638"/>
      <c r="AW159" s="638"/>
      <c r="AX159" s="655" t="str">
        <f t="shared" si="83"/>
        <v/>
      </c>
      <c r="AY159" s="655" t="str">
        <f t="shared" si="84"/>
        <v/>
      </c>
      <c r="AZ159" s="655" t="str">
        <f t="shared" si="85"/>
        <v/>
      </c>
      <c r="BA159" s="655">
        <f t="shared" si="86"/>
        <v>143.27194926262703</v>
      </c>
      <c r="BB159" s="655" t="str">
        <f t="shared" si="87"/>
        <v/>
      </c>
      <c r="BC159" s="655" t="str">
        <f t="shared" si="87"/>
        <v/>
      </c>
    </row>
    <row r="160" spans="1:55" ht="12" customHeight="1">
      <c r="A160" s="417"/>
      <c r="B160" s="36"/>
      <c r="C160" s="36"/>
      <c r="D160" s="36"/>
      <c r="E160" s="36"/>
      <c r="F160" s="36"/>
      <c r="G160" s="36"/>
      <c r="H160" s="46"/>
      <c r="I160" s="38"/>
      <c r="J160" s="39"/>
      <c r="K160" s="40"/>
      <c r="L160" s="309"/>
      <c r="M160" s="309"/>
      <c r="N160" s="339"/>
      <c r="O160" s="339"/>
      <c r="P160" s="294"/>
      <c r="Q160" s="294"/>
      <c r="R160" s="451"/>
      <c r="S160" s="294"/>
      <c r="T160" s="294"/>
      <c r="U160" s="292" t="b">
        <f t="shared" si="90"/>
        <v>0</v>
      </c>
      <c r="V160" s="471"/>
      <c r="W160" s="471"/>
      <c r="X160" s="527"/>
      <c r="Y160" s="527"/>
      <c r="Z160" s="527"/>
      <c r="AA160" s="527"/>
      <c r="AB160" s="528"/>
      <c r="AC160" s="528"/>
      <c r="AD160" s="524"/>
      <c r="AE160" s="524"/>
      <c r="AF160" s="524"/>
      <c r="AG160" s="524"/>
      <c r="AH160" s="527"/>
      <c r="AI160" s="527"/>
      <c r="AJ160" s="516"/>
      <c r="AK160" s="516"/>
      <c r="AL160" s="516"/>
      <c r="AM160" s="427" t="e">
        <f ca="1">__xlfn.ISFORMULA(Sheet3!$T160)</f>
        <v>#NAME?</v>
      </c>
      <c r="AN160" s="662" t="e">
        <f ca="1">__xlfn.ISFORMULA(Sheet3!$N160)</f>
        <v>#NAME?</v>
      </c>
      <c r="AO160" t="b">
        <f t="shared" si="82"/>
        <v>0</v>
      </c>
      <c r="AQ160" s="451"/>
      <c r="AS160" s="451"/>
      <c r="AT160" s="613"/>
      <c r="AU160" s="471"/>
      <c r="AV160" s="638"/>
      <c r="AW160" s="638"/>
      <c r="AX160" s="655" t="str">
        <f t="shared" si="83"/>
        <v/>
      </c>
      <c r="AY160" s="655" t="str">
        <f t="shared" si="84"/>
        <v/>
      </c>
      <c r="AZ160" s="655" t="str">
        <f t="shared" si="85"/>
        <v/>
      </c>
      <c r="BA160" s="655" t="str">
        <f t="shared" si="86"/>
        <v/>
      </c>
      <c r="BB160" s="655" t="str">
        <f t="shared" si="87"/>
        <v/>
      </c>
      <c r="BC160" s="655" t="str">
        <f t="shared" si="87"/>
        <v/>
      </c>
    </row>
    <row r="161" spans="1:55" ht="12" customHeight="1">
      <c r="A161" s="419"/>
      <c r="B161" s="47"/>
      <c r="C161" s="47"/>
      <c r="D161" s="47"/>
      <c r="E161" s="47"/>
      <c r="F161" s="47"/>
      <c r="G161" s="47"/>
      <c r="H161" s="48">
        <v>68</v>
      </c>
      <c r="I161" s="49"/>
      <c r="J161" s="50"/>
      <c r="K161" s="51" t="s">
        <v>73</v>
      </c>
      <c r="L161" s="315">
        <f t="shared" ref="L161:Q161" si="95">L163+L167</f>
        <v>384701</v>
      </c>
      <c r="M161" s="315">
        <f t="shared" si="95"/>
        <v>51058.597119915059</v>
      </c>
      <c r="N161" s="337">
        <f t="shared" si="95"/>
        <v>302430</v>
      </c>
      <c r="O161" s="337">
        <f t="shared" si="95"/>
        <v>40139.358948835354</v>
      </c>
      <c r="P161" s="292">
        <f t="shared" si="95"/>
        <v>143300</v>
      </c>
      <c r="Q161" s="292">
        <f t="shared" si="95"/>
        <v>52000</v>
      </c>
      <c r="R161" s="453">
        <v>52000</v>
      </c>
      <c r="S161" s="292"/>
      <c r="T161" s="292"/>
      <c r="U161" s="292" t="b">
        <f t="shared" si="90"/>
        <v>0</v>
      </c>
      <c r="V161" s="469">
        <v>52000</v>
      </c>
      <c r="W161" s="469">
        <f>W163+W167</f>
        <v>65000</v>
      </c>
      <c r="X161" s="522">
        <f>X163+X167</f>
        <v>70000</v>
      </c>
      <c r="Y161" s="522"/>
      <c r="Z161" s="522"/>
      <c r="AA161" s="522"/>
      <c r="AB161" s="523">
        <f>AB163+AB167</f>
        <v>65000</v>
      </c>
      <c r="AC161" s="523">
        <f>AC163+AC167</f>
        <v>65000</v>
      </c>
      <c r="AD161" s="524">
        <f>O161/M161*100</f>
        <v>78.614300456718325</v>
      </c>
      <c r="AE161" s="524">
        <f>P161/O161*100</f>
        <v>357.00619978176775</v>
      </c>
      <c r="AF161" s="524">
        <f>Q161/P161*100</f>
        <v>36.287508722958826</v>
      </c>
      <c r="AG161" s="524">
        <f>AB161/Q161*100</f>
        <v>125</v>
      </c>
      <c r="AH161" s="522"/>
      <c r="AI161" s="522">
        <v>70000</v>
      </c>
      <c r="AJ161" s="516">
        <f>W161/R161*100</f>
        <v>125</v>
      </c>
      <c r="AK161" s="516">
        <f>AT161/W161*100</f>
        <v>100</v>
      </c>
      <c r="AL161" s="516">
        <f>X161/AT161*100</f>
        <v>107.69230769230769</v>
      </c>
      <c r="AM161" s="427" t="e">
        <f ca="1">__xlfn.ISFORMULA(Sheet3!$T161)</f>
        <v>#NAME?</v>
      </c>
      <c r="AN161" s="662" t="e">
        <f ca="1">__xlfn.ISFORMULA(Sheet3!$N161)</f>
        <v>#NAME?</v>
      </c>
      <c r="AO161" t="b">
        <f t="shared" si="82"/>
        <v>1</v>
      </c>
      <c r="AP161" s="440">
        <f>AP163+AP167</f>
        <v>37813.5</v>
      </c>
      <c r="AQ161" s="453">
        <v>56189.26</v>
      </c>
      <c r="AR161" s="440">
        <f>AR163+AR167</f>
        <v>37813.5</v>
      </c>
      <c r="AS161" s="453">
        <f>AS163+AS167</f>
        <v>10491.06</v>
      </c>
      <c r="AT161" s="612">
        <f>AT163+AT167</f>
        <v>65000</v>
      </c>
      <c r="AU161" s="469">
        <f>AU163+AU167</f>
        <v>65000</v>
      </c>
      <c r="AV161" s="636">
        <v>70000</v>
      </c>
      <c r="AW161" s="636">
        <v>70000</v>
      </c>
      <c r="AX161" s="655">
        <f t="shared" si="83"/>
        <v>125</v>
      </c>
      <c r="AY161" s="655">
        <f t="shared" si="84"/>
        <v>115.68046989762813</v>
      </c>
      <c r="AZ161" s="655">
        <f t="shared" si="85"/>
        <v>100</v>
      </c>
      <c r="BA161" s="655">
        <f t="shared" si="86"/>
        <v>115.68046989762813</v>
      </c>
      <c r="BB161" s="655">
        <f t="shared" si="87"/>
        <v>107.69230769230769</v>
      </c>
      <c r="BC161" s="655">
        <f t="shared" si="87"/>
        <v>100</v>
      </c>
    </row>
    <row r="162" spans="1:55" ht="12" customHeight="1">
      <c r="A162" s="417"/>
      <c r="B162" s="36"/>
      <c r="C162" s="36"/>
      <c r="D162" s="36"/>
      <c r="E162" s="36"/>
      <c r="F162" s="36"/>
      <c r="G162" s="36"/>
      <c r="H162" s="46"/>
      <c r="I162" s="38"/>
      <c r="J162" s="39"/>
      <c r="K162" s="40"/>
      <c r="L162" s="309"/>
      <c r="M162" s="309"/>
      <c r="N162" s="339"/>
      <c r="O162" s="339"/>
      <c r="P162" s="294"/>
      <c r="Q162" s="294"/>
      <c r="R162" s="451"/>
      <c r="S162" s="294"/>
      <c r="T162" s="294"/>
      <c r="U162" s="292" t="b">
        <f t="shared" si="90"/>
        <v>0</v>
      </c>
      <c r="V162" s="471"/>
      <c r="W162" s="471"/>
      <c r="X162" s="527"/>
      <c r="Y162" s="527"/>
      <c r="Z162" s="527"/>
      <c r="AA162" s="527"/>
      <c r="AB162" s="528"/>
      <c r="AC162" s="528"/>
      <c r="AD162" s="524"/>
      <c r="AE162" s="524"/>
      <c r="AF162" s="524"/>
      <c r="AG162" s="524"/>
      <c r="AH162" s="527"/>
      <c r="AI162" s="527"/>
      <c r="AJ162" s="516"/>
      <c r="AK162" s="516"/>
      <c r="AL162" s="516"/>
      <c r="AM162" s="427" t="e">
        <f ca="1">__xlfn.ISFORMULA(Sheet3!$T162)</f>
        <v>#NAME?</v>
      </c>
      <c r="AN162" s="662" t="e">
        <f ca="1">__xlfn.ISFORMULA(Sheet3!$N162)</f>
        <v>#NAME?</v>
      </c>
      <c r="AO162" t="b">
        <f t="shared" si="82"/>
        <v>0</v>
      </c>
      <c r="AQ162" s="451"/>
      <c r="AS162" s="451"/>
      <c r="AT162" s="613"/>
      <c r="AU162" s="471"/>
      <c r="AV162" s="638"/>
      <c r="AW162" s="638"/>
      <c r="AX162" s="655" t="str">
        <f t="shared" si="83"/>
        <v/>
      </c>
      <c r="AY162" s="655" t="str">
        <f t="shared" si="84"/>
        <v/>
      </c>
      <c r="AZ162" s="655" t="str">
        <f t="shared" si="85"/>
        <v/>
      </c>
      <c r="BA162" s="655" t="str">
        <f t="shared" si="86"/>
        <v/>
      </c>
      <c r="BB162" s="655" t="str">
        <f t="shared" si="87"/>
        <v/>
      </c>
      <c r="BC162" s="655" t="str">
        <f t="shared" si="87"/>
        <v/>
      </c>
    </row>
    <row r="163" spans="1:55" ht="12" customHeight="1">
      <c r="A163" s="420"/>
      <c r="B163" s="56"/>
      <c r="C163" s="56"/>
      <c r="D163" s="56"/>
      <c r="E163" s="56"/>
      <c r="F163" s="56"/>
      <c r="G163" s="56"/>
      <c r="H163" s="57">
        <v>681</v>
      </c>
      <c r="I163" s="58"/>
      <c r="J163" s="59"/>
      <c r="K163" s="60" t="s">
        <v>74</v>
      </c>
      <c r="L163" s="315">
        <f t="shared" ref="L163:Q163" si="96">L164</f>
        <v>123625</v>
      </c>
      <c r="M163" s="315">
        <f t="shared" si="96"/>
        <v>16407.857190258146</v>
      </c>
      <c r="N163" s="337">
        <f t="shared" si="96"/>
        <v>114912</v>
      </c>
      <c r="O163" s="337">
        <f t="shared" si="96"/>
        <v>15251.443360541509</v>
      </c>
      <c r="P163" s="292">
        <f t="shared" si="96"/>
        <v>13300</v>
      </c>
      <c r="Q163" s="292">
        <f t="shared" si="96"/>
        <v>17000</v>
      </c>
      <c r="R163" s="453">
        <v>17000</v>
      </c>
      <c r="S163" s="292"/>
      <c r="T163" s="292"/>
      <c r="U163" s="292" t="b">
        <f t="shared" si="90"/>
        <v>0</v>
      </c>
      <c r="V163" s="469">
        <v>17000</v>
      </c>
      <c r="W163" s="469">
        <f>W164</f>
        <v>30000</v>
      </c>
      <c r="X163" s="522">
        <f>X164</f>
        <v>35000</v>
      </c>
      <c r="Y163" s="522"/>
      <c r="Z163" s="522"/>
      <c r="AA163" s="522"/>
      <c r="AB163" s="523">
        <f>AB164</f>
        <v>15000</v>
      </c>
      <c r="AC163" s="523">
        <f>AC164</f>
        <v>15000</v>
      </c>
      <c r="AD163" s="524">
        <f>O163/M163*100</f>
        <v>92.952072800808892</v>
      </c>
      <c r="AE163" s="524">
        <f>P163/O163*100</f>
        <v>87.204861111111114</v>
      </c>
      <c r="AF163" s="524">
        <f>Q163/P163*100</f>
        <v>127.81954887218046</v>
      </c>
      <c r="AG163" s="524">
        <f>AB163/Q163*100</f>
        <v>88.235294117647058</v>
      </c>
      <c r="AH163" s="522"/>
      <c r="AI163" s="522">
        <v>35000</v>
      </c>
      <c r="AJ163" s="516">
        <f>W163/R163*100</f>
        <v>176.47058823529412</v>
      </c>
      <c r="AK163" s="516">
        <f>AT163/W163*100</f>
        <v>100</v>
      </c>
      <c r="AL163" s="516">
        <f>X163/AT163*100</f>
        <v>116.66666666666667</v>
      </c>
      <c r="AM163" s="427" t="e">
        <f ca="1">__xlfn.ISFORMULA(Sheet3!$T163)</f>
        <v>#NAME?</v>
      </c>
      <c r="AN163" s="662" t="e">
        <f ca="1">__xlfn.ISFORMULA(Sheet3!$N163)</f>
        <v>#NAME?</v>
      </c>
      <c r="AO163" t="b">
        <f t="shared" si="82"/>
        <v>1</v>
      </c>
      <c r="AP163" s="440">
        <f>AP164</f>
        <v>17479.560000000001</v>
      </c>
      <c r="AQ163" s="453">
        <v>17479.560000000001</v>
      </c>
      <c r="AR163" s="440">
        <f>AR164</f>
        <v>17479.560000000001</v>
      </c>
      <c r="AS163" s="453">
        <f>AS164</f>
        <v>9421.56</v>
      </c>
      <c r="AT163" s="612">
        <f>AT164</f>
        <v>30000</v>
      </c>
      <c r="AU163" s="469">
        <f>AU164</f>
        <v>30000</v>
      </c>
      <c r="AV163" s="636">
        <v>35000</v>
      </c>
      <c r="AW163" s="636">
        <v>35000</v>
      </c>
      <c r="AX163" s="655">
        <f t="shared" si="83"/>
        <v>176.47058823529412</v>
      </c>
      <c r="AY163" s="655">
        <f t="shared" si="84"/>
        <v>171.62903414044746</v>
      </c>
      <c r="AZ163" s="655">
        <f t="shared" si="85"/>
        <v>100</v>
      </c>
      <c r="BA163" s="655">
        <f t="shared" si="86"/>
        <v>171.62903414044746</v>
      </c>
      <c r="BB163" s="655">
        <f t="shared" si="87"/>
        <v>116.66666666666667</v>
      </c>
      <c r="BC163" s="655">
        <f t="shared" si="87"/>
        <v>100</v>
      </c>
    </row>
    <row r="164" spans="1:55" ht="12" customHeight="1">
      <c r="A164" s="417"/>
      <c r="B164" s="36"/>
      <c r="C164" s="36"/>
      <c r="D164" s="36"/>
      <c r="E164" s="36"/>
      <c r="F164" s="36"/>
      <c r="G164" s="36"/>
      <c r="H164" s="46">
        <v>6819</v>
      </c>
      <c r="I164" s="38"/>
      <c r="J164" s="39"/>
      <c r="K164" s="40" t="s">
        <v>75</v>
      </c>
      <c r="L164" s="309">
        <v>123625</v>
      </c>
      <c r="M164" s="309">
        <f>123625/7.5345</f>
        <v>16407.857190258146</v>
      </c>
      <c r="N164" s="339">
        <v>114912</v>
      </c>
      <c r="O164" s="339">
        <f>N164/7.5345</f>
        <v>15251.443360541509</v>
      </c>
      <c r="P164" s="294">
        <v>13300</v>
      </c>
      <c r="Q164" s="269">
        <v>17000</v>
      </c>
      <c r="R164" s="451">
        <v>17000</v>
      </c>
      <c r="S164" s="294"/>
      <c r="T164" s="294"/>
      <c r="U164" s="292" t="b">
        <f t="shared" si="90"/>
        <v>0</v>
      </c>
      <c r="V164" s="471">
        <v>17000</v>
      </c>
      <c r="W164" s="471">
        <v>30000</v>
      </c>
      <c r="X164" s="527">
        <v>35000</v>
      </c>
      <c r="Y164" s="527"/>
      <c r="Z164" s="527"/>
      <c r="AA164" s="527"/>
      <c r="AB164" s="528">
        <v>15000</v>
      </c>
      <c r="AC164" s="528">
        <v>15000</v>
      </c>
      <c r="AD164" s="524">
        <f>O164/M164*100</f>
        <v>92.952072800808892</v>
      </c>
      <c r="AE164" s="524">
        <f>P164/O164*100</f>
        <v>87.204861111111114</v>
      </c>
      <c r="AF164" s="524">
        <f>Q164/P164*100</f>
        <v>127.81954887218046</v>
      </c>
      <c r="AG164" s="524">
        <f>AB164/Q164*100</f>
        <v>88.235294117647058</v>
      </c>
      <c r="AH164" s="527"/>
      <c r="AI164" s="527">
        <v>35000</v>
      </c>
      <c r="AJ164" s="516">
        <f>W164/R164*100</f>
        <v>176.47058823529412</v>
      </c>
      <c r="AK164" s="516">
        <f>AT164/W164*100</f>
        <v>100</v>
      </c>
      <c r="AL164" s="516">
        <f>X164/AT164*100</f>
        <v>116.66666666666667</v>
      </c>
      <c r="AM164" s="427" t="e">
        <f ca="1">__xlfn.ISFORMULA(Sheet3!$T164)</f>
        <v>#NAME?</v>
      </c>
      <c r="AN164" s="662" t="e">
        <f ca="1">__xlfn.ISFORMULA(Sheet3!$N164)</f>
        <v>#NAME?</v>
      </c>
      <c r="AO164" t="b">
        <f t="shared" si="82"/>
        <v>0</v>
      </c>
      <c r="AP164" s="595">
        <v>17479.560000000001</v>
      </c>
      <c r="AQ164" s="451">
        <v>17479.560000000001</v>
      </c>
      <c r="AR164" s="595">
        <v>17479.560000000001</v>
      </c>
      <c r="AS164" s="451">
        <v>9421.56</v>
      </c>
      <c r="AT164" s="613">
        <v>30000</v>
      </c>
      <c r="AU164" s="471">
        <v>30000</v>
      </c>
      <c r="AV164" s="638">
        <v>35000</v>
      </c>
      <c r="AW164" s="638">
        <v>35000</v>
      </c>
      <c r="AX164" s="655">
        <f t="shared" si="83"/>
        <v>176.47058823529412</v>
      </c>
      <c r="AY164" s="655">
        <f t="shared" si="84"/>
        <v>171.62903414044746</v>
      </c>
      <c r="AZ164" s="655">
        <f t="shared" si="85"/>
        <v>100</v>
      </c>
      <c r="BA164" s="655">
        <f t="shared" si="86"/>
        <v>171.62903414044746</v>
      </c>
      <c r="BB164" s="655">
        <f t="shared" si="87"/>
        <v>116.66666666666667</v>
      </c>
      <c r="BC164" s="655">
        <f t="shared" si="87"/>
        <v>100</v>
      </c>
    </row>
    <row r="165" spans="1:55" ht="12" customHeight="1">
      <c r="A165" s="417"/>
      <c r="B165" s="36"/>
      <c r="C165" s="36"/>
      <c r="D165" s="36"/>
      <c r="E165" s="36"/>
      <c r="F165" s="36"/>
      <c r="G165" s="36"/>
      <c r="H165" s="46"/>
      <c r="I165" s="38"/>
      <c r="J165" s="39"/>
      <c r="K165" s="40"/>
      <c r="L165" s="309"/>
      <c r="M165" s="309"/>
      <c r="N165" s="339"/>
      <c r="O165" s="339"/>
      <c r="P165" s="294"/>
      <c r="Q165" s="294"/>
      <c r="R165" s="451"/>
      <c r="S165" s="294"/>
      <c r="T165" s="294"/>
      <c r="U165" s="292" t="b">
        <f t="shared" si="90"/>
        <v>0</v>
      </c>
      <c r="V165" s="471"/>
      <c r="W165" s="471"/>
      <c r="X165" s="527"/>
      <c r="Y165" s="527"/>
      <c r="Z165" s="527"/>
      <c r="AA165" s="527"/>
      <c r="AB165" s="528"/>
      <c r="AC165" s="528"/>
      <c r="AD165" s="524"/>
      <c r="AE165" s="524"/>
      <c r="AF165" s="524"/>
      <c r="AG165" s="524"/>
      <c r="AH165" s="527"/>
      <c r="AI165" s="527"/>
      <c r="AJ165" s="516"/>
      <c r="AK165" s="516"/>
      <c r="AL165" s="516"/>
      <c r="AM165" s="427" t="e">
        <f ca="1">__xlfn.ISFORMULA(Sheet3!$T165)</f>
        <v>#NAME?</v>
      </c>
      <c r="AN165" s="662" t="e">
        <f ca="1">__xlfn.ISFORMULA(Sheet3!$N165)</f>
        <v>#NAME?</v>
      </c>
      <c r="AO165" t="b">
        <f t="shared" si="82"/>
        <v>0</v>
      </c>
      <c r="AQ165" s="451"/>
      <c r="AS165" s="451"/>
      <c r="AT165" s="613"/>
      <c r="AU165" s="471"/>
      <c r="AV165" s="638"/>
      <c r="AW165" s="638"/>
      <c r="AX165" s="655" t="str">
        <f t="shared" si="83"/>
        <v/>
      </c>
      <c r="AY165" s="655" t="str">
        <f t="shared" si="84"/>
        <v/>
      </c>
      <c r="AZ165" s="655" t="str">
        <f t="shared" si="85"/>
        <v/>
      </c>
      <c r="BA165" s="655" t="str">
        <f t="shared" si="86"/>
        <v/>
      </c>
      <c r="BB165" s="655" t="str">
        <f t="shared" si="87"/>
        <v/>
      </c>
      <c r="BC165" s="655" t="str">
        <f t="shared" si="87"/>
        <v/>
      </c>
    </row>
    <row r="166" spans="1:55" ht="12" customHeight="1">
      <c r="A166" s="415"/>
      <c r="B166" s="20"/>
      <c r="C166" s="20"/>
      <c r="D166" s="20"/>
      <c r="E166" s="20"/>
      <c r="F166" s="20"/>
      <c r="G166" s="20"/>
      <c r="H166" s="16"/>
      <c r="I166" s="17"/>
      <c r="J166" s="14"/>
      <c r="K166" s="19"/>
      <c r="L166" s="313">
        <v>1</v>
      </c>
      <c r="M166" s="313">
        <v>2</v>
      </c>
      <c r="N166" s="335">
        <v>3</v>
      </c>
      <c r="O166" s="335">
        <v>4</v>
      </c>
      <c r="P166" s="290">
        <v>5</v>
      </c>
      <c r="Q166" s="290">
        <v>6</v>
      </c>
      <c r="R166" s="446">
        <v>4</v>
      </c>
      <c r="S166" s="290"/>
      <c r="T166" s="290"/>
      <c r="U166" s="292" t="b">
        <f t="shared" si="90"/>
        <v>0</v>
      </c>
      <c r="V166" s="467">
        <v>5</v>
      </c>
      <c r="W166" s="467"/>
      <c r="X166" s="514"/>
      <c r="Y166" s="514"/>
      <c r="Z166" s="514"/>
      <c r="AA166" s="514"/>
      <c r="AB166" s="515">
        <v>7</v>
      </c>
      <c r="AC166" s="515">
        <v>8</v>
      </c>
      <c r="AD166" s="515">
        <v>9</v>
      </c>
      <c r="AE166" s="515">
        <v>10</v>
      </c>
      <c r="AF166" s="515">
        <v>11</v>
      </c>
      <c r="AG166" s="515">
        <v>12</v>
      </c>
      <c r="AH166" s="514"/>
      <c r="AI166" s="514"/>
      <c r="AJ166" s="516">
        <f>W166/R166*100</f>
        <v>0</v>
      </c>
      <c r="AK166" s="516"/>
      <c r="AL166" s="516"/>
      <c r="AM166" s="427" t="e">
        <f ca="1">__xlfn.ISFORMULA(Sheet3!$T166)</f>
        <v>#NAME?</v>
      </c>
      <c r="AN166" s="662" t="e">
        <f ca="1">__xlfn.ISFORMULA(Sheet3!$N166)</f>
        <v>#NAME?</v>
      </c>
      <c r="AO166" t="b">
        <f t="shared" si="82"/>
        <v>0</v>
      </c>
      <c r="AQ166" s="446"/>
      <c r="AS166" s="446"/>
      <c r="AT166" s="612"/>
      <c r="AU166" s="467"/>
      <c r="AV166" s="632"/>
      <c r="AW166" s="632"/>
      <c r="AX166" s="655" t="str">
        <f t="shared" si="83"/>
        <v/>
      </c>
      <c r="AY166" s="655" t="str">
        <f t="shared" si="84"/>
        <v/>
      </c>
      <c r="AZ166" s="655" t="str">
        <f t="shared" si="85"/>
        <v/>
      </c>
      <c r="BA166" s="655" t="str">
        <f t="shared" si="86"/>
        <v/>
      </c>
      <c r="BB166" s="655" t="str">
        <f t="shared" si="87"/>
        <v/>
      </c>
      <c r="BC166" s="655" t="str">
        <f t="shared" si="87"/>
        <v/>
      </c>
    </row>
    <row r="167" spans="1:55" ht="12" customHeight="1">
      <c r="A167" s="420"/>
      <c r="B167" s="56"/>
      <c r="C167" s="56"/>
      <c r="D167" s="56"/>
      <c r="E167" s="56"/>
      <c r="F167" s="56"/>
      <c r="G167" s="56"/>
      <c r="H167" s="57">
        <v>683</v>
      </c>
      <c r="I167" s="58"/>
      <c r="J167" s="59"/>
      <c r="K167" s="60" t="s">
        <v>69</v>
      </c>
      <c r="L167" s="315">
        <f t="shared" ref="L167:Q167" si="97">L168</f>
        <v>261076</v>
      </c>
      <c r="M167" s="315">
        <f t="shared" si="97"/>
        <v>34650.739929656913</v>
      </c>
      <c r="N167" s="337">
        <f t="shared" si="97"/>
        <v>187518</v>
      </c>
      <c r="O167" s="337">
        <f t="shared" si="97"/>
        <v>24887.915588293847</v>
      </c>
      <c r="P167" s="292">
        <f t="shared" si="97"/>
        <v>130000</v>
      </c>
      <c r="Q167" s="292">
        <f t="shared" si="97"/>
        <v>35000</v>
      </c>
      <c r="R167" s="453">
        <v>35000</v>
      </c>
      <c r="S167" s="292"/>
      <c r="T167" s="292"/>
      <c r="U167" s="292" t="b">
        <f t="shared" si="90"/>
        <v>0</v>
      </c>
      <c r="V167" s="469">
        <v>35000</v>
      </c>
      <c r="W167" s="469">
        <f>W168</f>
        <v>35000</v>
      </c>
      <c r="X167" s="522">
        <f>X168</f>
        <v>35000</v>
      </c>
      <c r="Y167" s="522"/>
      <c r="Z167" s="522"/>
      <c r="AA167" s="522"/>
      <c r="AB167" s="523">
        <f>AB168</f>
        <v>50000</v>
      </c>
      <c r="AC167" s="523">
        <f>AC168</f>
        <v>50000</v>
      </c>
      <c r="AD167" s="524">
        <f>O167/M167*100</f>
        <v>71.825062433927272</v>
      </c>
      <c r="AE167" s="524">
        <f>P167/O167*100</f>
        <v>522.34185518190259</v>
      </c>
      <c r="AF167" s="524">
        <f>Q167/P167*100</f>
        <v>26.923076923076923</v>
      </c>
      <c r="AG167" s="524">
        <f>AB167/Q167*100</f>
        <v>142.85714285714286</v>
      </c>
      <c r="AH167" s="522"/>
      <c r="AI167" s="522">
        <v>35000</v>
      </c>
      <c r="AJ167" s="516">
        <f>W167/R167*100</f>
        <v>100</v>
      </c>
      <c r="AK167" s="516">
        <f>AT167/W167*100</f>
        <v>100</v>
      </c>
      <c r="AL167" s="516">
        <f>X167/AT167*100</f>
        <v>100</v>
      </c>
      <c r="AM167" s="427" t="e">
        <f ca="1">__xlfn.ISFORMULA(Sheet3!$T167)</f>
        <v>#NAME?</v>
      </c>
      <c r="AN167" s="662" t="e">
        <f ca="1">__xlfn.ISFORMULA(Sheet3!$N167)</f>
        <v>#NAME?</v>
      </c>
      <c r="AO167" t="b">
        <f t="shared" si="82"/>
        <v>1</v>
      </c>
      <c r="AP167" s="440">
        <f>AP168</f>
        <v>20333.939999999999</v>
      </c>
      <c r="AQ167" s="453">
        <v>38709.699999999997</v>
      </c>
      <c r="AR167" s="440">
        <f>AR168</f>
        <v>20333.939999999999</v>
      </c>
      <c r="AS167" s="453">
        <f>AS168</f>
        <v>1069.5</v>
      </c>
      <c r="AT167" s="612">
        <f>AT168</f>
        <v>35000</v>
      </c>
      <c r="AU167" s="469">
        <f>AU168</f>
        <v>35000</v>
      </c>
      <c r="AV167" s="636">
        <v>35000</v>
      </c>
      <c r="AW167" s="636">
        <v>35000</v>
      </c>
      <c r="AX167" s="655">
        <f t="shared" si="83"/>
        <v>100</v>
      </c>
      <c r="AY167" s="655">
        <f t="shared" si="84"/>
        <v>90.41661392364189</v>
      </c>
      <c r="AZ167" s="655">
        <f t="shared" si="85"/>
        <v>100</v>
      </c>
      <c r="BA167" s="655">
        <f t="shared" si="86"/>
        <v>90.41661392364189</v>
      </c>
      <c r="BB167" s="655">
        <f t="shared" si="87"/>
        <v>100</v>
      </c>
      <c r="BC167" s="655">
        <f t="shared" si="87"/>
        <v>100</v>
      </c>
    </row>
    <row r="168" spans="1:55" ht="12" customHeight="1">
      <c r="A168" s="417"/>
      <c r="B168" s="36"/>
      <c r="C168" s="36"/>
      <c r="D168" s="36"/>
      <c r="E168" s="36"/>
      <c r="F168" s="36"/>
      <c r="G168" s="36"/>
      <c r="H168" s="46">
        <v>6831</v>
      </c>
      <c r="I168" s="38"/>
      <c r="J168" s="39"/>
      <c r="K168" s="40" t="s">
        <v>76</v>
      </c>
      <c r="L168" s="309">
        <v>261076</v>
      </c>
      <c r="M168" s="309">
        <f>261076/7.5345</f>
        <v>34650.739929656913</v>
      </c>
      <c r="N168" s="339">
        <v>187518</v>
      </c>
      <c r="O168" s="339">
        <f>N168/7.5345</f>
        <v>24887.915588293847</v>
      </c>
      <c r="P168" s="294">
        <v>130000</v>
      </c>
      <c r="Q168" s="269">
        <v>35000</v>
      </c>
      <c r="R168" s="451">
        <v>35000</v>
      </c>
      <c r="S168" s="294"/>
      <c r="T168" s="294"/>
      <c r="U168" s="292" t="b">
        <f t="shared" si="90"/>
        <v>0</v>
      </c>
      <c r="V168" s="471">
        <v>35000</v>
      </c>
      <c r="W168" s="471">
        <v>35000</v>
      </c>
      <c r="X168" s="527">
        <v>35000</v>
      </c>
      <c r="Y168" s="527"/>
      <c r="Z168" s="527"/>
      <c r="AA168" s="527"/>
      <c r="AB168" s="528">
        <v>50000</v>
      </c>
      <c r="AC168" s="528">
        <v>50000</v>
      </c>
      <c r="AD168" s="524">
        <f>O168/M168*100</f>
        <v>71.825062433927272</v>
      </c>
      <c r="AE168" s="524">
        <f>P168/O168*100</f>
        <v>522.34185518190259</v>
      </c>
      <c r="AF168" s="524">
        <f>Q168/P168*100</f>
        <v>26.923076923076923</v>
      </c>
      <c r="AG168" s="524">
        <f>AB168/Q168*100</f>
        <v>142.85714285714286</v>
      </c>
      <c r="AH168" s="527"/>
      <c r="AI168" s="527">
        <v>35000</v>
      </c>
      <c r="AJ168" s="516">
        <f>W168/R168*100</f>
        <v>100</v>
      </c>
      <c r="AK168" s="516">
        <f>AT168/W168*100</f>
        <v>100</v>
      </c>
      <c r="AL168" s="516">
        <f>X168/AT168*100</f>
        <v>100</v>
      </c>
      <c r="AM168" s="427" t="e">
        <f ca="1">__xlfn.ISFORMULA(Sheet3!$T168)</f>
        <v>#NAME?</v>
      </c>
      <c r="AN168" s="662" t="e">
        <f ca="1">__xlfn.ISFORMULA(Sheet3!$N168)</f>
        <v>#NAME?</v>
      </c>
      <c r="AO168" t="b">
        <f t="shared" si="82"/>
        <v>0</v>
      </c>
      <c r="AP168" s="595">
        <v>20333.939999999999</v>
      </c>
      <c r="AQ168" s="451">
        <v>38709.699999999997</v>
      </c>
      <c r="AR168" s="595">
        <v>20333.939999999999</v>
      </c>
      <c r="AS168" s="451">
        <v>1069.5</v>
      </c>
      <c r="AT168" s="613">
        <v>35000</v>
      </c>
      <c r="AU168" s="471">
        <v>35000</v>
      </c>
      <c r="AV168" s="638">
        <v>35000</v>
      </c>
      <c r="AW168" s="638">
        <v>35000</v>
      </c>
      <c r="AX168" s="655">
        <f t="shared" si="83"/>
        <v>100</v>
      </c>
      <c r="AY168" s="655">
        <f t="shared" si="84"/>
        <v>90.41661392364189</v>
      </c>
      <c r="AZ168" s="655">
        <f t="shared" si="85"/>
        <v>100</v>
      </c>
      <c r="BA168" s="655">
        <f t="shared" si="86"/>
        <v>90.41661392364189</v>
      </c>
      <c r="BB168" s="655">
        <f t="shared" si="87"/>
        <v>100</v>
      </c>
      <c r="BC168" s="655">
        <f t="shared" si="87"/>
        <v>100</v>
      </c>
    </row>
    <row r="169" spans="1:55" ht="12" customHeight="1">
      <c r="A169" s="415"/>
      <c r="B169" s="20"/>
      <c r="C169" s="20"/>
      <c r="D169" s="20"/>
      <c r="E169" s="20"/>
      <c r="F169" s="20"/>
      <c r="G169" s="20"/>
      <c r="H169" s="16"/>
      <c r="I169" s="17"/>
      <c r="J169" s="14"/>
      <c r="K169" s="19"/>
      <c r="L169" s="313"/>
      <c r="M169" s="313"/>
      <c r="N169" s="335"/>
      <c r="O169" s="335"/>
      <c r="P169" s="290"/>
      <c r="Q169" s="290"/>
      <c r="R169" s="446"/>
      <c r="S169" s="290"/>
      <c r="T169" s="290"/>
      <c r="U169" s="292" t="b">
        <f t="shared" si="90"/>
        <v>0</v>
      </c>
      <c r="V169" s="467"/>
      <c r="W169" s="467"/>
      <c r="X169" s="514"/>
      <c r="Y169" s="514"/>
      <c r="Z169" s="514"/>
      <c r="AA169" s="514"/>
      <c r="AB169" s="515"/>
      <c r="AC169" s="515"/>
      <c r="AD169" s="524"/>
      <c r="AE169" s="524"/>
      <c r="AF169" s="524"/>
      <c r="AG169" s="524"/>
      <c r="AH169" s="514"/>
      <c r="AI169" s="514"/>
      <c r="AJ169" s="516"/>
      <c r="AK169" s="516"/>
      <c r="AL169" s="516"/>
      <c r="AM169" s="427" t="e">
        <f ca="1">__xlfn.ISFORMULA(Sheet3!$T169)</f>
        <v>#NAME?</v>
      </c>
      <c r="AN169" s="662" t="e">
        <f ca="1">__xlfn.ISFORMULA(Sheet3!$N169)</f>
        <v>#NAME?</v>
      </c>
      <c r="AO169" t="b">
        <f t="shared" si="82"/>
        <v>0</v>
      </c>
      <c r="AQ169" s="446"/>
      <c r="AS169" s="446"/>
      <c r="AT169" s="612"/>
      <c r="AU169" s="467"/>
      <c r="AV169" s="632"/>
      <c r="AW169" s="632"/>
      <c r="AX169" s="655" t="str">
        <f t="shared" si="83"/>
        <v/>
      </c>
      <c r="AY169" s="655" t="str">
        <f t="shared" si="84"/>
        <v/>
      </c>
      <c r="AZ169" s="655" t="str">
        <f t="shared" si="85"/>
        <v/>
      </c>
      <c r="BA169" s="655" t="str">
        <f t="shared" si="86"/>
        <v/>
      </c>
      <c r="BB169" s="655" t="str">
        <f t="shared" si="87"/>
        <v/>
      </c>
      <c r="BC169" s="655" t="str">
        <f t="shared" si="87"/>
        <v/>
      </c>
    </row>
    <row r="170" spans="1:55" ht="12" customHeight="1">
      <c r="A170" s="418"/>
      <c r="B170" s="41"/>
      <c r="C170" s="41"/>
      <c r="D170" s="41"/>
      <c r="E170" s="41"/>
      <c r="F170" s="41"/>
      <c r="G170" s="41"/>
      <c r="H170" s="42">
        <v>7</v>
      </c>
      <c r="I170" s="43"/>
      <c r="J170" s="44"/>
      <c r="K170" s="45" t="s">
        <v>77</v>
      </c>
      <c r="L170" s="315">
        <f t="shared" ref="L170:Q170" si="98">L172+L179</f>
        <v>57946</v>
      </c>
      <c r="M170" s="315">
        <f t="shared" si="98"/>
        <v>7690.7558563939201</v>
      </c>
      <c r="N170" s="337">
        <f t="shared" si="98"/>
        <v>2919</v>
      </c>
      <c r="O170" s="337">
        <f t="shared" si="98"/>
        <v>387.41787776229341</v>
      </c>
      <c r="P170" s="292">
        <f t="shared" si="98"/>
        <v>420530</v>
      </c>
      <c r="Q170" s="292">
        <f t="shared" si="98"/>
        <v>327930</v>
      </c>
      <c r="R170" s="453">
        <v>327930</v>
      </c>
      <c r="S170" s="292"/>
      <c r="T170" s="292"/>
      <c r="U170" s="292" t="b">
        <f t="shared" si="90"/>
        <v>0</v>
      </c>
      <c r="V170" s="469">
        <v>200530</v>
      </c>
      <c r="W170" s="469">
        <f>W172+W179</f>
        <v>5130</v>
      </c>
      <c r="X170" s="522">
        <f>X172+X179</f>
        <v>530</v>
      </c>
      <c r="Y170" s="522"/>
      <c r="Z170" s="522"/>
      <c r="AA170" s="522"/>
      <c r="AB170" s="523">
        <f>AB172+AB179</f>
        <v>100530</v>
      </c>
      <c r="AC170" s="523">
        <f>AC172+AC179</f>
        <v>100530</v>
      </c>
      <c r="AD170" s="524">
        <f>O170/M170*100</f>
        <v>5.0374486590964</v>
      </c>
      <c r="AE170" s="524"/>
      <c r="AF170" s="524"/>
      <c r="AG170" s="524"/>
      <c r="AH170" s="522"/>
      <c r="AI170" s="522">
        <v>530</v>
      </c>
      <c r="AJ170" s="516">
        <f>W170/R170*100</f>
        <v>1.5643582471868995</v>
      </c>
      <c r="AK170" s="516">
        <f>AT170/W170*100</f>
        <v>3908.966861598441</v>
      </c>
      <c r="AL170" s="516">
        <f>X170/AT170*100</f>
        <v>0.26429960604398345</v>
      </c>
      <c r="AM170" s="427" t="e">
        <f ca="1">__xlfn.ISFORMULA(Sheet3!$T170)</f>
        <v>#NAME?</v>
      </c>
      <c r="AN170" s="662" t="e">
        <f ca="1">__xlfn.ISFORMULA(Sheet3!$N170)</f>
        <v>#NAME?</v>
      </c>
      <c r="AO170" t="b">
        <f t="shared" si="82"/>
        <v>1</v>
      </c>
      <c r="AP170" s="440">
        <f>AP172+AP179</f>
        <v>4971.54</v>
      </c>
      <c r="AQ170" s="453">
        <v>4971.54</v>
      </c>
      <c r="AR170" s="440">
        <f>AR172+AR179</f>
        <v>4971.54</v>
      </c>
      <c r="AS170" s="453">
        <f>AS172+AS179</f>
        <v>0</v>
      </c>
      <c r="AT170" s="612">
        <f>AT172+AT179</f>
        <v>200530</v>
      </c>
      <c r="AU170" s="469">
        <f>AU172+AU179</f>
        <v>530</v>
      </c>
      <c r="AV170" s="636">
        <v>530</v>
      </c>
      <c r="AW170" s="636">
        <v>530</v>
      </c>
      <c r="AX170" s="655">
        <f t="shared" si="83"/>
        <v>61.150245479218121</v>
      </c>
      <c r="AY170" s="655">
        <f t="shared" si="84"/>
        <v>4033.559017930058</v>
      </c>
      <c r="AZ170" s="655">
        <f t="shared" si="85"/>
        <v>0.26429960604398345</v>
      </c>
      <c r="BA170" s="655">
        <f t="shared" si="86"/>
        <v>10.660680593940711</v>
      </c>
      <c r="BB170" s="655">
        <f t="shared" si="87"/>
        <v>100</v>
      </c>
      <c r="BC170" s="655">
        <f t="shared" si="87"/>
        <v>100</v>
      </c>
    </row>
    <row r="171" spans="1:55" ht="12" customHeight="1">
      <c r="A171" s="424"/>
      <c r="B171" s="66"/>
      <c r="C171" s="66"/>
      <c r="D171" s="66"/>
      <c r="E171" s="66"/>
      <c r="F171" s="66"/>
      <c r="G171" s="66"/>
      <c r="H171" s="67"/>
      <c r="I171" s="68"/>
      <c r="J171" s="69"/>
      <c r="K171" s="40"/>
      <c r="L171" s="316"/>
      <c r="M171" s="316"/>
      <c r="N171" s="338"/>
      <c r="O171" s="338"/>
      <c r="P171" s="293"/>
      <c r="Q171" s="293"/>
      <c r="R171" s="454"/>
      <c r="S171" s="293"/>
      <c r="T171" s="293"/>
      <c r="U171" s="292" t="b">
        <f t="shared" si="90"/>
        <v>0</v>
      </c>
      <c r="V171" s="470"/>
      <c r="W171" s="470"/>
      <c r="X171" s="525"/>
      <c r="Y171" s="525"/>
      <c r="Z171" s="525"/>
      <c r="AA171" s="525"/>
      <c r="AB171" s="526"/>
      <c r="AC171" s="526"/>
      <c r="AD171" s="524"/>
      <c r="AE171" s="524"/>
      <c r="AF171" s="524"/>
      <c r="AG171" s="524"/>
      <c r="AH171" s="525"/>
      <c r="AI171" s="525"/>
      <c r="AJ171" s="516"/>
      <c r="AK171" s="516"/>
      <c r="AL171" s="516"/>
      <c r="AM171" s="427" t="e">
        <f ca="1">__xlfn.ISFORMULA(Sheet3!$T171)</f>
        <v>#NAME?</v>
      </c>
      <c r="AN171" s="662" t="e">
        <f ca="1">__xlfn.ISFORMULA(Sheet3!$N171)</f>
        <v>#NAME?</v>
      </c>
      <c r="AO171" t="b">
        <f t="shared" si="82"/>
        <v>0</v>
      </c>
      <c r="AQ171" s="454"/>
      <c r="AS171" s="454"/>
      <c r="AT171" s="613"/>
      <c r="AU171" s="470"/>
      <c r="AV171" s="637"/>
      <c r="AW171" s="637"/>
      <c r="AX171" s="655" t="str">
        <f t="shared" si="83"/>
        <v/>
      </c>
      <c r="AY171" s="655" t="str">
        <f t="shared" si="84"/>
        <v/>
      </c>
      <c r="AZ171" s="655" t="str">
        <f t="shared" si="85"/>
        <v/>
      </c>
      <c r="BA171" s="655" t="str">
        <f t="shared" si="86"/>
        <v/>
      </c>
      <c r="BB171" s="655" t="str">
        <f t="shared" si="87"/>
        <v/>
      </c>
      <c r="BC171" s="655" t="str">
        <f t="shared" si="87"/>
        <v/>
      </c>
    </row>
    <row r="172" spans="1:55" ht="12" customHeight="1">
      <c r="A172" s="419"/>
      <c r="B172" s="47"/>
      <c r="C172" s="47"/>
      <c r="D172" s="47"/>
      <c r="E172" s="47"/>
      <c r="F172" s="47"/>
      <c r="G172" s="47"/>
      <c r="H172" s="48">
        <v>71</v>
      </c>
      <c r="I172" s="49"/>
      <c r="J172" s="50"/>
      <c r="K172" s="51" t="s">
        <v>78</v>
      </c>
      <c r="L172" s="315">
        <f t="shared" ref="L172:Q172" si="99">L174</f>
        <v>2000</v>
      </c>
      <c r="M172" s="315">
        <f t="shared" si="99"/>
        <v>265.44561682925212</v>
      </c>
      <c r="N172" s="337">
        <f t="shared" si="99"/>
        <v>0</v>
      </c>
      <c r="O172" s="337">
        <f t="shared" si="99"/>
        <v>0</v>
      </c>
      <c r="P172" s="292">
        <f t="shared" si="99"/>
        <v>420000</v>
      </c>
      <c r="Q172" s="292">
        <f t="shared" si="99"/>
        <v>327400</v>
      </c>
      <c r="R172" s="453">
        <v>327400</v>
      </c>
      <c r="S172" s="292"/>
      <c r="T172" s="292"/>
      <c r="U172" s="292" t="b">
        <f t="shared" si="90"/>
        <v>0</v>
      </c>
      <c r="V172" s="469">
        <v>200000</v>
      </c>
      <c r="W172" s="469">
        <f>W174</f>
        <v>4600</v>
      </c>
      <c r="X172" s="522">
        <f>X174</f>
        <v>0</v>
      </c>
      <c r="Y172" s="522"/>
      <c r="Z172" s="522"/>
      <c r="AA172" s="522"/>
      <c r="AB172" s="523">
        <f>AB174</f>
        <v>100000</v>
      </c>
      <c r="AC172" s="523">
        <f>AC174</f>
        <v>100000</v>
      </c>
      <c r="AD172" s="524">
        <f>O172/M172*100</f>
        <v>0</v>
      </c>
      <c r="AE172" s="524"/>
      <c r="AF172" s="524"/>
      <c r="AG172" s="524"/>
      <c r="AH172" s="522"/>
      <c r="AI172" s="522">
        <v>0</v>
      </c>
      <c r="AJ172" s="516">
        <f>W172/R172*100</f>
        <v>1.4050091631032375</v>
      </c>
      <c r="AK172" s="516">
        <f>AT172/W172*100</f>
        <v>4347.826086956522</v>
      </c>
      <c r="AL172" s="516"/>
      <c r="AM172" s="427" t="e">
        <f ca="1">__xlfn.ISFORMULA(Sheet3!$T172)</f>
        <v>#NAME?</v>
      </c>
      <c r="AN172" s="662" t="e">
        <f ca="1">__xlfn.ISFORMULA(Sheet3!$N172)</f>
        <v>#NAME?</v>
      </c>
      <c r="AO172" t="b">
        <f t="shared" si="82"/>
        <v>1</v>
      </c>
      <c r="AP172" s="440">
        <f>AP174</f>
        <v>4613.33</v>
      </c>
      <c r="AQ172" s="453">
        <v>4613.33</v>
      </c>
      <c r="AR172" s="440">
        <f>AR174</f>
        <v>4613.33</v>
      </c>
      <c r="AS172" s="453">
        <f>AS174</f>
        <v>0</v>
      </c>
      <c r="AT172" s="612">
        <f>AT174</f>
        <v>200000</v>
      </c>
      <c r="AU172" s="469">
        <f>AU174</f>
        <v>0</v>
      </c>
      <c r="AV172" s="636">
        <v>0</v>
      </c>
      <c r="AW172" s="636">
        <v>0</v>
      </c>
      <c r="AX172" s="655">
        <f t="shared" si="83"/>
        <v>61.087354917532068</v>
      </c>
      <c r="AY172" s="655">
        <f t="shared" si="84"/>
        <v>4335.2632480225775</v>
      </c>
      <c r="AZ172" s="655">
        <f t="shared" si="85"/>
        <v>0</v>
      </c>
      <c r="BA172" s="655">
        <f t="shared" si="86"/>
        <v>0</v>
      </c>
      <c r="BB172" s="655" t="str">
        <f t="shared" si="87"/>
        <v/>
      </c>
      <c r="BC172" s="655" t="str">
        <f t="shared" si="87"/>
        <v/>
      </c>
    </row>
    <row r="173" spans="1:55" ht="12" customHeight="1">
      <c r="A173" s="417"/>
      <c r="B173" s="36"/>
      <c r="C173" s="36"/>
      <c r="D173" s="36"/>
      <c r="E173" s="36"/>
      <c r="F173" s="36"/>
      <c r="G173" s="36"/>
      <c r="H173" s="46"/>
      <c r="I173" s="38"/>
      <c r="J173" s="39"/>
      <c r="K173" s="40"/>
      <c r="L173" s="316"/>
      <c r="M173" s="316"/>
      <c r="N173" s="338"/>
      <c r="O173" s="338"/>
      <c r="P173" s="293"/>
      <c r="Q173" s="293"/>
      <c r="R173" s="454"/>
      <c r="S173" s="293"/>
      <c r="T173" s="293"/>
      <c r="U173" s="292" t="b">
        <f t="shared" si="90"/>
        <v>0</v>
      </c>
      <c r="V173" s="470"/>
      <c r="W173" s="470"/>
      <c r="X173" s="525"/>
      <c r="Y173" s="525"/>
      <c r="Z173" s="525"/>
      <c r="AA173" s="525"/>
      <c r="AB173" s="526"/>
      <c r="AC173" s="526"/>
      <c r="AD173" s="524"/>
      <c r="AE173" s="524"/>
      <c r="AF173" s="524"/>
      <c r="AG173" s="524"/>
      <c r="AH173" s="525"/>
      <c r="AI173" s="525"/>
      <c r="AJ173" s="516"/>
      <c r="AK173" s="516"/>
      <c r="AL173" s="516"/>
      <c r="AM173" s="427" t="e">
        <f ca="1">__xlfn.ISFORMULA(Sheet3!$T173)</f>
        <v>#NAME?</v>
      </c>
      <c r="AN173" s="662" t="e">
        <f ca="1">__xlfn.ISFORMULA(Sheet3!$N173)</f>
        <v>#NAME?</v>
      </c>
      <c r="AO173" t="b">
        <f t="shared" si="82"/>
        <v>0</v>
      </c>
      <c r="AQ173" s="454"/>
      <c r="AS173" s="454"/>
      <c r="AT173" s="613"/>
      <c r="AU173" s="470"/>
      <c r="AV173" s="637"/>
      <c r="AW173" s="637"/>
      <c r="AX173" s="655" t="str">
        <f t="shared" si="83"/>
        <v/>
      </c>
      <c r="AY173" s="655" t="str">
        <f t="shared" si="84"/>
        <v/>
      </c>
      <c r="AZ173" s="655" t="str">
        <f t="shared" si="85"/>
        <v/>
      </c>
      <c r="BA173" s="655" t="str">
        <f t="shared" si="86"/>
        <v/>
      </c>
      <c r="BB173" s="655" t="str">
        <f t="shared" si="87"/>
        <v/>
      </c>
      <c r="BC173" s="655" t="str">
        <f t="shared" si="87"/>
        <v/>
      </c>
    </row>
    <row r="174" spans="1:55" ht="12" customHeight="1">
      <c r="A174" s="420"/>
      <c r="B174" s="56"/>
      <c r="C174" s="56"/>
      <c r="D174" s="56"/>
      <c r="E174" s="56"/>
      <c r="F174" s="56"/>
      <c r="G174" s="56"/>
      <c r="H174" s="57">
        <v>711</v>
      </c>
      <c r="I174" s="58"/>
      <c r="J174" s="59"/>
      <c r="K174" s="60" t="s">
        <v>79</v>
      </c>
      <c r="L174" s="315">
        <f t="shared" ref="L174:Q175" si="100">L175</f>
        <v>2000</v>
      </c>
      <c r="M174" s="315">
        <f t="shared" si="100"/>
        <v>265.44561682925212</v>
      </c>
      <c r="N174" s="337">
        <f t="shared" si="100"/>
        <v>0</v>
      </c>
      <c r="O174" s="337">
        <f t="shared" si="100"/>
        <v>0</v>
      </c>
      <c r="P174" s="292">
        <f t="shared" si="100"/>
        <v>420000</v>
      </c>
      <c r="Q174" s="292">
        <f t="shared" si="100"/>
        <v>327400</v>
      </c>
      <c r="R174" s="453">
        <v>327400</v>
      </c>
      <c r="S174" s="292"/>
      <c r="T174" s="292"/>
      <c r="U174" s="292" t="b">
        <f t="shared" si="90"/>
        <v>0</v>
      </c>
      <c r="V174" s="469">
        <v>200000</v>
      </c>
      <c r="W174" s="469">
        <f>W175</f>
        <v>4600</v>
      </c>
      <c r="X174" s="522">
        <f>X175</f>
        <v>0</v>
      </c>
      <c r="Y174" s="522"/>
      <c r="Z174" s="522"/>
      <c r="AA174" s="522"/>
      <c r="AB174" s="523">
        <f>AB175</f>
        <v>100000</v>
      </c>
      <c r="AC174" s="523">
        <f>AC175</f>
        <v>100000</v>
      </c>
      <c r="AD174" s="524">
        <f>O174/M174*100</f>
        <v>0</v>
      </c>
      <c r="AE174" s="524"/>
      <c r="AF174" s="524"/>
      <c r="AG174" s="524"/>
      <c r="AH174" s="522"/>
      <c r="AI174" s="522">
        <v>0</v>
      </c>
      <c r="AJ174" s="516">
        <f>W174/R174*100</f>
        <v>1.4050091631032375</v>
      </c>
      <c r="AK174" s="516">
        <f>AT174/W174*100</f>
        <v>4347.826086956522</v>
      </c>
      <c r="AL174" s="516"/>
      <c r="AM174" s="427" t="e">
        <f ca="1">__xlfn.ISFORMULA(Sheet3!$T174)</f>
        <v>#NAME?</v>
      </c>
      <c r="AN174" s="662" t="e">
        <f ca="1">__xlfn.ISFORMULA(Sheet3!$N174)</f>
        <v>#NAME?</v>
      </c>
      <c r="AO174" t="b">
        <f t="shared" si="82"/>
        <v>1</v>
      </c>
      <c r="AP174" s="440">
        <f>AP175</f>
        <v>4613.33</v>
      </c>
      <c r="AQ174" s="453">
        <v>4613.33</v>
      </c>
      <c r="AR174" s="440">
        <f>AR175</f>
        <v>4613.33</v>
      </c>
      <c r="AS174" s="453">
        <f>AS175</f>
        <v>0</v>
      </c>
      <c r="AT174" s="612">
        <f>AT175</f>
        <v>200000</v>
      </c>
      <c r="AU174" s="469">
        <f>AU175</f>
        <v>0</v>
      </c>
      <c r="AV174" s="636">
        <v>0</v>
      </c>
      <c r="AW174" s="636">
        <v>0</v>
      </c>
      <c r="AX174" s="655">
        <f t="shared" si="83"/>
        <v>61.087354917532068</v>
      </c>
      <c r="AY174" s="655">
        <f t="shared" si="84"/>
        <v>4335.2632480225775</v>
      </c>
      <c r="AZ174" s="655">
        <f t="shared" si="85"/>
        <v>0</v>
      </c>
      <c r="BA174" s="655">
        <f t="shared" si="86"/>
        <v>0</v>
      </c>
      <c r="BB174" s="655" t="str">
        <f t="shared" si="87"/>
        <v/>
      </c>
      <c r="BC174" s="655" t="str">
        <f t="shared" si="87"/>
        <v/>
      </c>
    </row>
    <row r="175" spans="1:55" ht="12" customHeight="1">
      <c r="A175" s="417"/>
      <c r="B175" s="36"/>
      <c r="C175" s="36"/>
      <c r="D175" s="36"/>
      <c r="E175" s="36"/>
      <c r="F175" s="36"/>
      <c r="G175" s="36"/>
      <c r="H175" s="46">
        <v>7111</v>
      </c>
      <c r="I175" s="38"/>
      <c r="J175" s="39"/>
      <c r="K175" s="40" t="s">
        <v>80</v>
      </c>
      <c r="L175" s="315">
        <f t="shared" si="100"/>
        <v>2000</v>
      </c>
      <c r="M175" s="315">
        <f t="shared" si="100"/>
        <v>265.44561682925212</v>
      </c>
      <c r="N175" s="337">
        <f t="shared" si="100"/>
        <v>0</v>
      </c>
      <c r="O175" s="337">
        <f t="shared" si="100"/>
        <v>0</v>
      </c>
      <c r="P175" s="292">
        <f t="shared" si="100"/>
        <v>420000</v>
      </c>
      <c r="Q175" s="292">
        <f t="shared" si="100"/>
        <v>327400</v>
      </c>
      <c r="R175" s="453">
        <v>327400</v>
      </c>
      <c r="S175" s="292"/>
      <c r="T175" s="292"/>
      <c r="U175" s="292" t="b">
        <f t="shared" si="90"/>
        <v>0</v>
      </c>
      <c r="V175" s="469">
        <v>200000</v>
      </c>
      <c r="W175" s="469">
        <f>W178</f>
        <v>4600</v>
      </c>
      <c r="X175" s="522">
        <f>X178</f>
        <v>0</v>
      </c>
      <c r="Y175" s="522"/>
      <c r="Z175" s="522"/>
      <c r="AA175" s="522"/>
      <c r="AB175" s="523">
        <f>AB176</f>
        <v>100000</v>
      </c>
      <c r="AC175" s="523">
        <f>AC176</f>
        <v>100000</v>
      </c>
      <c r="AD175" s="524">
        <f>O175/M175*100</f>
        <v>0</v>
      </c>
      <c r="AE175" s="524"/>
      <c r="AF175" s="524"/>
      <c r="AG175" s="524"/>
      <c r="AH175" s="522"/>
      <c r="AI175" s="522">
        <v>0</v>
      </c>
      <c r="AJ175" s="516">
        <f>W175/R175*100</f>
        <v>1.4050091631032375</v>
      </c>
      <c r="AK175" s="516">
        <f>AT175/W175*100</f>
        <v>4347.826086956522</v>
      </c>
      <c r="AL175" s="516"/>
      <c r="AM175" s="427" t="e">
        <f ca="1">__xlfn.ISFORMULA(Sheet3!$T175)</f>
        <v>#NAME?</v>
      </c>
      <c r="AN175" s="662" t="e">
        <f ca="1">__xlfn.ISFORMULA(Sheet3!$N175)</f>
        <v>#NAME?</v>
      </c>
      <c r="AO175" t="b">
        <f t="shared" si="82"/>
        <v>1</v>
      </c>
      <c r="AP175" s="440">
        <f>AP176+AP177+AP178</f>
        <v>4613.33</v>
      </c>
      <c r="AQ175" s="453">
        <v>4613.33</v>
      </c>
      <c r="AR175" s="440">
        <f>AR176+AR177+AR178</f>
        <v>4613.33</v>
      </c>
      <c r="AS175" s="453">
        <f>AS176+AS177+AS178</f>
        <v>0</v>
      </c>
      <c r="AT175" s="612">
        <f>AT176+AT177+AT178</f>
        <v>200000</v>
      </c>
      <c r="AU175" s="469">
        <f>AU176+AU177+AU178</f>
        <v>0</v>
      </c>
      <c r="AV175" s="636">
        <v>0</v>
      </c>
      <c r="AW175" s="636">
        <v>0</v>
      </c>
      <c r="AX175" s="655">
        <f t="shared" si="83"/>
        <v>61.087354917532068</v>
      </c>
      <c r="AY175" s="655">
        <f t="shared" si="84"/>
        <v>4335.2632480225775</v>
      </c>
      <c r="AZ175" s="655">
        <f t="shared" si="85"/>
        <v>0</v>
      </c>
      <c r="BA175" s="655">
        <f t="shared" si="86"/>
        <v>0</v>
      </c>
      <c r="BB175" s="655" t="str">
        <f t="shared" si="87"/>
        <v/>
      </c>
      <c r="BC175" s="655" t="str">
        <f t="shared" si="87"/>
        <v/>
      </c>
    </row>
    <row r="176" spans="1:55" ht="12" customHeight="1">
      <c r="A176" s="417"/>
      <c r="B176" s="36"/>
      <c r="C176" s="36"/>
      <c r="D176" s="36"/>
      <c r="E176" s="36"/>
      <c r="F176" s="36"/>
      <c r="G176" s="36"/>
      <c r="H176" s="46">
        <v>71112</v>
      </c>
      <c r="I176" s="38"/>
      <c r="J176" s="39"/>
      <c r="K176" s="40" t="s">
        <v>81</v>
      </c>
      <c r="L176" s="309">
        <v>2000</v>
      </c>
      <c r="M176" s="309">
        <f>2000/7.5345</f>
        <v>265.44561682925212</v>
      </c>
      <c r="N176" s="339">
        <v>0</v>
      </c>
      <c r="O176" s="339">
        <v>0</v>
      </c>
      <c r="P176" s="294">
        <v>420000</v>
      </c>
      <c r="Q176" s="269">
        <v>327400</v>
      </c>
      <c r="R176" s="451">
        <v>327400</v>
      </c>
      <c r="S176" s="294"/>
      <c r="T176" s="294"/>
      <c r="U176" s="292" t="b">
        <f t="shared" si="90"/>
        <v>0</v>
      </c>
      <c r="V176" s="471">
        <v>200000</v>
      </c>
      <c r="W176" s="471"/>
      <c r="X176" s="527"/>
      <c r="Y176" s="527"/>
      <c r="Z176" s="527"/>
      <c r="AA176" s="527"/>
      <c r="AB176" s="528">
        <v>100000</v>
      </c>
      <c r="AC176" s="528">
        <v>100000</v>
      </c>
      <c r="AD176" s="524">
        <f>O176/M176*100</f>
        <v>0</v>
      </c>
      <c r="AE176" s="524"/>
      <c r="AF176" s="524"/>
      <c r="AG176" s="524"/>
      <c r="AH176" s="527"/>
      <c r="AI176" s="527"/>
      <c r="AJ176" s="516">
        <f>W176/R176*100</f>
        <v>0</v>
      </c>
      <c r="AK176" s="516"/>
      <c r="AL176" s="516"/>
      <c r="AM176" s="427" t="e">
        <f ca="1">__xlfn.ISFORMULA(Sheet3!$T176)</f>
        <v>#NAME?</v>
      </c>
      <c r="AN176" s="662" t="e">
        <f ca="1">__xlfn.ISFORMULA(Sheet3!$N176)</f>
        <v>#NAME?</v>
      </c>
      <c r="AO176" t="b">
        <f t="shared" si="82"/>
        <v>0</v>
      </c>
      <c r="AQ176" s="451"/>
      <c r="AS176" s="451"/>
      <c r="AT176" s="613">
        <v>200000</v>
      </c>
      <c r="AU176" s="471"/>
      <c r="AV176" s="638"/>
      <c r="AW176" s="638"/>
      <c r="AX176" s="655">
        <f t="shared" si="83"/>
        <v>61.087354917532068</v>
      </c>
      <c r="AY176" s="655" t="str">
        <f t="shared" si="84"/>
        <v/>
      </c>
      <c r="AZ176" s="655" t="str">
        <f t="shared" si="85"/>
        <v/>
      </c>
      <c r="BA176" s="655" t="str">
        <f t="shared" si="86"/>
        <v/>
      </c>
      <c r="BB176" s="655" t="str">
        <f t="shared" si="87"/>
        <v/>
      </c>
      <c r="BC176" s="655" t="str">
        <f t="shared" si="87"/>
        <v/>
      </c>
    </row>
    <row r="177" spans="1:55" ht="12" customHeight="1">
      <c r="A177" s="417"/>
      <c r="B177" s="36"/>
      <c r="C177" s="36"/>
      <c r="D177" s="36"/>
      <c r="E177" s="36"/>
      <c r="F177" s="36"/>
      <c r="G177" s="36"/>
      <c r="H177" s="46">
        <v>71112</v>
      </c>
      <c r="I177" s="38"/>
      <c r="J177" s="39"/>
      <c r="K177" s="71" t="s">
        <v>720</v>
      </c>
      <c r="L177" s="316"/>
      <c r="M177" s="316"/>
      <c r="N177" s="338"/>
      <c r="O177" s="338"/>
      <c r="P177" s="293"/>
      <c r="Q177" s="293"/>
      <c r="R177" s="454"/>
      <c r="S177" s="293"/>
      <c r="T177" s="293"/>
      <c r="U177" s="292" t="b">
        <f t="shared" si="90"/>
        <v>0</v>
      </c>
      <c r="V177" s="470"/>
      <c r="W177" s="470"/>
      <c r="X177" s="525"/>
      <c r="Y177" s="525"/>
      <c r="Z177" s="525"/>
      <c r="AA177" s="525"/>
      <c r="AB177" s="526"/>
      <c r="AC177" s="526"/>
      <c r="AD177" s="524"/>
      <c r="AE177" s="524"/>
      <c r="AF177" s="524"/>
      <c r="AG177" s="524"/>
      <c r="AH177" s="525"/>
      <c r="AI177" s="525"/>
      <c r="AJ177" s="516"/>
      <c r="AK177" s="516"/>
      <c r="AL177" s="516"/>
      <c r="AM177" s="427" t="e">
        <f ca="1">__xlfn.ISFORMULA(Sheet3!$T177)</f>
        <v>#NAME?</v>
      </c>
      <c r="AN177" s="662" t="e">
        <f ca="1">__xlfn.ISFORMULA(Sheet3!$N177)</f>
        <v>#NAME?</v>
      </c>
      <c r="AO177" t="b">
        <f t="shared" si="82"/>
        <v>0</v>
      </c>
      <c r="AQ177" s="454"/>
      <c r="AS177" s="454"/>
      <c r="AT177" s="613"/>
      <c r="AU177" s="470"/>
      <c r="AV177" s="637"/>
      <c r="AW177" s="637"/>
      <c r="AX177" s="655" t="str">
        <f t="shared" si="83"/>
        <v/>
      </c>
      <c r="AY177" s="655" t="str">
        <f t="shared" si="84"/>
        <v/>
      </c>
      <c r="AZ177" s="655" t="str">
        <f t="shared" si="85"/>
        <v/>
      </c>
      <c r="BA177" s="655" t="str">
        <f t="shared" si="86"/>
        <v/>
      </c>
      <c r="BB177" s="655" t="str">
        <f t="shared" si="87"/>
        <v/>
      </c>
      <c r="BC177" s="655" t="str">
        <f t="shared" si="87"/>
        <v/>
      </c>
    </row>
    <row r="178" spans="1:55" ht="12" customHeight="1">
      <c r="A178" s="417"/>
      <c r="B178" s="36"/>
      <c r="C178" s="36"/>
      <c r="D178" s="36"/>
      <c r="E178" s="36"/>
      <c r="F178" s="36"/>
      <c r="G178" s="36"/>
      <c r="H178" s="46">
        <v>71119</v>
      </c>
      <c r="I178" s="38"/>
      <c r="J178" s="39"/>
      <c r="K178" s="71" t="s">
        <v>848</v>
      </c>
      <c r="L178" s="309"/>
      <c r="M178" s="309"/>
      <c r="N178" s="339"/>
      <c r="O178" s="339"/>
      <c r="P178" s="294"/>
      <c r="Q178" s="294"/>
      <c r="R178" s="451"/>
      <c r="S178" s="294"/>
      <c r="T178" s="294"/>
      <c r="U178" s="292" t="b">
        <f t="shared" si="90"/>
        <v>0</v>
      </c>
      <c r="V178" s="471"/>
      <c r="W178" s="471">
        <v>4600</v>
      </c>
      <c r="X178" s="527"/>
      <c r="Y178" s="527"/>
      <c r="Z178" s="527"/>
      <c r="AA178" s="527"/>
      <c r="AB178" s="528"/>
      <c r="AC178" s="528"/>
      <c r="AD178" s="524"/>
      <c r="AE178" s="524"/>
      <c r="AF178" s="524"/>
      <c r="AG178" s="524"/>
      <c r="AH178" s="527"/>
      <c r="AI178" s="527"/>
      <c r="AJ178" s="516"/>
      <c r="AK178" s="516">
        <f>AT178/W178*100</f>
        <v>0</v>
      </c>
      <c r="AL178" s="516"/>
      <c r="AM178" s="427" t="e">
        <f ca="1">__xlfn.ISFORMULA(Sheet3!$T178)</f>
        <v>#NAME?</v>
      </c>
      <c r="AN178" s="662" t="e">
        <f ca="1">__xlfn.ISFORMULA(Sheet3!$N178)</f>
        <v>#NAME?</v>
      </c>
      <c r="AO178" t="b">
        <f t="shared" si="82"/>
        <v>0</v>
      </c>
      <c r="AP178" s="595">
        <v>4613.33</v>
      </c>
      <c r="AQ178" s="451">
        <v>4613.33</v>
      </c>
      <c r="AR178" s="595">
        <v>4613.33</v>
      </c>
      <c r="AS178" s="451"/>
      <c r="AT178" s="613"/>
      <c r="AU178" s="471"/>
      <c r="AV178" s="638"/>
      <c r="AW178" s="638"/>
      <c r="AX178" s="655" t="str">
        <f t="shared" si="83"/>
        <v/>
      </c>
      <c r="AY178" s="655" t="str">
        <f t="shared" si="84"/>
        <v/>
      </c>
      <c r="AZ178" s="655" t="str">
        <f t="shared" si="85"/>
        <v/>
      </c>
      <c r="BA178" s="655" t="str">
        <f t="shared" si="86"/>
        <v/>
      </c>
      <c r="BB178" s="655" t="str">
        <f t="shared" si="87"/>
        <v/>
      </c>
      <c r="BC178" s="655" t="str">
        <f t="shared" si="87"/>
        <v/>
      </c>
    </row>
    <row r="179" spans="1:55" ht="12" customHeight="1">
      <c r="A179" s="419"/>
      <c r="B179" s="47"/>
      <c r="C179" s="47"/>
      <c r="D179" s="47"/>
      <c r="E179" s="47"/>
      <c r="F179" s="47"/>
      <c r="G179" s="47"/>
      <c r="H179" s="48">
        <v>72</v>
      </c>
      <c r="I179" s="49"/>
      <c r="J179" s="50"/>
      <c r="K179" s="51" t="s">
        <v>82</v>
      </c>
      <c r="L179" s="315">
        <f t="shared" ref="L179:Q179" si="101">L181</f>
        <v>55946</v>
      </c>
      <c r="M179" s="315">
        <f t="shared" si="101"/>
        <v>7425.3102395646683</v>
      </c>
      <c r="N179" s="337">
        <f t="shared" si="101"/>
        <v>2919</v>
      </c>
      <c r="O179" s="337">
        <f t="shared" si="101"/>
        <v>387.41787776229341</v>
      </c>
      <c r="P179" s="292">
        <f t="shared" si="101"/>
        <v>530</v>
      </c>
      <c r="Q179" s="292">
        <f t="shared" si="101"/>
        <v>530</v>
      </c>
      <c r="R179" s="453">
        <v>530</v>
      </c>
      <c r="S179" s="292"/>
      <c r="T179" s="292"/>
      <c r="U179" s="292" t="b">
        <f t="shared" si="90"/>
        <v>0</v>
      </c>
      <c r="V179" s="469">
        <v>530</v>
      </c>
      <c r="W179" s="469">
        <f>W181</f>
        <v>530</v>
      </c>
      <c r="X179" s="522">
        <f>X181</f>
        <v>530</v>
      </c>
      <c r="Y179" s="522"/>
      <c r="Z179" s="522"/>
      <c r="AA179" s="522"/>
      <c r="AB179" s="523">
        <f>AB181</f>
        <v>530</v>
      </c>
      <c r="AC179" s="523">
        <f>AC181</f>
        <v>530</v>
      </c>
      <c r="AD179" s="524">
        <f>O179/M179*100</f>
        <v>5.2175311907911199</v>
      </c>
      <c r="AE179" s="524"/>
      <c r="AF179" s="524"/>
      <c r="AG179" s="524"/>
      <c r="AH179" s="522"/>
      <c r="AI179" s="522">
        <v>530</v>
      </c>
      <c r="AJ179" s="516">
        <f>W179/R179*100</f>
        <v>100</v>
      </c>
      <c r="AK179" s="516">
        <f>AT179/W179*100</f>
        <v>100</v>
      </c>
      <c r="AL179" s="516">
        <f>X179/AT179*100</f>
        <v>100</v>
      </c>
      <c r="AM179" s="427" t="e">
        <f ca="1">__xlfn.ISFORMULA(Sheet3!$T179)</f>
        <v>#NAME?</v>
      </c>
      <c r="AN179" s="662" t="e">
        <f ca="1">__xlfn.ISFORMULA(Sheet3!$N179)</f>
        <v>#NAME?</v>
      </c>
      <c r="AO179" t="b">
        <f t="shared" si="82"/>
        <v>1</v>
      </c>
      <c r="AP179" s="440">
        <f>AP181</f>
        <v>358.21</v>
      </c>
      <c r="AQ179" s="453">
        <v>358.21</v>
      </c>
      <c r="AR179" s="440">
        <f>AR181</f>
        <v>358.21</v>
      </c>
      <c r="AS179" s="453">
        <f>AS181</f>
        <v>0</v>
      </c>
      <c r="AT179" s="612">
        <f>AT181</f>
        <v>530</v>
      </c>
      <c r="AU179" s="469">
        <f>AU181</f>
        <v>530</v>
      </c>
      <c r="AV179" s="636">
        <v>530</v>
      </c>
      <c r="AW179" s="636">
        <v>530</v>
      </c>
      <c r="AX179" s="655">
        <f t="shared" si="83"/>
        <v>100</v>
      </c>
      <c r="AY179" s="655">
        <f t="shared" si="84"/>
        <v>147.9579017894531</v>
      </c>
      <c r="AZ179" s="655">
        <f t="shared" si="85"/>
        <v>100</v>
      </c>
      <c r="BA179" s="655">
        <f t="shared" si="86"/>
        <v>147.9579017894531</v>
      </c>
      <c r="BB179" s="655">
        <f t="shared" si="87"/>
        <v>100</v>
      </c>
      <c r="BC179" s="655">
        <f t="shared" si="87"/>
        <v>100</v>
      </c>
    </row>
    <row r="180" spans="1:55" ht="12" customHeight="1">
      <c r="A180" s="415"/>
      <c r="B180" s="20"/>
      <c r="C180" s="20"/>
      <c r="D180" s="20"/>
      <c r="E180" s="20"/>
      <c r="F180" s="20"/>
      <c r="G180" s="20"/>
      <c r="H180" s="16"/>
      <c r="I180" s="17"/>
      <c r="J180" s="14"/>
      <c r="K180" s="19"/>
      <c r="L180" s="313"/>
      <c r="M180" s="313"/>
      <c r="N180" s="335"/>
      <c r="O180" s="335"/>
      <c r="P180" s="290"/>
      <c r="Q180" s="290"/>
      <c r="R180" s="446"/>
      <c r="S180" s="290"/>
      <c r="T180" s="290"/>
      <c r="U180" s="292" t="b">
        <f t="shared" si="90"/>
        <v>0</v>
      </c>
      <c r="V180" s="467"/>
      <c r="W180" s="467"/>
      <c r="X180" s="514"/>
      <c r="Y180" s="514"/>
      <c r="Z180" s="514"/>
      <c r="AA180" s="514"/>
      <c r="AB180" s="515"/>
      <c r="AC180" s="515"/>
      <c r="AD180" s="524"/>
      <c r="AE180" s="524"/>
      <c r="AF180" s="524"/>
      <c r="AG180" s="524"/>
      <c r="AH180" s="514"/>
      <c r="AI180" s="514"/>
      <c r="AJ180" s="516"/>
      <c r="AK180" s="516"/>
      <c r="AL180" s="516"/>
      <c r="AM180" s="427" t="e">
        <f ca="1">__xlfn.ISFORMULA(Sheet3!$T180)</f>
        <v>#NAME?</v>
      </c>
      <c r="AN180" s="662" t="e">
        <f ca="1">__xlfn.ISFORMULA(Sheet3!$N180)</f>
        <v>#NAME?</v>
      </c>
      <c r="AO180" t="b">
        <f t="shared" si="82"/>
        <v>0</v>
      </c>
      <c r="AQ180" s="446"/>
      <c r="AS180" s="446"/>
      <c r="AT180" s="612"/>
      <c r="AU180" s="467"/>
      <c r="AV180" s="632"/>
      <c r="AW180" s="632"/>
      <c r="AX180" s="655" t="str">
        <f t="shared" si="83"/>
        <v/>
      </c>
      <c r="AY180" s="655" t="str">
        <f t="shared" si="84"/>
        <v/>
      </c>
      <c r="AZ180" s="655" t="str">
        <f t="shared" si="85"/>
        <v/>
      </c>
      <c r="BA180" s="655" t="str">
        <f t="shared" si="86"/>
        <v/>
      </c>
      <c r="BB180" s="655" t="str">
        <f t="shared" si="87"/>
        <v/>
      </c>
      <c r="BC180" s="655" t="str">
        <f t="shared" si="87"/>
        <v/>
      </c>
    </row>
    <row r="181" spans="1:55" ht="12" customHeight="1">
      <c r="A181" s="420"/>
      <c r="B181" s="56"/>
      <c r="C181" s="56"/>
      <c r="D181" s="56"/>
      <c r="E181" s="56"/>
      <c r="F181" s="56"/>
      <c r="G181" s="56"/>
      <c r="H181" s="57">
        <v>721</v>
      </c>
      <c r="I181" s="58"/>
      <c r="J181" s="59"/>
      <c r="K181" s="60" t="s">
        <v>83</v>
      </c>
      <c r="L181" s="315">
        <f t="shared" ref="L181:Q181" si="102">L183+L186+L188</f>
        <v>55946</v>
      </c>
      <c r="M181" s="315">
        <f t="shared" si="102"/>
        <v>7425.3102395646683</v>
      </c>
      <c r="N181" s="337">
        <f t="shared" si="102"/>
        <v>2919</v>
      </c>
      <c r="O181" s="337">
        <f t="shared" si="102"/>
        <v>387.41787776229341</v>
      </c>
      <c r="P181" s="292">
        <f t="shared" si="102"/>
        <v>530</v>
      </c>
      <c r="Q181" s="292">
        <f t="shared" si="102"/>
        <v>530</v>
      </c>
      <c r="R181" s="453">
        <v>530</v>
      </c>
      <c r="S181" s="292"/>
      <c r="T181" s="292"/>
      <c r="U181" s="292" t="b">
        <f t="shared" si="90"/>
        <v>0</v>
      </c>
      <c r="V181" s="469">
        <v>530</v>
      </c>
      <c r="W181" s="469">
        <f>W183</f>
        <v>530</v>
      </c>
      <c r="X181" s="522">
        <f>X183</f>
        <v>530</v>
      </c>
      <c r="Y181" s="522"/>
      <c r="Z181" s="522"/>
      <c r="AA181" s="522"/>
      <c r="AB181" s="523">
        <f>AB183+AB186+AB188</f>
        <v>530</v>
      </c>
      <c r="AC181" s="523">
        <f>AC183+AC186+AC188</f>
        <v>530</v>
      </c>
      <c r="AD181" s="524">
        <f>O181/M181*100</f>
        <v>5.2175311907911199</v>
      </c>
      <c r="AE181" s="524"/>
      <c r="AF181" s="524"/>
      <c r="AG181" s="524"/>
      <c r="AH181" s="522"/>
      <c r="AI181" s="522">
        <v>530</v>
      </c>
      <c r="AJ181" s="516">
        <f>W181/R181*100</f>
        <v>100</v>
      </c>
      <c r="AK181" s="516">
        <f>AT181/W181*100</f>
        <v>100</v>
      </c>
      <c r="AL181" s="516">
        <f>X181/AT181*100</f>
        <v>100</v>
      </c>
      <c r="AM181" s="427" t="e">
        <f ca="1">__xlfn.ISFORMULA(Sheet3!$T181)</f>
        <v>#NAME?</v>
      </c>
      <c r="AN181" s="662" t="e">
        <f ca="1">__xlfn.ISFORMULA(Sheet3!$N181)</f>
        <v>#NAME?</v>
      </c>
      <c r="AO181" t="b">
        <f t="shared" si="82"/>
        <v>1</v>
      </c>
      <c r="AP181" s="440">
        <f>AP183</f>
        <v>358.21</v>
      </c>
      <c r="AQ181" s="453">
        <v>358.21</v>
      </c>
      <c r="AR181" s="440">
        <f>AR183</f>
        <v>358.21</v>
      </c>
      <c r="AS181" s="453">
        <f>AS183</f>
        <v>0</v>
      </c>
      <c r="AT181" s="612">
        <f>AT183</f>
        <v>530</v>
      </c>
      <c r="AU181" s="469">
        <f>AU183</f>
        <v>530</v>
      </c>
      <c r="AV181" s="636">
        <v>530</v>
      </c>
      <c r="AW181" s="636">
        <v>530</v>
      </c>
      <c r="AX181" s="655">
        <f t="shared" si="83"/>
        <v>100</v>
      </c>
      <c r="AY181" s="655">
        <f t="shared" si="84"/>
        <v>147.9579017894531</v>
      </c>
      <c r="AZ181" s="655">
        <f t="shared" si="85"/>
        <v>100</v>
      </c>
      <c r="BA181" s="655">
        <f t="shared" si="86"/>
        <v>147.9579017894531</v>
      </c>
      <c r="BB181" s="655">
        <f t="shared" si="87"/>
        <v>100</v>
      </c>
      <c r="BC181" s="655">
        <f t="shared" si="87"/>
        <v>100</v>
      </c>
    </row>
    <row r="182" spans="1:55" ht="12" customHeight="1">
      <c r="A182" s="415"/>
      <c r="B182" s="20"/>
      <c r="C182" s="20"/>
      <c r="D182" s="20"/>
      <c r="E182" s="20"/>
      <c r="F182" s="20"/>
      <c r="G182" s="20"/>
      <c r="H182" s="16"/>
      <c r="I182" s="17"/>
      <c r="J182" s="18"/>
      <c r="K182" s="19"/>
      <c r="L182" s="313"/>
      <c r="M182" s="313"/>
      <c r="N182" s="335"/>
      <c r="O182" s="335"/>
      <c r="P182" s="290"/>
      <c r="Q182" s="290"/>
      <c r="R182" s="446"/>
      <c r="S182" s="290"/>
      <c r="T182" s="290"/>
      <c r="U182" s="292" t="b">
        <f t="shared" si="90"/>
        <v>0</v>
      </c>
      <c r="V182" s="467"/>
      <c r="W182" s="467"/>
      <c r="X182" s="514"/>
      <c r="Y182" s="514"/>
      <c r="Z182" s="514"/>
      <c r="AA182" s="514"/>
      <c r="AB182" s="515"/>
      <c r="AC182" s="515"/>
      <c r="AD182" s="524"/>
      <c r="AE182" s="524"/>
      <c r="AF182" s="524"/>
      <c r="AG182" s="524"/>
      <c r="AH182" s="514"/>
      <c r="AI182" s="514"/>
      <c r="AJ182" s="516"/>
      <c r="AK182" s="516"/>
      <c r="AL182" s="516"/>
      <c r="AM182" s="427" t="e">
        <f ca="1">__xlfn.ISFORMULA(Sheet3!$T182)</f>
        <v>#NAME?</v>
      </c>
      <c r="AN182" s="662" t="e">
        <f ca="1">__xlfn.ISFORMULA(Sheet3!$N182)</f>
        <v>#NAME?</v>
      </c>
      <c r="AO182" t="b">
        <f t="shared" si="82"/>
        <v>0</v>
      </c>
      <c r="AQ182" s="446"/>
      <c r="AS182" s="446"/>
      <c r="AT182" s="612"/>
      <c r="AU182" s="467"/>
      <c r="AV182" s="632"/>
      <c r="AW182" s="632"/>
      <c r="AX182" s="655" t="str">
        <f t="shared" si="83"/>
        <v/>
      </c>
      <c r="AY182" s="655" t="str">
        <f t="shared" si="84"/>
        <v/>
      </c>
      <c r="AZ182" s="655" t="str">
        <f t="shared" si="85"/>
        <v/>
      </c>
      <c r="BA182" s="655" t="str">
        <f t="shared" si="86"/>
        <v/>
      </c>
      <c r="BB182" s="655" t="str">
        <f t="shared" si="87"/>
        <v/>
      </c>
      <c r="BC182" s="655" t="str">
        <f t="shared" si="87"/>
        <v/>
      </c>
    </row>
    <row r="183" spans="1:55" ht="12" customHeight="1">
      <c r="A183" s="417"/>
      <c r="B183" s="36"/>
      <c r="C183" s="36"/>
      <c r="D183" s="36"/>
      <c r="E183" s="36"/>
      <c r="F183" s="36"/>
      <c r="G183" s="36"/>
      <c r="H183" s="46">
        <v>7211</v>
      </c>
      <c r="I183" s="38"/>
      <c r="J183" s="39"/>
      <c r="K183" s="40" t="s">
        <v>84</v>
      </c>
      <c r="L183" s="315">
        <f t="shared" ref="L183:Q183" si="103">L184+L185</f>
        <v>4046</v>
      </c>
      <c r="M183" s="315">
        <f t="shared" si="103"/>
        <v>536.99648284557702</v>
      </c>
      <c r="N183" s="337">
        <f t="shared" si="103"/>
        <v>2919</v>
      </c>
      <c r="O183" s="337">
        <f t="shared" si="103"/>
        <v>387.41787776229341</v>
      </c>
      <c r="P183" s="292">
        <f t="shared" si="103"/>
        <v>530</v>
      </c>
      <c r="Q183" s="292">
        <f t="shared" si="103"/>
        <v>530</v>
      </c>
      <c r="R183" s="453">
        <v>530</v>
      </c>
      <c r="S183" s="292"/>
      <c r="T183" s="292"/>
      <c r="U183" s="292" t="b">
        <f t="shared" si="90"/>
        <v>0</v>
      </c>
      <c r="V183" s="469">
        <v>530</v>
      </c>
      <c r="W183" s="469">
        <f>W184</f>
        <v>530</v>
      </c>
      <c r="X183" s="522">
        <f>X184</f>
        <v>530</v>
      </c>
      <c r="Y183" s="522"/>
      <c r="Z183" s="522"/>
      <c r="AA183" s="522"/>
      <c r="AB183" s="523">
        <f>AB184+AB185</f>
        <v>530</v>
      </c>
      <c r="AC183" s="523">
        <f>AC184+AC185</f>
        <v>530</v>
      </c>
      <c r="AD183" s="524">
        <f>O183/M183*100</f>
        <v>72.145328719723182</v>
      </c>
      <c r="AE183" s="524"/>
      <c r="AF183" s="524"/>
      <c r="AG183" s="524"/>
      <c r="AH183" s="522"/>
      <c r="AI183" s="522">
        <v>530</v>
      </c>
      <c r="AJ183" s="516">
        <f>W183/R183*100</f>
        <v>100</v>
      </c>
      <c r="AK183" s="516">
        <f>AT183/W183*100</f>
        <v>100</v>
      </c>
      <c r="AL183" s="516">
        <f>X183/AT183*100</f>
        <v>100</v>
      </c>
      <c r="AM183" s="427" t="e">
        <f ca="1">__xlfn.ISFORMULA(Sheet3!$T183)</f>
        <v>#NAME?</v>
      </c>
      <c r="AN183" s="662" t="e">
        <f ca="1">__xlfn.ISFORMULA(Sheet3!$N183)</f>
        <v>#NAME?</v>
      </c>
      <c r="AO183" t="b">
        <f t="shared" si="82"/>
        <v>1</v>
      </c>
      <c r="AP183" s="440">
        <f>AP184</f>
        <v>358.21</v>
      </c>
      <c r="AQ183" s="453">
        <v>358.21</v>
      </c>
      <c r="AR183" s="440">
        <f>AR184</f>
        <v>358.21</v>
      </c>
      <c r="AS183" s="453">
        <f>AS184</f>
        <v>0</v>
      </c>
      <c r="AT183" s="612">
        <f>AT184</f>
        <v>530</v>
      </c>
      <c r="AU183" s="469">
        <f>AU184</f>
        <v>530</v>
      </c>
      <c r="AV183" s="636">
        <v>530</v>
      </c>
      <c r="AW183" s="636">
        <v>530</v>
      </c>
      <c r="AX183" s="655">
        <f t="shared" si="83"/>
        <v>100</v>
      </c>
      <c r="AY183" s="655">
        <f t="shared" si="84"/>
        <v>147.9579017894531</v>
      </c>
      <c r="AZ183" s="655">
        <f t="shared" si="85"/>
        <v>100</v>
      </c>
      <c r="BA183" s="655">
        <f t="shared" si="86"/>
        <v>147.9579017894531</v>
      </c>
      <c r="BB183" s="655">
        <f t="shared" si="87"/>
        <v>100</v>
      </c>
      <c r="BC183" s="655">
        <f t="shared" si="87"/>
        <v>100</v>
      </c>
    </row>
    <row r="184" spans="1:55" ht="12" customHeight="1">
      <c r="A184" s="417"/>
      <c r="B184" s="36"/>
      <c r="C184" s="36"/>
      <c r="D184" s="36"/>
      <c r="E184" s="36"/>
      <c r="F184" s="36"/>
      <c r="G184" s="36"/>
      <c r="H184" s="46">
        <v>72119</v>
      </c>
      <c r="I184" s="38"/>
      <c r="J184" s="39"/>
      <c r="K184" s="40" t="s">
        <v>85</v>
      </c>
      <c r="L184" s="309">
        <v>4046</v>
      </c>
      <c r="M184" s="309">
        <f>4046/7.5345</f>
        <v>536.99648284557702</v>
      </c>
      <c r="N184" s="339">
        <v>2919</v>
      </c>
      <c r="O184" s="339">
        <f>N184/7.5345</f>
        <v>387.41787776229341</v>
      </c>
      <c r="P184" s="294">
        <v>530</v>
      </c>
      <c r="Q184" s="294">
        <v>530</v>
      </c>
      <c r="R184" s="451">
        <v>530</v>
      </c>
      <c r="S184" s="294"/>
      <c r="T184" s="294"/>
      <c r="U184" s="292" t="b">
        <f t="shared" si="90"/>
        <v>0</v>
      </c>
      <c r="V184" s="471">
        <v>530</v>
      </c>
      <c r="W184" s="471">
        <v>530</v>
      </c>
      <c r="X184" s="527">
        <v>530</v>
      </c>
      <c r="Y184" s="527"/>
      <c r="Z184" s="527"/>
      <c r="AA184" s="527"/>
      <c r="AB184" s="528">
        <v>530</v>
      </c>
      <c r="AC184" s="528">
        <v>530</v>
      </c>
      <c r="AD184" s="524">
        <f>O184/M184*100</f>
        <v>72.145328719723182</v>
      </c>
      <c r="AE184" s="524">
        <f>P184/O184*100</f>
        <v>136.8031860226105</v>
      </c>
      <c r="AF184" s="524">
        <f>Q184/P184*100</f>
        <v>100</v>
      </c>
      <c r="AG184" s="524">
        <f>AB184/Q184*100</f>
        <v>100</v>
      </c>
      <c r="AH184" s="527"/>
      <c r="AI184" s="527">
        <v>530</v>
      </c>
      <c r="AJ184" s="516">
        <f>W184/R184*100</f>
        <v>100</v>
      </c>
      <c r="AK184" s="516">
        <f>AT184/W184*100</f>
        <v>100</v>
      </c>
      <c r="AL184" s="516">
        <f>X184/AT184*100</f>
        <v>100</v>
      </c>
      <c r="AM184" s="427" t="e">
        <f ca="1">__xlfn.ISFORMULA(Sheet3!$T184)</f>
        <v>#NAME?</v>
      </c>
      <c r="AN184" s="662" t="e">
        <f ca="1">__xlfn.ISFORMULA(Sheet3!$N184)</f>
        <v>#NAME?</v>
      </c>
      <c r="AO184" t="b">
        <f t="shared" si="82"/>
        <v>0</v>
      </c>
      <c r="AP184" s="595">
        <v>358.21</v>
      </c>
      <c r="AQ184" s="451">
        <v>358.21</v>
      </c>
      <c r="AR184" s="595">
        <v>358.21</v>
      </c>
      <c r="AS184" s="451"/>
      <c r="AT184" s="613">
        <v>530</v>
      </c>
      <c r="AU184" s="471">
        <v>530</v>
      </c>
      <c r="AV184" s="638">
        <v>530</v>
      </c>
      <c r="AW184" s="638">
        <v>530</v>
      </c>
      <c r="AX184" s="655">
        <f t="shared" si="83"/>
        <v>100</v>
      </c>
      <c r="AY184" s="655">
        <f t="shared" si="84"/>
        <v>147.9579017894531</v>
      </c>
      <c r="AZ184" s="655">
        <f t="shared" si="85"/>
        <v>100</v>
      </c>
      <c r="BA184" s="655">
        <f t="shared" si="86"/>
        <v>147.9579017894531</v>
      </c>
      <c r="BB184" s="655">
        <f t="shared" si="87"/>
        <v>100</v>
      </c>
      <c r="BC184" s="655">
        <f t="shared" si="87"/>
        <v>100</v>
      </c>
    </row>
    <row r="185" spans="1:55" ht="12" customHeight="1">
      <c r="A185" s="417"/>
      <c r="B185" s="36"/>
      <c r="C185" s="36"/>
      <c r="D185" s="36"/>
      <c r="E185" s="36"/>
      <c r="F185" s="36"/>
      <c r="G185" s="36"/>
      <c r="H185" s="46">
        <v>72119</v>
      </c>
      <c r="I185" s="38"/>
      <c r="J185" s="39"/>
      <c r="K185" s="40" t="s">
        <v>86</v>
      </c>
      <c r="L185" s="309">
        <v>0</v>
      </c>
      <c r="M185" s="309">
        <v>0</v>
      </c>
      <c r="N185" s="339">
        <v>0</v>
      </c>
      <c r="O185" s="339">
        <v>0</v>
      </c>
      <c r="P185" s="294">
        <v>0</v>
      </c>
      <c r="Q185" s="294">
        <v>0</v>
      </c>
      <c r="R185" s="451">
        <v>0</v>
      </c>
      <c r="S185" s="294"/>
      <c r="T185" s="294"/>
      <c r="U185" s="292" t="b">
        <f t="shared" si="90"/>
        <v>0</v>
      </c>
      <c r="V185" s="471">
        <v>0</v>
      </c>
      <c r="W185" s="471"/>
      <c r="X185" s="527"/>
      <c r="Y185" s="527"/>
      <c r="Z185" s="527"/>
      <c r="AA185" s="527"/>
      <c r="AB185" s="528">
        <v>0</v>
      </c>
      <c r="AC185" s="528">
        <v>0</v>
      </c>
      <c r="AD185" s="524"/>
      <c r="AE185" s="524"/>
      <c r="AF185" s="524"/>
      <c r="AG185" s="524"/>
      <c r="AH185" s="527"/>
      <c r="AI185" s="527"/>
      <c r="AJ185" s="516"/>
      <c r="AK185" s="516"/>
      <c r="AL185" s="516"/>
      <c r="AM185" s="427" t="e">
        <f ca="1">__xlfn.ISFORMULA(Sheet3!$T185)</f>
        <v>#NAME?</v>
      </c>
      <c r="AN185" s="662" t="e">
        <f ca="1">__xlfn.ISFORMULA(Sheet3!$N185)</f>
        <v>#NAME?</v>
      </c>
      <c r="AO185" t="b">
        <f t="shared" si="82"/>
        <v>0</v>
      </c>
      <c r="AQ185" s="451"/>
      <c r="AS185" s="451"/>
      <c r="AT185" s="613"/>
      <c r="AU185" s="471"/>
      <c r="AV185" s="638"/>
      <c r="AW185" s="638"/>
      <c r="AX185" s="655" t="str">
        <f t="shared" si="83"/>
        <v/>
      </c>
      <c r="AY185" s="655" t="str">
        <f t="shared" si="84"/>
        <v/>
      </c>
      <c r="AZ185" s="655" t="str">
        <f t="shared" si="85"/>
        <v/>
      </c>
      <c r="BA185" s="655" t="str">
        <f t="shared" si="86"/>
        <v/>
      </c>
      <c r="BB185" s="655" t="str">
        <f t="shared" si="87"/>
        <v/>
      </c>
      <c r="BC185" s="655" t="str">
        <f t="shared" si="87"/>
        <v/>
      </c>
    </row>
    <row r="186" spans="1:55" ht="12" customHeight="1">
      <c r="A186" s="417"/>
      <c r="B186" s="36"/>
      <c r="C186" s="36"/>
      <c r="D186" s="36"/>
      <c r="E186" s="36"/>
      <c r="F186" s="36"/>
      <c r="G186" s="36"/>
      <c r="H186" s="46">
        <v>7212</v>
      </c>
      <c r="I186" s="38"/>
      <c r="J186" s="39"/>
      <c r="K186" s="40" t="s">
        <v>87</v>
      </c>
      <c r="L186" s="315">
        <f t="shared" ref="L186:Q186" si="104">L187+L190</f>
        <v>51900</v>
      </c>
      <c r="M186" s="315">
        <f t="shared" si="104"/>
        <v>6888.3137567190915</v>
      </c>
      <c r="N186" s="337">
        <f t="shared" si="104"/>
        <v>0</v>
      </c>
      <c r="O186" s="337">
        <f t="shared" si="104"/>
        <v>0</v>
      </c>
      <c r="P186" s="292">
        <f t="shared" si="104"/>
        <v>0</v>
      </c>
      <c r="Q186" s="292">
        <f t="shared" si="104"/>
        <v>0</v>
      </c>
      <c r="R186" s="453">
        <v>0</v>
      </c>
      <c r="S186" s="292"/>
      <c r="T186" s="292"/>
      <c r="U186" s="292" t="b">
        <f t="shared" si="90"/>
        <v>0</v>
      </c>
      <c r="V186" s="469">
        <v>0</v>
      </c>
      <c r="W186" s="469"/>
      <c r="X186" s="522"/>
      <c r="Y186" s="522"/>
      <c r="Z186" s="522"/>
      <c r="AA186" s="522"/>
      <c r="AB186" s="523">
        <f>AB187+AB190</f>
        <v>0</v>
      </c>
      <c r="AC186" s="523">
        <f>AC187+AC190</f>
        <v>0</v>
      </c>
      <c r="AD186" s="524">
        <f>O186/M186*100</f>
        <v>0</v>
      </c>
      <c r="AE186" s="524"/>
      <c r="AF186" s="524"/>
      <c r="AG186" s="524"/>
      <c r="AH186" s="522"/>
      <c r="AI186" s="522"/>
      <c r="AJ186" s="516"/>
      <c r="AK186" s="516"/>
      <c r="AL186" s="516"/>
      <c r="AM186" s="427" t="e">
        <f ca="1">__xlfn.ISFORMULA(Sheet3!$T186)</f>
        <v>#NAME?</v>
      </c>
      <c r="AN186" s="662" t="e">
        <f ca="1">__xlfn.ISFORMULA(Sheet3!$N186)</f>
        <v>#NAME?</v>
      </c>
      <c r="AO186" t="b">
        <f t="shared" si="82"/>
        <v>0</v>
      </c>
      <c r="AQ186" s="453"/>
      <c r="AS186" s="453"/>
      <c r="AT186" s="612"/>
      <c r="AU186" s="469"/>
      <c r="AV186" s="636"/>
      <c r="AW186" s="636"/>
      <c r="AX186" s="655" t="str">
        <f t="shared" si="83"/>
        <v/>
      </c>
      <c r="AY186" s="655" t="str">
        <f t="shared" si="84"/>
        <v/>
      </c>
      <c r="AZ186" s="655" t="str">
        <f t="shared" si="85"/>
        <v/>
      </c>
      <c r="BA186" s="655" t="str">
        <f t="shared" si="86"/>
        <v/>
      </c>
      <c r="BB186" s="655" t="str">
        <f t="shared" si="87"/>
        <v/>
      </c>
      <c r="BC186" s="655" t="str">
        <f t="shared" si="87"/>
        <v/>
      </c>
    </row>
    <row r="187" spans="1:55" ht="12" customHeight="1">
      <c r="A187" s="417"/>
      <c r="B187" s="36"/>
      <c r="C187" s="36"/>
      <c r="D187" s="36"/>
      <c r="E187" s="36"/>
      <c r="F187" s="36"/>
      <c r="G187" s="36"/>
      <c r="H187" s="46">
        <v>72129</v>
      </c>
      <c r="I187" s="38"/>
      <c r="J187" s="39"/>
      <c r="K187" s="40" t="s">
        <v>88</v>
      </c>
      <c r="L187" s="309">
        <v>51900</v>
      </c>
      <c r="M187" s="309">
        <f>51900/7.5345</f>
        <v>6888.3137567190915</v>
      </c>
      <c r="N187" s="339">
        <v>0</v>
      </c>
      <c r="O187" s="339">
        <v>0</v>
      </c>
      <c r="P187" s="294">
        <v>0</v>
      </c>
      <c r="Q187" s="294">
        <v>0</v>
      </c>
      <c r="R187" s="451">
        <v>0</v>
      </c>
      <c r="S187" s="294"/>
      <c r="T187" s="294"/>
      <c r="U187" s="292" t="b">
        <f t="shared" si="90"/>
        <v>0</v>
      </c>
      <c r="V187" s="471">
        <v>0</v>
      </c>
      <c r="W187" s="471"/>
      <c r="X187" s="527"/>
      <c r="Y187" s="527"/>
      <c r="Z187" s="527"/>
      <c r="AA187" s="527"/>
      <c r="AB187" s="528">
        <v>0</v>
      </c>
      <c r="AC187" s="528">
        <v>0</v>
      </c>
      <c r="AD187" s="524">
        <f>O187/M187*100</f>
        <v>0</v>
      </c>
      <c r="AE187" s="524"/>
      <c r="AF187" s="524"/>
      <c r="AG187" s="524"/>
      <c r="AH187" s="527"/>
      <c r="AI187" s="527"/>
      <c r="AJ187" s="516"/>
      <c r="AK187" s="516"/>
      <c r="AL187" s="516"/>
      <c r="AM187" s="427" t="e">
        <f ca="1">__xlfn.ISFORMULA(Sheet3!$T187)</f>
        <v>#NAME?</v>
      </c>
      <c r="AN187" s="662" t="e">
        <f ca="1">__xlfn.ISFORMULA(Sheet3!$N187)</f>
        <v>#NAME?</v>
      </c>
      <c r="AO187" t="b">
        <f t="shared" si="82"/>
        <v>0</v>
      </c>
      <c r="AQ187" s="451"/>
      <c r="AS187" s="451"/>
      <c r="AT187" s="613"/>
      <c r="AU187" s="471"/>
      <c r="AV187" s="638"/>
      <c r="AW187" s="638"/>
      <c r="AX187" s="655" t="str">
        <f t="shared" si="83"/>
        <v/>
      </c>
      <c r="AY187" s="655" t="str">
        <f t="shared" si="84"/>
        <v/>
      </c>
      <c r="AZ187" s="655" t="str">
        <f t="shared" si="85"/>
        <v/>
      </c>
      <c r="BA187" s="655" t="str">
        <f t="shared" si="86"/>
        <v/>
      </c>
      <c r="BB187" s="655" t="str">
        <f t="shared" si="87"/>
        <v/>
      </c>
      <c r="BC187" s="655" t="str">
        <f t="shared" si="87"/>
        <v/>
      </c>
    </row>
    <row r="188" spans="1:55" ht="12" customHeight="1">
      <c r="A188" s="417"/>
      <c r="B188" s="36"/>
      <c r="C188" s="36"/>
      <c r="D188" s="36"/>
      <c r="E188" s="36"/>
      <c r="F188" s="36"/>
      <c r="G188" s="36"/>
      <c r="H188" s="46">
        <v>7214</v>
      </c>
      <c r="I188" s="38"/>
      <c r="J188" s="39"/>
      <c r="K188" s="40" t="s">
        <v>89</v>
      </c>
      <c r="L188" s="315">
        <f t="shared" ref="L188:Q188" si="105">L189</f>
        <v>0</v>
      </c>
      <c r="M188" s="315">
        <f t="shared" si="105"/>
        <v>0</v>
      </c>
      <c r="N188" s="337">
        <f t="shared" si="105"/>
        <v>0</v>
      </c>
      <c r="O188" s="337">
        <f t="shared" si="105"/>
        <v>0</v>
      </c>
      <c r="P188" s="292">
        <f t="shared" si="105"/>
        <v>0</v>
      </c>
      <c r="Q188" s="292">
        <f t="shared" si="105"/>
        <v>0</v>
      </c>
      <c r="R188" s="453">
        <v>0</v>
      </c>
      <c r="S188" s="292"/>
      <c r="T188" s="292"/>
      <c r="U188" s="292" t="b">
        <f t="shared" si="90"/>
        <v>0</v>
      </c>
      <c r="V188" s="469">
        <v>0</v>
      </c>
      <c r="W188" s="469"/>
      <c r="X188" s="522"/>
      <c r="Y188" s="522"/>
      <c r="Z188" s="522"/>
      <c r="AA188" s="522"/>
      <c r="AB188" s="523">
        <f>AB189</f>
        <v>0</v>
      </c>
      <c r="AC188" s="523">
        <f>AC189</f>
        <v>0</v>
      </c>
      <c r="AD188" s="524"/>
      <c r="AE188" s="524"/>
      <c r="AF188" s="524"/>
      <c r="AG188" s="524"/>
      <c r="AH188" s="522"/>
      <c r="AI188" s="522"/>
      <c r="AJ188" s="516"/>
      <c r="AK188" s="516"/>
      <c r="AL188" s="516"/>
      <c r="AM188" s="427" t="e">
        <f ca="1">__xlfn.ISFORMULA(Sheet3!$T188)</f>
        <v>#NAME?</v>
      </c>
      <c r="AN188" s="662" t="e">
        <f ca="1">__xlfn.ISFORMULA(Sheet3!$N188)</f>
        <v>#NAME?</v>
      </c>
      <c r="AO188" t="b">
        <f t="shared" si="82"/>
        <v>0</v>
      </c>
      <c r="AQ188" s="453"/>
      <c r="AS188" s="453"/>
      <c r="AT188" s="612"/>
      <c r="AU188" s="469"/>
      <c r="AV188" s="636"/>
      <c r="AW188" s="636"/>
      <c r="AX188" s="655" t="str">
        <f t="shared" si="83"/>
        <v/>
      </c>
      <c r="AY188" s="655" t="str">
        <f t="shared" si="84"/>
        <v/>
      </c>
      <c r="AZ188" s="655" t="str">
        <f t="shared" si="85"/>
        <v/>
      </c>
      <c r="BA188" s="655" t="str">
        <f t="shared" si="86"/>
        <v/>
      </c>
      <c r="BB188" s="655" t="str">
        <f t="shared" si="87"/>
        <v/>
      </c>
      <c r="BC188" s="655" t="str">
        <f t="shared" si="87"/>
        <v/>
      </c>
    </row>
    <row r="189" spans="1:55" ht="12" customHeight="1">
      <c r="A189" s="428"/>
      <c r="B189" s="429"/>
      <c r="C189" s="429"/>
      <c r="D189" s="429"/>
      <c r="E189" s="429"/>
      <c r="F189" s="429"/>
      <c r="G189" s="429"/>
      <c r="H189" s="253">
        <v>72149</v>
      </c>
      <c r="I189" s="254"/>
      <c r="J189" s="208"/>
      <c r="K189" s="123" t="s">
        <v>90</v>
      </c>
      <c r="L189" s="322">
        <v>0</v>
      </c>
      <c r="M189" s="322">
        <v>0</v>
      </c>
      <c r="N189" s="346">
        <v>0</v>
      </c>
      <c r="O189" s="346">
        <v>0</v>
      </c>
      <c r="P189" s="301">
        <v>0</v>
      </c>
      <c r="Q189" s="301">
        <v>0</v>
      </c>
      <c r="R189" s="456">
        <v>0</v>
      </c>
      <c r="S189" s="301"/>
      <c r="T189" s="301"/>
      <c r="U189" s="304" t="b">
        <f t="shared" si="90"/>
        <v>0</v>
      </c>
      <c r="V189" s="471">
        <v>0</v>
      </c>
      <c r="W189" s="492"/>
      <c r="X189" s="527"/>
      <c r="Y189" s="533"/>
      <c r="Z189" s="533"/>
      <c r="AA189" s="533"/>
      <c r="AB189" s="534">
        <v>0</v>
      </c>
      <c r="AC189" s="534">
        <v>0</v>
      </c>
      <c r="AD189" s="535"/>
      <c r="AE189" s="535"/>
      <c r="AF189" s="535"/>
      <c r="AG189" s="535"/>
      <c r="AH189" s="533"/>
      <c r="AI189" s="527"/>
      <c r="AJ189" s="516"/>
      <c r="AK189" s="516"/>
      <c r="AL189" s="516"/>
      <c r="AM189" s="427" t="e">
        <f ca="1">__xlfn.ISFORMULA(Sheet3!$T189)</f>
        <v>#NAME?</v>
      </c>
      <c r="AN189" s="663" t="e">
        <f ca="1">__xlfn.ISFORMULA(Sheet3!$N189)</f>
        <v>#NAME?</v>
      </c>
      <c r="AO189" t="b">
        <f t="shared" si="82"/>
        <v>0</v>
      </c>
      <c r="AQ189" s="456"/>
      <c r="AS189" s="456"/>
      <c r="AT189" s="613"/>
      <c r="AU189" s="471"/>
      <c r="AV189" s="638"/>
      <c r="AW189" s="638"/>
      <c r="AX189" s="655" t="str">
        <f t="shared" si="83"/>
        <v/>
      </c>
      <c r="AY189" s="655" t="str">
        <f t="shared" si="84"/>
        <v/>
      </c>
      <c r="AZ189" s="655" t="str">
        <f t="shared" si="85"/>
        <v/>
      </c>
      <c r="BA189" s="655" t="str">
        <f t="shared" si="86"/>
        <v/>
      </c>
      <c r="BB189" s="655" t="str">
        <f t="shared" si="87"/>
        <v/>
      </c>
      <c r="BC189" s="655" t="str">
        <f t="shared" si="87"/>
        <v/>
      </c>
    </row>
    <row r="190" spans="1:55" ht="12" customHeight="1">
      <c r="A190" s="72"/>
      <c r="B190" s="72"/>
      <c r="C190" s="72"/>
      <c r="D190" s="72"/>
      <c r="E190" s="72"/>
      <c r="F190" s="72"/>
      <c r="G190" s="72"/>
      <c r="H190" s="73" t="s">
        <v>91</v>
      </c>
      <c r="I190" s="74"/>
      <c r="J190" s="73"/>
      <c r="K190" s="494"/>
      <c r="L190" s="431"/>
      <c r="M190" s="431"/>
      <c r="N190" s="431"/>
      <c r="O190" s="431"/>
      <c r="P190" s="431"/>
      <c r="Q190" s="431"/>
      <c r="R190" s="431"/>
      <c r="S190" s="431"/>
      <c r="T190" s="431"/>
      <c r="U190" s="435" t="b">
        <f t="shared" si="90"/>
        <v>0</v>
      </c>
      <c r="V190" s="499"/>
      <c r="W190" s="431"/>
      <c r="X190" s="507"/>
      <c r="Y190" s="507"/>
      <c r="Z190" s="507"/>
      <c r="AA190" s="507"/>
      <c r="AB190" s="508"/>
      <c r="AC190" s="508"/>
      <c r="AD190" s="536"/>
      <c r="AE190" s="536"/>
      <c r="AF190" s="536"/>
      <c r="AG190" s="536"/>
      <c r="AH190" s="507"/>
      <c r="AI190" s="507"/>
      <c r="AJ190" s="516"/>
      <c r="AK190" s="516"/>
      <c r="AL190" s="516"/>
      <c r="AM190" s="206"/>
      <c r="AO190" t="b">
        <f t="shared" si="82"/>
        <v>0</v>
      </c>
      <c r="AQ190" s="431"/>
      <c r="AS190" s="431"/>
      <c r="AT190" s="607"/>
      <c r="AU190" s="499"/>
      <c r="AV190" s="629"/>
      <c r="AW190" s="629"/>
      <c r="AX190" s="655" t="str">
        <f t="shared" si="83"/>
        <v/>
      </c>
      <c r="AY190" s="655" t="str">
        <f t="shared" si="84"/>
        <v/>
      </c>
      <c r="AZ190" s="655" t="str">
        <f t="shared" si="85"/>
        <v/>
      </c>
      <c r="BA190" s="655" t="str">
        <f t="shared" si="86"/>
        <v/>
      </c>
      <c r="BB190" s="655" t="str">
        <f t="shared" si="87"/>
        <v/>
      </c>
      <c r="BC190" s="655" t="str">
        <f t="shared" si="87"/>
        <v/>
      </c>
    </row>
    <row r="191" spans="1:55" ht="12" customHeight="1">
      <c r="A191" s="72"/>
      <c r="B191" s="72"/>
      <c r="C191" s="72"/>
      <c r="D191" s="72"/>
      <c r="E191" s="72"/>
      <c r="F191" s="72"/>
      <c r="G191" s="72"/>
      <c r="H191" s="73"/>
      <c r="I191" s="74"/>
      <c r="J191" s="73"/>
      <c r="K191" s="494"/>
      <c r="L191" s="431"/>
      <c r="M191" s="431"/>
      <c r="N191" s="431"/>
      <c r="O191" s="431"/>
      <c r="P191" s="431"/>
      <c r="Q191" s="431"/>
      <c r="R191" s="439" t="s">
        <v>827</v>
      </c>
      <c r="S191" s="288" t="s">
        <v>829</v>
      </c>
      <c r="T191" s="288"/>
      <c r="U191" s="288"/>
      <c r="V191" s="465" t="s">
        <v>850</v>
      </c>
      <c r="W191" s="465" t="s">
        <v>853</v>
      </c>
      <c r="X191" s="511" t="s">
        <v>854</v>
      </c>
      <c r="Y191" s="511" t="s">
        <v>854</v>
      </c>
      <c r="Z191" s="511" t="s">
        <v>854</v>
      </c>
      <c r="AA191" s="511" t="s">
        <v>854</v>
      </c>
      <c r="AB191" s="511" t="s">
        <v>854</v>
      </c>
      <c r="AC191" s="511" t="s">
        <v>854</v>
      </c>
      <c r="AD191" s="511" t="s">
        <v>854</v>
      </c>
      <c r="AE191" s="511" t="s">
        <v>854</v>
      </c>
      <c r="AF191" s="511" t="s">
        <v>854</v>
      </c>
      <c r="AG191" s="511" t="s">
        <v>854</v>
      </c>
      <c r="AH191" s="511" t="s">
        <v>854</v>
      </c>
      <c r="AI191" s="511" t="s">
        <v>854</v>
      </c>
      <c r="AJ191" s="574"/>
      <c r="AK191" s="574"/>
      <c r="AL191" s="574"/>
      <c r="AM191" s="288"/>
      <c r="AQ191" s="439" t="s">
        <v>783</v>
      </c>
      <c r="AS191" s="439" t="s">
        <v>872</v>
      </c>
      <c r="AT191" s="656">
        <v>2025</v>
      </c>
      <c r="AU191" s="465">
        <v>2025</v>
      </c>
      <c r="AV191" s="630" t="s">
        <v>854</v>
      </c>
      <c r="AW191" s="630" t="s">
        <v>883</v>
      </c>
      <c r="AX191" s="655" t="s">
        <v>885</v>
      </c>
      <c r="AY191" s="655" t="s">
        <v>885</v>
      </c>
      <c r="AZ191" s="655" t="s">
        <v>885</v>
      </c>
      <c r="BA191" s="655" t="s">
        <v>885</v>
      </c>
      <c r="BB191" s="655" t="s">
        <v>885</v>
      </c>
      <c r="BC191" s="655" t="s">
        <v>885</v>
      </c>
    </row>
    <row r="192" spans="1:55" ht="12" customHeight="1">
      <c r="A192" s="284"/>
      <c r="B192" s="285"/>
      <c r="C192" s="285"/>
      <c r="D192" s="285"/>
      <c r="E192" s="285"/>
      <c r="F192" s="285"/>
      <c r="G192" s="285"/>
      <c r="H192" s="274" t="s">
        <v>10</v>
      </c>
      <c r="I192" s="275"/>
      <c r="J192" s="276"/>
      <c r="K192" s="281" t="s">
        <v>92</v>
      </c>
      <c r="L192" s="311" t="s">
        <v>789</v>
      </c>
      <c r="M192" s="311" t="s">
        <v>789</v>
      </c>
      <c r="N192" s="333" t="s">
        <v>817</v>
      </c>
      <c r="O192" s="333" t="s">
        <v>817</v>
      </c>
      <c r="P192" s="288" t="s">
        <v>798</v>
      </c>
      <c r="Q192" s="288" t="s">
        <v>823</v>
      </c>
      <c r="R192" s="439" t="s">
        <v>872</v>
      </c>
      <c r="S192" s="289" t="s">
        <v>830</v>
      </c>
      <c r="T192" s="289"/>
      <c r="U192" s="289"/>
      <c r="V192" s="466" t="s">
        <v>797</v>
      </c>
      <c r="W192" s="466" t="s">
        <v>797</v>
      </c>
      <c r="X192" s="512"/>
      <c r="Y192" s="512"/>
      <c r="Z192" s="512"/>
      <c r="AA192" s="512"/>
      <c r="AB192" s="513"/>
      <c r="AC192" s="513"/>
      <c r="AD192" s="513"/>
      <c r="AE192" s="513"/>
      <c r="AF192" s="513"/>
      <c r="AG192" s="513"/>
      <c r="AH192" s="512"/>
      <c r="AI192" s="512"/>
      <c r="AJ192" s="512"/>
      <c r="AK192" s="512"/>
      <c r="AL192" s="512"/>
      <c r="AM192" s="289"/>
      <c r="AQ192" s="439" t="s">
        <v>872</v>
      </c>
      <c r="AS192" s="439" t="s">
        <v>873</v>
      </c>
      <c r="AT192" s="611" t="s">
        <v>629</v>
      </c>
      <c r="AU192" s="466" t="s">
        <v>882</v>
      </c>
      <c r="AV192" s="631"/>
      <c r="AW192" s="631"/>
      <c r="AX192" s="655" t="s">
        <v>855</v>
      </c>
      <c r="AY192" s="655" t="s">
        <v>884</v>
      </c>
      <c r="AZ192" s="655" t="s">
        <v>856</v>
      </c>
      <c r="BA192" s="655" t="s">
        <v>781</v>
      </c>
      <c r="BB192" s="655" t="s">
        <v>741</v>
      </c>
      <c r="BC192" s="655" t="s">
        <v>741</v>
      </c>
    </row>
    <row r="193" spans="1:55" ht="12" customHeight="1">
      <c r="A193" s="282"/>
      <c r="B193" s="283"/>
      <c r="C193" s="283"/>
      <c r="D193" s="283"/>
      <c r="E193" s="283"/>
      <c r="F193" s="283"/>
      <c r="G193" s="283"/>
      <c r="H193" s="277"/>
      <c r="I193" s="278"/>
      <c r="J193" s="279"/>
      <c r="K193" s="280"/>
      <c r="L193" s="312" t="s">
        <v>826</v>
      </c>
      <c r="M193" s="312" t="s">
        <v>797</v>
      </c>
      <c r="N193" s="334" t="s">
        <v>826</v>
      </c>
      <c r="O193" s="334" t="s">
        <v>797</v>
      </c>
      <c r="P193" s="289" t="s">
        <v>797</v>
      </c>
      <c r="Q193" s="289" t="s">
        <v>797</v>
      </c>
      <c r="R193" s="438" t="s">
        <v>886</v>
      </c>
      <c r="S193" s="289" t="s">
        <v>887</v>
      </c>
      <c r="T193" s="289" t="s">
        <v>888</v>
      </c>
      <c r="U193" s="289" t="s">
        <v>889</v>
      </c>
      <c r="V193" s="466" t="s">
        <v>890</v>
      </c>
      <c r="W193" s="465" t="s">
        <v>891</v>
      </c>
      <c r="X193" s="512" t="s">
        <v>892</v>
      </c>
      <c r="Y193" s="512" t="s">
        <v>893</v>
      </c>
      <c r="Z193" s="512" t="s">
        <v>894</v>
      </c>
      <c r="AA193" s="512" t="s">
        <v>895</v>
      </c>
      <c r="AB193" s="515" t="s">
        <v>896</v>
      </c>
      <c r="AC193" s="515" t="s">
        <v>897</v>
      </c>
      <c r="AD193" s="515" t="s">
        <v>898</v>
      </c>
      <c r="AE193" s="515" t="s">
        <v>899</v>
      </c>
      <c r="AF193" s="515" t="s">
        <v>900</v>
      </c>
      <c r="AG193" s="515" t="s">
        <v>901</v>
      </c>
      <c r="AH193" s="512" t="s">
        <v>902</v>
      </c>
      <c r="AI193" s="512" t="s">
        <v>903</v>
      </c>
      <c r="AJ193" s="516" t="s">
        <v>904</v>
      </c>
      <c r="AK193" s="516" t="s">
        <v>905</v>
      </c>
      <c r="AL193" s="516" t="s">
        <v>906</v>
      </c>
      <c r="AM193" s="426" t="s">
        <v>907</v>
      </c>
      <c r="AN193" s="450" t="s">
        <v>908</v>
      </c>
      <c r="AO193" t="s">
        <v>857</v>
      </c>
      <c r="AQ193" s="438">
        <v>2</v>
      </c>
      <c r="AS193" s="438"/>
      <c r="AT193" s="611">
        <v>3</v>
      </c>
      <c r="AU193" s="466">
        <v>4</v>
      </c>
      <c r="AV193" s="631">
        <v>5</v>
      </c>
      <c r="AW193" s="631">
        <v>6</v>
      </c>
      <c r="AX193" s="655">
        <v>7</v>
      </c>
      <c r="AY193" s="655">
        <v>8</v>
      </c>
      <c r="AZ193" s="655">
        <v>9</v>
      </c>
      <c r="BA193" s="655">
        <v>10</v>
      </c>
      <c r="BB193" s="655">
        <v>11</v>
      </c>
      <c r="BC193" s="655">
        <v>12</v>
      </c>
    </row>
    <row r="194" spans="1:55" ht="12" customHeight="1">
      <c r="A194" s="20"/>
      <c r="B194" s="20"/>
      <c r="C194" s="20"/>
      <c r="D194" s="20"/>
      <c r="E194" s="20"/>
      <c r="F194" s="20"/>
      <c r="G194" s="20"/>
      <c r="H194" s="16"/>
      <c r="I194" s="17"/>
      <c r="J194" s="14"/>
      <c r="K194" s="19"/>
      <c r="L194" s="313">
        <v>1</v>
      </c>
      <c r="M194" s="313">
        <v>2</v>
      </c>
      <c r="N194" s="335">
        <v>3</v>
      </c>
      <c r="O194" s="335">
        <v>4</v>
      </c>
      <c r="P194" s="290">
        <v>5</v>
      </c>
      <c r="Q194" s="290">
        <v>6</v>
      </c>
      <c r="R194" s="439"/>
      <c r="S194" s="290"/>
      <c r="T194" s="290"/>
      <c r="U194" s="290"/>
      <c r="V194" s="467"/>
      <c r="W194" s="467"/>
      <c r="X194" s="514"/>
      <c r="Y194" s="514"/>
      <c r="Z194" s="514"/>
      <c r="AA194" s="514"/>
      <c r="AB194" s="515"/>
      <c r="AC194" s="515"/>
      <c r="AD194" s="515"/>
      <c r="AE194" s="515"/>
      <c r="AF194" s="515"/>
      <c r="AG194" s="515"/>
      <c r="AH194" s="514"/>
      <c r="AI194" s="514"/>
      <c r="AJ194" s="514"/>
      <c r="AK194" s="514"/>
      <c r="AL194" s="514"/>
      <c r="AM194" s="426"/>
      <c r="AN194" s="449"/>
      <c r="AQ194" s="439"/>
      <c r="AS194" s="439"/>
      <c r="AT194" s="612"/>
      <c r="AU194" s="467"/>
      <c r="AV194" s="632"/>
      <c r="AW194" s="632"/>
      <c r="AX194" s="655"/>
      <c r="AY194" s="655"/>
      <c r="AZ194" s="655"/>
      <c r="BA194" s="655"/>
      <c r="BB194" s="655"/>
      <c r="BC194" s="655"/>
    </row>
    <row r="195" spans="1:55" ht="12" customHeight="1">
      <c r="A195" s="75"/>
      <c r="B195" s="75"/>
      <c r="C195" s="75"/>
      <c r="D195" s="75"/>
      <c r="E195" s="75"/>
      <c r="F195" s="75"/>
      <c r="G195" s="75"/>
      <c r="H195" s="76"/>
      <c r="I195" s="77"/>
      <c r="J195" s="78"/>
      <c r="K195" s="35" t="s">
        <v>93</v>
      </c>
      <c r="L195" s="315">
        <f t="shared" ref="L195:R195" si="106">L197+L304</f>
        <v>24995631</v>
      </c>
      <c r="M195" s="315">
        <f t="shared" si="106"/>
        <v>3317490.344415688</v>
      </c>
      <c r="N195" s="337">
        <f t="shared" si="106"/>
        <v>24086719</v>
      </c>
      <c r="O195" s="337">
        <f t="shared" si="106"/>
        <v>3196856.9911739328</v>
      </c>
      <c r="P195" s="292">
        <f t="shared" si="106"/>
        <v>5173379.5089256093</v>
      </c>
      <c r="Q195" s="292">
        <f t="shared" si="106"/>
        <v>4545820</v>
      </c>
      <c r="R195" s="441">
        <f t="shared" si="106"/>
        <v>4313713</v>
      </c>
      <c r="S195" s="292" t="e">
        <f>S197+S304</f>
        <v>#REF!</v>
      </c>
      <c r="T195" s="292"/>
      <c r="U195" s="292" t="b">
        <f t="shared" si="90"/>
        <v>1</v>
      </c>
      <c r="V195" s="469">
        <f>V197+V304</f>
        <v>5943630</v>
      </c>
      <c r="W195" s="469">
        <f>W197+W304</f>
        <v>5310459.93</v>
      </c>
      <c r="X195" s="522">
        <f>X197+X304</f>
        <v>6923250.2999999998</v>
      </c>
      <c r="Y195" s="522"/>
      <c r="Z195" s="522">
        <f>Z197+Z304</f>
        <v>23</v>
      </c>
      <c r="AA195" s="522">
        <f>AA197+AA304</f>
        <v>4</v>
      </c>
      <c r="AB195" s="523">
        <f>AB197+AB304</f>
        <v>4224500</v>
      </c>
      <c r="AC195" s="523">
        <f>AC197+AC304</f>
        <v>4224500</v>
      </c>
      <c r="AD195" s="524">
        <f>O195/M195*100</f>
        <v>96.363716523099569</v>
      </c>
      <c r="AE195" s="524">
        <f>P195/O195*100</f>
        <v>161.82705461046817</v>
      </c>
      <c r="AF195" s="524">
        <f>Q195/P195*100</f>
        <v>87.869447662927428</v>
      </c>
      <c r="AG195" s="524">
        <f>AB195/Q195*100</f>
        <v>92.93152830512426</v>
      </c>
      <c r="AH195" s="522"/>
      <c r="AI195" s="522">
        <v>6923250.2999999998</v>
      </c>
      <c r="AJ195" s="516">
        <f>W195/R195*100</f>
        <v>123.10647300828774</v>
      </c>
      <c r="AK195" s="516">
        <f>AT195/W195*100</f>
        <v>131.65055554802012</v>
      </c>
      <c r="AL195" s="516">
        <f>X195/AT195*100</f>
        <v>99.027359914178433</v>
      </c>
      <c r="AM195" s="292"/>
      <c r="AO195" t="b">
        <f t="shared" si="82"/>
        <v>1</v>
      </c>
      <c r="AP195" s="440">
        <f>AP197+AP304</f>
        <v>3715336.5200000005</v>
      </c>
      <c r="AQ195" s="441">
        <v>4746873.91</v>
      </c>
      <c r="AR195" s="440">
        <f>AR197+AR304</f>
        <v>3774772.5200000005</v>
      </c>
      <c r="AS195" s="441">
        <f>AS197+AS304</f>
        <v>1673920.67</v>
      </c>
      <c r="AT195" s="612">
        <f>AT197+AT304</f>
        <v>6991250</v>
      </c>
      <c r="AU195" s="469">
        <f>AU197+AU304</f>
        <v>6942421</v>
      </c>
      <c r="AV195" s="636">
        <v>6923250.2999999998</v>
      </c>
      <c r="AW195" s="636">
        <v>6923250.2999999998</v>
      </c>
      <c r="AX195" s="655">
        <f t="shared" si="83"/>
        <v>162.07035563098427</v>
      </c>
      <c r="AY195" s="655">
        <f t="shared" si="84"/>
        <v>147.28113981017879</v>
      </c>
      <c r="AZ195" s="655">
        <f t="shared" si="85"/>
        <v>99.301569819417125</v>
      </c>
      <c r="BA195" s="655">
        <f t="shared" si="86"/>
        <v>146.25248387943805</v>
      </c>
      <c r="BB195" s="655">
        <f t="shared" si="87"/>
        <v>99.723861459856721</v>
      </c>
      <c r="BC195" s="655">
        <f t="shared" si="87"/>
        <v>100</v>
      </c>
    </row>
    <row r="196" spans="1:55" ht="12" customHeight="1">
      <c r="A196" s="36"/>
      <c r="B196" s="36"/>
      <c r="C196" s="36"/>
      <c r="D196" s="36"/>
      <c r="E196" s="36"/>
      <c r="F196" s="36"/>
      <c r="G196" s="36"/>
      <c r="H196" s="37"/>
      <c r="I196" s="38"/>
      <c r="J196" s="39"/>
      <c r="K196" s="40"/>
      <c r="L196" s="316"/>
      <c r="M196" s="316"/>
      <c r="N196" s="338"/>
      <c r="O196" s="338"/>
      <c r="P196" s="293"/>
      <c r="Q196" s="293"/>
      <c r="R196" s="442"/>
      <c r="S196" s="293"/>
      <c r="T196" s="293"/>
      <c r="U196" s="292" t="b">
        <f t="shared" si="90"/>
        <v>0</v>
      </c>
      <c r="V196" s="470"/>
      <c r="W196" s="470"/>
      <c r="X196" s="525"/>
      <c r="Y196" s="525"/>
      <c r="Z196" s="525"/>
      <c r="AA196" s="525"/>
      <c r="AB196" s="526"/>
      <c r="AC196" s="526"/>
      <c r="AD196" s="524"/>
      <c r="AE196" s="524"/>
      <c r="AF196" s="524"/>
      <c r="AG196" s="524"/>
      <c r="AH196" s="525"/>
      <c r="AI196" s="525"/>
      <c r="AJ196" s="516"/>
      <c r="AK196" s="516"/>
      <c r="AL196" s="516"/>
      <c r="AM196" s="293"/>
      <c r="AO196" t="b">
        <f t="shared" si="82"/>
        <v>0</v>
      </c>
      <c r="AQ196" s="442"/>
      <c r="AS196" s="442"/>
      <c r="AT196" s="613"/>
      <c r="AU196" s="470"/>
      <c r="AV196" s="637"/>
      <c r="AW196" s="637"/>
      <c r="AX196" s="655" t="str">
        <f t="shared" si="83"/>
        <v/>
      </c>
      <c r="AY196" s="655" t="str">
        <f t="shared" si="84"/>
        <v/>
      </c>
      <c r="AZ196" s="655" t="str">
        <f t="shared" si="85"/>
        <v/>
      </c>
      <c r="BA196" s="655" t="str">
        <f t="shared" si="86"/>
        <v/>
      </c>
      <c r="BB196" s="655" t="str">
        <f t="shared" si="87"/>
        <v/>
      </c>
      <c r="BC196" s="655" t="str">
        <f t="shared" si="87"/>
        <v/>
      </c>
    </row>
    <row r="197" spans="1:55" ht="12" customHeight="1">
      <c r="A197" s="41"/>
      <c r="B197" s="41"/>
      <c r="C197" s="41"/>
      <c r="D197" s="41"/>
      <c r="E197" s="41"/>
      <c r="F197" s="41"/>
      <c r="G197" s="41"/>
      <c r="H197" s="42">
        <v>3</v>
      </c>
      <c r="I197" s="43"/>
      <c r="J197" s="44"/>
      <c r="K197" s="45" t="s">
        <v>94</v>
      </c>
      <c r="L197" s="315">
        <f t="shared" ref="L197:R197" si="107">L199+L212+L253+L264+L269+L278+L285</f>
        <v>20517207</v>
      </c>
      <c r="M197" s="315">
        <f t="shared" si="107"/>
        <v>2723101.3338642246</v>
      </c>
      <c r="N197" s="337">
        <f t="shared" si="107"/>
        <v>22082242</v>
      </c>
      <c r="O197" s="337">
        <f t="shared" si="107"/>
        <v>2930817.1743314085</v>
      </c>
      <c r="P197" s="292">
        <f t="shared" si="107"/>
        <v>3636679.5089256088</v>
      </c>
      <c r="Q197" s="292">
        <f t="shared" si="107"/>
        <v>3883760</v>
      </c>
      <c r="R197" s="441">
        <f t="shared" si="107"/>
        <v>3584909</v>
      </c>
      <c r="S197" s="292" t="e">
        <f>S199+S212+S253+S264+S269+S278+S285</f>
        <v>#REF!</v>
      </c>
      <c r="T197" s="292"/>
      <c r="U197" s="292" t="b">
        <f t="shared" si="90"/>
        <v>1</v>
      </c>
      <c r="V197" s="469">
        <v>4133810</v>
      </c>
      <c r="W197" s="469">
        <f>W199+W212+W253+W264+W269+W278+W285</f>
        <v>4580459.93</v>
      </c>
      <c r="X197" s="522">
        <f>X199+X212+X253+X264+X269+X278+X285</f>
        <v>6011750</v>
      </c>
      <c r="Y197" s="522"/>
      <c r="Z197" s="522">
        <f>Z199+Z212+Z253+Z264+Z269+Z278+Z285</f>
        <v>20</v>
      </c>
      <c r="AA197" s="522">
        <f>AA199+AA212+AA253+AA264+AA269+AA278+AA285</f>
        <v>0</v>
      </c>
      <c r="AB197" s="523">
        <f>AB199+AB212+AB253+AB264+AB269+AB278+AB285</f>
        <v>3729400</v>
      </c>
      <c r="AC197" s="523">
        <f>AC199+AC212+AC253+AC264+AC269+AC278+AC285</f>
        <v>3729400</v>
      </c>
      <c r="AD197" s="524">
        <f>O197/M197*100</f>
        <v>107.62791446223649</v>
      </c>
      <c r="AE197" s="524">
        <f>P197/O197*100</f>
        <v>124.08414761508367</v>
      </c>
      <c r="AF197" s="524">
        <f>Q197/P197*100</f>
        <v>106.79412333333124</v>
      </c>
      <c r="AG197" s="524">
        <f>AB197/Q197*100</f>
        <v>96.025501060827651</v>
      </c>
      <c r="AH197" s="522"/>
      <c r="AI197" s="522">
        <v>6011750</v>
      </c>
      <c r="AJ197" s="516">
        <f>W197/R197*100</f>
        <v>127.77060533475186</v>
      </c>
      <c r="AK197" s="516">
        <f>AT197/W197*100</f>
        <v>128.51875335584478</v>
      </c>
      <c r="AL197" s="516">
        <f>X197/AT197*100</f>
        <v>102.12341274897014</v>
      </c>
      <c r="AM197" s="292"/>
      <c r="AO197" t="b">
        <f t="shared" si="82"/>
        <v>1</v>
      </c>
      <c r="AP197" s="440">
        <f>AP199+AP212+AP253+AP264+AP269+AP278+AP285</f>
        <v>3107119.8400000003</v>
      </c>
      <c r="AQ197" s="441">
        <v>4098086.93</v>
      </c>
      <c r="AR197" s="440">
        <f>AR199+AR212+AR253+AR264+AR269+AR278+AR285</f>
        <v>3166555.8400000003</v>
      </c>
      <c r="AS197" s="441">
        <f>AS199+AS212+AS253+AS264+AS269+AS278+AS285</f>
        <v>1588273.94</v>
      </c>
      <c r="AT197" s="612">
        <f>AT199+AT212+AT253+AT264+AT269+AT278+AT285</f>
        <v>5886750</v>
      </c>
      <c r="AU197" s="469">
        <f>AU199+AU212+AU253+AU264+AU269+AU278+AU285</f>
        <v>5104671</v>
      </c>
      <c r="AV197" s="636">
        <v>6011750</v>
      </c>
      <c r="AW197" s="636">
        <v>6011750</v>
      </c>
      <c r="AX197" s="655">
        <f t="shared" si="83"/>
        <v>164.20918913143962</v>
      </c>
      <c r="AY197" s="655">
        <f t="shared" si="84"/>
        <v>143.64629400382191</v>
      </c>
      <c r="AZ197" s="655">
        <f t="shared" si="85"/>
        <v>86.714587845585427</v>
      </c>
      <c r="BA197" s="655">
        <f t="shared" si="86"/>
        <v>124.56229180087206</v>
      </c>
      <c r="BB197" s="655">
        <f t="shared" si="87"/>
        <v>117.76958789312768</v>
      </c>
      <c r="BC197" s="655">
        <f t="shared" si="87"/>
        <v>100</v>
      </c>
    </row>
    <row r="198" spans="1:55" ht="12" customHeight="1">
      <c r="A198" s="36"/>
      <c r="B198" s="36"/>
      <c r="C198" s="36"/>
      <c r="D198" s="36"/>
      <c r="E198" s="36"/>
      <c r="F198" s="36"/>
      <c r="G198" s="36"/>
      <c r="H198" s="46"/>
      <c r="I198" s="38"/>
      <c r="J198" s="39"/>
      <c r="K198" s="40"/>
      <c r="L198" s="316"/>
      <c r="M198" s="316"/>
      <c r="N198" s="338"/>
      <c r="O198" s="338"/>
      <c r="P198" s="293"/>
      <c r="Q198" s="293"/>
      <c r="R198" s="442"/>
      <c r="S198" s="293"/>
      <c r="T198" s="293"/>
      <c r="U198" s="292" t="b">
        <f t="shared" si="90"/>
        <v>0</v>
      </c>
      <c r="V198" s="470"/>
      <c r="W198" s="470"/>
      <c r="X198" s="525"/>
      <c r="Y198" s="525"/>
      <c r="Z198" s="525"/>
      <c r="AA198" s="525"/>
      <c r="AB198" s="526"/>
      <c r="AC198" s="526"/>
      <c r="AD198" s="524"/>
      <c r="AE198" s="524"/>
      <c r="AF198" s="524"/>
      <c r="AG198" s="524"/>
      <c r="AH198" s="525"/>
      <c r="AI198" s="525"/>
      <c r="AJ198" s="516"/>
      <c r="AK198" s="516"/>
      <c r="AL198" s="516"/>
      <c r="AM198" s="293"/>
      <c r="AO198" t="b">
        <f t="shared" si="82"/>
        <v>0</v>
      </c>
      <c r="AQ198" s="442"/>
      <c r="AS198" s="442"/>
      <c r="AT198" s="613"/>
      <c r="AU198" s="470"/>
      <c r="AV198" s="637"/>
      <c r="AW198" s="637"/>
      <c r="AX198" s="655" t="str">
        <f t="shared" si="83"/>
        <v/>
      </c>
      <c r="AY198" s="655" t="str">
        <f t="shared" si="84"/>
        <v/>
      </c>
      <c r="AZ198" s="655" t="str">
        <f t="shared" si="85"/>
        <v/>
      </c>
      <c r="BA198" s="655" t="str">
        <f t="shared" si="86"/>
        <v/>
      </c>
      <c r="BB198" s="655" t="str">
        <f t="shared" si="87"/>
        <v/>
      </c>
      <c r="BC198" s="655" t="str">
        <f t="shared" si="87"/>
        <v/>
      </c>
    </row>
    <row r="199" spans="1:55" ht="12" customHeight="1">
      <c r="A199" s="47"/>
      <c r="B199" s="47"/>
      <c r="C199" s="47"/>
      <c r="D199" s="47"/>
      <c r="E199" s="47"/>
      <c r="F199" s="47"/>
      <c r="G199" s="47"/>
      <c r="H199" s="48">
        <v>31</v>
      </c>
      <c r="I199" s="49"/>
      <c r="J199" s="50"/>
      <c r="K199" s="51" t="s">
        <v>95</v>
      </c>
      <c r="L199" s="315">
        <f t="shared" ref="L199:AA199" si="108">L201+L205+L208</f>
        <v>5481241</v>
      </c>
      <c r="M199" s="315">
        <f t="shared" si="108"/>
        <v>727485.69911739335</v>
      </c>
      <c r="N199" s="337">
        <f t="shared" si="108"/>
        <v>5350745</v>
      </c>
      <c r="O199" s="337">
        <f t="shared" si="108"/>
        <v>710165.90351051826</v>
      </c>
      <c r="P199" s="292">
        <f t="shared" si="108"/>
        <v>935720</v>
      </c>
      <c r="Q199" s="292">
        <f t="shared" si="108"/>
        <v>855400</v>
      </c>
      <c r="R199" s="441">
        <f t="shared" si="108"/>
        <v>821430</v>
      </c>
      <c r="S199" s="292">
        <f t="shared" si="108"/>
        <v>246893</v>
      </c>
      <c r="T199" s="292"/>
      <c r="U199" s="292" t="b">
        <f t="shared" si="90"/>
        <v>1</v>
      </c>
      <c r="V199" s="469">
        <v>1101220</v>
      </c>
      <c r="W199" s="469">
        <f>W201+W205+W208</f>
        <v>1096650</v>
      </c>
      <c r="X199" s="522">
        <f>X201+X205+X208</f>
        <v>1081500.1000000001</v>
      </c>
      <c r="Y199" s="522"/>
      <c r="Z199" s="522">
        <f t="shared" si="108"/>
        <v>0</v>
      </c>
      <c r="AA199" s="522">
        <f t="shared" si="108"/>
        <v>0</v>
      </c>
      <c r="AB199" s="523">
        <f>AB201+AB205+AB208</f>
        <v>944150</v>
      </c>
      <c r="AC199" s="523">
        <f>AC201+AC205+AC208</f>
        <v>944150</v>
      </c>
      <c r="AD199" s="524">
        <f>O199/M199*100</f>
        <v>97.619225281282098</v>
      </c>
      <c r="AE199" s="524">
        <f>P199/O199*100</f>
        <v>131.76076116503404</v>
      </c>
      <c r="AF199" s="524">
        <f>Q199/P199*100</f>
        <v>91.416235626041981</v>
      </c>
      <c r="AG199" s="524">
        <f>AB199/Q199*100</f>
        <v>110.37526303483752</v>
      </c>
      <c r="AH199" s="522"/>
      <c r="AI199" s="522">
        <v>1081500.1000000001</v>
      </c>
      <c r="AJ199" s="516">
        <f>W199/R199*100</f>
        <v>133.50498520872139</v>
      </c>
      <c r="AK199" s="516">
        <f>AT199/W199*100</f>
        <v>122.6827155427894</v>
      </c>
      <c r="AL199" s="516">
        <f>X199/AT199*100</f>
        <v>80.385023041474653</v>
      </c>
      <c r="AM199" s="292"/>
      <c r="AO199" t="b">
        <f t="shared" si="82"/>
        <v>1</v>
      </c>
      <c r="AP199" s="440">
        <f>AP201+AP205+AP208</f>
        <v>356259.09</v>
      </c>
      <c r="AQ199" s="441">
        <v>992870.95</v>
      </c>
      <c r="AR199" s="440">
        <f>AR201+AR205+AR208</f>
        <v>415695.09</v>
      </c>
      <c r="AS199" s="441">
        <f>AS201+AS205+AS208</f>
        <v>225758.65</v>
      </c>
      <c r="AT199" s="612">
        <f>AT201+AT205+AT208</f>
        <v>1345400</v>
      </c>
      <c r="AU199" s="469">
        <f>AU201+AU205+AU208</f>
        <v>1406400</v>
      </c>
      <c r="AV199" s="636">
        <v>1081500.1000000001</v>
      </c>
      <c r="AW199" s="636">
        <v>1081500.1000000001</v>
      </c>
      <c r="AX199" s="655">
        <f t="shared" si="83"/>
        <v>163.78754123905873</v>
      </c>
      <c r="AY199" s="655">
        <f t="shared" si="84"/>
        <v>135.50602925788093</v>
      </c>
      <c r="AZ199" s="655">
        <f t="shared" si="85"/>
        <v>104.53396759328082</v>
      </c>
      <c r="BA199" s="655">
        <f t="shared" si="86"/>
        <v>141.64982871137482</v>
      </c>
      <c r="BB199" s="655">
        <f t="shared" si="87"/>
        <v>76.898471274175208</v>
      </c>
      <c r="BC199" s="655">
        <f t="shared" si="87"/>
        <v>100</v>
      </c>
    </row>
    <row r="200" spans="1:55" ht="12" customHeight="1">
      <c r="A200" s="36"/>
      <c r="B200" s="36"/>
      <c r="C200" s="36"/>
      <c r="D200" s="36"/>
      <c r="E200" s="36"/>
      <c r="F200" s="36"/>
      <c r="G200" s="36"/>
      <c r="H200" s="46"/>
      <c r="I200" s="38"/>
      <c r="J200" s="39"/>
      <c r="K200" s="40"/>
      <c r="L200" s="316"/>
      <c r="M200" s="316"/>
      <c r="N200" s="338"/>
      <c r="O200" s="338"/>
      <c r="P200" s="293"/>
      <c r="Q200" s="293"/>
      <c r="R200" s="442"/>
      <c r="S200" s="293"/>
      <c r="T200" s="293"/>
      <c r="U200" s="292" t="b">
        <f t="shared" si="90"/>
        <v>0</v>
      </c>
      <c r="V200" s="470"/>
      <c r="W200" s="470"/>
      <c r="X200" s="525"/>
      <c r="Y200" s="525"/>
      <c r="Z200" s="525"/>
      <c r="AA200" s="525"/>
      <c r="AB200" s="526"/>
      <c r="AC200" s="526"/>
      <c r="AD200" s="524"/>
      <c r="AE200" s="524"/>
      <c r="AF200" s="524"/>
      <c r="AG200" s="524"/>
      <c r="AH200" s="525"/>
      <c r="AI200" s="525"/>
      <c r="AJ200" s="516"/>
      <c r="AK200" s="516"/>
      <c r="AL200" s="516"/>
      <c r="AM200" s="293"/>
      <c r="AO200" t="b">
        <f t="shared" si="82"/>
        <v>0</v>
      </c>
      <c r="AQ200" s="442"/>
      <c r="AS200" s="442"/>
      <c r="AT200" s="613"/>
      <c r="AU200" s="470"/>
      <c r="AV200" s="637"/>
      <c r="AW200" s="637"/>
      <c r="AX200" s="655" t="str">
        <f t="shared" si="83"/>
        <v/>
      </c>
      <c r="AY200" s="655" t="str">
        <f t="shared" si="84"/>
        <v/>
      </c>
      <c r="AZ200" s="655" t="str">
        <f t="shared" si="85"/>
        <v/>
      </c>
      <c r="BA200" s="655" t="str">
        <f t="shared" si="86"/>
        <v/>
      </c>
      <c r="BB200" s="655" t="str">
        <f t="shared" si="87"/>
        <v/>
      </c>
      <c r="BC200" s="655" t="str">
        <f t="shared" si="87"/>
        <v/>
      </c>
    </row>
    <row r="201" spans="1:55" ht="12" customHeight="1">
      <c r="A201" s="56"/>
      <c r="B201" s="56"/>
      <c r="C201" s="56"/>
      <c r="D201" s="56"/>
      <c r="E201" s="56"/>
      <c r="F201" s="56"/>
      <c r="G201" s="56"/>
      <c r="H201" s="57">
        <v>311</v>
      </c>
      <c r="I201" s="58"/>
      <c r="J201" s="59"/>
      <c r="K201" s="60" t="s">
        <v>96</v>
      </c>
      <c r="L201" s="315">
        <f t="shared" ref="L201:AA201" si="109">L202+L203</f>
        <v>4577611</v>
      </c>
      <c r="M201" s="315">
        <f t="shared" si="109"/>
        <v>607553.38774968474</v>
      </c>
      <c r="N201" s="337">
        <f t="shared" si="109"/>
        <v>4462694</v>
      </c>
      <c r="O201" s="337">
        <f t="shared" si="109"/>
        <v>592301.28077510116</v>
      </c>
      <c r="P201" s="292">
        <f t="shared" si="109"/>
        <v>796600</v>
      </c>
      <c r="Q201" s="292">
        <f t="shared" si="109"/>
        <v>702500</v>
      </c>
      <c r="R201" s="441">
        <f t="shared" si="109"/>
        <v>687005</v>
      </c>
      <c r="S201" s="292">
        <f t="shared" si="109"/>
        <v>210994</v>
      </c>
      <c r="T201" s="292"/>
      <c r="U201" s="292" t="b">
        <f t="shared" si="90"/>
        <v>1</v>
      </c>
      <c r="V201" s="469">
        <v>908620</v>
      </c>
      <c r="W201" s="469">
        <f>W202+W203</f>
        <v>912000</v>
      </c>
      <c r="X201" s="522">
        <f>X202+X203</f>
        <v>807000</v>
      </c>
      <c r="Y201" s="522"/>
      <c r="Z201" s="522">
        <f t="shared" si="109"/>
        <v>0</v>
      </c>
      <c r="AA201" s="522">
        <f t="shared" si="109"/>
        <v>0</v>
      </c>
      <c r="AB201" s="523">
        <f>AB202+AB203</f>
        <v>803700</v>
      </c>
      <c r="AC201" s="523">
        <f>AC202+AC203</f>
        <v>803700</v>
      </c>
      <c r="AD201" s="524">
        <f>O201/M201*100</f>
        <v>97.48958572495566</v>
      </c>
      <c r="AE201" s="524">
        <f t="shared" ref="AE201:AF203" si="110">P201/O201*100</f>
        <v>134.49236492576011</v>
      </c>
      <c r="AF201" s="524">
        <f t="shared" si="110"/>
        <v>88.187296008034139</v>
      </c>
      <c r="AG201" s="524">
        <f>AB201/Q201*100</f>
        <v>114.40569395017795</v>
      </c>
      <c r="AH201" s="522"/>
      <c r="AI201" s="522">
        <v>807000</v>
      </c>
      <c r="AJ201" s="516">
        <f>W201/R201*100</f>
        <v>132.75012554493782</v>
      </c>
      <c r="AK201" s="516">
        <f>AT201/W201*100</f>
        <v>121.60087719298245</v>
      </c>
      <c r="AL201" s="516">
        <f>X201/AT201*100</f>
        <v>72.768259693417491</v>
      </c>
      <c r="AM201" s="292"/>
      <c r="AO201" t="b">
        <f t="shared" si="82"/>
        <v>1</v>
      </c>
      <c r="AP201" s="440">
        <f>AP202+AP203</f>
        <v>293403.28000000003</v>
      </c>
      <c r="AQ201" s="441">
        <v>828203.63</v>
      </c>
      <c r="AR201" s="440">
        <f>AR202+AR203</f>
        <v>350011.28</v>
      </c>
      <c r="AS201" s="441">
        <f>AS202+AS203</f>
        <v>187260.59</v>
      </c>
      <c r="AT201" s="612">
        <f>AT202+AT203</f>
        <v>1109000</v>
      </c>
      <c r="AU201" s="469">
        <f>AU202+AU203</f>
        <v>1169000</v>
      </c>
      <c r="AV201" s="636">
        <v>807000</v>
      </c>
      <c r="AW201" s="636">
        <v>807000</v>
      </c>
      <c r="AX201" s="655">
        <f t="shared" si="83"/>
        <v>161.42531713742986</v>
      </c>
      <c r="AY201" s="655">
        <f t="shared" si="84"/>
        <v>133.90426699771891</v>
      </c>
      <c r="AZ201" s="655">
        <f t="shared" si="85"/>
        <v>105.41027953110911</v>
      </c>
      <c r="BA201" s="655">
        <f t="shared" si="86"/>
        <v>141.14886214637818</v>
      </c>
      <c r="BB201" s="655">
        <f t="shared" si="87"/>
        <v>69.033361847733104</v>
      </c>
      <c r="BC201" s="655">
        <f t="shared" si="87"/>
        <v>100</v>
      </c>
    </row>
    <row r="202" spans="1:55" ht="12" customHeight="1">
      <c r="A202" s="36"/>
      <c r="B202" s="36"/>
      <c r="C202" s="36"/>
      <c r="D202" s="36"/>
      <c r="E202" s="36"/>
      <c r="F202" s="36"/>
      <c r="G202" s="36"/>
      <c r="H202" s="46">
        <v>3111</v>
      </c>
      <c r="I202" s="38"/>
      <c r="J202" s="39"/>
      <c r="K202" s="40" t="s">
        <v>97</v>
      </c>
      <c r="L202" s="309">
        <f t="shared" ref="L202:S202" si="111">L360+L362+L990+L1072+L1133</f>
        <v>4554160</v>
      </c>
      <c r="M202" s="309">
        <f t="shared" si="111"/>
        <v>604440.90516955336</v>
      </c>
      <c r="N202" s="339">
        <f t="shared" si="111"/>
        <v>4462694</v>
      </c>
      <c r="O202" s="339">
        <f t="shared" si="111"/>
        <v>592301.28077510116</v>
      </c>
      <c r="P202" s="294">
        <f t="shared" si="111"/>
        <v>793900</v>
      </c>
      <c r="Q202" s="294">
        <f t="shared" si="111"/>
        <v>699800</v>
      </c>
      <c r="R202" s="443">
        <f t="shared" si="111"/>
        <v>687005</v>
      </c>
      <c r="S202" s="294">
        <f t="shared" si="111"/>
        <v>210994</v>
      </c>
      <c r="T202" s="294"/>
      <c r="U202" s="292" t="b">
        <f t="shared" si="90"/>
        <v>1</v>
      </c>
      <c r="V202" s="471">
        <v>903620</v>
      </c>
      <c r="W202" s="471">
        <f>W360+W362+W990+W1072+W1133</f>
        <v>912000</v>
      </c>
      <c r="X202" s="527">
        <f>X360+X362+X990+X1072+X1133</f>
        <v>802000</v>
      </c>
      <c r="Y202" s="527"/>
      <c r="Z202" s="527">
        <f>Z360+Z362+Z990+Z1072+Z1133</f>
        <v>0</v>
      </c>
      <c r="AA202" s="527">
        <f>AA360+AA362+AA990+AA1072+AA1133</f>
        <v>0</v>
      </c>
      <c r="AB202" s="528">
        <f>AB360+AB362+AB990+AB1072+AB1133</f>
        <v>801000</v>
      </c>
      <c r="AC202" s="528">
        <f>AC360+AC362+AC990+AC1072+AC1133</f>
        <v>801000</v>
      </c>
      <c r="AD202" s="524">
        <f>O202/M202*100</f>
        <v>97.991594498217012</v>
      </c>
      <c r="AE202" s="524">
        <f t="shared" si="110"/>
        <v>134.03651583550206</v>
      </c>
      <c r="AF202" s="524">
        <f t="shared" si="110"/>
        <v>88.14712180375362</v>
      </c>
      <c r="AG202" s="524">
        <f>AB202/Q202*100</f>
        <v>114.46127464989996</v>
      </c>
      <c r="AH202" s="527"/>
      <c r="AI202" s="527">
        <v>802000</v>
      </c>
      <c r="AJ202" s="516">
        <f>W202/R202*100</f>
        <v>132.75012554493782</v>
      </c>
      <c r="AK202" s="516">
        <f>AT202/W202*100</f>
        <v>121.05263157894737</v>
      </c>
      <c r="AL202" s="516">
        <f>X202/AT202*100</f>
        <v>72.64492753623189</v>
      </c>
      <c r="AM202" s="294"/>
      <c r="AO202" t="b">
        <f t="shared" ref="AO202:AO265" si="112">__xlfn.ISFORMULA(AT202)</f>
        <v>1</v>
      </c>
      <c r="AP202" s="462">
        <f>AP360+AP362+AP990+AP1072+AP1133</f>
        <v>293403.28000000003</v>
      </c>
      <c r="AQ202" s="443">
        <v>828203.63</v>
      </c>
      <c r="AR202" s="462">
        <f>AR360+AR362+AR990+AR1072+AR1133</f>
        <v>350011.28</v>
      </c>
      <c r="AS202" s="443">
        <f>AS360+AS362+AS990+AS1072+AS1133</f>
        <v>187260.59</v>
      </c>
      <c r="AT202" s="613">
        <f>AT360+AT362+AT990+AT1072+AT1133</f>
        <v>1104000</v>
      </c>
      <c r="AU202" s="471">
        <f>AU360+AU362+AU990+AU1072+AU1133</f>
        <v>1164000</v>
      </c>
      <c r="AV202" s="638">
        <v>802000</v>
      </c>
      <c r="AW202" s="638">
        <v>802000</v>
      </c>
      <c r="AX202" s="655">
        <f t="shared" si="83"/>
        <v>160.69752039650368</v>
      </c>
      <c r="AY202" s="655">
        <f t="shared" si="84"/>
        <v>133.30055073533063</v>
      </c>
      <c r="AZ202" s="655">
        <f t="shared" si="85"/>
        <v>105.43478260869566</v>
      </c>
      <c r="BA202" s="655">
        <f t="shared" si="86"/>
        <v>140.5451458839899</v>
      </c>
      <c r="BB202" s="655">
        <f t="shared" si="87"/>
        <v>68.900343642611688</v>
      </c>
      <c r="BC202" s="655">
        <f t="shared" si="87"/>
        <v>100</v>
      </c>
    </row>
    <row r="203" spans="1:55" ht="12" customHeight="1">
      <c r="A203" s="36"/>
      <c r="B203" s="36"/>
      <c r="C203" s="36"/>
      <c r="D203" s="36"/>
      <c r="E203" s="36"/>
      <c r="F203" s="36"/>
      <c r="G203" s="36"/>
      <c r="H203" s="46">
        <v>3113</v>
      </c>
      <c r="I203" s="38"/>
      <c r="J203" s="39"/>
      <c r="K203" s="40" t="s">
        <v>98</v>
      </c>
      <c r="L203" s="309">
        <f t="shared" ref="L203:AA203" si="113">L361</f>
        <v>23451</v>
      </c>
      <c r="M203" s="309">
        <f t="shared" si="113"/>
        <v>3112.4825801313955</v>
      </c>
      <c r="N203" s="339">
        <f t="shared" si="113"/>
        <v>0</v>
      </c>
      <c r="O203" s="339">
        <f t="shared" si="113"/>
        <v>0</v>
      </c>
      <c r="P203" s="294">
        <f t="shared" si="113"/>
        <v>2700</v>
      </c>
      <c r="Q203" s="294">
        <f t="shared" si="113"/>
        <v>2700</v>
      </c>
      <c r="R203" s="443">
        <f t="shared" si="113"/>
        <v>0</v>
      </c>
      <c r="S203" s="294">
        <f t="shared" si="113"/>
        <v>0</v>
      </c>
      <c r="T203" s="294"/>
      <c r="U203" s="292" t="b">
        <f t="shared" si="90"/>
        <v>1</v>
      </c>
      <c r="V203" s="471">
        <v>5000</v>
      </c>
      <c r="W203" s="471">
        <f>W361</f>
        <v>0</v>
      </c>
      <c r="X203" s="527">
        <f>X361</f>
        <v>5000</v>
      </c>
      <c r="Y203" s="527"/>
      <c r="Z203" s="527" t="b">
        <f t="shared" si="113"/>
        <v>0</v>
      </c>
      <c r="AA203" s="527">
        <f t="shared" si="113"/>
        <v>0</v>
      </c>
      <c r="AB203" s="528">
        <f>AB361</f>
        <v>2700</v>
      </c>
      <c r="AC203" s="528">
        <f>AC361</f>
        <v>2700</v>
      </c>
      <c r="AD203" s="524">
        <f>O203/M203*100</f>
        <v>0</v>
      </c>
      <c r="AE203" s="524" t="e">
        <f t="shared" si="110"/>
        <v>#DIV/0!</v>
      </c>
      <c r="AF203" s="524">
        <f t="shared" si="110"/>
        <v>100</v>
      </c>
      <c r="AG203" s="524">
        <f>AB203/Q203*100</f>
        <v>100</v>
      </c>
      <c r="AH203" s="527"/>
      <c r="AI203" s="527">
        <v>5000</v>
      </c>
      <c r="AJ203" s="516"/>
      <c r="AK203" s="516"/>
      <c r="AL203" s="516">
        <f>X203/AT203*100</f>
        <v>100</v>
      </c>
      <c r="AM203" s="294"/>
      <c r="AO203" t="b">
        <f t="shared" si="112"/>
        <v>1</v>
      </c>
      <c r="AP203" s="462">
        <f>AP361</f>
        <v>0</v>
      </c>
      <c r="AQ203" s="443">
        <v>0</v>
      </c>
      <c r="AR203" s="462">
        <f>AR361</f>
        <v>0</v>
      </c>
      <c r="AS203" s="443">
        <f>AS361</f>
        <v>0</v>
      </c>
      <c r="AT203" s="613">
        <f>AT361</f>
        <v>5000</v>
      </c>
      <c r="AU203" s="471">
        <f>AU361</f>
        <v>5000</v>
      </c>
      <c r="AV203" s="638">
        <v>5000</v>
      </c>
      <c r="AW203" s="638">
        <v>5000</v>
      </c>
      <c r="AX203" s="655" t="str">
        <f t="shared" ref="AX203:AX266" si="114">IF(AND(ISNUMBER(AT203), ISNUMBER(R203), R203&lt;&gt;0), (AT203/R203)*100, "")</f>
        <v/>
      </c>
      <c r="AY203" s="655" t="str">
        <f t="shared" ref="AY203:AY266" si="115">IF(AND(ISNUMBER(AT203), ISNUMBER(AQ203), AQ203&lt;&gt;0), (AT203/AQ203)*100, "")</f>
        <v/>
      </c>
      <c r="AZ203" s="655">
        <f t="shared" ref="AZ203:AZ266" si="116">IF(AND(ISNUMBER(AU203), ISNUMBER(AT203), AT203&lt;&gt;0), (AU203/AT203)*100, "")</f>
        <v>100</v>
      </c>
      <c r="BA203" s="655" t="str">
        <f t="shared" ref="BA203:BA266" si="117">IF(AND(ISNUMBER(AU203), ISNUMBER(AQ203), AQ203&lt;&gt;0), (AU203/AQ203)*100, "")</f>
        <v/>
      </c>
      <c r="BB203" s="655">
        <f t="shared" ref="BB203:BC266" si="118">IF(AND(ISNUMBER(AV203), ISNUMBER(AU203), AU203&lt;&gt;0), (AV203/AU203)*100, "")</f>
        <v>100</v>
      </c>
      <c r="BC203" s="655">
        <f t="shared" si="118"/>
        <v>100</v>
      </c>
    </row>
    <row r="204" spans="1:55" ht="12" customHeight="1">
      <c r="A204" s="20"/>
      <c r="B204" s="20"/>
      <c r="C204" s="20"/>
      <c r="D204" s="20"/>
      <c r="E204" s="20"/>
      <c r="F204" s="20"/>
      <c r="G204" s="20"/>
      <c r="H204" s="16"/>
      <c r="I204" s="17"/>
      <c r="J204" s="14"/>
      <c r="K204" s="19"/>
      <c r="L204" s="313">
        <v>1</v>
      </c>
      <c r="M204" s="313">
        <v>2</v>
      </c>
      <c r="N204" s="335">
        <v>3</v>
      </c>
      <c r="O204" s="335">
        <v>4</v>
      </c>
      <c r="P204" s="290">
        <v>5</v>
      </c>
      <c r="Q204" s="290">
        <v>6</v>
      </c>
      <c r="R204" s="439"/>
      <c r="S204" s="290"/>
      <c r="T204" s="290"/>
      <c r="U204" s="292" t="b">
        <f t="shared" si="90"/>
        <v>0</v>
      </c>
      <c r="V204" s="467"/>
      <c r="W204" s="467"/>
      <c r="X204" s="514"/>
      <c r="Y204" s="514"/>
      <c r="Z204" s="514"/>
      <c r="AA204" s="514"/>
      <c r="AB204" s="515">
        <v>7</v>
      </c>
      <c r="AC204" s="515">
        <v>8</v>
      </c>
      <c r="AD204" s="515">
        <v>9</v>
      </c>
      <c r="AE204" s="515">
        <v>10</v>
      </c>
      <c r="AF204" s="515">
        <v>11</v>
      </c>
      <c r="AG204" s="515">
        <v>12</v>
      </c>
      <c r="AH204" s="514"/>
      <c r="AI204" s="514"/>
      <c r="AJ204" s="516"/>
      <c r="AK204" s="516"/>
      <c r="AL204" s="516"/>
      <c r="AM204" s="290"/>
      <c r="AO204" t="b">
        <f t="shared" si="112"/>
        <v>0</v>
      </c>
      <c r="AQ204" s="439"/>
      <c r="AS204" s="439"/>
      <c r="AT204" s="612"/>
      <c r="AU204" s="467"/>
      <c r="AV204" s="632"/>
      <c r="AW204" s="632"/>
      <c r="AX204" s="655" t="str">
        <f t="shared" si="114"/>
        <v/>
      </c>
      <c r="AY204" s="655" t="str">
        <f t="shared" si="115"/>
        <v/>
      </c>
      <c r="AZ204" s="655" t="str">
        <f t="shared" si="116"/>
        <v/>
      </c>
      <c r="BA204" s="655" t="str">
        <f t="shared" si="117"/>
        <v/>
      </c>
      <c r="BB204" s="655" t="str">
        <f t="shared" si="118"/>
        <v/>
      </c>
      <c r="BC204" s="655" t="str">
        <f t="shared" si="118"/>
        <v/>
      </c>
    </row>
    <row r="205" spans="1:55" ht="12" customHeight="1">
      <c r="A205" s="56"/>
      <c r="B205" s="56"/>
      <c r="C205" s="56"/>
      <c r="D205" s="56"/>
      <c r="E205" s="56"/>
      <c r="F205" s="56"/>
      <c r="G205" s="56"/>
      <c r="H205" s="57">
        <v>312</v>
      </c>
      <c r="I205" s="58"/>
      <c r="J205" s="59"/>
      <c r="K205" s="60" t="s">
        <v>99</v>
      </c>
      <c r="L205" s="315">
        <f t="shared" ref="L205:AC205" si="119">L206</f>
        <v>133654</v>
      </c>
      <c r="M205" s="315">
        <f t="shared" si="119"/>
        <v>17738.934235848432</v>
      </c>
      <c r="N205" s="337">
        <f t="shared" si="119"/>
        <v>171000</v>
      </c>
      <c r="O205" s="337">
        <f t="shared" si="119"/>
        <v>22695.600238901057</v>
      </c>
      <c r="P205" s="292">
        <f t="shared" si="119"/>
        <v>24900</v>
      </c>
      <c r="Q205" s="292">
        <f t="shared" si="119"/>
        <v>35200</v>
      </c>
      <c r="R205" s="441">
        <f t="shared" si="119"/>
        <v>25216</v>
      </c>
      <c r="S205" s="292">
        <f t="shared" si="119"/>
        <v>1085</v>
      </c>
      <c r="T205" s="292"/>
      <c r="U205" s="292" t="b">
        <f t="shared" si="90"/>
        <v>1</v>
      </c>
      <c r="V205" s="469">
        <v>40500</v>
      </c>
      <c r="W205" s="469">
        <f t="shared" si="119"/>
        <v>30900</v>
      </c>
      <c r="X205" s="522">
        <f t="shared" si="119"/>
        <v>57500.1</v>
      </c>
      <c r="Y205" s="522"/>
      <c r="Z205" s="522">
        <f t="shared" si="119"/>
        <v>0</v>
      </c>
      <c r="AA205" s="522">
        <f t="shared" si="119"/>
        <v>0</v>
      </c>
      <c r="AB205" s="523">
        <f t="shared" si="119"/>
        <v>25100</v>
      </c>
      <c r="AC205" s="523">
        <f t="shared" si="119"/>
        <v>25100</v>
      </c>
      <c r="AD205" s="524">
        <f>O205/M205*100</f>
        <v>127.94229877145465</v>
      </c>
      <c r="AE205" s="524">
        <f>P205/O205*100</f>
        <v>109.71289473684209</v>
      </c>
      <c r="AF205" s="524">
        <f>Q205/P205*100</f>
        <v>141.36546184738955</v>
      </c>
      <c r="AG205" s="524">
        <f>AB205/Q205*100</f>
        <v>71.306818181818173</v>
      </c>
      <c r="AH205" s="522"/>
      <c r="AI205" s="522">
        <v>57500.1</v>
      </c>
      <c r="AJ205" s="516">
        <f>W205/R205*100</f>
        <v>122.54124365482232</v>
      </c>
      <c r="AK205" s="516">
        <f>AT205/W205*100</f>
        <v>147.24919093851133</v>
      </c>
      <c r="AL205" s="516">
        <f>X205/AT205*100</f>
        <v>126.37384615384615</v>
      </c>
      <c r="AM205" s="292"/>
      <c r="AO205" t="b">
        <f t="shared" si="112"/>
        <v>1</v>
      </c>
      <c r="AP205" s="440">
        <f t="shared" ref="AP205:AU205" si="120">AP206</f>
        <v>14444.33</v>
      </c>
      <c r="AQ205" s="441">
        <v>26020.31</v>
      </c>
      <c r="AR205" s="440">
        <f>AR206</f>
        <v>17272.330000000002</v>
      </c>
      <c r="AS205" s="441">
        <f t="shared" si="120"/>
        <v>7600</v>
      </c>
      <c r="AT205" s="612">
        <f>AT206</f>
        <v>45500</v>
      </c>
      <c r="AU205" s="469">
        <f t="shared" si="120"/>
        <v>45500</v>
      </c>
      <c r="AV205" s="636">
        <v>57500.1</v>
      </c>
      <c r="AW205" s="636">
        <v>57500.1</v>
      </c>
      <c r="AX205" s="655">
        <f t="shared" si="114"/>
        <v>180.44098984771574</v>
      </c>
      <c r="AY205" s="655">
        <f t="shared" si="115"/>
        <v>174.86340477880546</v>
      </c>
      <c r="AZ205" s="655">
        <f t="shared" si="116"/>
        <v>100</v>
      </c>
      <c r="BA205" s="655">
        <f t="shared" si="117"/>
        <v>174.86340477880546</v>
      </c>
      <c r="BB205" s="655">
        <f t="shared" si="118"/>
        <v>126.37384615384615</v>
      </c>
      <c r="BC205" s="655">
        <f t="shared" si="118"/>
        <v>100</v>
      </c>
    </row>
    <row r="206" spans="1:55" ht="12" customHeight="1">
      <c r="A206" s="36"/>
      <c r="B206" s="36"/>
      <c r="C206" s="36"/>
      <c r="D206" s="36"/>
      <c r="E206" s="36"/>
      <c r="F206" s="36"/>
      <c r="G206" s="36"/>
      <c r="H206" s="46">
        <v>3121</v>
      </c>
      <c r="I206" s="38"/>
      <c r="J206" s="39"/>
      <c r="K206" s="40" t="s">
        <v>99</v>
      </c>
      <c r="L206" s="309">
        <f t="shared" ref="L206:S206" si="121">L365+L366+L993+L1075+L1136</f>
        <v>133654</v>
      </c>
      <c r="M206" s="309">
        <f t="shared" si="121"/>
        <v>17738.934235848432</v>
      </c>
      <c r="N206" s="339">
        <f t="shared" si="121"/>
        <v>171000</v>
      </c>
      <c r="O206" s="339">
        <f t="shared" si="121"/>
        <v>22695.600238901057</v>
      </c>
      <c r="P206" s="294">
        <f t="shared" si="121"/>
        <v>24900</v>
      </c>
      <c r="Q206" s="294">
        <f t="shared" si="121"/>
        <v>35200</v>
      </c>
      <c r="R206" s="443">
        <f t="shared" si="121"/>
        <v>25216</v>
      </c>
      <c r="S206" s="294">
        <f t="shared" si="121"/>
        <v>1085</v>
      </c>
      <c r="T206" s="294"/>
      <c r="U206" s="292" t="b">
        <f t="shared" si="90"/>
        <v>1</v>
      </c>
      <c r="V206" s="471">
        <v>40500</v>
      </c>
      <c r="W206" s="471">
        <f>W365+W366+W993+W1075+W1136</f>
        <v>30900</v>
      </c>
      <c r="X206" s="527">
        <f>X365+X366+X993+X1075+X1136</f>
        <v>57500.1</v>
      </c>
      <c r="Y206" s="527"/>
      <c r="Z206" s="527">
        <f>Z365+Z366+Z993+Z1075+Z1136</f>
        <v>0</v>
      </c>
      <c r="AA206" s="527">
        <f>AA365+AA366+AA993+AA1075+AA1136</f>
        <v>0</v>
      </c>
      <c r="AB206" s="528">
        <f>AB365+AB366+AB993+AB1075+AB1136</f>
        <v>25100</v>
      </c>
      <c r="AC206" s="528">
        <f>AC365+AC366+AC993+AC1075+AC1136</f>
        <v>25100</v>
      </c>
      <c r="AD206" s="524">
        <f>O206/M206*100</f>
        <v>127.94229877145465</v>
      </c>
      <c r="AE206" s="524">
        <f>P206/O206*100</f>
        <v>109.71289473684209</v>
      </c>
      <c r="AF206" s="524">
        <f>Q206/P206*100</f>
        <v>141.36546184738955</v>
      </c>
      <c r="AG206" s="524">
        <f>AB206/Q206*100</f>
        <v>71.306818181818173</v>
      </c>
      <c r="AH206" s="527"/>
      <c r="AI206" s="527">
        <v>57500.1</v>
      </c>
      <c r="AJ206" s="516">
        <f>W206/R206*100</f>
        <v>122.54124365482232</v>
      </c>
      <c r="AK206" s="516">
        <f>AT206/W206*100</f>
        <v>147.24919093851133</v>
      </c>
      <c r="AL206" s="516">
        <f>X206/AT206*100</f>
        <v>126.37384615384615</v>
      </c>
      <c r="AM206" s="294"/>
      <c r="AO206" t="b">
        <f t="shared" si="112"/>
        <v>1</v>
      </c>
      <c r="AP206" s="462">
        <f>AP365+AP366+AP993+AP1075+AP1136</f>
        <v>14444.33</v>
      </c>
      <c r="AQ206" s="443">
        <v>26020.31</v>
      </c>
      <c r="AR206" s="462">
        <f>AR365+AR366+AR993+AR1075+AR1136</f>
        <v>17272.330000000002</v>
      </c>
      <c r="AS206" s="443">
        <f>AS365+AS366+AS993+AS1075+AS1136</f>
        <v>7600</v>
      </c>
      <c r="AT206" s="613">
        <f>AT365+AT366+AT993+AT1075+AT1136</f>
        <v>45500</v>
      </c>
      <c r="AU206" s="471">
        <f>AU365+AU366+AU993+AU1075+AU1136</f>
        <v>45500</v>
      </c>
      <c r="AV206" s="638">
        <v>57500.1</v>
      </c>
      <c r="AW206" s="638">
        <v>57500.1</v>
      </c>
      <c r="AX206" s="655">
        <f t="shared" si="114"/>
        <v>180.44098984771574</v>
      </c>
      <c r="AY206" s="655">
        <f t="shared" si="115"/>
        <v>174.86340477880546</v>
      </c>
      <c r="AZ206" s="655">
        <f t="shared" si="116"/>
        <v>100</v>
      </c>
      <c r="BA206" s="655">
        <f t="shared" si="117"/>
        <v>174.86340477880546</v>
      </c>
      <c r="BB206" s="655">
        <f t="shared" si="118"/>
        <v>126.37384615384615</v>
      </c>
      <c r="BC206" s="655">
        <f t="shared" si="118"/>
        <v>100</v>
      </c>
    </row>
    <row r="207" spans="1:55" ht="12" customHeight="1">
      <c r="A207" s="36"/>
      <c r="B207" s="36"/>
      <c r="C207" s="36"/>
      <c r="D207" s="36"/>
      <c r="E207" s="36"/>
      <c r="F207" s="36"/>
      <c r="G207" s="36"/>
      <c r="H207" s="46"/>
      <c r="I207" s="38"/>
      <c r="J207" s="39"/>
      <c r="K207" s="40"/>
      <c r="L207" s="316"/>
      <c r="M207" s="316"/>
      <c r="N207" s="338"/>
      <c r="O207" s="338"/>
      <c r="P207" s="293"/>
      <c r="Q207" s="293"/>
      <c r="R207" s="442"/>
      <c r="S207" s="293"/>
      <c r="T207" s="293"/>
      <c r="U207" s="292" t="b">
        <f t="shared" si="90"/>
        <v>0</v>
      </c>
      <c r="V207" s="470"/>
      <c r="W207" s="470"/>
      <c r="X207" s="525"/>
      <c r="Y207" s="525"/>
      <c r="Z207" s="525"/>
      <c r="AA207" s="525"/>
      <c r="AB207" s="526"/>
      <c r="AC207" s="526"/>
      <c r="AD207" s="524"/>
      <c r="AE207" s="524"/>
      <c r="AF207" s="524"/>
      <c r="AG207" s="524"/>
      <c r="AH207" s="525"/>
      <c r="AI207" s="525"/>
      <c r="AJ207" s="516"/>
      <c r="AK207" s="516"/>
      <c r="AL207" s="516"/>
      <c r="AM207" s="293"/>
      <c r="AO207" t="b">
        <f t="shared" si="112"/>
        <v>0</v>
      </c>
      <c r="AQ207" s="442"/>
      <c r="AS207" s="442"/>
      <c r="AT207" s="613"/>
      <c r="AU207" s="470"/>
      <c r="AV207" s="637"/>
      <c r="AW207" s="637"/>
      <c r="AX207" s="655" t="str">
        <f t="shared" si="114"/>
        <v/>
      </c>
      <c r="AY207" s="655" t="str">
        <f t="shared" si="115"/>
        <v/>
      </c>
      <c r="AZ207" s="655" t="str">
        <f t="shared" si="116"/>
        <v/>
      </c>
      <c r="BA207" s="655" t="str">
        <f t="shared" si="117"/>
        <v/>
      </c>
      <c r="BB207" s="655" t="str">
        <f t="shared" si="118"/>
        <v/>
      </c>
      <c r="BC207" s="655" t="str">
        <f t="shared" si="118"/>
        <v/>
      </c>
    </row>
    <row r="208" spans="1:55" ht="12" customHeight="1">
      <c r="A208" s="56"/>
      <c r="B208" s="56"/>
      <c r="C208" s="56"/>
      <c r="D208" s="56"/>
      <c r="E208" s="56"/>
      <c r="F208" s="56"/>
      <c r="G208" s="56"/>
      <c r="H208" s="57">
        <v>313</v>
      </c>
      <c r="I208" s="58"/>
      <c r="J208" s="59"/>
      <c r="K208" s="60" t="s">
        <v>100</v>
      </c>
      <c r="L208" s="315">
        <f t="shared" ref="L208:AA208" si="122">L209+L210</f>
        <v>769976</v>
      </c>
      <c r="M208" s="315">
        <f t="shared" si="122"/>
        <v>102193.37713186011</v>
      </c>
      <c r="N208" s="337">
        <f t="shared" si="122"/>
        <v>717051</v>
      </c>
      <c r="O208" s="337">
        <f t="shared" si="122"/>
        <v>95169.022496516016</v>
      </c>
      <c r="P208" s="292">
        <f t="shared" si="122"/>
        <v>114220</v>
      </c>
      <c r="Q208" s="292">
        <f t="shared" si="122"/>
        <v>117700</v>
      </c>
      <c r="R208" s="441">
        <f t="shared" si="122"/>
        <v>109209</v>
      </c>
      <c r="S208" s="292">
        <f t="shared" si="122"/>
        <v>34814</v>
      </c>
      <c r="T208" s="292"/>
      <c r="U208" s="292" t="b">
        <f t="shared" si="90"/>
        <v>1</v>
      </c>
      <c r="V208" s="469">
        <v>152100</v>
      </c>
      <c r="W208" s="469">
        <f>W209+W210</f>
        <v>153750</v>
      </c>
      <c r="X208" s="522">
        <f>X209+X210</f>
        <v>217000</v>
      </c>
      <c r="Y208" s="522"/>
      <c r="Z208" s="522">
        <f t="shared" si="122"/>
        <v>0</v>
      </c>
      <c r="AA208" s="522">
        <f t="shared" si="122"/>
        <v>0</v>
      </c>
      <c r="AB208" s="523">
        <f>AB209+AB210</f>
        <v>115350</v>
      </c>
      <c r="AC208" s="523">
        <f>AC209+AC210</f>
        <v>115350</v>
      </c>
      <c r="AD208" s="524">
        <f>O208/M208*100</f>
        <v>93.126409134830169</v>
      </c>
      <c r="AE208" s="524">
        <f t="shared" ref="AE208:AF210" si="123">P208/O208*100</f>
        <v>120.01804474158743</v>
      </c>
      <c r="AF208" s="524">
        <f t="shared" si="123"/>
        <v>103.04675188233234</v>
      </c>
      <c r="AG208" s="524">
        <f>AB208/Q208*100</f>
        <v>98.003398470688182</v>
      </c>
      <c r="AH208" s="522"/>
      <c r="AI208" s="522">
        <v>217000</v>
      </c>
      <c r="AJ208" s="516">
        <f>W208/R208*100</f>
        <v>140.78510012911022</v>
      </c>
      <c r="AK208" s="516">
        <f>AT208/W208*100</f>
        <v>124.16260162601627</v>
      </c>
      <c r="AL208" s="516">
        <f>X208/AT208*100</f>
        <v>113.67207962283918</v>
      </c>
      <c r="AM208" s="292"/>
      <c r="AO208" t="b">
        <f t="shared" si="112"/>
        <v>1</v>
      </c>
      <c r="AP208" s="440">
        <f>AP209+AP210</f>
        <v>48411.48</v>
      </c>
      <c r="AQ208" s="441">
        <v>138647.01</v>
      </c>
      <c r="AR208" s="440">
        <f>AR209+AR210</f>
        <v>48411.48</v>
      </c>
      <c r="AS208" s="441">
        <f>AS209+AS210</f>
        <v>30898.06</v>
      </c>
      <c r="AT208" s="612">
        <f>AT209+AT210</f>
        <v>190900</v>
      </c>
      <c r="AU208" s="469">
        <f>AU209+AU210</f>
        <v>191900</v>
      </c>
      <c r="AV208" s="636">
        <v>217000</v>
      </c>
      <c r="AW208" s="636">
        <v>217000</v>
      </c>
      <c r="AX208" s="655">
        <f t="shared" si="114"/>
        <v>174.80244302209525</v>
      </c>
      <c r="AY208" s="655">
        <f t="shared" si="115"/>
        <v>137.68778713655635</v>
      </c>
      <c r="AZ208" s="655">
        <f t="shared" si="116"/>
        <v>100.52383446830801</v>
      </c>
      <c r="BA208" s="655">
        <f t="shared" si="117"/>
        <v>138.40904322422821</v>
      </c>
      <c r="BB208" s="655">
        <f t="shared" si="118"/>
        <v>113.07972902553414</v>
      </c>
      <c r="BC208" s="655">
        <f t="shared" si="118"/>
        <v>100</v>
      </c>
    </row>
    <row r="209" spans="1:55" ht="12" customHeight="1">
      <c r="A209" s="36"/>
      <c r="B209" s="36"/>
      <c r="C209" s="36"/>
      <c r="D209" s="36"/>
      <c r="E209" s="36"/>
      <c r="F209" s="36"/>
      <c r="G209" s="36"/>
      <c r="H209" s="46">
        <v>3132</v>
      </c>
      <c r="I209" s="38"/>
      <c r="J209" s="39"/>
      <c r="K209" s="40" t="s">
        <v>101</v>
      </c>
      <c r="L209" s="309">
        <f t="shared" ref="L209:S210" si="124">L369+L371+L997+L1078+L1139</f>
        <v>754788</v>
      </c>
      <c r="M209" s="309">
        <f t="shared" si="124"/>
        <v>100177.58311765877</v>
      </c>
      <c r="N209" s="339">
        <f t="shared" si="124"/>
        <v>702989</v>
      </c>
      <c r="O209" s="339">
        <f t="shared" si="124"/>
        <v>93302.674364589548</v>
      </c>
      <c r="P209" s="294">
        <f t="shared" si="124"/>
        <v>112120</v>
      </c>
      <c r="Q209" s="294">
        <f t="shared" si="124"/>
        <v>116100</v>
      </c>
      <c r="R209" s="443">
        <f t="shared" si="124"/>
        <v>107762</v>
      </c>
      <c r="S209" s="294">
        <f t="shared" si="124"/>
        <v>34814</v>
      </c>
      <c r="T209" s="294"/>
      <c r="U209" s="292" t="b">
        <f t="shared" si="90"/>
        <v>1</v>
      </c>
      <c r="V209" s="471">
        <v>150010</v>
      </c>
      <c r="W209" s="471">
        <f>W369+W371+W997+W1078+W1139</f>
        <v>150750</v>
      </c>
      <c r="X209" s="527">
        <f>X369+X371+X997+X1078+X1139</f>
        <v>214900</v>
      </c>
      <c r="Y209" s="527"/>
      <c r="Z209" s="527">
        <f t="shared" ref="Z209:AC210" si="125">Z369+Z371+Z997+Z1078+Z1139</f>
        <v>0</v>
      </c>
      <c r="AA209" s="527">
        <f t="shared" si="125"/>
        <v>0</v>
      </c>
      <c r="AB209" s="528">
        <f t="shared" si="125"/>
        <v>113250</v>
      </c>
      <c r="AC209" s="528">
        <f t="shared" si="125"/>
        <v>113250</v>
      </c>
      <c r="AD209" s="524">
        <f>O209/M209*100</f>
        <v>93.137278282113641</v>
      </c>
      <c r="AE209" s="524">
        <f t="shared" si="123"/>
        <v>120.16804530369609</v>
      </c>
      <c r="AF209" s="524">
        <f t="shared" si="123"/>
        <v>103.54976810560115</v>
      </c>
      <c r="AG209" s="524">
        <f>AB209/Q209*100</f>
        <v>97.545219638242898</v>
      </c>
      <c r="AH209" s="527"/>
      <c r="AI209" s="527">
        <v>214900</v>
      </c>
      <c r="AJ209" s="516">
        <f>W209/R209*100</f>
        <v>139.89161299901636</v>
      </c>
      <c r="AK209" s="516">
        <f>AT209/W209*100</f>
        <v>125.24046434494196</v>
      </c>
      <c r="AL209" s="516">
        <f>X209/AT209*100</f>
        <v>113.82415254237289</v>
      </c>
      <c r="AM209" s="294"/>
      <c r="AO209" t="b">
        <f t="shared" si="112"/>
        <v>1</v>
      </c>
      <c r="AP209" s="462">
        <f>AP369+AP371+AP997+AP1078+AP1139</f>
        <v>48411.48</v>
      </c>
      <c r="AQ209" s="443">
        <v>136659.01</v>
      </c>
      <c r="AR209" s="462">
        <f t="shared" ref="AR209:AU210" si="126">AR369+AR371+AR997+AR1078+AR1139</f>
        <v>48411.48</v>
      </c>
      <c r="AS209" s="443">
        <f t="shared" si="126"/>
        <v>30898.06</v>
      </c>
      <c r="AT209" s="613">
        <f t="shared" si="126"/>
        <v>188800</v>
      </c>
      <c r="AU209" s="471">
        <f t="shared" si="126"/>
        <v>189800</v>
      </c>
      <c r="AV209" s="638">
        <v>214900</v>
      </c>
      <c r="AW209" s="638">
        <v>214900</v>
      </c>
      <c r="AX209" s="655">
        <f t="shared" si="114"/>
        <v>175.20090569959726</v>
      </c>
      <c r="AY209" s="655">
        <f t="shared" si="115"/>
        <v>138.15408146158822</v>
      </c>
      <c r="AZ209" s="655">
        <f t="shared" si="116"/>
        <v>100.52966101694916</v>
      </c>
      <c r="BA209" s="655">
        <f t="shared" si="117"/>
        <v>138.88582977441442</v>
      </c>
      <c r="BB209" s="655">
        <f t="shared" si="118"/>
        <v>113.22444678609062</v>
      </c>
      <c r="BC209" s="655">
        <f t="shared" si="118"/>
        <v>100</v>
      </c>
    </row>
    <row r="210" spans="1:55" ht="12" customHeight="1">
      <c r="A210" s="36"/>
      <c r="B210" s="36"/>
      <c r="C210" s="36"/>
      <c r="D210" s="36"/>
      <c r="E210" s="36"/>
      <c r="F210" s="36"/>
      <c r="G210" s="36"/>
      <c r="H210" s="46">
        <v>3133</v>
      </c>
      <c r="I210" s="38"/>
      <c r="J210" s="39"/>
      <c r="K210" s="40" t="s">
        <v>102</v>
      </c>
      <c r="L210" s="309">
        <f t="shared" si="124"/>
        <v>15188</v>
      </c>
      <c r="M210" s="309">
        <f t="shared" si="124"/>
        <v>2015.7940142013404</v>
      </c>
      <c r="N210" s="339">
        <f t="shared" si="124"/>
        <v>14062</v>
      </c>
      <c r="O210" s="339">
        <f t="shared" si="124"/>
        <v>1866.3481319264715</v>
      </c>
      <c r="P210" s="294">
        <f t="shared" si="124"/>
        <v>2100</v>
      </c>
      <c r="Q210" s="294">
        <f t="shared" si="124"/>
        <v>1600</v>
      </c>
      <c r="R210" s="443">
        <f t="shared" si="124"/>
        <v>1447</v>
      </c>
      <c r="S210" s="294">
        <f t="shared" si="124"/>
        <v>0</v>
      </c>
      <c r="T210" s="294"/>
      <c r="U210" s="292" t="b">
        <f t="shared" si="90"/>
        <v>1</v>
      </c>
      <c r="V210" s="471">
        <v>2090</v>
      </c>
      <c r="W210" s="471">
        <f>W370+W372+W998+W1079+W1140</f>
        <v>3000</v>
      </c>
      <c r="X210" s="527">
        <f>X370+X372+X998+X1079+X1140</f>
        <v>2100</v>
      </c>
      <c r="Y210" s="527"/>
      <c r="Z210" s="527">
        <f t="shared" si="125"/>
        <v>0</v>
      </c>
      <c r="AA210" s="527">
        <f t="shared" si="125"/>
        <v>0</v>
      </c>
      <c r="AB210" s="528">
        <f t="shared" si="125"/>
        <v>2100</v>
      </c>
      <c r="AC210" s="528">
        <f t="shared" si="125"/>
        <v>2100</v>
      </c>
      <c r="AD210" s="524">
        <f>O210/M210*100</f>
        <v>92.586252304450895</v>
      </c>
      <c r="AE210" s="524">
        <f t="shared" si="123"/>
        <v>112.51920068269095</v>
      </c>
      <c r="AF210" s="524">
        <f t="shared" si="123"/>
        <v>76.19047619047619</v>
      </c>
      <c r="AG210" s="524">
        <f>AB210/Q210*100</f>
        <v>131.25</v>
      </c>
      <c r="AH210" s="527"/>
      <c r="AI210" s="527">
        <v>2100</v>
      </c>
      <c r="AJ210" s="516">
        <f>W210/R210*100</f>
        <v>207.32550103662751</v>
      </c>
      <c r="AK210" s="516">
        <f>AT210/W210*100</f>
        <v>70</v>
      </c>
      <c r="AL210" s="516">
        <f>X210/AT210*100</f>
        <v>100</v>
      </c>
      <c r="AM210" s="294"/>
      <c r="AO210" t="b">
        <f t="shared" si="112"/>
        <v>1</v>
      </c>
      <c r="AP210" s="462">
        <f>AP370+AP372+AP998+AP1079+AP1140</f>
        <v>0</v>
      </c>
      <c r="AQ210" s="443">
        <v>1988</v>
      </c>
      <c r="AR210" s="462">
        <f t="shared" si="126"/>
        <v>0</v>
      </c>
      <c r="AS210" s="443">
        <f t="shared" si="126"/>
        <v>0</v>
      </c>
      <c r="AT210" s="613">
        <f t="shared" si="126"/>
        <v>2100</v>
      </c>
      <c r="AU210" s="471">
        <f t="shared" si="126"/>
        <v>2100</v>
      </c>
      <c r="AV210" s="638">
        <v>2100</v>
      </c>
      <c r="AW210" s="638">
        <v>2100</v>
      </c>
      <c r="AX210" s="655">
        <f t="shared" si="114"/>
        <v>145.12785072563926</v>
      </c>
      <c r="AY210" s="655">
        <f t="shared" si="115"/>
        <v>105.63380281690141</v>
      </c>
      <c r="AZ210" s="655">
        <f t="shared" si="116"/>
        <v>100</v>
      </c>
      <c r="BA210" s="655">
        <f t="shared" si="117"/>
        <v>105.63380281690141</v>
      </c>
      <c r="BB210" s="655">
        <f t="shared" si="118"/>
        <v>100</v>
      </c>
      <c r="BC210" s="655">
        <f t="shared" si="118"/>
        <v>100</v>
      </c>
    </row>
    <row r="211" spans="1:55" ht="12" customHeight="1">
      <c r="A211" s="36"/>
      <c r="B211" s="36"/>
      <c r="C211" s="36"/>
      <c r="D211" s="36"/>
      <c r="E211" s="36"/>
      <c r="F211" s="36"/>
      <c r="G211" s="36"/>
      <c r="H211" s="46"/>
      <c r="I211" s="38"/>
      <c r="J211" s="39"/>
      <c r="K211" s="40"/>
      <c r="L211" s="316"/>
      <c r="M211" s="316"/>
      <c r="N211" s="338"/>
      <c r="O211" s="338"/>
      <c r="P211" s="293"/>
      <c r="Q211" s="293"/>
      <c r="R211" s="442"/>
      <c r="S211" s="293"/>
      <c r="T211" s="293"/>
      <c r="U211" s="292" t="b">
        <f t="shared" ref="U211:U274" si="127">__xlfn.ISFORMULA(S211)</f>
        <v>0</v>
      </c>
      <c r="V211" s="470"/>
      <c r="W211" s="470"/>
      <c r="X211" s="525"/>
      <c r="Y211" s="525"/>
      <c r="Z211" s="525"/>
      <c r="AA211" s="525"/>
      <c r="AB211" s="526"/>
      <c r="AC211" s="526"/>
      <c r="AD211" s="524"/>
      <c r="AE211" s="524"/>
      <c r="AF211" s="524"/>
      <c r="AG211" s="524"/>
      <c r="AH211" s="525"/>
      <c r="AI211" s="525"/>
      <c r="AJ211" s="516"/>
      <c r="AK211" s="516"/>
      <c r="AL211" s="516"/>
      <c r="AM211" s="293"/>
      <c r="AO211" t="b">
        <f t="shared" si="112"/>
        <v>0</v>
      </c>
      <c r="AQ211" s="442"/>
      <c r="AS211" s="442"/>
      <c r="AT211" s="613"/>
      <c r="AU211" s="470"/>
      <c r="AV211" s="637"/>
      <c r="AW211" s="637"/>
      <c r="AX211" s="655" t="str">
        <f t="shared" si="114"/>
        <v/>
      </c>
      <c r="AY211" s="655" t="str">
        <f t="shared" si="115"/>
        <v/>
      </c>
      <c r="AZ211" s="655" t="str">
        <f t="shared" si="116"/>
        <v/>
      </c>
      <c r="BA211" s="655" t="str">
        <f t="shared" si="117"/>
        <v/>
      </c>
      <c r="BB211" s="655" t="str">
        <f t="shared" si="118"/>
        <v/>
      </c>
      <c r="BC211" s="655" t="str">
        <f t="shared" si="118"/>
        <v/>
      </c>
    </row>
    <row r="212" spans="1:55" ht="12" customHeight="1">
      <c r="A212" s="47"/>
      <c r="B212" s="47"/>
      <c r="C212" s="47"/>
      <c r="D212" s="47"/>
      <c r="E212" s="47"/>
      <c r="F212" s="47"/>
      <c r="G212" s="47"/>
      <c r="H212" s="48">
        <v>32</v>
      </c>
      <c r="I212" s="49"/>
      <c r="J212" s="50"/>
      <c r="K212" s="51" t="s">
        <v>103</v>
      </c>
      <c r="L212" s="315">
        <f t="shared" ref="L212:AA212" si="128">L214+L220+L229+L240+L244</f>
        <v>7145737</v>
      </c>
      <c r="M212" s="315">
        <f t="shared" si="128"/>
        <v>948402.28283230471</v>
      </c>
      <c r="N212" s="337">
        <f t="shared" si="128"/>
        <v>6811632</v>
      </c>
      <c r="O212" s="337">
        <f t="shared" si="128"/>
        <v>904058.92892693612</v>
      </c>
      <c r="P212" s="292">
        <f t="shared" si="128"/>
        <v>1141200</v>
      </c>
      <c r="Q212" s="292">
        <f t="shared" si="128"/>
        <v>1283000</v>
      </c>
      <c r="R212" s="441">
        <f t="shared" si="128"/>
        <v>1112958</v>
      </c>
      <c r="S212" s="292">
        <f t="shared" si="128"/>
        <v>794581.54</v>
      </c>
      <c r="T212" s="292"/>
      <c r="U212" s="292" t="b">
        <f t="shared" si="127"/>
        <v>1</v>
      </c>
      <c r="V212" s="469">
        <v>1355440</v>
      </c>
      <c r="W212" s="469">
        <f>W214+W220+W229+W240+W244</f>
        <v>1680009.93</v>
      </c>
      <c r="X212" s="522">
        <f>X214+X220+X229+X240+X244</f>
        <v>2154051.9</v>
      </c>
      <c r="Y212" s="522"/>
      <c r="Z212" s="522">
        <f t="shared" si="128"/>
        <v>2</v>
      </c>
      <c r="AA212" s="522">
        <f t="shared" si="128"/>
        <v>0</v>
      </c>
      <c r="AB212" s="523">
        <f>AB214+AB220+AB229+AB240+AB244</f>
        <v>1229700</v>
      </c>
      <c r="AC212" s="523">
        <f>AC214+AC220+AC229+AC240+AC244</f>
        <v>1229700</v>
      </c>
      <c r="AD212" s="524">
        <f>O212/M212*100</f>
        <v>95.324415102319051</v>
      </c>
      <c r="AE212" s="524">
        <f>P212/O212*100</f>
        <v>126.23070946874404</v>
      </c>
      <c r="AF212" s="524">
        <f>Q212/P212*100</f>
        <v>112.42551699964949</v>
      </c>
      <c r="AG212" s="524">
        <f>AB212/Q212*100</f>
        <v>95.845674201091185</v>
      </c>
      <c r="AH212" s="522"/>
      <c r="AI212" s="522">
        <v>2154051.9</v>
      </c>
      <c r="AJ212" s="516">
        <f>W212/R212*100</f>
        <v>150.94998463553878</v>
      </c>
      <c r="AK212" s="516">
        <f>AT212/W212*100</f>
        <v>110.11482533320502</v>
      </c>
      <c r="AL212" s="516">
        <f>X212/AT212*100</f>
        <v>116.43901423829961</v>
      </c>
      <c r="AM212" s="292"/>
      <c r="AO212" t="b">
        <f t="shared" si="112"/>
        <v>1</v>
      </c>
      <c r="AP212" s="440">
        <f>AP214+AP220+AP229+AP240+AP244</f>
        <v>1265796.31</v>
      </c>
      <c r="AQ212" s="441">
        <v>1596624.26</v>
      </c>
      <c r="AR212" s="440">
        <f>AR214+AR220+AR229+AR240+AR244</f>
        <v>1265796.31</v>
      </c>
      <c r="AS212" s="441">
        <f>AS214+AS220+AS229+AS240+AS244</f>
        <v>656377.70000000007</v>
      </c>
      <c r="AT212" s="612">
        <f>AT214+AT220+AT229+AT240+AT244</f>
        <v>1849940</v>
      </c>
      <c r="AU212" s="469">
        <f>AU214+AU220+AU229+AU240+AU244</f>
        <v>1893140</v>
      </c>
      <c r="AV212" s="636">
        <v>2154051.9</v>
      </c>
      <c r="AW212" s="636">
        <v>2154051.9</v>
      </c>
      <c r="AX212" s="655">
        <f t="shared" si="114"/>
        <v>166.21831192192337</v>
      </c>
      <c r="AY212" s="655">
        <f t="shared" si="115"/>
        <v>115.86570781531277</v>
      </c>
      <c r="AZ212" s="655">
        <f t="shared" si="116"/>
        <v>102.33521087170394</v>
      </c>
      <c r="BA212" s="655">
        <f t="shared" si="117"/>
        <v>118.5714164207927</v>
      </c>
      <c r="BB212" s="655">
        <f t="shared" si="118"/>
        <v>113.78196541196108</v>
      </c>
      <c r="BC212" s="655">
        <f t="shared" si="118"/>
        <v>100</v>
      </c>
    </row>
    <row r="213" spans="1:55" ht="12" customHeight="1">
      <c r="A213" s="36"/>
      <c r="B213" s="36"/>
      <c r="C213" s="36"/>
      <c r="D213" s="36"/>
      <c r="E213" s="36"/>
      <c r="F213" s="36"/>
      <c r="G213" s="36"/>
      <c r="H213" s="46"/>
      <c r="I213" s="38"/>
      <c r="J213" s="39"/>
      <c r="K213" s="40"/>
      <c r="L213" s="316"/>
      <c r="M213" s="316"/>
      <c r="N213" s="338"/>
      <c r="O213" s="338"/>
      <c r="P213" s="293"/>
      <c r="Q213" s="293"/>
      <c r="R213" s="442"/>
      <c r="S213" s="293"/>
      <c r="T213" s="293"/>
      <c r="U213" s="292" t="b">
        <f t="shared" si="127"/>
        <v>0</v>
      </c>
      <c r="V213" s="470"/>
      <c r="W213" s="470"/>
      <c r="X213" s="525"/>
      <c r="Y213" s="525"/>
      <c r="Z213" s="525"/>
      <c r="AA213" s="525"/>
      <c r="AB213" s="526"/>
      <c r="AC213" s="526"/>
      <c r="AD213" s="524"/>
      <c r="AE213" s="524"/>
      <c r="AF213" s="524"/>
      <c r="AG213" s="524"/>
      <c r="AH213" s="525"/>
      <c r="AI213" s="525"/>
      <c r="AJ213" s="516"/>
      <c r="AK213" s="516"/>
      <c r="AL213" s="516"/>
      <c r="AM213" s="293"/>
      <c r="AO213" t="b">
        <f t="shared" si="112"/>
        <v>0</v>
      </c>
      <c r="AQ213" s="442"/>
      <c r="AS213" s="442"/>
      <c r="AT213" s="613"/>
      <c r="AU213" s="470"/>
      <c r="AV213" s="637"/>
      <c r="AW213" s="637"/>
      <c r="AX213" s="655" t="str">
        <f t="shared" si="114"/>
        <v/>
      </c>
      <c r="AY213" s="655" t="str">
        <f t="shared" si="115"/>
        <v/>
      </c>
      <c r="AZ213" s="655" t="str">
        <f t="shared" si="116"/>
        <v/>
      </c>
      <c r="BA213" s="655" t="str">
        <f t="shared" si="117"/>
        <v/>
      </c>
      <c r="BB213" s="655" t="str">
        <f t="shared" si="118"/>
        <v/>
      </c>
      <c r="BC213" s="655" t="str">
        <f t="shared" si="118"/>
        <v/>
      </c>
    </row>
    <row r="214" spans="1:55" ht="12" customHeight="1">
      <c r="A214" s="56"/>
      <c r="B214" s="56"/>
      <c r="C214" s="56"/>
      <c r="D214" s="56"/>
      <c r="E214" s="56"/>
      <c r="F214" s="56"/>
      <c r="G214" s="56"/>
      <c r="H214" s="57">
        <v>321</v>
      </c>
      <c r="I214" s="58"/>
      <c r="J214" s="59"/>
      <c r="K214" s="60" t="s">
        <v>104</v>
      </c>
      <c r="L214" s="315">
        <f t="shared" ref="L214:AA214" si="129">L215+L216+L217+L218</f>
        <v>201575</v>
      </c>
      <c r="M214" s="315">
        <f t="shared" si="129"/>
        <v>26753.600106178248</v>
      </c>
      <c r="N214" s="337">
        <f t="shared" si="129"/>
        <v>289051</v>
      </c>
      <c r="O214" s="337">
        <f t="shared" si="129"/>
        <v>38363.660495056072</v>
      </c>
      <c r="P214" s="292">
        <f t="shared" si="129"/>
        <v>49800</v>
      </c>
      <c r="Q214" s="292">
        <f t="shared" si="129"/>
        <v>58700</v>
      </c>
      <c r="R214" s="441">
        <f t="shared" si="129"/>
        <v>51862</v>
      </c>
      <c r="S214" s="292">
        <f t="shared" si="129"/>
        <v>19220.52</v>
      </c>
      <c r="T214" s="292"/>
      <c r="U214" s="292" t="b">
        <f t="shared" si="127"/>
        <v>1</v>
      </c>
      <c r="V214" s="469">
        <v>67900</v>
      </c>
      <c r="W214" s="469">
        <f>W215+W216+W217+W218</f>
        <v>68300</v>
      </c>
      <c r="X214" s="522">
        <f>X215+X216+X217+X218</f>
        <v>99600.5</v>
      </c>
      <c r="Y214" s="522"/>
      <c r="Z214" s="522">
        <f t="shared" si="129"/>
        <v>0</v>
      </c>
      <c r="AA214" s="522">
        <f t="shared" si="129"/>
        <v>0</v>
      </c>
      <c r="AB214" s="523">
        <f>AB215+AB216+AB217+AB218</f>
        <v>50700</v>
      </c>
      <c r="AC214" s="523">
        <f>AC215+AC216+AC217+AC218</f>
        <v>50700</v>
      </c>
      <c r="AD214" s="524">
        <f>O214/M214*100</f>
        <v>143.3962544958452</v>
      </c>
      <c r="AE214" s="524">
        <f t="shared" ref="AE214:AF218" si="130">P214/O214*100</f>
        <v>129.81034488723444</v>
      </c>
      <c r="AF214" s="524">
        <f t="shared" si="130"/>
        <v>117.8714859437751</v>
      </c>
      <c r="AG214" s="524">
        <f>AB214/Q214*100</f>
        <v>86.371379897785346</v>
      </c>
      <c r="AH214" s="522"/>
      <c r="AI214" s="522">
        <v>99600.5</v>
      </c>
      <c r="AJ214" s="516">
        <f>W214/R214*100</f>
        <v>131.69565385060352</v>
      </c>
      <c r="AK214" s="516">
        <f>AT214/W214*100</f>
        <v>125.18301610541727</v>
      </c>
      <c r="AL214" s="516">
        <f>X214/AT214*100</f>
        <v>116.49181286549708</v>
      </c>
      <c r="AM214" s="292"/>
      <c r="AO214" t="b">
        <f t="shared" si="112"/>
        <v>1</v>
      </c>
      <c r="AP214" s="440">
        <f>AP215+AP216+AP217+AP218</f>
        <v>26059.260000000002</v>
      </c>
      <c r="AQ214" s="441">
        <v>63967.63</v>
      </c>
      <c r="AR214" s="440">
        <f>AR215+AR216+AR217+AR218</f>
        <v>26059.260000000002</v>
      </c>
      <c r="AS214" s="441">
        <f>AS215+AS216+AS217+AS218</f>
        <v>9310.98</v>
      </c>
      <c r="AT214" s="612">
        <f>AT215+AT216+AT217+AT218</f>
        <v>85500</v>
      </c>
      <c r="AU214" s="469">
        <f>AU215+AU216+AU217+AU218</f>
        <v>88500</v>
      </c>
      <c r="AV214" s="636">
        <v>99600.5</v>
      </c>
      <c r="AW214" s="636">
        <v>99600.5</v>
      </c>
      <c r="AX214" s="655">
        <f t="shared" si="114"/>
        <v>164.86059156993559</v>
      </c>
      <c r="AY214" s="655">
        <f t="shared" si="115"/>
        <v>133.66135340640258</v>
      </c>
      <c r="AZ214" s="655">
        <f t="shared" si="116"/>
        <v>103.50877192982458</v>
      </c>
      <c r="BA214" s="655">
        <f t="shared" si="117"/>
        <v>138.35122545575004</v>
      </c>
      <c r="BB214" s="655">
        <f t="shared" si="118"/>
        <v>112.54293785310733</v>
      </c>
      <c r="BC214" s="655">
        <f t="shared" si="118"/>
        <v>100</v>
      </c>
    </row>
    <row r="215" spans="1:55" ht="12" customHeight="1">
      <c r="A215" s="36"/>
      <c r="B215" s="36"/>
      <c r="C215" s="36"/>
      <c r="D215" s="36"/>
      <c r="E215" s="36"/>
      <c r="F215" s="36"/>
      <c r="G215" s="36"/>
      <c r="H215" s="46">
        <v>3211</v>
      </c>
      <c r="I215" s="38"/>
      <c r="J215" s="39"/>
      <c r="K215" s="40" t="s">
        <v>105</v>
      </c>
      <c r="L215" s="309">
        <f t="shared" ref="L215:S215" si="131">L377+L1084+L1002+L1144</f>
        <v>32670</v>
      </c>
      <c r="M215" s="309">
        <f t="shared" si="131"/>
        <v>4336.054150905833</v>
      </c>
      <c r="N215" s="339">
        <f t="shared" si="131"/>
        <v>67696</v>
      </c>
      <c r="O215" s="339">
        <f t="shared" si="131"/>
        <v>8984.8032384365233</v>
      </c>
      <c r="P215" s="294">
        <f t="shared" si="131"/>
        <v>13400</v>
      </c>
      <c r="Q215" s="294">
        <f t="shared" si="131"/>
        <v>17000</v>
      </c>
      <c r="R215" s="443">
        <f t="shared" si="131"/>
        <v>12913</v>
      </c>
      <c r="S215" s="294">
        <f t="shared" si="131"/>
        <v>9495</v>
      </c>
      <c r="T215" s="294"/>
      <c r="U215" s="292" t="b">
        <f t="shared" si="127"/>
        <v>1</v>
      </c>
      <c r="V215" s="471">
        <v>18220</v>
      </c>
      <c r="W215" s="471">
        <f>W377+W1084+W1002+W1144</f>
        <v>17800</v>
      </c>
      <c r="X215" s="527">
        <f>X377+X1084+X1002+X1144</f>
        <v>25200</v>
      </c>
      <c r="Y215" s="527"/>
      <c r="Z215" s="527">
        <f>Z377+Z1084+Z1002+Z1144</f>
        <v>0</v>
      </c>
      <c r="AA215" s="527">
        <f>AA377+AA1084+AA1002+AA1144</f>
        <v>0</v>
      </c>
      <c r="AB215" s="528">
        <f>AB377+AB1084+AB1002+AB1144</f>
        <v>13700</v>
      </c>
      <c r="AC215" s="528">
        <f>AC377+AC1084+AC1002+AC1144</f>
        <v>13700</v>
      </c>
      <c r="AD215" s="524">
        <f>O215/M215*100</f>
        <v>207.21150902969077</v>
      </c>
      <c r="AE215" s="524">
        <f t="shared" si="130"/>
        <v>149.14071732450961</v>
      </c>
      <c r="AF215" s="524">
        <f t="shared" si="130"/>
        <v>126.86567164179105</v>
      </c>
      <c r="AG215" s="524">
        <f>AB215/Q215*100</f>
        <v>80.588235294117652</v>
      </c>
      <c r="AH215" s="527"/>
      <c r="AI215" s="527">
        <v>25200</v>
      </c>
      <c r="AJ215" s="516">
        <f>W215/R215*100</f>
        <v>137.84558197165646</v>
      </c>
      <c r="AK215" s="516">
        <f>AT215/W215*100</f>
        <v>117.97752808988764</v>
      </c>
      <c r="AL215" s="516">
        <f>X215/AT215*100</f>
        <v>120</v>
      </c>
      <c r="AM215" s="294"/>
      <c r="AO215" t="b">
        <f t="shared" si="112"/>
        <v>1</v>
      </c>
      <c r="AP215" s="462">
        <f>AP377+AP1084+AP1002+AP1144</f>
        <v>11957.54</v>
      </c>
      <c r="AQ215" s="443">
        <v>15455.48</v>
      </c>
      <c r="AR215" s="462">
        <f>AR377+AR1084+AR1002+AR1144</f>
        <v>11957.54</v>
      </c>
      <c r="AS215" s="443">
        <f>AS377+AS1084+AS1002+AS1144</f>
        <v>6300.44</v>
      </c>
      <c r="AT215" s="613">
        <f>AT377+AT1084+AT1002+AT1144</f>
        <v>21000</v>
      </c>
      <c r="AU215" s="471">
        <f>AU377+AU1084+AU1002+AU1144</f>
        <v>22000</v>
      </c>
      <c r="AV215" s="638">
        <v>25200</v>
      </c>
      <c r="AW215" s="638">
        <v>25200</v>
      </c>
      <c r="AX215" s="655">
        <f t="shared" si="114"/>
        <v>162.6268101912801</v>
      </c>
      <c r="AY215" s="655">
        <f t="shared" si="115"/>
        <v>135.8741365522132</v>
      </c>
      <c r="AZ215" s="655">
        <f t="shared" si="116"/>
        <v>104.76190476190477</v>
      </c>
      <c r="BA215" s="655">
        <f t="shared" si="117"/>
        <v>142.34433353089003</v>
      </c>
      <c r="BB215" s="655">
        <f t="shared" si="118"/>
        <v>114.54545454545455</v>
      </c>
      <c r="BC215" s="655">
        <f t="shared" si="118"/>
        <v>100</v>
      </c>
    </row>
    <row r="216" spans="1:55" ht="12" customHeight="1">
      <c r="A216" s="36"/>
      <c r="B216" s="36"/>
      <c r="C216" s="36"/>
      <c r="D216" s="36"/>
      <c r="E216" s="36"/>
      <c r="F216" s="36"/>
      <c r="G216" s="36"/>
      <c r="H216" s="46">
        <v>3212</v>
      </c>
      <c r="I216" s="38"/>
      <c r="J216" s="39"/>
      <c r="K216" s="40" t="s">
        <v>106</v>
      </c>
      <c r="L216" s="309">
        <f t="shared" ref="L216:S216" si="132">L378+L1003+L1145</f>
        <v>154013</v>
      </c>
      <c r="M216" s="309">
        <f t="shared" si="132"/>
        <v>20441.037892361801</v>
      </c>
      <c r="N216" s="339">
        <f t="shared" si="132"/>
        <v>198037</v>
      </c>
      <c r="O216" s="339">
        <f t="shared" si="132"/>
        <v>26284.026810007297</v>
      </c>
      <c r="P216" s="294">
        <f t="shared" si="132"/>
        <v>29900</v>
      </c>
      <c r="Q216" s="294">
        <f t="shared" si="132"/>
        <v>34800</v>
      </c>
      <c r="R216" s="443">
        <f t="shared" si="132"/>
        <v>33042</v>
      </c>
      <c r="S216" s="294">
        <f t="shared" si="132"/>
        <v>4176</v>
      </c>
      <c r="T216" s="294"/>
      <c r="U216" s="292" t="b">
        <f t="shared" si="127"/>
        <v>1</v>
      </c>
      <c r="V216" s="471">
        <v>39200</v>
      </c>
      <c r="W216" s="471">
        <f>W378+W1003+W1145</f>
        <v>38500</v>
      </c>
      <c r="X216" s="527">
        <f>X378+X1003+X1145</f>
        <v>53800.2</v>
      </c>
      <c r="Y216" s="527"/>
      <c r="Z216" s="527">
        <f>Z378+Z1003+Z1145</f>
        <v>0</v>
      </c>
      <c r="AA216" s="527">
        <f>AA378+AA1003+AA1145</f>
        <v>0</v>
      </c>
      <c r="AB216" s="528">
        <f>AB378+AB1003+AB1145</f>
        <v>30500</v>
      </c>
      <c r="AC216" s="528">
        <f>AC378+AC1003+AC1145</f>
        <v>30500</v>
      </c>
      <c r="AD216" s="524">
        <f>O216/M216*100</f>
        <v>128.58460000129858</v>
      </c>
      <c r="AE216" s="524">
        <f t="shared" si="130"/>
        <v>113.75730292824069</v>
      </c>
      <c r="AF216" s="524">
        <f t="shared" si="130"/>
        <v>116.38795986622073</v>
      </c>
      <c r="AG216" s="524">
        <f>AB216/Q216*100</f>
        <v>87.643678160919535</v>
      </c>
      <c r="AH216" s="527"/>
      <c r="AI216" s="527">
        <v>53800.2</v>
      </c>
      <c r="AJ216" s="516">
        <f>W216/R216*100</f>
        <v>116.51837055868288</v>
      </c>
      <c r="AK216" s="516">
        <f>AT216/W216*100</f>
        <v>128.57142857142858</v>
      </c>
      <c r="AL216" s="516">
        <f>X216/AT216*100</f>
        <v>108.68727272727273</v>
      </c>
      <c r="AM216" s="294"/>
      <c r="AO216" t="b">
        <f t="shared" si="112"/>
        <v>1</v>
      </c>
      <c r="AP216" s="462">
        <f>AP378+AP1003+AP1145</f>
        <v>7585.7</v>
      </c>
      <c r="AQ216" s="443">
        <v>36718.629999999997</v>
      </c>
      <c r="AR216" s="462">
        <f>AR378+AR1003+AR1145</f>
        <v>7585.7</v>
      </c>
      <c r="AS216" s="443">
        <f>AS378+AS1003+AS1145</f>
        <v>2637</v>
      </c>
      <c r="AT216" s="613">
        <f>AT378+AT1003+AT1145</f>
        <v>49500</v>
      </c>
      <c r="AU216" s="471">
        <f>AU378+AU1003+AU1145</f>
        <v>51500</v>
      </c>
      <c r="AV216" s="638">
        <v>53800.2</v>
      </c>
      <c r="AW216" s="638">
        <v>53800.2</v>
      </c>
      <c r="AX216" s="655">
        <f t="shared" si="114"/>
        <v>149.80933357544944</v>
      </c>
      <c r="AY216" s="655">
        <f t="shared" si="115"/>
        <v>134.80895120542354</v>
      </c>
      <c r="AZ216" s="655">
        <f t="shared" si="116"/>
        <v>104.04040404040404</v>
      </c>
      <c r="BA216" s="655">
        <f t="shared" si="117"/>
        <v>140.25577751675377</v>
      </c>
      <c r="BB216" s="655">
        <f t="shared" si="118"/>
        <v>104.46640776699027</v>
      </c>
      <c r="BC216" s="655">
        <f t="shared" si="118"/>
        <v>100</v>
      </c>
    </row>
    <row r="217" spans="1:55" ht="12" customHeight="1">
      <c r="A217" s="36"/>
      <c r="B217" s="36"/>
      <c r="C217" s="36"/>
      <c r="D217" s="36"/>
      <c r="E217" s="36"/>
      <c r="F217" s="36"/>
      <c r="G217" s="36"/>
      <c r="H217" s="46">
        <v>3213</v>
      </c>
      <c r="I217" s="38"/>
      <c r="J217" s="39"/>
      <c r="K217" s="40" t="s">
        <v>107</v>
      </c>
      <c r="L217" s="309">
        <f t="shared" ref="L217:S217" si="133">L379+L1004+L1085+L1146</f>
        <v>9714</v>
      </c>
      <c r="M217" s="309">
        <f t="shared" si="133"/>
        <v>1289.2693609396774</v>
      </c>
      <c r="N217" s="339">
        <f t="shared" si="133"/>
        <v>14565</v>
      </c>
      <c r="O217" s="339">
        <f t="shared" si="133"/>
        <v>1933.1077045590282</v>
      </c>
      <c r="P217" s="294">
        <f t="shared" si="133"/>
        <v>4300</v>
      </c>
      <c r="Q217" s="294">
        <f t="shared" si="133"/>
        <v>4700</v>
      </c>
      <c r="R217" s="443">
        <f t="shared" si="133"/>
        <v>4333</v>
      </c>
      <c r="S217" s="294">
        <f t="shared" si="133"/>
        <v>3776</v>
      </c>
      <c r="T217" s="294"/>
      <c r="U217" s="292" t="b">
        <f t="shared" si="127"/>
        <v>1</v>
      </c>
      <c r="V217" s="471">
        <v>7480</v>
      </c>
      <c r="W217" s="471">
        <f>W379+W1004+W1085+W1146</f>
        <v>9500</v>
      </c>
      <c r="X217" s="527">
        <f>X379+X1004+X1085+X1146</f>
        <v>16400.3</v>
      </c>
      <c r="Y217" s="527"/>
      <c r="Z217" s="527">
        <f>Z379+Z1004+Z1085+Z1146</f>
        <v>0</v>
      </c>
      <c r="AA217" s="527">
        <f>AA379+AA1004+AA1085+AA1146</f>
        <v>0</v>
      </c>
      <c r="AB217" s="527">
        <f>AB379+AB1004+AB1085+AB1146</f>
        <v>4300</v>
      </c>
      <c r="AC217" s="527">
        <f>AC379+AC1004+AC1085+AC1146</f>
        <v>4300</v>
      </c>
      <c r="AD217" s="524">
        <f>O217/M217*100</f>
        <v>149.93823347745521</v>
      </c>
      <c r="AE217" s="524">
        <f t="shared" si="130"/>
        <v>222.43975283213183</v>
      </c>
      <c r="AF217" s="524">
        <f t="shared" si="130"/>
        <v>109.30232558139534</v>
      </c>
      <c r="AG217" s="524">
        <f>AB217/Q217*100</f>
        <v>91.489361702127653</v>
      </c>
      <c r="AH217" s="527"/>
      <c r="AI217" s="527">
        <v>16400.3</v>
      </c>
      <c r="AJ217" s="516">
        <f>W217/R217*100</f>
        <v>219.24763443341794</v>
      </c>
      <c r="AK217" s="516">
        <f>AT217/W217*100</f>
        <v>121.05263157894737</v>
      </c>
      <c r="AL217" s="516">
        <f>X217/AT217*100</f>
        <v>142.61130434782606</v>
      </c>
      <c r="AM217" s="294"/>
      <c r="AO217" t="b">
        <f t="shared" si="112"/>
        <v>1</v>
      </c>
      <c r="AP217" s="462">
        <f>AP379+AP1004+AP1085+AP1146</f>
        <v>4081.5</v>
      </c>
      <c r="AQ217" s="443">
        <v>8581.5</v>
      </c>
      <c r="AR217" s="462">
        <f>AR379+AR1004+AR1085+AR1146</f>
        <v>4081.5</v>
      </c>
      <c r="AS217" s="443">
        <f>AS379+AS1004+AS1085+AS1146</f>
        <v>266.54000000000002</v>
      </c>
      <c r="AT217" s="613">
        <f>AT379+AT1004+AT1085+AT1146</f>
        <v>11500</v>
      </c>
      <c r="AU217" s="471">
        <f>AU379+AU1004+AU1085+AU1146</f>
        <v>11500</v>
      </c>
      <c r="AV217" s="638">
        <v>16400.3</v>
      </c>
      <c r="AW217" s="638">
        <v>16400.3</v>
      </c>
      <c r="AX217" s="655">
        <f t="shared" si="114"/>
        <v>265.40503115624279</v>
      </c>
      <c r="AY217" s="655">
        <f t="shared" si="115"/>
        <v>134.00920584979318</v>
      </c>
      <c r="AZ217" s="655">
        <f t="shared" si="116"/>
        <v>100</v>
      </c>
      <c r="BA217" s="655">
        <f t="shared" si="117"/>
        <v>134.00920584979318</v>
      </c>
      <c r="BB217" s="655">
        <f t="shared" si="118"/>
        <v>142.61130434782606</v>
      </c>
      <c r="BC217" s="655">
        <f t="shared" si="118"/>
        <v>100</v>
      </c>
    </row>
    <row r="218" spans="1:55" ht="12" customHeight="1">
      <c r="A218" s="79"/>
      <c r="B218" s="79"/>
      <c r="C218" s="79"/>
      <c r="D218" s="79"/>
      <c r="E218" s="79"/>
      <c r="F218" s="79"/>
      <c r="G218" s="79"/>
      <c r="H218" s="46">
        <v>3214</v>
      </c>
      <c r="I218" s="23"/>
      <c r="J218" s="24"/>
      <c r="K218" s="40" t="s">
        <v>664</v>
      </c>
      <c r="L218" s="310">
        <f t="shared" ref="L218:S218" si="134">L380+L1147+L1005</f>
        <v>5178</v>
      </c>
      <c r="M218" s="310">
        <f t="shared" si="134"/>
        <v>687.23870197093368</v>
      </c>
      <c r="N218" s="340">
        <f t="shared" si="134"/>
        <v>8753</v>
      </c>
      <c r="O218" s="340">
        <f t="shared" si="134"/>
        <v>1161.7227420532217</v>
      </c>
      <c r="P218" s="295">
        <f t="shared" si="134"/>
        <v>2200</v>
      </c>
      <c r="Q218" s="295">
        <f t="shared" si="134"/>
        <v>2200</v>
      </c>
      <c r="R218" s="444">
        <f t="shared" si="134"/>
        <v>1574</v>
      </c>
      <c r="S218" s="295">
        <f t="shared" si="134"/>
        <v>1773.52</v>
      </c>
      <c r="T218" s="295"/>
      <c r="U218" s="292" t="b">
        <f t="shared" si="127"/>
        <v>1</v>
      </c>
      <c r="V218" s="472">
        <v>3000</v>
      </c>
      <c r="W218" s="472">
        <f>W380+W1147+W1005</f>
        <v>2500</v>
      </c>
      <c r="X218" s="529">
        <f>X380+X1147+X1005</f>
        <v>4200</v>
      </c>
      <c r="Y218" s="529"/>
      <c r="Z218" s="529">
        <f>Z380+Z1147+Z1005</f>
        <v>0</v>
      </c>
      <c r="AA218" s="529">
        <f>AA380+AA1147+AA1005</f>
        <v>0</v>
      </c>
      <c r="AB218" s="530">
        <f>AB380+AB1147+AB1005</f>
        <v>2200</v>
      </c>
      <c r="AC218" s="530">
        <f>AC380+AC1147+AC1005</f>
        <v>2200</v>
      </c>
      <c r="AD218" s="524">
        <f>O218/M218*100</f>
        <v>169.04210119737348</v>
      </c>
      <c r="AE218" s="524">
        <f t="shared" si="130"/>
        <v>189.37392893864961</v>
      </c>
      <c r="AF218" s="524">
        <f t="shared" si="130"/>
        <v>100</v>
      </c>
      <c r="AG218" s="524">
        <f>AB218/Q218*100</f>
        <v>100</v>
      </c>
      <c r="AH218" s="529"/>
      <c r="AI218" s="529">
        <v>4200</v>
      </c>
      <c r="AJ218" s="516">
        <f>W218/R218*100</f>
        <v>158.83100381194407</v>
      </c>
      <c r="AK218" s="516">
        <f>AT218/W218*100</f>
        <v>140</v>
      </c>
      <c r="AL218" s="516">
        <f>X218/AT218*100</f>
        <v>120</v>
      </c>
      <c r="AM218" s="295"/>
      <c r="AO218" t="b">
        <f t="shared" si="112"/>
        <v>1</v>
      </c>
      <c r="AP218" s="444">
        <f>AP380+AP1147+AP1005</f>
        <v>2434.52</v>
      </c>
      <c r="AQ218" s="444">
        <v>3212.02</v>
      </c>
      <c r="AR218" s="444">
        <f>AR380+AR1147+AR1005</f>
        <v>2434.52</v>
      </c>
      <c r="AS218" s="444">
        <f>AS380+AS1147+AS1005</f>
        <v>107</v>
      </c>
      <c r="AT218" s="613">
        <f>AT380+AT1147+AT1005</f>
        <v>3500</v>
      </c>
      <c r="AU218" s="472">
        <f>AU380+AU1147+AU1005</f>
        <v>3500</v>
      </c>
      <c r="AV218" s="639">
        <v>4200</v>
      </c>
      <c r="AW218" s="639">
        <v>4200</v>
      </c>
      <c r="AX218" s="655">
        <f t="shared" si="114"/>
        <v>222.36340533672174</v>
      </c>
      <c r="AY218" s="655">
        <f t="shared" si="115"/>
        <v>108.96569759839603</v>
      </c>
      <c r="AZ218" s="655">
        <f t="shared" si="116"/>
        <v>100</v>
      </c>
      <c r="BA218" s="655">
        <f t="shared" si="117"/>
        <v>108.96569759839603</v>
      </c>
      <c r="BB218" s="655">
        <f t="shared" si="118"/>
        <v>120</v>
      </c>
      <c r="BC218" s="655">
        <f t="shared" si="118"/>
        <v>100</v>
      </c>
    </row>
    <row r="219" spans="1:55" ht="12" customHeight="1">
      <c r="A219" s="20"/>
      <c r="B219" s="20"/>
      <c r="C219" s="20"/>
      <c r="D219" s="20"/>
      <c r="E219" s="20"/>
      <c r="F219" s="20"/>
      <c r="G219" s="20"/>
      <c r="H219" s="16"/>
      <c r="I219" s="17"/>
      <c r="J219" s="14"/>
      <c r="K219" s="19"/>
      <c r="L219" s="313"/>
      <c r="M219" s="313"/>
      <c r="N219" s="335"/>
      <c r="O219" s="335"/>
      <c r="P219" s="290"/>
      <c r="Q219" s="290"/>
      <c r="R219" s="439"/>
      <c r="S219" s="290"/>
      <c r="T219" s="290"/>
      <c r="U219" s="292" t="b">
        <f t="shared" si="127"/>
        <v>0</v>
      </c>
      <c r="V219" s="467"/>
      <c r="W219" s="467"/>
      <c r="X219" s="514"/>
      <c r="Y219" s="514"/>
      <c r="Z219" s="514"/>
      <c r="AA219" s="514"/>
      <c r="AB219" s="515"/>
      <c r="AC219" s="515"/>
      <c r="AD219" s="524"/>
      <c r="AE219" s="524"/>
      <c r="AF219" s="524"/>
      <c r="AG219" s="524"/>
      <c r="AH219" s="514"/>
      <c r="AI219" s="514"/>
      <c r="AJ219" s="516"/>
      <c r="AK219" s="516"/>
      <c r="AL219" s="516"/>
      <c r="AM219" s="290"/>
      <c r="AO219" t="b">
        <f t="shared" si="112"/>
        <v>0</v>
      </c>
      <c r="AQ219" s="439"/>
      <c r="AS219" s="439"/>
      <c r="AT219" s="612"/>
      <c r="AU219" s="467"/>
      <c r="AV219" s="632"/>
      <c r="AW219" s="632"/>
      <c r="AX219" s="655" t="str">
        <f t="shared" si="114"/>
        <v/>
      </c>
      <c r="AY219" s="655" t="str">
        <f t="shared" si="115"/>
        <v/>
      </c>
      <c r="AZ219" s="655" t="str">
        <f t="shared" si="116"/>
        <v/>
      </c>
      <c r="BA219" s="655" t="str">
        <f t="shared" si="117"/>
        <v/>
      </c>
      <c r="BB219" s="655" t="str">
        <f t="shared" si="118"/>
        <v/>
      </c>
      <c r="BC219" s="655" t="str">
        <f t="shared" si="118"/>
        <v/>
      </c>
    </row>
    <row r="220" spans="1:55" ht="12" customHeight="1">
      <c r="A220" s="56"/>
      <c r="B220" s="56"/>
      <c r="C220" s="56"/>
      <c r="D220" s="56"/>
      <c r="E220" s="56"/>
      <c r="F220" s="56"/>
      <c r="G220" s="56"/>
      <c r="H220" s="57">
        <v>322</v>
      </c>
      <c r="I220" s="58"/>
      <c r="J220" s="59"/>
      <c r="K220" s="60" t="s">
        <v>108</v>
      </c>
      <c r="L220" s="315">
        <f t="shared" ref="L220:AA220" si="135">L222+L223+L224+L225+L226+L227</f>
        <v>913369</v>
      </c>
      <c r="M220" s="315">
        <f t="shared" si="135"/>
        <v>121224.89879885857</v>
      </c>
      <c r="N220" s="337">
        <f t="shared" si="135"/>
        <v>1391677</v>
      </c>
      <c r="O220" s="337">
        <f t="shared" si="135"/>
        <v>184707.27984604155</v>
      </c>
      <c r="P220" s="292">
        <f t="shared" si="135"/>
        <v>186100</v>
      </c>
      <c r="Q220" s="292">
        <f t="shared" si="135"/>
        <v>196100</v>
      </c>
      <c r="R220" s="441">
        <f t="shared" si="135"/>
        <v>185183</v>
      </c>
      <c r="S220" s="292">
        <f t="shared" si="135"/>
        <v>19127.53</v>
      </c>
      <c r="T220" s="292"/>
      <c r="U220" s="292" t="b">
        <f t="shared" si="127"/>
        <v>1</v>
      </c>
      <c r="V220" s="469">
        <v>225750</v>
      </c>
      <c r="W220" s="469">
        <f>W222+W223+W224+W225+W226+W227</f>
        <v>216319.76</v>
      </c>
      <c r="X220" s="522">
        <f>X222+X223+X224+X225+X226+X227</f>
        <v>273100.3</v>
      </c>
      <c r="Y220" s="522"/>
      <c r="Z220" s="522">
        <f t="shared" si="135"/>
        <v>1</v>
      </c>
      <c r="AA220" s="522">
        <f t="shared" si="135"/>
        <v>0</v>
      </c>
      <c r="AB220" s="523">
        <f>AB222+AB223+AB224+AB225+AB226+AB227</f>
        <v>198100</v>
      </c>
      <c r="AC220" s="523">
        <f>AC222+AC223+AC224+AC225+AC226+AC227</f>
        <v>198100</v>
      </c>
      <c r="AD220" s="524">
        <f>O220/M220*100</f>
        <v>152.36744404506834</v>
      </c>
      <c r="AE220" s="524">
        <f>P220/O220*100</f>
        <v>100.75401476060897</v>
      </c>
      <c r="AF220" s="524">
        <f>Q220/P220*100</f>
        <v>105.37345513164964</v>
      </c>
      <c r="AG220" s="524">
        <f>AB220/Q220*100</f>
        <v>101.01988781234064</v>
      </c>
      <c r="AH220" s="522"/>
      <c r="AI220" s="522">
        <v>273100.3</v>
      </c>
      <c r="AJ220" s="516">
        <f>W220/R220*100</f>
        <v>116.81404880577591</v>
      </c>
      <c r="AK220" s="516">
        <f>AT220/W220*100</f>
        <v>113.90545181817879</v>
      </c>
      <c r="AL220" s="516">
        <f>X220/AT220*100</f>
        <v>110.8361607142857</v>
      </c>
      <c r="AM220" s="292"/>
      <c r="AO220" t="b">
        <f t="shared" si="112"/>
        <v>1</v>
      </c>
      <c r="AP220" s="440">
        <f>AP222+AP223+AP224+AP225+AP226+AP227</f>
        <v>90393.060000000012</v>
      </c>
      <c r="AQ220" s="441">
        <v>181101.38</v>
      </c>
      <c r="AR220" s="440">
        <f>AR222+AR223+AR224+AR225+AR226+AR227</f>
        <v>90393.060000000012</v>
      </c>
      <c r="AS220" s="441">
        <f>AS222+AS223+AS224+AS225+AS226+AS227</f>
        <v>32692.43</v>
      </c>
      <c r="AT220" s="612">
        <f>AT222+AT223+AT224+AT225+AT226+AT227</f>
        <v>246400</v>
      </c>
      <c r="AU220" s="469">
        <f>AU222+AU223+AU224+AU225+AU226+AU227</f>
        <v>237400</v>
      </c>
      <c r="AV220" s="636">
        <v>273100.3</v>
      </c>
      <c r="AW220" s="636">
        <v>273100.3</v>
      </c>
      <c r="AX220" s="655">
        <f t="shared" si="114"/>
        <v>133.05757007932692</v>
      </c>
      <c r="AY220" s="655">
        <f t="shared" si="115"/>
        <v>136.05639007278685</v>
      </c>
      <c r="AZ220" s="655">
        <f t="shared" si="116"/>
        <v>96.347402597402592</v>
      </c>
      <c r="BA220" s="655">
        <f t="shared" si="117"/>
        <v>131.08679790292047</v>
      </c>
      <c r="BB220" s="655">
        <f t="shared" si="118"/>
        <v>115.03803706823925</v>
      </c>
      <c r="BC220" s="655">
        <f t="shared" si="118"/>
        <v>100</v>
      </c>
    </row>
    <row r="221" spans="1:55" ht="12" customHeight="1">
      <c r="A221" s="20"/>
      <c r="B221" s="20"/>
      <c r="C221" s="20"/>
      <c r="D221" s="20"/>
      <c r="E221" s="20"/>
      <c r="F221" s="20"/>
      <c r="G221" s="20"/>
      <c r="H221" s="16"/>
      <c r="I221" s="17"/>
      <c r="J221" s="18"/>
      <c r="K221" s="19"/>
      <c r="L221" s="313"/>
      <c r="M221" s="313"/>
      <c r="N221" s="335"/>
      <c r="O221" s="335"/>
      <c r="P221" s="290"/>
      <c r="Q221" s="290"/>
      <c r="R221" s="439"/>
      <c r="S221" s="290"/>
      <c r="T221" s="290"/>
      <c r="U221" s="292" t="b">
        <f t="shared" si="127"/>
        <v>0</v>
      </c>
      <c r="V221" s="467"/>
      <c r="W221" s="467"/>
      <c r="X221" s="514"/>
      <c r="Y221" s="514"/>
      <c r="Z221" s="514"/>
      <c r="AA221" s="514"/>
      <c r="AB221" s="515"/>
      <c r="AC221" s="515"/>
      <c r="AD221" s="524"/>
      <c r="AE221" s="524"/>
      <c r="AF221" s="524"/>
      <c r="AG221" s="524"/>
      <c r="AH221" s="514"/>
      <c r="AI221" s="514"/>
      <c r="AJ221" s="516"/>
      <c r="AK221" s="516"/>
      <c r="AL221" s="516"/>
      <c r="AM221" s="290"/>
      <c r="AO221" t="b">
        <f t="shared" si="112"/>
        <v>0</v>
      </c>
      <c r="AQ221" s="439"/>
      <c r="AS221" s="439"/>
      <c r="AT221" s="612"/>
      <c r="AU221" s="467"/>
      <c r="AV221" s="632"/>
      <c r="AW221" s="632"/>
      <c r="AX221" s="655" t="str">
        <f t="shared" si="114"/>
        <v/>
      </c>
      <c r="AY221" s="655" t="str">
        <f t="shared" si="115"/>
        <v/>
      </c>
      <c r="AZ221" s="655" t="str">
        <f t="shared" si="116"/>
        <v/>
      </c>
      <c r="BA221" s="655" t="str">
        <f t="shared" si="117"/>
        <v/>
      </c>
      <c r="BB221" s="655" t="str">
        <f t="shared" si="118"/>
        <v/>
      </c>
      <c r="BC221" s="655" t="str">
        <f t="shared" si="118"/>
        <v/>
      </c>
    </row>
    <row r="222" spans="1:55" ht="12" customHeight="1">
      <c r="A222" s="36"/>
      <c r="B222" s="36"/>
      <c r="C222" s="36"/>
      <c r="D222" s="36"/>
      <c r="E222" s="36"/>
      <c r="F222" s="36"/>
      <c r="G222" s="36"/>
      <c r="H222" s="46">
        <v>3221</v>
      </c>
      <c r="I222" s="38"/>
      <c r="J222" s="39"/>
      <c r="K222" s="40" t="s">
        <v>109</v>
      </c>
      <c r="L222" s="309">
        <f t="shared" ref="L222:S222" si="136">L383+L1013+L1088+L1150</f>
        <v>145370</v>
      </c>
      <c r="M222" s="309">
        <f t="shared" si="136"/>
        <v>19293.914659234189</v>
      </c>
      <c r="N222" s="339">
        <f t="shared" si="136"/>
        <v>149401</v>
      </c>
      <c r="O222" s="339">
        <f t="shared" si="136"/>
        <v>19828.920299953545</v>
      </c>
      <c r="P222" s="294">
        <f t="shared" si="136"/>
        <v>21200</v>
      </c>
      <c r="Q222" s="294">
        <f t="shared" si="136"/>
        <v>24900</v>
      </c>
      <c r="R222" s="443">
        <f t="shared" si="136"/>
        <v>25031</v>
      </c>
      <c r="S222" s="294">
        <f t="shared" si="136"/>
        <v>4610</v>
      </c>
      <c r="T222" s="294"/>
      <c r="U222" s="292" t="b">
        <f t="shared" si="127"/>
        <v>1</v>
      </c>
      <c r="V222" s="471">
        <v>26700</v>
      </c>
      <c r="W222" s="471">
        <f>W383+W1013+W1088+W1150</f>
        <v>27299.5</v>
      </c>
      <c r="X222" s="527">
        <f>X383+X1013+X1088+X1150</f>
        <v>31300</v>
      </c>
      <c r="Y222" s="527"/>
      <c r="Z222" s="527">
        <f>Z383+Z1013+Z1088+Z1150</f>
        <v>0</v>
      </c>
      <c r="AA222" s="527">
        <f>AA383+AA1013+AA1088+AA1150</f>
        <v>0</v>
      </c>
      <c r="AB222" s="528">
        <f>AB383+AB1013+AB1088+AB1150</f>
        <v>21700</v>
      </c>
      <c r="AC222" s="528">
        <f>AC383+AC1013+AC1088+AC1150</f>
        <v>21700</v>
      </c>
      <c r="AD222" s="524">
        <f>O222/M222*100</f>
        <v>102.77292426222742</v>
      </c>
      <c r="AE222" s="524">
        <f t="shared" ref="AE222:AF226" si="137">P222/O222*100</f>
        <v>106.91454541803604</v>
      </c>
      <c r="AF222" s="524">
        <f t="shared" si="137"/>
        <v>117.45283018867924</v>
      </c>
      <c r="AG222" s="524">
        <f>AB222/Q222*100</f>
        <v>87.148594377510037</v>
      </c>
      <c r="AH222" s="527"/>
      <c r="AI222" s="527">
        <v>31300</v>
      </c>
      <c r="AJ222" s="516">
        <f>W222/R222*100</f>
        <v>109.06276217490311</v>
      </c>
      <c r="AK222" s="516">
        <f t="shared" ref="AK222:AK227" si="138">AT222/W222*100</f>
        <v>109.52581549112621</v>
      </c>
      <c r="AL222" s="516">
        <f t="shared" ref="AL222:AL227" si="139">X222/AT222*100</f>
        <v>104.68227424749163</v>
      </c>
      <c r="AM222" s="294"/>
      <c r="AO222" t="b">
        <f t="shared" si="112"/>
        <v>1</v>
      </c>
      <c r="AP222" s="462">
        <f>AP383+AP1013+AP1088+AP1150</f>
        <v>6949.6</v>
      </c>
      <c r="AQ222" s="443">
        <v>21945.83</v>
      </c>
      <c r="AR222" s="462">
        <f>AR383+AR1013+AR1088+AR1150</f>
        <v>6949.6</v>
      </c>
      <c r="AS222" s="443">
        <f>AS383+AS1013+AS1088+AS1150</f>
        <v>3325.27</v>
      </c>
      <c r="AT222" s="613">
        <f>AT383+AT1013+AT1088+AT1150</f>
        <v>29900</v>
      </c>
      <c r="AU222" s="471">
        <f>AU383+AU1013+AU1088+AU1150</f>
        <v>29900</v>
      </c>
      <c r="AV222" s="638">
        <v>31300</v>
      </c>
      <c r="AW222" s="638">
        <v>31300</v>
      </c>
      <c r="AX222" s="655">
        <f t="shared" si="114"/>
        <v>119.45187966921019</v>
      </c>
      <c r="AY222" s="655">
        <f t="shared" si="115"/>
        <v>136.24456217878293</v>
      </c>
      <c r="AZ222" s="655">
        <f t="shared" si="116"/>
        <v>100</v>
      </c>
      <c r="BA222" s="655">
        <f t="shared" si="117"/>
        <v>136.24456217878293</v>
      </c>
      <c r="BB222" s="655">
        <f t="shared" si="118"/>
        <v>104.68227424749163</v>
      </c>
      <c r="BC222" s="655">
        <f t="shared" si="118"/>
        <v>100</v>
      </c>
    </row>
    <row r="223" spans="1:55" ht="12" customHeight="1">
      <c r="A223" s="36"/>
      <c r="B223" s="36"/>
      <c r="C223" s="36"/>
      <c r="D223" s="36"/>
      <c r="E223" s="36"/>
      <c r="F223" s="36"/>
      <c r="G223" s="36"/>
      <c r="H223" s="46">
        <v>3222</v>
      </c>
      <c r="I223" s="38"/>
      <c r="J223" s="39"/>
      <c r="K223" s="40" t="s">
        <v>600</v>
      </c>
      <c r="L223" s="309">
        <f t="shared" ref="L223:AA223" si="140">L1014</f>
        <v>211207</v>
      </c>
      <c r="M223" s="309">
        <f t="shared" si="140"/>
        <v>28031.986196827922</v>
      </c>
      <c r="N223" s="339">
        <f t="shared" si="140"/>
        <v>256784</v>
      </c>
      <c r="O223" s="339">
        <f t="shared" si="140"/>
        <v>34081.093635941332</v>
      </c>
      <c r="P223" s="294">
        <f t="shared" si="140"/>
        <v>40500</v>
      </c>
      <c r="Q223" s="294">
        <f t="shared" si="140"/>
        <v>42200</v>
      </c>
      <c r="R223" s="443">
        <f t="shared" si="140"/>
        <v>47585</v>
      </c>
      <c r="S223" s="294">
        <f t="shared" si="140"/>
        <v>0</v>
      </c>
      <c r="T223" s="294"/>
      <c r="U223" s="292" t="b">
        <f t="shared" si="127"/>
        <v>1</v>
      </c>
      <c r="V223" s="471">
        <v>48270</v>
      </c>
      <c r="W223" s="471">
        <f>W1014</f>
        <v>48300</v>
      </c>
      <c r="X223" s="527">
        <f>X1014</f>
        <v>51200</v>
      </c>
      <c r="Y223" s="527"/>
      <c r="Z223" s="527" t="b">
        <f t="shared" si="140"/>
        <v>0</v>
      </c>
      <c r="AA223" s="527">
        <f t="shared" si="140"/>
        <v>0</v>
      </c>
      <c r="AB223" s="528">
        <f>AB1014</f>
        <v>40500</v>
      </c>
      <c r="AC223" s="528">
        <f>AC1014</f>
        <v>40500</v>
      </c>
      <c r="AD223" s="524">
        <f>O223/M223*100</f>
        <v>121.5793037162594</v>
      </c>
      <c r="AE223" s="524">
        <f t="shared" si="137"/>
        <v>118.8342147485825</v>
      </c>
      <c r="AF223" s="524">
        <f t="shared" si="137"/>
        <v>104.19753086419755</v>
      </c>
      <c r="AG223" s="524">
        <f>AB223/Q223*100</f>
        <v>95.97156398104265</v>
      </c>
      <c r="AH223" s="527"/>
      <c r="AI223" s="527">
        <v>51200</v>
      </c>
      <c r="AJ223" s="516">
        <f>W223/R223*100</f>
        <v>101.50257434065357</v>
      </c>
      <c r="AK223" s="516">
        <f t="shared" si="138"/>
        <v>103.51966873706004</v>
      </c>
      <c r="AL223" s="516">
        <f t="shared" si="139"/>
        <v>102.4</v>
      </c>
      <c r="AM223" s="294"/>
      <c r="AO223" t="b">
        <f t="shared" si="112"/>
        <v>1</v>
      </c>
      <c r="AP223" s="462">
        <f>AP1014</f>
        <v>0</v>
      </c>
      <c r="AQ223" s="443">
        <v>51210.44</v>
      </c>
      <c r="AR223" s="462">
        <f>AR1014</f>
        <v>0</v>
      </c>
      <c r="AS223" s="443">
        <f>AS1014</f>
        <v>0</v>
      </c>
      <c r="AT223" s="613">
        <f>AT1014</f>
        <v>50000</v>
      </c>
      <c r="AU223" s="471">
        <f>AU1014</f>
        <v>50000</v>
      </c>
      <c r="AV223" s="638">
        <v>51200</v>
      </c>
      <c r="AW223" s="638">
        <v>51200</v>
      </c>
      <c r="AX223" s="655">
        <f t="shared" si="114"/>
        <v>105.07512871703268</v>
      </c>
      <c r="AY223" s="655">
        <f t="shared" si="115"/>
        <v>97.636341339773679</v>
      </c>
      <c r="AZ223" s="655">
        <f t="shared" si="116"/>
        <v>100</v>
      </c>
      <c r="BA223" s="655">
        <f t="shared" si="117"/>
        <v>97.636341339773679</v>
      </c>
      <c r="BB223" s="655">
        <f t="shared" si="118"/>
        <v>102.4</v>
      </c>
      <c r="BC223" s="655">
        <f t="shared" si="118"/>
        <v>100</v>
      </c>
    </row>
    <row r="224" spans="1:55" ht="12" customHeight="1">
      <c r="A224" s="36"/>
      <c r="B224" s="36"/>
      <c r="C224" s="36"/>
      <c r="D224" s="36"/>
      <c r="E224" s="36"/>
      <c r="F224" s="36"/>
      <c r="G224" s="36"/>
      <c r="H224" s="46">
        <v>3223</v>
      </c>
      <c r="I224" s="38"/>
      <c r="J224" s="39"/>
      <c r="K224" s="40" t="s">
        <v>110</v>
      </c>
      <c r="L224" s="309">
        <f t="shared" ref="L224:S224" si="141">L384+L680+L1015+L1089</f>
        <v>495566</v>
      </c>
      <c r="M224" s="309">
        <f t="shared" si="141"/>
        <v>65772.911274802565</v>
      </c>
      <c r="N224" s="339">
        <f t="shared" si="141"/>
        <v>867308</v>
      </c>
      <c r="O224" s="339">
        <f t="shared" si="141"/>
        <v>115111.55352047249</v>
      </c>
      <c r="P224" s="294">
        <f t="shared" si="141"/>
        <v>89300</v>
      </c>
      <c r="Q224" s="294">
        <f t="shared" si="141"/>
        <v>101900</v>
      </c>
      <c r="R224" s="443">
        <f t="shared" si="141"/>
        <v>94184</v>
      </c>
      <c r="S224" s="294">
        <f t="shared" si="141"/>
        <v>10412</v>
      </c>
      <c r="T224" s="294"/>
      <c r="U224" s="292" t="b">
        <f t="shared" si="127"/>
        <v>1</v>
      </c>
      <c r="V224" s="471">
        <v>109920</v>
      </c>
      <c r="W224" s="471">
        <f>W384+W680+W1015+W1089</f>
        <v>111420.26</v>
      </c>
      <c r="X224" s="527">
        <f>X384+X680+X1015+X1089</f>
        <v>141300</v>
      </c>
      <c r="Y224" s="527"/>
      <c r="Z224" s="527">
        <f>Z384+Z680+Z1015+Z1089</f>
        <v>0</v>
      </c>
      <c r="AA224" s="527">
        <f>AA384+AA680+AA1015+AA1089</f>
        <v>0</v>
      </c>
      <c r="AB224" s="528">
        <f>AB384+AB680+AB1015+AB1089</f>
        <v>95300</v>
      </c>
      <c r="AC224" s="528">
        <f>AC384+AC680+AC1015+AC1089</f>
        <v>95300</v>
      </c>
      <c r="AD224" s="524">
        <f>O224/M224*100</f>
        <v>175.01362078915827</v>
      </c>
      <c r="AE224" s="524">
        <f t="shared" si="137"/>
        <v>77.576921923930144</v>
      </c>
      <c r="AF224" s="524">
        <f t="shared" si="137"/>
        <v>114.10974244120942</v>
      </c>
      <c r="AG224" s="524">
        <f>AB224/Q224*100</f>
        <v>93.523061825318948</v>
      </c>
      <c r="AH224" s="527"/>
      <c r="AI224" s="527">
        <v>141300</v>
      </c>
      <c r="AJ224" s="516">
        <f>W224/R224*100</f>
        <v>118.30062430986155</v>
      </c>
      <c r="AK224" s="516">
        <f t="shared" si="138"/>
        <v>112.00835467445509</v>
      </c>
      <c r="AL224" s="516">
        <f t="shared" si="139"/>
        <v>113.22115384615385</v>
      </c>
      <c r="AM224" s="294"/>
      <c r="AO224" t="b">
        <f t="shared" si="112"/>
        <v>1</v>
      </c>
      <c r="AP224" s="462">
        <f>AP384+AP680+AP1015+AP1089</f>
        <v>79014.42</v>
      </c>
      <c r="AQ224" s="443">
        <v>84482.47</v>
      </c>
      <c r="AR224" s="462">
        <f>AR384+AR680+AR1015+AR1089</f>
        <v>79014.42</v>
      </c>
      <c r="AS224" s="443">
        <f>AS384+AS680+AS1015+AS1089</f>
        <v>25635.41</v>
      </c>
      <c r="AT224" s="613">
        <f>AT384+AT680+AT1015+AT1089</f>
        <v>124800</v>
      </c>
      <c r="AU224" s="471">
        <f>AU384+AU680+AU1015+AU1089</f>
        <v>114800</v>
      </c>
      <c r="AV224" s="638">
        <v>141300</v>
      </c>
      <c r="AW224" s="638">
        <v>141300</v>
      </c>
      <c r="AX224" s="655">
        <f t="shared" si="114"/>
        <v>132.50658285908435</v>
      </c>
      <c r="AY224" s="655">
        <f t="shared" si="115"/>
        <v>147.72295364943758</v>
      </c>
      <c r="AZ224" s="655">
        <f t="shared" si="116"/>
        <v>91.987179487179489</v>
      </c>
      <c r="BA224" s="655">
        <f t="shared" si="117"/>
        <v>135.88617851727111</v>
      </c>
      <c r="BB224" s="655">
        <f t="shared" si="118"/>
        <v>123.08362369337979</v>
      </c>
      <c r="BC224" s="655">
        <f t="shared" si="118"/>
        <v>100</v>
      </c>
    </row>
    <row r="225" spans="1:55" ht="12" customHeight="1">
      <c r="A225" s="36"/>
      <c r="B225" s="36"/>
      <c r="C225" s="36"/>
      <c r="D225" s="36"/>
      <c r="E225" s="36"/>
      <c r="F225" s="36"/>
      <c r="G225" s="36"/>
      <c r="H225" s="46">
        <v>3224</v>
      </c>
      <c r="I225" s="38"/>
      <c r="J225" s="39"/>
      <c r="K225" s="40" t="s">
        <v>111</v>
      </c>
      <c r="L225" s="309">
        <f t="shared" ref="L225:S225" si="142">L385+L539+L725+L1016+L1017+L1090+L1151</f>
        <v>21777</v>
      </c>
      <c r="M225" s="309">
        <f t="shared" si="142"/>
        <v>2890.3045988453114</v>
      </c>
      <c r="N225" s="339">
        <f t="shared" si="142"/>
        <v>106682</v>
      </c>
      <c r="O225" s="339">
        <f t="shared" si="142"/>
        <v>14159.134647289136</v>
      </c>
      <c r="P225" s="294">
        <f t="shared" si="142"/>
        <v>28200</v>
      </c>
      <c r="Q225" s="294">
        <f t="shared" si="142"/>
        <v>15400</v>
      </c>
      <c r="R225" s="443">
        <f t="shared" si="142"/>
        <v>9733</v>
      </c>
      <c r="S225" s="294">
        <f t="shared" si="142"/>
        <v>725</v>
      </c>
      <c r="T225" s="294"/>
      <c r="U225" s="292" t="b">
        <f t="shared" si="127"/>
        <v>1</v>
      </c>
      <c r="V225" s="471">
        <v>24400</v>
      </c>
      <c r="W225" s="471">
        <f>W385+W539+W725+W1016+W1017+W1090+W1151</f>
        <v>10900</v>
      </c>
      <c r="X225" s="527">
        <f>X385+X539+X725+X1016+X1017+X1090+X1151</f>
        <v>35600.1</v>
      </c>
      <c r="Y225" s="527"/>
      <c r="Z225" s="527">
        <f>Z385+Z539+Z725+Z1016+Z1017+Z1090+Z1151</f>
        <v>1</v>
      </c>
      <c r="AA225" s="527">
        <f>AA385+AA539+AA725+AA1016+AA1017+AA1090+AA1151</f>
        <v>0</v>
      </c>
      <c r="AB225" s="528">
        <f>AB385+AB539+AB725+AB1016+AB1017+AB1090+AB1151</f>
        <v>33500</v>
      </c>
      <c r="AC225" s="528">
        <f>AC385+AC539+AC725+AC1016+AC1017+AC1090+AC1151</f>
        <v>33500</v>
      </c>
      <c r="AD225" s="524">
        <f>O225/M225*100</f>
        <v>489.88382238141162</v>
      </c>
      <c r="AE225" s="524">
        <f t="shared" si="137"/>
        <v>199.16471382238802</v>
      </c>
      <c r="AF225" s="524">
        <f t="shared" si="137"/>
        <v>54.609929078014183</v>
      </c>
      <c r="AG225" s="524">
        <f>AB225/Q225*100</f>
        <v>217.53246753246751</v>
      </c>
      <c r="AH225" s="527"/>
      <c r="AI225" s="527">
        <v>35600.1</v>
      </c>
      <c r="AJ225" s="516">
        <f>W225/R225*100</f>
        <v>111.99013664851536</v>
      </c>
      <c r="AK225" s="516">
        <f t="shared" si="138"/>
        <v>265.13761467889907</v>
      </c>
      <c r="AL225" s="516">
        <f t="shared" si="139"/>
        <v>123.18373702422146</v>
      </c>
      <c r="AM225" s="294"/>
      <c r="AO225" t="b">
        <f t="shared" si="112"/>
        <v>1</v>
      </c>
      <c r="AP225" s="462">
        <f>AP385+AP539+AP725+AP1016+AP1017+AP1090+AP1151</f>
        <v>725.41</v>
      </c>
      <c r="AQ225" s="443">
        <v>5847.01</v>
      </c>
      <c r="AR225" s="462">
        <f>AR385+AR539+AR725+AR1016+AR1017+AR1090+AR1151</f>
        <v>725.41</v>
      </c>
      <c r="AS225" s="443">
        <f>AS385+AS539+AS725+AS1016+AS1017+AS1090+AS1151</f>
        <v>2666.25</v>
      </c>
      <c r="AT225" s="613">
        <f>AT385+AT539+AT725+AT1016+AT1017+AT1090+AT1151</f>
        <v>28900</v>
      </c>
      <c r="AU225" s="471">
        <f>AU385+AU539+AU725+AU1016+AU1017+AU1090+AU1151</f>
        <v>29400</v>
      </c>
      <c r="AV225" s="638">
        <v>35600.1</v>
      </c>
      <c r="AW225" s="638">
        <v>35600.1</v>
      </c>
      <c r="AX225" s="655">
        <f t="shared" si="114"/>
        <v>296.92797698551317</v>
      </c>
      <c r="AY225" s="655">
        <f t="shared" si="115"/>
        <v>494.26972076326183</v>
      </c>
      <c r="AZ225" s="655">
        <f t="shared" si="116"/>
        <v>101.73010380622839</v>
      </c>
      <c r="BA225" s="655">
        <f t="shared" si="117"/>
        <v>502.82110001522142</v>
      </c>
      <c r="BB225" s="655">
        <f t="shared" si="118"/>
        <v>121.08877551020407</v>
      </c>
      <c r="BC225" s="655">
        <f t="shared" si="118"/>
        <v>100</v>
      </c>
    </row>
    <row r="226" spans="1:55" ht="12" customHeight="1">
      <c r="A226" s="36"/>
      <c r="B226" s="36"/>
      <c r="C226" s="36"/>
      <c r="D226" s="36"/>
      <c r="E226" s="36"/>
      <c r="F226" s="36"/>
      <c r="G226" s="36"/>
      <c r="H226" s="46">
        <v>3225</v>
      </c>
      <c r="I226" s="38"/>
      <c r="J226" s="39"/>
      <c r="K226" s="40" t="s">
        <v>112</v>
      </c>
      <c r="L226" s="309">
        <f t="shared" ref="L226:S226" si="143">L386+L1018+L1091+L1152</f>
        <v>39449</v>
      </c>
      <c r="M226" s="309">
        <f t="shared" si="143"/>
        <v>5235.7820691485831</v>
      </c>
      <c r="N226" s="339">
        <f t="shared" si="143"/>
        <v>11502</v>
      </c>
      <c r="O226" s="339">
        <f t="shared" si="143"/>
        <v>1526.5777423850288</v>
      </c>
      <c r="P226" s="294">
        <f t="shared" si="143"/>
        <v>5600</v>
      </c>
      <c r="Q226" s="294">
        <f t="shared" si="143"/>
        <v>10400</v>
      </c>
      <c r="R226" s="443">
        <f t="shared" si="143"/>
        <v>8650</v>
      </c>
      <c r="S226" s="294">
        <f t="shared" si="143"/>
        <v>756</v>
      </c>
      <c r="T226" s="294"/>
      <c r="U226" s="292" t="b">
        <f t="shared" si="127"/>
        <v>1</v>
      </c>
      <c r="V226" s="471">
        <v>15160</v>
      </c>
      <c r="W226" s="471">
        <f>W386+W1018+W1091+W1152</f>
        <v>15400</v>
      </c>
      <c r="X226" s="527">
        <f>X386+X1018+X1091+X1152</f>
        <v>11700.2</v>
      </c>
      <c r="Y226" s="527"/>
      <c r="Z226" s="527">
        <f>Z386+Z1018+Z1091+Z1152</f>
        <v>0</v>
      </c>
      <c r="AA226" s="527">
        <f>AA386+AA1018+AA1091+AA1152</f>
        <v>0</v>
      </c>
      <c r="AB226" s="528">
        <f>AB386+AB1018+AB1091+AB1152</f>
        <v>6100</v>
      </c>
      <c r="AC226" s="528">
        <f>AC386+AC1018+AC1091+AC1152</f>
        <v>6100</v>
      </c>
      <c r="AD226" s="524">
        <f>O226/M226*100</f>
        <v>29.156632614261451</v>
      </c>
      <c r="AE226" s="524">
        <f t="shared" si="137"/>
        <v>366.83359415753785</v>
      </c>
      <c r="AF226" s="524">
        <f t="shared" si="137"/>
        <v>185.71428571428572</v>
      </c>
      <c r="AG226" s="524">
        <f>AB226/Q226*100</f>
        <v>58.653846153846153</v>
      </c>
      <c r="AH226" s="527"/>
      <c r="AI226" s="527">
        <v>11700.2</v>
      </c>
      <c r="AJ226" s="516">
        <f>W226/R226*100</f>
        <v>178.03468208092485</v>
      </c>
      <c r="AK226" s="516">
        <f t="shared" si="138"/>
        <v>76.623376623376629</v>
      </c>
      <c r="AL226" s="516">
        <f t="shared" si="139"/>
        <v>99.154237288135604</v>
      </c>
      <c r="AM226" s="294"/>
      <c r="AO226" t="b">
        <f t="shared" si="112"/>
        <v>1</v>
      </c>
      <c r="AP226" s="462">
        <f>AP386+AP1018+AP1091+AP1152</f>
        <v>864.6</v>
      </c>
      <c r="AQ226" s="443">
        <v>14776.6</v>
      </c>
      <c r="AR226" s="462">
        <f>AR386+AR1018+AR1091+AR1152</f>
        <v>864.6</v>
      </c>
      <c r="AS226" s="443">
        <f>AS386+AS1018+AS1091+AS1152</f>
        <v>1065.5</v>
      </c>
      <c r="AT226" s="613">
        <f>AT386+AT1018+AT1091+AT1152</f>
        <v>11800</v>
      </c>
      <c r="AU226" s="471">
        <f>AU386+AU1018+AU1091+AU1152</f>
        <v>12300</v>
      </c>
      <c r="AV226" s="638">
        <v>11700.2</v>
      </c>
      <c r="AW226" s="638">
        <v>11700.2</v>
      </c>
      <c r="AX226" s="655">
        <f t="shared" si="114"/>
        <v>136.41618497109826</v>
      </c>
      <c r="AY226" s="655">
        <f t="shared" si="115"/>
        <v>79.855988522393517</v>
      </c>
      <c r="AZ226" s="655">
        <f t="shared" si="116"/>
        <v>104.23728813559323</v>
      </c>
      <c r="BA226" s="655">
        <f t="shared" si="117"/>
        <v>83.239716849613572</v>
      </c>
      <c r="BB226" s="655">
        <f t="shared" si="118"/>
        <v>95.123577235772359</v>
      </c>
      <c r="BC226" s="655">
        <f t="shared" si="118"/>
        <v>100</v>
      </c>
    </row>
    <row r="227" spans="1:55" ht="12" customHeight="1">
      <c r="A227" s="36"/>
      <c r="B227" s="36"/>
      <c r="C227" s="36"/>
      <c r="D227" s="36"/>
      <c r="E227" s="36"/>
      <c r="F227" s="36"/>
      <c r="G227" s="36"/>
      <c r="H227" s="46">
        <v>3227</v>
      </c>
      <c r="I227" s="38"/>
      <c r="J227" s="39"/>
      <c r="K227" s="40" t="s">
        <v>621</v>
      </c>
      <c r="L227" s="309">
        <f t="shared" ref="L227:AA227" si="144">L387</f>
        <v>0</v>
      </c>
      <c r="M227" s="309">
        <f t="shared" si="144"/>
        <v>0</v>
      </c>
      <c r="N227" s="339">
        <f t="shared" si="144"/>
        <v>0</v>
      </c>
      <c r="O227" s="339">
        <f t="shared" si="144"/>
        <v>0</v>
      </c>
      <c r="P227" s="294">
        <f t="shared" si="144"/>
        <v>1300</v>
      </c>
      <c r="Q227" s="294">
        <f t="shared" si="144"/>
        <v>1300</v>
      </c>
      <c r="R227" s="443">
        <f t="shared" si="144"/>
        <v>0</v>
      </c>
      <c r="S227" s="294">
        <f t="shared" si="144"/>
        <v>2624.53</v>
      </c>
      <c r="T227" s="294"/>
      <c r="U227" s="292" t="b">
        <f t="shared" si="127"/>
        <v>1</v>
      </c>
      <c r="V227" s="471">
        <v>1300</v>
      </c>
      <c r="W227" s="471">
        <f>W387</f>
        <v>3000</v>
      </c>
      <c r="X227" s="527">
        <f>X387</f>
        <v>2000</v>
      </c>
      <c r="Y227" s="527"/>
      <c r="Z227" s="527" t="b">
        <f t="shared" si="144"/>
        <v>0</v>
      </c>
      <c r="AA227" s="527">
        <f t="shared" si="144"/>
        <v>0</v>
      </c>
      <c r="AB227" s="528">
        <f>AB387</f>
        <v>1000</v>
      </c>
      <c r="AC227" s="528">
        <f>AC387</f>
        <v>1000</v>
      </c>
      <c r="AD227" s="524"/>
      <c r="AE227" s="524"/>
      <c r="AF227" s="524"/>
      <c r="AG227" s="524"/>
      <c r="AH227" s="527"/>
      <c r="AI227" s="527">
        <v>2000</v>
      </c>
      <c r="AJ227" s="516"/>
      <c r="AK227" s="516">
        <f t="shared" si="138"/>
        <v>33.333333333333329</v>
      </c>
      <c r="AL227" s="516">
        <f t="shared" si="139"/>
        <v>200</v>
      </c>
      <c r="AM227" s="294"/>
      <c r="AO227" t="b">
        <f t="shared" si="112"/>
        <v>1</v>
      </c>
      <c r="AP227" s="462">
        <f>AP387</f>
        <v>2839.03</v>
      </c>
      <c r="AQ227" s="443">
        <v>2839.03</v>
      </c>
      <c r="AR227" s="462">
        <f>AR387</f>
        <v>2839.03</v>
      </c>
      <c r="AS227" s="443">
        <f>AS387</f>
        <v>0</v>
      </c>
      <c r="AT227" s="613">
        <f>AT387</f>
        <v>1000</v>
      </c>
      <c r="AU227" s="471">
        <f>AU387</f>
        <v>1000</v>
      </c>
      <c r="AV227" s="638">
        <v>2000</v>
      </c>
      <c r="AW227" s="638">
        <v>2000</v>
      </c>
      <c r="AX227" s="655" t="str">
        <f t="shared" si="114"/>
        <v/>
      </c>
      <c r="AY227" s="655">
        <f t="shared" si="115"/>
        <v>35.22329809829413</v>
      </c>
      <c r="AZ227" s="655">
        <f t="shared" si="116"/>
        <v>100</v>
      </c>
      <c r="BA227" s="655">
        <f t="shared" si="117"/>
        <v>35.22329809829413</v>
      </c>
      <c r="BB227" s="655">
        <f t="shared" si="118"/>
        <v>200</v>
      </c>
      <c r="BC227" s="655">
        <f t="shared" si="118"/>
        <v>100</v>
      </c>
    </row>
    <row r="228" spans="1:55" ht="12" customHeight="1">
      <c r="A228" s="36"/>
      <c r="B228" s="36"/>
      <c r="C228" s="36"/>
      <c r="D228" s="36"/>
      <c r="E228" s="36"/>
      <c r="F228" s="36"/>
      <c r="G228" s="36"/>
      <c r="H228" s="46"/>
      <c r="I228" s="38"/>
      <c r="J228" s="39"/>
      <c r="K228" s="40"/>
      <c r="L228" s="309"/>
      <c r="M228" s="309"/>
      <c r="N228" s="339"/>
      <c r="O228" s="339"/>
      <c r="P228" s="294"/>
      <c r="Q228" s="294"/>
      <c r="R228" s="443"/>
      <c r="S228" s="294"/>
      <c r="T228" s="294"/>
      <c r="U228" s="292" t="b">
        <f t="shared" si="127"/>
        <v>0</v>
      </c>
      <c r="V228" s="471"/>
      <c r="W228" s="471"/>
      <c r="X228" s="527"/>
      <c r="Y228" s="527"/>
      <c r="Z228" s="527"/>
      <c r="AA228" s="527"/>
      <c r="AB228" s="528"/>
      <c r="AC228" s="528"/>
      <c r="AD228" s="524"/>
      <c r="AE228" s="524"/>
      <c r="AF228" s="524"/>
      <c r="AG228" s="524"/>
      <c r="AH228" s="527"/>
      <c r="AI228" s="527"/>
      <c r="AJ228" s="516"/>
      <c r="AK228" s="516"/>
      <c r="AL228" s="516"/>
      <c r="AM228" s="294"/>
      <c r="AO228" t="b">
        <f t="shared" si="112"/>
        <v>0</v>
      </c>
      <c r="AQ228" s="443"/>
      <c r="AS228" s="443"/>
      <c r="AT228" s="613"/>
      <c r="AU228" s="471"/>
      <c r="AV228" s="638"/>
      <c r="AW228" s="638"/>
      <c r="AX228" s="655" t="str">
        <f t="shared" si="114"/>
        <v/>
      </c>
      <c r="AY228" s="655" t="str">
        <f t="shared" si="115"/>
        <v/>
      </c>
      <c r="AZ228" s="655" t="str">
        <f t="shared" si="116"/>
        <v/>
      </c>
      <c r="BA228" s="655" t="str">
        <f t="shared" si="117"/>
        <v/>
      </c>
      <c r="BB228" s="655" t="str">
        <f t="shared" si="118"/>
        <v/>
      </c>
      <c r="BC228" s="655" t="str">
        <f t="shared" si="118"/>
        <v/>
      </c>
    </row>
    <row r="229" spans="1:55" ht="12" customHeight="1">
      <c r="A229" s="56"/>
      <c r="B229" s="56"/>
      <c r="C229" s="56"/>
      <c r="D229" s="56"/>
      <c r="E229" s="56"/>
      <c r="F229" s="56"/>
      <c r="G229" s="56"/>
      <c r="H229" s="57">
        <v>323</v>
      </c>
      <c r="I229" s="58"/>
      <c r="J229" s="59"/>
      <c r="K229" s="60" t="s">
        <v>113</v>
      </c>
      <c r="L229" s="315">
        <f t="shared" ref="L229:AA229" si="145">L230+L231+L232+L233+L234+L235+L236+L237+L238</f>
        <v>4721874</v>
      </c>
      <c r="M229" s="315">
        <f t="shared" si="145"/>
        <v>626700.37826000398</v>
      </c>
      <c r="N229" s="337">
        <f t="shared" si="145"/>
        <v>3965944</v>
      </c>
      <c r="O229" s="337">
        <f t="shared" si="145"/>
        <v>526371.22569513565</v>
      </c>
      <c r="P229" s="292">
        <f t="shared" si="145"/>
        <v>689400</v>
      </c>
      <c r="Q229" s="292">
        <f t="shared" si="145"/>
        <v>766900</v>
      </c>
      <c r="R229" s="441">
        <f t="shared" si="145"/>
        <v>642674</v>
      </c>
      <c r="S229" s="292">
        <f t="shared" si="145"/>
        <v>505068.91</v>
      </c>
      <c r="T229" s="292"/>
      <c r="U229" s="292" t="b">
        <f t="shared" si="127"/>
        <v>1</v>
      </c>
      <c r="V229" s="469">
        <v>775120</v>
      </c>
      <c r="W229" s="469">
        <f>W230+W231+W232+W233+W234+W235+W236+W237+W238</f>
        <v>1059319.92</v>
      </c>
      <c r="X229" s="522">
        <f>X230+X231+X232+X233+X234+X235+X236+X237+X238</f>
        <v>1316950.7999999998</v>
      </c>
      <c r="Y229" s="522"/>
      <c r="Z229" s="522">
        <f t="shared" si="145"/>
        <v>1</v>
      </c>
      <c r="AA229" s="522">
        <f t="shared" si="145"/>
        <v>0</v>
      </c>
      <c r="AB229" s="523">
        <f>AB230+AB231+AB232+AB233+AB234+AB235+AB236+AB237+AB238</f>
        <v>719200</v>
      </c>
      <c r="AC229" s="523">
        <f>AC230+AC231+AC232+AC233+AC234+AC235+AC236+AC237+AC238</f>
        <v>719200</v>
      </c>
      <c r="AD229" s="524">
        <f t="shared" ref="AD229:AD238" si="146">O229/M229*100</f>
        <v>83.990890057633877</v>
      </c>
      <c r="AE229" s="524">
        <f t="shared" ref="AE229:AF238" si="147">P229/O229*100</f>
        <v>130.97220485211091</v>
      </c>
      <c r="AF229" s="524">
        <f t="shared" si="147"/>
        <v>111.24165941398316</v>
      </c>
      <c r="AG229" s="524">
        <f t="shared" ref="AG229:AG238" si="148">AB229/Q229*100</f>
        <v>93.780153866214633</v>
      </c>
      <c r="AH229" s="522"/>
      <c r="AI229" s="522">
        <v>1316950.7999999998</v>
      </c>
      <c r="AJ229" s="516">
        <f t="shared" ref="AJ229:AJ238" si="149">W229/R229*100</f>
        <v>164.83005691843763</v>
      </c>
      <c r="AK229" s="516">
        <f t="shared" ref="AK229:AK238" si="150">AT229/W229*100</f>
        <v>98.420692400460112</v>
      </c>
      <c r="AL229" s="516">
        <f t="shared" ref="AL229:AL238" si="151">X229/AT229*100</f>
        <v>126.31531090841077</v>
      </c>
      <c r="AM229" s="292"/>
      <c r="AO229" t="b">
        <f t="shared" si="112"/>
        <v>1</v>
      </c>
      <c r="AP229" s="440">
        <f>AP230+AP231+AP232+AP233+AP234+AP235+AP236+AP237+AP238</f>
        <v>864204.53</v>
      </c>
      <c r="AQ229" s="441">
        <v>1046485.86</v>
      </c>
      <c r="AR229" s="440">
        <f>AR230+AR231+AR232+AR233+AR234+AR235+AR236+AR237+AR238</f>
        <v>864204.53</v>
      </c>
      <c r="AS229" s="441">
        <f>AS230+AS231+AS232+AS233+AS234+AS235+AS236+AS237+AS238</f>
        <v>455630.91000000009</v>
      </c>
      <c r="AT229" s="612">
        <f>AT230+AT231+AT232+AT233+AT234+AT235+AT236+AT237+AT238</f>
        <v>1042590</v>
      </c>
      <c r="AU229" s="469">
        <f>AU230+AU231+AU232+AU233+AU234+AU235+AU236+AU237+AU238</f>
        <v>1057290</v>
      </c>
      <c r="AV229" s="636">
        <v>1316950.7999999998</v>
      </c>
      <c r="AW229" s="636">
        <v>1316950.7999999998</v>
      </c>
      <c r="AX229" s="655">
        <f t="shared" si="114"/>
        <v>162.22688330319883</v>
      </c>
      <c r="AY229" s="655">
        <f t="shared" si="115"/>
        <v>99.627719766801249</v>
      </c>
      <c r="AZ229" s="655">
        <f t="shared" si="116"/>
        <v>101.40995022012488</v>
      </c>
      <c r="BA229" s="655">
        <f t="shared" si="117"/>
        <v>101.03242102095867</v>
      </c>
      <c r="BB229" s="655">
        <f t="shared" si="118"/>
        <v>124.5590897483188</v>
      </c>
      <c r="BC229" s="655">
        <f t="shared" si="118"/>
        <v>100</v>
      </c>
    </row>
    <row r="230" spans="1:55" ht="12" customHeight="1">
      <c r="A230" s="36"/>
      <c r="B230" s="36"/>
      <c r="C230" s="36"/>
      <c r="D230" s="36"/>
      <c r="E230" s="36"/>
      <c r="F230" s="36"/>
      <c r="G230" s="36"/>
      <c r="H230" s="46">
        <v>3231</v>
      </c>
      <c r="I230" s="38"/>
      <c r="J230" s="39"/>
      <c r="K230" s="40" t="s">
        <v>114</v>
      </c>
      <c r="L230" s="309">
        <f t="shared" ref="L230:S230" si="152">L390+L1021+L1094+L1155</f>
        <v>111772</v>
      </c>
      <c r="M230" s="309">
        <f t="shared" si="152"/>
        <v>14834.693742119582</v>
      </c>
      <c r="N230" s="339">
        <f t="shared" si="152"/>
        <v>125470</v>
      </c>
      <c r="O230" s="339">
        <f t="shared" si="152"/>
        <v>16652.730771783128</v>
      </c>
      <c r="P230" s="294">
        <f t="shared" si="152"/>
        <v>20700</v>
      </c>
      <c r="Q230" s="294">
        <f t="shared" si="152"/>
        <v>20700</v>
      </c>
      <c r="R230" s="443">
        <f t="shared" si="152"/>
        <v>15755</v>
      </c>
      <c r="S230" s="294">
        <f t="shared" si="152"/>
        <v>21508</v>
      </c>
      <c r="T230" s="294"/>
      <c r="U230" s="292" t="b">
        <f t="shared" si="127"/>
        <v>1</v>
      </c>
      <c r="V230" s="471">
        <v>21520</v>
      </c>
      <c r="W230" s="471">
        <f>W390+W1021+W1094+W1155</f>
        <v>30520</v>
      </c>
      <c r="X230" s="527">
        <f>X390+X1021+X1094+X1155</f>
        <v>42300.1</v>
      </c>
      <c r="Y230" s="527"/>
      <c r="Z230" s="527">
        <f>Z390+Z1021+Z1094+Z1155</f>
        <v>0</v>
      </c>
      <c r="AA230" s="527">
        <f>AA390+AA1021+AA1094+AA1155</f>
        <v>0</v>
      </c>
      <c r="AB230" s="528">
        <f>AB390+AB1021+AB1094+AB1155</f>
        <v>22000</v>
      </c>
      <c r="AC230" s="528">
        <f>AC390+AC1021+AC1094+AC1155</f>
        <v>22000</v>
      </c>
      <c r="AD230" s="524">
        <f t="shared" si="146"/>
        <v>112.2553054432237</v>
      </c>
      <c r="AE230" s="524">
        <f t="shared" si="147"/>
        <v>124.30393719614253</v>
      </c>
      <c r="AF230" s="524">
        <f t="shared" si="147"/>
        <v>100</v>
      </c>
      <c r="AG230" s="524">
        <f t="shared" si="148"/>
        <v>106.28019323671498</v>
      </c>
      <c r="AH230" s="527"/>
      <c r="AI230" s="527">
        <v>42300.1</v>
      </c>
      <c r="AJ230" s="516">
        <f t="shared" si="149"/>
        <v>193.71628054585847</v>
      </c>
      <c r="AK230" s="516">
        <f t="shared" si="150"/>
        <v>121.8872870249017</v>
      </c>
      <c r="AL230" s="516">
        <f t="shared" si="151"/>
        <v>113.70994623655915</v>
      </c>
      <c r="AM230" s="294"/>
      <c r="AO230" t="b">
        <f t="shared" si="112"/>
        <v>1</v>
      </c>
      <c r="AP230" s="462">
        <f>AP390+AP1021+AP1094+AP1155</f>
        <v>23675.89</v>
      </c>
      <c r="AQ230" s="443">
        <v>28592.880000000001</v>
      </c>
      <c r="AR230" s="462">
        <f>AR390+AR1021+AR1094+AR1155</f>
        <v>23675.89</v>
      </c>
      <c r="AS230" s="443">
        <f>AS390+AS1021+AS1094+AS1155</f>
        <v>11333.02</v>
      </c>
      <c r="AT230" s="613">
        <f>AT390+AT1021+AT1094+AT1155</f>
        <v>37200</v>
      </c>
      <c r="AU230" s="471">
        <f>AU390+AU1021+AU1094+AU1155</f>
        <v>37200</v>
      </c>
      <c r="AV230" s="638">
        <v>42300.1</v>
      </c>
      <c r="AW230" s="638">
        <v>42300.1</v>
      </c>
      <c r="AX230" s="655">
        <f t="shared" si="114"/>
        <v>236.11551888289432</v>
      </c>
      <c r="AY230" s="655">
        <f t="shared" si="115"/>
        <v>130.10231917876058</v>
      </c>
      <c r="AZ230" s="655">
        <f t="shared" si="116"/>
        <v>100</v>
      </c>
      <c r="BA230" s="655">
        <f t="shared" si="117"/>
        <v>130.10231917876058</v>
      </c>
      <c r="BB230" s="655">
        <f t="shared" si="118"/>
        <v>113.70994623655915</v>
      </c>
      <c r="BC230" s="655">
        <f t="shared" si="118"/>
        <v>100</v>
      </c>
    </row>
    <row r="231" spans="1:55" ht="12" customHeight="1">
      <c r="A231" s="36"/>
      <c r="B231" s="36"/>
      <c r="C231" s="36"/>
      <c r="D231" s="36"/>
      <c r="E231" s="36"/>
      <c r="F231" s="36"/>
      <c r="G231" s="36"/>
      <c r="H231" s="46">
        <v>3232</v>
      </c>
      <c r="I231" s="38"/>
      <c r="J231" s="39"/>
      <c r="K231" s="40" t="s">
        <v>115</v>
      </c>
      <c r="L231" s="309">
        <f t="shared" ref="L231:S231" si="153">L391+L553+L554+L555+L556+L565+L683+L711+L728+L794+L850+L851+L1022+L1023+L1095+L1156+L1176+L1177</f>
        <v>2714947</v>
      </c>
      <c r="M231" s="309">
        <f t="shared" si="153"/>
        <v>360335.39053686376</v>
      </c>
      <c r="N231" s="339">
        <f t="shared" si="153"/>
        <v>2569034</v>
      </c>
      <c r="O231" s="339">
        <f t="shared" si="153"/>
        <v>340969.40739266045</v>
      </c>
      <c r="P231" s="294">
        <f t="shared" si="153"/>
        <v>357800</v>
      </c>
      <c r="Q231" s="294">
        <f t="shared" si="153"/>
        <v>439300</v>
      </c>
      <c r="R231" s="443">
        <f t="shared" si="153"/>
        <v>409710</v>
      </c>
      <c r="S231" s="294">
        <f t="shared" si="153"/>
        <v>362865.01</v>
      </c>
      <c r="T231" s="294"/>
      <c r="U231" s="292" t="b">
        <f t="shared" si="127"/>
        <v>1</v>
      </c>
      <c r="V231" s="471">
        <v>389980</v>
      </c>
      <c r="W231" s="471">
        <f>W391+W553+W554+W555+W556+W565+W683+W711+W728+W794+W850+W851+W1022+W1023+W1095+W1156+W1176+W1177</f>
        <v>665980</v>
      </c>
      <c r="X231" s="527">
        <f>X391+X553+X554+X555+X556+X565+X683+X711+X728+X794+X850+X851+X1022+X1023+X1095+X1156+X1176+X1177</f>
        <v>805400.2</v>
      </c>
      <c r="Y231" s="527"/>
      <c r="Z231" s="527">
        <f>Z391+Z553+Z554+Z555+Z556+Z565+Z683+Z711+Z728+Z794+Z850+Z851+Z1022+Z1023+Z1095+Z1156+Z1176+Z1177</f>
        <v>0</v>
      </c>
      <c r="AA231" s="527">
        <f>AA391+AA553+AA554+AA555+AA556+AA565+AA683+AA711+AA728+AA794+AA850+AA851+AA1022+AA1023+AA1095+AA1156+AA1176+AA1177</f>
        <v>0</v>
      </c>
      <c r="AB231" s="528">
        <f>AB391+AB553+AB554+AB555+AB556+AB565+AB683+AB711+AB728+AB794+AB850+AB851+AB1022+AB1023+AB1095+AB1156+AB1176+AB1177</f>
        <v>380000</v>
      </c>
      <c r="AC231" s="528">
        <f>AC391+AC553+AC554+AC555+AC556+AC565+AC683+AC711+AC728+AC794+AC850+AC851+AC1022+AC1023+AC1095+AC1156+AC1176+AC1177</f>
        <v>380000</v>
      </c>
      <c r="AD231" s="524">
        <f t="shared" si="146"/>
        <v>94.625567276267276</v>
      </c>
      <c r="AE231" s="524">
        <f t="shared" si="147"/>
        <v>104.93610049536129</v>
      </c>
      <c r="AF231" s="524">
        <f t="shared" si="147"/>
        <v>122.77808831749581</v>
      </c>
      <c r="AG231" s="524">
        <f t="shared" si="148"/>
        <v>86.501251991805134</v>
      </c>
      <c r="AH231" s="527"/>
      <c r="AI231" s="527">
        <v>805400.2</v>
      </c>
      <c r="AJ231" s="516">
        <f t="shared" si="149"/>
        <v>162.54912010934564</v>
      </c>
      <c r="AK231" s="516">
        <f t="shared" si="150"/>
        <v>88.921589236914016</v>
      </c>
      <c r="AL231" s="516">
        <f t="shared" si="151"/>
        <v>136.00138466734211</v>
      </c>
      <c r="AM231" s="294"/>
      <c r="AO231" t="b">
        <f t="shared" si="112"/>
        <v>1</v>
      </c>
      <c r="AP231" s="462">
        <f>AP391+AP553+AP554+AP555+AP556+AP565+AP683+AP711+AP728+AP794+AP850+AP851+AP1022+AP1023+AP1095+AP1156+AP1176+AP1177</f>
        <v>620145.40999999992</v>
      </c>
      <c r="AQ231" s="443">
        <v>679754.91</v>
      </c>
      <c r="AR231" s="462">
        <f>AR391+AR553+AR554+AR555+AR556+AR565+AR683+AR711+AR728+AR794+AR850+AR851+AR1022+AR1023+AR1095+AR1156+AR1176+AR1177</f>
        <v>620145.40999999992</v>
      </c>
      <c r="AS231" s="443">
        <f>AS391+AS553+AS554+AS555+AS556+AS565+AS683+AS711+AS728+AS794+AS850+AS851+AS1022+AS1023+AS1095+AS1156+AS1176+AS1177</f>
        <v>280143.54000000004</v>
      </c>
      <c r="AT231" s="613">
        <f>AT391+AT553+AT554+AT555+AT556+AT565+AT683+AT711+AT728+AT794+AT850+AT851+AT1022+AT1023+AT1095+AT1156+AT1176+AT1177</f>
        <v>592200</v>
      </c>
      <c r="AU231" s="471">
        <f>AU391+AU553+AU554+AU555+AU556+AU565+AU683+AU711+AU728+AU794+AU850+AU851+AU1022+AU1023+AU1095+AU1156+AU1176+AU1177</f>
        <v>581200</v>
      </c>
      <c r="AV231" s="638">
        <v>805400.2</v>
      </c>
      <c r="AW231" s="638">
        <v>805400.2</v>
      </c>
      <c r="AX231" s="655">
        <f t="shared" si="114"/>
        <v>144.54126089185033</v>
      </c>
      <c r="AY231" s="655">
        <f t="shared" si="115"/>
        <v>87.119635516865927</v>
      </c>
      <c r="AZ231" s="655">
        <f t="shared" si="116"/>
        <v>98.14251941911516</v>
      </c>
      <c r="BA231" s="655">
        <f t="shared" si="117"/>
        <v>85.501405205002484</v>
      </c>
      <c r="BB231" s="655">
        <f t="shared" si="118"/>
        <v>138.57539573296626</v>
      </c>
      <c r="BC231" s="655">
        <f t="shared" si="118"/>
        <v>100</v>
      </c>
    </row>
    <row r="232" spans="1:55" ht="12" customHeight="1">
      <c r="A232" s="36"/>
      <c r="B232" s="36"/>
      <c r="C232" s="36"/>
      <c r="D232" s="36"/>
      <c r="E232" s="36"/>
      <c r="F232" s="36"/>
      <c r="G232" s="36"/>
      <c r="H232" s="46">
        <v>3233</v>
      </c>
      <c r="I232" s="38"/>
      <c r="J232" s="39"/>
      <c r="K232" s="40" t="s">
        <v>116</v>
      </c>
      <c r="L232" s="309">
        <f t="shared" ref="L232:S232" si="154">L411+L603+L1024</f>
        <v>77779</v>
      </c>
      <c r="M232" s="309">
        <f t="shared" si="154"/>
        <v>10323.047315681199</v>
      </c>
      <c r="N232" s="339">
        <f t="shared" si="154"/>
        <v>39189</v>
      </c>
      <c r="O232" s="339">
        <f t="shared" si="154"/>
        <v>5201.27413896078</v>
      </c>
      <c r="P232" s="294">
        <f t="shared" si="154"/>
        <v>16400</v>
      </c>
      <c r="Q232" s="294">
        <f t="shared" si="154"/>
        <v>11500</v>
      </c>
      <c r="R232" s="443">
        <f t="shared" si="154"/>
        <v>3957</v>
      </c>
      <c r="S232" s="294">
        <f t="shared" si="154"/>
        <v>8311</v>
      </c>
      <c r="T232" s="294"/>
      <c r="U232" s="292" t="b">
        <f t="shared" si="127"/>
        <v>1</v>
      </c>
      <c r="V232" s="471">
        <v>16730</v>
      </c>
      <c r="W232" s="471">
        <f>W411+W603+W1024</f>
        <v>11730</v>
      </c>
      <c r="X232" s="527">
        <f>X411+X603+X1024</f>
        <v>21350.2</v>
      </c>
      <c r="Y232" s="527"/>
      <c r="Z232" s="527">
        <f>Z411+Z603+Z1024</f>
        <v>0</v>
      </c>
      <c r="AA232" s="527">
        <f>AA411+AA603+AA1024</f>
        <v>0</v>
      </c>
      <c r="AB232" s="528">
        <f>AB411+AB603+AB1024</f>
        <v>17500</v>
      </c>
      <c r="AC232" s="528">
        <f>AC411+AC603+AC1024</f>
        <v>17500</v>
      </c>
      <c r="AD232" s="524">
        <f t="shared" si="146"/>
        <v>50.385065377544066</v>
      </c>
      <c r="AE232" s="524">
        <f t="shared" si="147"/>
        <v>315.30735665620455</v>
      </c>
      <c r="AF232" s="524">
        <f t="shared" si="147"/>
        <v>70.121951219512198</v>
      </c>
      <c r="AG232" s="524">
        <f t="shared" si="148"/>
        <v>152.17391304347828</v>
      </c>
      <c r="AH232" s="527"/>
      <c r="AI232" s="527">
        <v>21350.2</v>
      </c>
      <c r="AJ232" s="516">
        <f t="shared" si="149"/>
        <v>296.43669446550416</v>
      </c>
      <c r="AK232" s="516">
        <f t="shared" si="150"/>
        <v>147.4850809889173</v>
      </c>
      <c r="AL232" s="516">
        <f t="shared" si="151"/>
        <v>123.41156069364163</v>
      </c>
      <c r="AM232" s="294"/>
      <c r="AO232" t="b">
        <f t="shared" si="112"/>
        <v>1</v>
      </c>
      <c r="AP232" s="462">
        <f>AP411+AP603+AP1024</f>
        <v>9590.82</v>
      </c>
      <c r="AQ232" s="443">
        <v>9590.82</v>
      </c>
      <c r="AR232" s="462">
        <f>AR411+AR603+AR1024</f>
        <v>9590.82</v>
      </c>
      <c r="AS232" s="443">
        <f>AS411+AS603+AS1024</f>
        <v>2044.19</v>
      </c>
      <c r="AT232" s="613">
        <f>AT411+AT603+AT1024</f>
        <v>17300</v>
      </c>
      <c r="AU232" s="471">
        <f>AU411+AU603+AU1024</f>
        <v>11300</v>
      </c>
      <c r="AV232" s="638">
        <v>21350.2</v>
      </c>
      <c r="AW232" s="638">
        <v>21350.2</v>
      </c>
      <c r="AX232" s="655">
        <f t="shared" si="114"/>
        <v>437.19989891331818</v>
      </c>
      <c r="AY232" s="655">
        <f t="shared" si="115"/>
        <v>180.38082249484404</v>
      </c>
      <c r="AZ232" s="655">
        <f t="shared" si="116"/>
        <v>65.317919075144502</v>
      </c>
      <c r="BA232" s="655">
        <f t="shared" si="117"/>
        <v>117.82099966426229</v>
      </c>
      <c r="BB232" s="655">
        <f t="shared" si="118"/>
        <v>188.93982300884957</v>
      </c>
      <c r="BC232" s="655">
        <f t="shared" si="118"/>
        <v>100</v>
      </c>
    </row>
    <row r="233" spans="1:55" ht="12" customHeight="1">
      <c r="A233" s="36"/>
      <c r="B233" s="36"/>
      <c r="C233" s="36"/>
      <c r="D233" s="36"/>
      <c r="E233" s="36"/>
      <c r="F233" s="36"/>
      <c r="G233" s="36"/>
      <c r="H233" s="46">
        <v>3234</v>
      </c>
      <c r="I233" s="38"/>
      <c r="J233" s="39"/>
      <c r="K233" s="40" t="s">
        <v>117</v>
      </c>
      <c r="L233" s="309">
        <f t="shared" ref="L233:S233" si="155">L392+L619+L718+L1025+L1096+L1157</f>
        <v>645212</v>
      </c>
      <c r="M233" s="309">
        <f t="shared" si="155"/>
        <v>85634.348662817705</v>
      </c>
      <c r="N233" s="339">
        <f t="shared" si="155"/>
        <v>312045</v>
      </c>
      <c r="O233" s="339">
        <f t="shared" si="155"/>
        <v>41415.488751741985</v>
      </c>
      <c r="P233" s="294">
        <f t="shared" si="155"/>
        <v>97000</v>
      </c>
      <c r="Q233" s="294">
        <f t="shared" si="155"/>
        <v>97700</v>
      </c>
      <c r="R233" s="443">
        <f t="shared" si="155"/>
        <v>43301</v>
      </c>
      <c r="S233" s="294">
        <f t="shared" si="155"/>
        <v>27621.599999999999</v>
      </c>
      <c r="T233" s="294"/>
      <c r="U233" s="292" t="b">
        <f t="shared" si="127"/>
        <v>1</v>
      </c>
      <c r="V233" s="471">
        <v>99720</v>
      </c>
      <c r="W233" s="471">
        <f>W392+W619+W718+W1025+W1096+W1157</f>
        <v>99720</v>
      </c>
      <c r="X233" s="527">
        <f>X392+X619+X718+X1025+X1096+X1157</f>
        <v>132000.20000000001</v>
      </c>
      <c r="Y233" s="527"/>
      <c r="Z233" s="527">
        <f>Z392+Z619+Z718+Z1025+Z1096+Z1157</f>
        <v>1</v>
      </c>
      <c r="AA233" s="527">
        <f>AA392+AA619+AA718+AA1025+AA1096+AA1157</f>
        <v>0</v>
      </c>
      <c r="AB233" s="528">
        <f>AB392+AB619+AB718+AB1025+AB1096+AB1157</f>
        <v>101100</v>
      </c>
      <c r="AC233" s="528">
        <f>AC392+AC619+AC718+AC1025+AC1096+AC1157</f>
        <v>101100</v>
      </c>
      <c r="AD233" s="524">
        <f t="shared" si="146"/>
        <v>48.363173654550749</v>
      </c>
      <c r="AE233" s="524">
        <f t="shared" si="147"/>
        <v>234.21189251550257</v>
      </c>
      <c r="AF233" s="524">
        <f t="shared" si="147"/>
        <v>100.72164948453607</v>
      </c>
      <c r="AG233" s="524">
        <f t="shared" si="148"/>
        <v>103.48004094165815</v>
      </c>
      <c r="AH233" s="527"/>
      <c r="AI233" s="527">
        <v>132000.20000000001</v>
      </c>
      <c r="AJ233" s="516">
        <f t="shared" si="149"/>
        <v>230.29491235768228</v>
      </c>
      <c r="AK233" s="516">
        <f t="shared" si="150"/>
        <v>109.70718010429201</v>
      </c>
      <c r="AL233" s="516">
        <f t="shared" si="151"/>
        <v>120.6583180987203</v>
      </c>
      <c r="AM233" s="294"/>
      <c r="AO233" t="b">
        <f t="shared" si="112"/>
        <v>1</v>
      </c>
      <c r="AP233" s="462">
        <f>AP392+AP619+AP718+AP1025+AP1096+AP1157</f>
        <v>80331.56</v>
      </c>
      <c r="AQ233" s="443">
        <v>82856.539999999994</v>
      </c>
      <c r="AR233" s="462">
        <f>AR392+AR619+AR718+AR1025+AR1096+AR1157</f>
        <v>80331.56</v>
      </c>
      <c r="AS233" s="443">
        <f>AS392+AS619+AS718+AS1025+AS1096+AS1157</f>
        <v>20358.650000000001</v>
      </c>
      <c r="AT233" s="613">
        <f>AT392+AT619+AT718+AT1025+AT1096+AT1157</f>
        <v>109400</v>
      </c>
      <c r="AU233" s="471">
        <f>AU392+AU619+AU718+AU1025+AU1096+AU1157</f>
        <v>86400</v>
      </c>
      <c r="AV233" s="638">
        <v>132000.20000000001</v>
      </c>
      <c r="AW233" s="638">
        <v>132000.20000000001</v>
      </c>
      <c r="AX233" s="655">
        <f t="shared" si="114"/>
        <v>252.65005427126391</v>
      </c>
      <c r="AY233" s="655">
        <f t="shared" si="115"/>
        <v>132.03544343029532</v>
      </c>
      <c r="AZ233" s="655">
        <f t="shared" si="116"/>
        <v>78.976234003656316</v>
      </c>
      <c r="BA233" s="655">
        <f t="shared" si="117"/>
        <v>104.27662077127529</v>
      </c>
      <c r="BB233" s="655">
        <f t="shared" si="118"/>
        <v>152.77800925925925</v>
      </c>
      <c r="BC233" s="655">
        <f t="shared" si="118"/>
        <v>100</v>
      </c>
    </row>
    <row r="234" spans="1:55" ht="12" customHeight="1">
      <c r="A234" s="36"/>
      <c r="B234" s="36"/>
      <c r="C234" s="36"/>
      <c r="D234" s="36"/>
      <c r="E234" s="36"/>
      <c r="F234" s="36"/>
      <c r="G234" s="36"/>
      <c r="H234" s="46">
        <v>3235</v>
      </c>
      <c r="I234" s="38"/>
      <c r="J234" s="39"/>
      <c r="K234" s="40" t="s">
        <v>118</v>
      </c>
      <c r="L234" s="309">
        <f t="shared" ref="L234:S234" si="156">L412+L413+L828</f>
        <v>63720</v>
      </c>
      <c r="M234" s="309">
        <f t="shared" si="156"/>
        <v>8457.0973521799715</v>
      </c>
      <c r="N234" s="339">
        <f t="shared" si="156"/>
        <v>17000</v>
      </c>
      <c r="O234" s="339">
        <f t="shared" si="156"/>
        <v>2256.2877430486428</v>
      </c>
      <c r="P234" s="294">
        <f t="shared" si="156"/>
        <v>5800</v>
      </c>
      <c r="Q234" s="294">
        <f t="shared" si="156"/>
        <v>6600</v>
      </c>
      <c r="R234" s="443">
        <f t="shared" si="156"/>
        <v>3450</v>
      </c>
      <c r="S234" s="294">
        <f t="shared" si="156"/>
        <v>100</v>
      </c>
      <c r="T234" s="294"/>
      <c r="U234" s="292" t="b">
        <f t="shared" si="127"/>
        <v>1</v>
      </c>
      <c r="V234" s="471">
        <v>2600</v>
      </c>
      <c r="W234" s="471">
        <f>W412+W413+W828</f>
        <v>2800</v>
      </c>
      <c r="X234" s="527">
        <f>X412+X413+X828</f>
        <v>1000</v>
      </c>
      <c r="Y234" s="527"/>
      <c r="Z234" s="527">
        <f>Z412+Z413+Z828</f>
        <v>0</v>
      </c>
      <c r="AA234" s="527">
        <f>AA412+AA413+AA828</f>
        <v>0</v>
      </c>
      <c r="AB234" s="528">
        <f>AB412+AB413+AB828</f>
        <v>1000</v>
      </c>
      <c r="AC234" s="528">
        <f>AC412+AC413+AC828</f>
        <v>1000</v>
      </c>
      <c r="AD234" s="524">
        <f t="shared" si="146"/>
        <v>26.679221594475834</v>
      </c>
      <c r="AE234" s="524">
        <f t="shared" si="147"/>
        <v>257.05941176470589</v>
      </c>
      <c r="AF234" s="524">
        <f t="shared" si="147"/>
        <v>113.79310344827587</v>
      </c>
      <c r="AG234" s="524">
        <f t="shared" si="148"/>
        <v>15.151515151515152</v>
      </c>
      <c r="AH234" s="527"/>
      <c r="AI234" s="527">
        <v>1000</v>
      </c>
      <c r="AJ234" s="516">
        <f t="shared" si="149"/>
        <v>81.159420289855078</v>
      </c>
      <c r="AK234" s="516">
        <f t="shared" si="150"/>
        <v>17.857142857142858</v>
      </c>
      <c r="AL234" s="516">
        <f t="shared" si="151"/>
        <v>200</v>
      </c>
      <c r="AM234" s="294"/>
      <c r="AO234" t="b">
        <f t="shared" si="112"/>
        <v>1</v>
      </c>
      <c r="AP234" s="462">
        <f>AP412+AP413+AP828</f>
        <v>5276.21</v>
      </c>
      <c r="AQ234" s="443">
        <v>5276.21</v>
      </c>
      <c r="AR234" s="462">
        <f>AR412+AR413+AR828</f>
        <v>5276.21</v>
      </c>
      <c r="AS234" s="443">
        <f>AS412+AS413+AS828</f>
        <v>480</v>
      </c>
      <c r="AT234" s="613">
        <f>AT412+AT413+AT828</f>
        <v>500</v>
      </c>
      <c r="AU234" s="471">
        <f>AU412+AU413+AU828</f>
        <v>500</v>
      </c>
      <c r="AV234" s="638">
        <v>1000</v>
      </c>
      <c r="AW234" s="638">
        <v>1000</v>
      </c>
      <c r="AX234" s="655">
        <f t="shared" si="114"/>
        <v>14.492753623188406</v>
      </c>
      <c r="AY234" s="655">
        <f t="shared" si="115"/>
        <v>9.4764992295606127</v>
      </c>
      <c r="AZ234" s="655">
        <f t="shared" si="116"/>
        <v>100</v>
      </c>
      <c r="BA234" s="655">
        <f t="shared" si="117"/>
        <v>9.4764992295606127</v>
      </c>
      <c r="BB234" s="655">
        <f t="shared" si="118"/>
        <v>200</v>
      </c>
      <c r="BC234" s="655">
        <f t="shared" si="118"/>
        <v>100</v>
      </c>
    </row>
    <row r="235" spans="1:55" ht="12" customHeight="1">
      <c r="A235" s="36"/>
      <c r="B235" s="36"/>
      <c r="C235" s="36"/>
      <c r="D235" s="36"/>
      <c r="E235" s="36"/>
      <c r="F235" s="36"/>
      <c r="G235" s="36"/>
      <c r="H235" s="46">
        <v>3236</v>
      </c>
      <c r="I235" s="38"/>
      <c r="J235" s="39"/>
      <c r="K235" s="40" t="s">
        <v>463</v>
      </c>
      <c r="L235" s="309">
        <f t="shared" ref="L235:S235" si="157">L393+L625+L1026</f>
        <v>54297</v>
      </c>
      <c r="M235" s="309">
        <f t="shared" si="157"/>
        <v>7206.4503284889506</v>
      </c>
      <c r="N235" s="339">
        <f t="shared" si="157"/>
        <v>69262</v>
      </c>
      <c r="O235" s="339">
        <f t="shared" si="157"/>
        <v>9192.6471564138301</v>
      </c>
      <c r="P235" s="294">
        <f t="shared" si="157"/>
        <v>10000</v>
      </c>
      <c r="Q235" s="294">
        <f t="shared" si="157"/>
        <v>10000</v>
      </c>
      <c r="R235" s="443">
        <f t="shared" si="157"/>
        <v>10736</v>
      </c>
      <c r="S235" s="294">
        <f t="shared" si="157"/>
        <v>3667.3</v>
      </c>
      <c r="T235" s="294"/>
      <c r="U235" s="292" t="b">
        <f t="shared" si="127"/>
        <v>1</v>
      </c>
      <c r="V235" s="471">
        <v>10900</v>
      </c>
      <c r="W235" s="471">
        <f>W393+W625+W1026</f>
        <v>10900</v>
      </c>
      <c r="X235" s="527">
        <f>X393+X625+X1026</f>
        <v>13200.1</v>
      </c>
      <c r="Y235" s="527"/>
      <c r="Z235" s="527">
        <f>Z393+Z625+Z1026</f>
        <v>0</v>
      </c>
      <c r="AA235" s="527">
        <f>AA393+AA625+AA1026</f>
        <v>0</v>
      </c>
      <c r="AB235" s="528">
        <f>AB393+AB625+AB1026</f>
        <v>10000</v>
      </c>
      <c r="AC235" s="528">
        <f>AC393+AC625+AC1026</f>
        <v>10000</v>
      </c>
      <c r="AD235" s="524">
        <f t="shared" si="146"/>
        <v>127.56137539827247</v>
      </c>
      <c r="AE235" s="524">
        <f t="shared" si="147"/>
        <v>108.78259362998467</v>
      </c>
      <c r="AF235" s="524">
        <f t="shared" si="147"/>
        <v>100</v>
      </c>
      <c r="AG235" s="524">
        <f t="shared" si="148"/>
        <v>100</v>
      </c>
      <c r="AH235" s="527"/>
      <c r="AI235" s="527">
        <v>13200.1</v>
      </c>
      <c r="AJ235" s="516">
        <f t="shared" si="149"/>
        <v>101.52757078986588</v>
      </c>
      <c r="AK235" s="516">
        <f t="shared" si="150"/>
        <v>115.22935779816514</v>
      </c>
      <c r="AL235" s="516">
        <f t="shared" si="151"/>
        <v>105.09633757961782</v>
      </c>
      <c r="AM235" s="294"/>
      <c r="AO235" t="b">
        <f t="shared" si="112"/>
        <v>1</v>
      </c>
      <c r="AP235" s="462">
        <f>AP393+AP625+AP1026</f>
        <v>3667.3</v>
      </c>
      <c r="AQ235" s="443">
        <v>10010.35</v>
      </c>
      <c r="AR235" s="462">
        <f>AR393+AR625+AR1026</f>
        <v>3667.3</v>
      </c>
      <c r="AS235" s="443">
        <f>AS393+AS625+AS1026</f>
        <v>0</v>
      </c>
      <c r="AT235" s="613">
        <f>AT393+AT625+AT1026</f>
        <v>12560</v>
      </c>
      <c r="AU235" s="471">
        <f>AU393+AU625+AU1026</f>
        <v>12060</v>
      </c>
      <c r="AV235" s="638">
        <v>13200.1</v>
      </c>
      <c r="AW235" s="638">
        <v>13200.1</v>
      </c>
      <c r="AX235" s="655">
        <f t="shared" si="114"/>
        <v>116.98956780923994</v>
      </c>
      <c r="AY235" s="655">
        <f t="shared" si="115"/>
        <v>125.47013840674902</v>
      </c>
      <c r="AZ235" s="655">
        <f t="shared" si="116"/>
        <v>96.01910828025477</v>
      </c>
      <c r="BA235" s="655">
        <f t="shared" si="117"/>
        <v>120.47530805616186</v>
      </c>
      <c r="BB235" s="655">
        <f t="shared" si="118"/>
        <v>109.45356550580432</v>
      </c>
      <c r="BC235" s="655">
        <f t="shared" si="118"/>
        <v>100</v>
      </c>
    </row>
    <row r="236" spans="1:55" ht="12" customHeight="1">
      <c r="A236" s="36"/>
      <c r="B236" s="36"/>
      <c r="C236" s="36"/>
      <c r="D236" s="36"/>
      <c r="E236" s="36"/>
      <c r="F236" s="36"/>
      <c r="G236" s="36"/>
      <c r="H236" s="46">
        <v>3237</v>
      </c>
      <c r="I236" s="38"/>
      <c r="J236" s="39"/>
      <c r="K236" s="40" t="s">
        <v>120</v>
      </c>
      <c r="L236" s="309">
        <f t="shared" ref="L236:S236" si="158">L394+L414+L415+L558+L566+L660+L1097+L1158+L1195+L1027+L1189</f>
        <v>633786</v>
      </c>
      <c r="M236" s="309">
        <f t="shared" si="158"/>
        <v>84117.857853872178</v>
      </c>
      <c r="N236" s="339">
        <f t="shared" si="158"/>
        <v>504853</v>
      </c>
      <c r="O236" s="339">
        <f t="shared" si="158"/>
        <v>67005.50799654919</v>
      </c>
      <c r="P236" s="294">
        <f t="shared" si="158"/>
        <v>104400</v>
      </c>
      <c r="Q236" s="294">
        <f t="shared" si="158"/>
        <v>103100</v>
      </c>
      <c r="R236" s="443">
        <f t="shared" si="158"/>
        <v>88239</v>
      </c>
      <c r="S236" s="294">
        <f t="shared" si="158"/>
        <v>41651</v>
      </c>
      <c r="T236" s="294"/>
      <c r="U236" s="292" t="b">
        <f t="shared" si="127"/>
        <v>1</v>
      </c>
      <c r="V236" s="471">
        <v>141500</v>
      </c>
      <c r="W236" s="471">
        <f>W394+W414+W415+W558+W566+W660+W1097+W1158+W1195+W1027+W1189</f>
        <v>132000</v>
      </c>
      <c r="X236" s="527">
        <f>X394+X414+X415+X558+X566+X660+X1097+X1158+X1195+X1027+X1189</f>
        <v>161200</v>
      </c>
      <c r="Y236" s="527"/>
      <c r="Z236" s="527">
        <f>Z394+Z414+Z415+Z558+Z566+Z660+Z1097+Z1158+Z1195+Z1027+Z1189</f>
        <v>0</v>
      </c>
      <c r="AA236" s="527">
        <f>AA394+AA414+AA415+AA558+AA566+AA660+AA1097+AA1158+AA1195+AA1027+AA1189</f>
        <v>0</v>
      </c>
      <c r="AB236" s="528">
        <f>AB394+AB414+AB415+AB558+AB566+AB660+AB1097+AB1158+AB1195+AB1027+AB1189</f>
        <v>101600</v>
      </c>
      <c r="AC236" s="528">
        <f>AC394+AC414+AC415+AC558+AC566+AC660+AC1097+AC1158+AC1195+AC1027+AC1189</f>
        <v>101600</v>
      </c>
      <c r="AD236" s="524">
        <f t="shared" si="146"/>
        <v>79.656698002164759</v>
      </c>
      <c r="AE236" s="524">
        <f t="shared" si="147"/>
        <v>155.80808671038901</v>
      </c>
      <c r="AF236" s="524">
        <f t="shared" si="147"/>
        <v>98.754789272030649</v>
      </c>
      <c r="AG236" s="524">
        <f t="shared" si="148"/>
        <v>98.545101842870992</v>
      </c>
      <c r="AH236" s="527"/>
      <c r="AI236" s="527">
        <v>161200</v>
      </c>
      <c r="AJ236" s="516">
        <f t="shared" si="149"/>
        <v>149.5937170638833</v>
      </c>
      <c r="AK236" s="516">
        <f t="shared" si="150"/>
        <v>110.75757575757576</v>
      </c>
      <c r="AL236" s="516">
        <f t="shared" si="151"/>
        <v>110.25991792065663</v>
      </c>
      <c r="AM236" s="294"/>
      <c r="AO236" t="b">
        <f t="shared" si="112"/>
        <v>1</v>
      </c>
      <c r="AP236" s="462">
        <f>AP394+AP414+AP415+AP558+AP566+AP660+AP1097+AP1158+AP1195+AP1027+AP1189</f>
        <v>75772.17</v>
      </c>
      <c r="AQ236" s="443">
        <v>131896.99</v>
      </c>
      <c r="AR236" s="462">
        <f>AR394+AR414+AR415+AR558+AR566+AR660+AR1097+AR1158+AR1195+AR1027+AR1189</f>
        <v>75772.17</v>
      </c>
      <c r="AS236" s="443">
        <f>AS394+AS414+AS415+AS558+AS566+AS660+AS1097+AS1158+AS1195+AS1027+AS1189</f>
        <v>124203.68</v>
      </c>
      <c r="AT236" s="613">
        <f>AT394+AT414+AT415+AT558+AT566+AT660+AT1097+AT1158+AT1195+AT1027+AT1189</f>
        <v>146200</v>
      </c>
      <c r="AU236" s="471">
        <f>AU394+AU414+AU415+AU558+AU566+AU660+AU1097+AU1158+AU1195+AU1027+AU1189</f>
        <v>203700</v>
      </c>
      <c r="AV236" s="638">
        <v>161200</v>
      </c>
      <c r="AW236" s="638">
        <v>161200</v>
      </c>
      <c r="AX236" s="655">
        <f t="shared" si="114"/>
        <v>165.68637450560411</v>
      </c>
      <c r="AY236" s="655">
        <f t="shared" si="115"/>
        <v>110.84407612334444</v>
      </c>
      <c r="AZ236" s="655">
        <f t="shared" si="116"/>
        <v>139.3296853625171</v>
      </c>
      <c r="BA236" s="655">
        <f t="shared" si="117"/>
        <v>154.43870250564476</v>
      </c>
      <c r="BB236" s="655">
        <f t="shared" si="118"/>
        <v>79.135984290623469</v>
      </c>
      <c r="BC236" s="655">
        <f t="shared" si="118"/>
        <v>100</v>
      </c>
    </row>
    <row r="237" spans="1:55" ht="12" customHeight="1">
      <c r="A237" s="36"/>
      <c r="B237" s="36"/>
      <c r="C237" s="36"/>
      <c r="D237" s="36"/>
      <c r="E237" s="36"/>
      <c r="F237" s="36"/>
      <c r="G237" s="36"/>
      <c r="H237" s="46">
        <v>3238</v>
      </c>
      <c r="I237" s="38"/>
      <c r="J237" s="39"/>
      <c r="K237" s="40" t="s">
        <v>121</v>
      </c>
      <c r="L237" s="309">
        <f t="shared" ref="L237:S237" si="159">L395+L1028+L1098+L1159</f>
        <v>197513</v>
      </c>
      <c r="M237" s="309">
        <f t="shared" si="159"/>
        <v>26214.480058398036</v>
      </c>
      <c r="N237" s="339">
        <f t="shared" si="159"/>
        <v>223576</v>
      </c>
      <c r="O237" s="339">
        <f t="shared" si="159"/>
        <v>29673.634614108432</v>
      </c>
      <c r="P237" s="294">
        <f t="shared" si="159"/>
        <v>33500</v>
      </c>
      <c r="Q237" s="294">
        <f t="shared" si="159"/>
        <v>41000</v>
      </c>
      <c r="R237" s="443">
        <f t="shared" si="159"/>
        <v>43122</v>
      </c>
      <c r="S237" s="294">
        <f t="shared" si="159"/>
        <v>29970</v>
      </c>
      <c r="T237" s="294"/>
      <c r="U237" s="292" t="b">
        <f t="shared" si="127"/>
        <v>1</v>
      </c>
      <c r="V237" s="471">
        <v>42130</v>
      </c>
      <c r="W237" s="471">
        <f>W395+W1028+W1098+W1159</f>
        <v>45129.919999999998</v>
      </c>
      <c r="X237" s="527">
        <f>X395+X1028+X1098+X1159</f>
        <v>55100</v>
      </c>
      <c r="Y237" s="527"/>
      <c r="Z237" s="527">
        <f>Z395+Z1028+Z1098+Z1159</f>
        <v>0</v>
      </c>
      <c r="AA237" s="527">
        <f>AA395+AA1028+AA1098+AA1159</f>
        <v>0</v>
      </c>
      <c r="AB237" s="528">
        <f>AB395+AB1028+AB1098+AB1159</f>
        <v>34900</v>
      </c>
      <c r="AC237" s="528">
        <f>AC395+AC1028+AC1098+AC1159</f>
        <v>34900</v>
      </c>
      <c r="AD237" s="524">
        <f t="shared" si="146"/>
        <v>113.19558712591069</v>
      </c>
      <c r="AE237" s="524">
        <f t="shared" si="147"/>
        <v>112.89483218234517</v>
      </c>
      <c r="AF237" s="524">
        <f t="shared" si="147"/>
        <v>122.38805970149254</v>
      </c>
      <c r="AG237" s="524">
        <f t="shared" si="148"/>
        <v>85.121951219512198</v>
      </c>
      <c r="AH237" s="527"/>
      <c r="AI237" s="527">
        <v>55100</v>
      </c>
      <c r="AJ237" s="516">
        <f t="shared" si="149"/>
        <v>104.65637029822364</v>
      </c>
      <c r="AK237" s="516">
        <f t="shared" si="150"/>
        <v>107.977146868419</v>
      </c>
      <c r="AL237" s="516">
        <f t="shared" si="151"/>
        <v>113.07202955058486</v>
      </c>
      <c r="AM237" s="294"/>
      <c r="AO237" t="b">
        <f t="shared" si="112"/>
        <v>1</v>
      </c>
      <c r="AP237" s="462">
        <f>AP395+AP1028+AP1098+AP1159</f>
        <v>36370.17</v>
      </c>
      <c r="AQ237" s="443">
        <v>43500.07</v>
      </c>
      <c r="AR237" s="462">
        <f>AR395+AR1028+AR1098+AR1159</f>
        <v>36370.17</v>
      </c>
      <c r="AS237" s="443">
        <f>AS395+AS1028+AS1098+AS1159</f>
        <v>15817.83</v>
      </c>
      <c r="AT237" s="613">
        <f>AT395+AT1028+AT1098+AT1159</f>
        <v>48730</v>
      </c>
      <c r="AU237" s="471">
        <f>AU395+AU1028+AU1098+AU1159</f>
        <v>48730</v>
      </c>
      <c r="AV237" s="638">
        <v>55100</v>
      </c>
      <c r="AW237" s="638">
        <v>55100</v>
      </c>
      <c r="AX237" s="655">
        <f t="shared" si="114"/>
        <v>113.00496266406938</v>
      </c>
      <c r="AY237" s="655">
        <f t="shared" si="115"/>
        <v>112.02280823915916</v>
      </c>
      <c r="AZ237" s="655">
        <f t="shared" si="116"/>
        <v>100</v>
      </c>
      <c r="BA237" s="655">
        <f t="shared" si="117"/>
        <v>112.02280823915916</v>
      </c>
      <c r="BB237" s="655">
        <f t="shared" si="118"/>
        <v>113.07202955058486</v>
      </c>
      <c r="BC237" s="655">
        <f t="shared" si="118"/>
        <v>100</v>
      </c>
    </row>
    <row r="238" spans="1:55" ht="12" customHeight="1">
      <c r="A238" s="36"/>
      <c r="B238" s="36"/>
      <c r="C238" s="36"/>
      <c r="D238" s="36"/>
      <c r="E238" s="36"/>
      <c r="F238" s="36"/>
      <c r="G238" s="36"/>
      <c r="H238" s="46">
        <v>3239</v>
      </c>
      <c r="I238" s="38"/>
      <c r="J238" s="39"/>
      <c r="K238" s="40" t="s">
        <v>122</v>
      </c>
      <c r="L238" s="309">
        <f t="shared" ref="L238:S238" si="160">L396+L416+L493+L626+L852+L1029+L1099+L1160+L1178+L1179+L1186+L1187+L1188+L1196</f>
        <v>222848</v>
      </c>
      <c r="M238" s="309">
        <f t="shared" si="160"/>
        <v>29577.012409582585</v>
      </c>
      <c r="N238" s="339">
        <f t="shared" si="160"/>
        <v>105515</v>
      </c>
      <c r="O238" s="339">
        <f t="shared" si="160"/>
        <v>14004.247129869269</v>
      </c>
      <c r="P238" s="294">
        <f t="shared" si="160"/>
        <v>43800</v>
      </c>
      <c r="Q238" s="294">
        <f t="shared" si="160"/>
        <v>37000</v>
      </c>
      <c r="R238" s="443">
        <f t="shared" si="160"/>
        <v>24404</v>
      </c>
      <c r="S238" s="294">
        <f t="shared" si="160"/>
        <v>9375</v>
      </c>
      <c r="T238" s="294"/>
      <c r="U238" s="292" t="b">
        <f t="shared" si="127"/>
        <v>1</v>
      </c>
      <c r="V238" s="471">
        <v>50040</v>
      </c>
      <c r="W238" s="471">
        <f>W396+W416+W493+W626+W852+W1029+W1099+W1160+W1178+W1179+W1186+W1187+W1188+W1196</f>
        <v>60540</v>
      </c>
      <c r="X238" s="527">
        <f>X396+X416+X493+X626+X852+X1029+X1099+X1160+X1178+X1179+X1186+X1187+X1188+X1196</f>
        <v>85400</v>
      </c>
      <c r="Y238" s="527"/>
      <c r="Z238" s="527">
        <f>Z396+Z416+Z493+Z626+Z852+Z1029+Z1099+Z1160+Z1178+Z1179+Z1186+Z1187+Z1188+Z1196</f>
        <v>0</v>
      </c>
      <c r="AA238" s="527">
        <f>AA396+AA416+AA493+AA626+AA852+AA1029+AA1099+AA1160+AA1178+AA1179+AA1186+AA1187+AA1188+AA1196</f>
        <v>0</v>
      </c>
      <c r="AB238" s="528">
        <f>AB396+AB416+AB493+AB626+AB852+AB1029+AB1099+AB1160+AB1178+AB1179+AB1186+AB1187+AB1188+AB1196</f>
        <v>51100</v>
      </c>
      <c r="AC238" s="528">
        <f>AC396+AC416+AC493+AC626+AC852+AC1029+AC1099+AC1160+AC1178+AC1179+AC1186+AC1187+AC1188+AC1196</f>
        <v>51100</v>
      </c>
      <c r="AD238" s="524">
        <f t="shared" si="146"/>
        <v>47.348416858127521</v>
      </c>
      <c r="AE238" s="524">
        <f t="shared" si="147"/>
        <v>312.762261289864</v>
      </c>
      <c r="AF238" s="524">
        <f t="shared" si="147"/>
        <v>84.474885844748854</v>
      </c>
      <c r="AG238" s="524">
        <f t="shared" si="148"/>
        <v>138.10810810810813</v>
      </c>
      <c r="AH238" s="527"/>
      <c r="AI238" s="527">
        <v>85400</v>
      </c>
      <c r="AJ238" s="516">
        <f t="shared" si="149"/>
        <v>248.07408621537454</v>
      </c>
      <c r="AK238" s="516">
        <f t="shared" si="150"/>
        <v>129.66633630657415</v>
      </c>
      <c r="AL238" s="516">
        <f t="shared" si="151"/>
        <v>108.78980891719745</v>
      </c>
      <c r="AM238" s="294"/>
      <c r="AO238" t="b">
        <f t="shared" si="112"/>
        <v>1</v>
      </c>
      <c r="AP238" s="462">
        <f>AP396+AP416+AP493+AP626+AP852+AP1029+AP1099+AP1160+AP1178+AP1179+AP1186+AP1187+AP1188+AP1196</f>
        <v>9375</v>
      </c>
      <c r="AQ238" s="443">
        <v>55007.09</v>
      </c>
      <c r="AR238" s="462">
        <f>AR396+AR416+AR493+AR626+AR852+AR1029+AR1099+AR1160+AR1178+AR1179+AR1186+AR1187+AR1188+AR1196</f>
        <v>9375</v>
      </c>
      <c r="AS238" s="443">
        <f>AS396+AS416+AS493+AS626+AS852+AS1029+AS1099+AS1160+AS1178+AS1179+AS1186+AS1187+AS1188+AS1196</f>
        <v>1250</v>
      </c>
      <c r="AT238" s="613">
        <f>AT396+AT416+AT493+AT626+AT852+AT1029+AT1099+AT1160+AT1178+AT1179+AT1186+AT1187+AT1188+AT1196</f>
        <v>78500</v>
      </c>
      <c r="AU238" s="471">
        <f>AU396+AU416+AU493+AU626+AU852+AU1029+AU1099+AU1160+AU1178+AU1179+AU1186+AU1187+AU1188+AU1196</f>
        <v>76200</v>
      </c>
      <c r="AV238" s="638">
        <v>85400</v>
      </c>
      <c r="AW238" s="638">
        <v>85400</v>
      </c>
      <c r="AX238" s="655">
        <f t="shared" si="114"/>
        <v>321.66857892148829</v>
      </c>
      <c r="AY238" s="655">
        <f t="shared" si="115"/>
        <v>142.70887625576995</v>
      </c>
      <c r="AZ238" s="655">
        <f t="shared" si="116"/>
        <v>97.070063694267517</v>
      </c>
      <c r="BA238" s="655">
        <f t="shared" si="117"/>
        <v>138.52759707884928</v>
      </c>
      <c r="BB238" s="655">
        <f t="shared" si="118"/>
        <v>112.07349081364831</v>
      </c>
      <c r="BC238" s="655">
        <f t="shared" si="118"/>
        <v>100</v>
      </c>
    </row>
    <row r="239" spans="1:55" ht="12" customHeight="1">
      <c r="A239" s="36"/>
      <c r="B239" s="36"/>
      <c r="C239" s="36"/>
      <c r="D239" s="36"/>
      <c r="E239" s="36"/>
      <c r="F239" s="36"/>
      <c r="G239" s="36"/>
      <c r="H239" s="46"/>
      <c r="I239" s="38"/>
      <c r="J239" s="39"/>
      <c r="K239" s="40"/>
      <c r="L239" s="309"/>
      <c r="M239" s="309"/>
      <c r="N239" s="339"/>
      <c r="O239" s="339"/>
      <c r="P239" s="294"/>
      <c r="Q239" s="294"/>
      <c r="R239" s="443"/>
      <c r="S239" s="294"/>
      <c r="T239" s="294"/>
      <c r="U239" s="292" t="b">
        <f t="shared" si="127"/>
        <v>0</v>
      </c>
      <c r="V239" s="471"/>
      <c r="W239" s="471"/>
      <c r="X239" s="527"/>
      <c r="Y239" s="527"/>
      <c r="Z239" s="527"/>
      <c r="AA239" s="527"/>
      <c r="AB239" s="528"/>
      <c r="AC239" s="528"/>
      <c r="AD239" s="524"/>
      <c r="AE239" s="524"/>
      <c r="AF239" s="524"/>
      <c r="AG239" s="524"/>
      <c r="AH239" s="527"/>
      <c r="AI239" s="527"/>
      <c r="AJ239" s="516"/>
      <c r="AK239" s="516"/>
      <c r="AL239" s="516"/>
      <c r="AM239" s="294"/>
      <c r="AO239" t="b">
        <f t="shared" si="112"/>
        <v>0</v>
      </c>
      <c r="AQ239" s="443"/>
      <c r="AS239" s="443"/>
      <c r="AT239" s="613"/>
      <c r="AU239" s="471"/>
      <c r="AV239" s="638"/>
      <c r="AW239" s="638"/>
      <c r="AX239" s="655" t="str">
        <f t="shared" si="114"/>
        <v/>
      </c>
      <c r="AY239" s="655" t="str">
        <f t="shared" si="115"/>
        <v/>
      </c>
      <c r="AZ239" s="655" t="str">
        <f t="shared" si="116"/>
        <v/>
      </c>
      <c r="BA239" s="655" t="str">
        <f t="shared" si="117"/>
        <v/>
      </c>
      <c r="BB239" s="655" t="str">
        <f t="shared" si="118"/>
        <v/>
      </c>
      <c r="BC239" s="655" t="str">
        <f t="shared" si="118"/>
        <v/>
      </c>
    </row>
    <row r="240" spans="1:55" ht="12" customHeight="1">
      <c r="A240" s="56"/>
      <c r="B240" s="56"/>
      <c r="C240" s="56"/>
      <c r="D240" s="56"/>
      <c r="E240" s="56"/>
      <c r="F240" s="56"/>
      <c r="G240" s="56"/>
      <c r="H240" s="57">
        <v>324</v>
      </c>
      <c r="I240" s="58"/>
      <c r="J240" s="59"/>
      <c r="K240" s="60" t="s">
        <v>520</v>
      </c>
      <c r="L240" s="315">
        <f t="shared" ref="L240:AC240" si="161">L241</f>
        <v>0</v>
      </c>
      <c r="M240" s="315">
        <f t="shared" si="161"/>
        <v>0</v>
      </c>
      <c r="N240" s="337">
        <f t="shared" si="161"/>
        <v>0</v>
      </c>
      <c r="O240" s="337">
        <f t="shared" si="161"/>
        <v>0</v>
      </c>
      <c r="P240" s="292">
        <f t="shared" si="161"/>
        <v>0</v>
      </c>
      <c r="Q240" s="292">
        <f t="shared" si="161"/>
        <v>0</v>
      </c>
      <c r="R240" s="441">
        <f t="shared" si="161"/>
        <v>0</v>
      </c>
      <c r="S240" s="292">
        <f t="shared" si="161"/>
        <v>0</v>
      </c>
      <c r="T240" s="292"/>
      <c r="U240" s="292" t="b">
        <f t="shared" si="127"/>
        <v>1</v>
      </c>
      <c r="V240" s="469">
        <v>0</v>
      </c>
      <c r="W240" s="469">
        <f t="shared" si="161"/>
        <v>0</v>
      </c>
      <c r="X240" s="522">
        <f t="shared" si="161"/>
        <v>0</v>
      </c>
      <c r="Y240" s="522"/>
      <c r="Z240" s="522">
        <f t="shared" si="161"/>
        <v>0</v>
      </c>
      <c r="AA240" s="522">
        <f t="shared" si="161"/>
        <v>0</v>
      </c>
      <c r="AB240" s="523">
        <f t="shared" si="161"/>
        <v>0</v>
      </c>
      <c r="AC240" s="523">
        <f t="shared" si="161"/>
        <v>0</v>
      </c>
      <c r="AD240" s="524"/>
      <c r="AE240" s="524"/>
      <c r="AF240" s="524"/>
      <c r="AG240" s="524"/>
      <c r="AH240" s="522"/>
      <c r="AI240" s="522">
        <v>0</v>
      </c>
      <c r="AJ240" s="516"/>
      <c r="AK240" s="516"/>
      <c r="AL240" s="516"/>
      <c r="AM240" s="292"/>
      <c r="AO240" t="b">
        <f t="shared" si="112"/>
        <v>1</v>
      </c>
      <c r="AP240" s="440">
        <f t="shared" ref="AP240:AU240" si="162">AP241</f>
        <v>0</v>
      </c>
      <c r="AQ240" s="441">
        <v>0</v>
      </c>
      <c r="AR240" s="440">
        <f>AR241</f>
        <v>0</v>
      </c>
      <c r="AS240" s="441">
        <f t="shared" si="162"/>
        <v>0</v>
      </c>
      <c r="AT240" s="612">
        <f>AT241</f>
        <v>0</v>
      </c>
      <c r="AU240" s="469">
        <f t="shared" si="162"/>
        <v>0</v>
      </c>
      <c r="AV240" s="636">
        <v>0</v>
      </c>
      <c r="AW240" s="636">
        <v>0</v>
      </c>
      <c r="AX240" s="655" t="str">
        <f t="shared" si="114"/>
        <v/>
      </c>
      <c r="AY240" s="655" t="str">
        <f t="shared" si="115"/>
        <v/>
      </c>
      <c r="AZ240" s="655" t="str">
        <f t="shared" si="116"/>
        <v/>
      </c>
      <c r="BA240" s="655" t="str">
        <f t="shared" si="117"/>
        <v/>
      </c>
      <c r="BB240" s="655" t="str">
        <f t="shared" si="118"/>
        <v/>
      </c>
      <c r="BC240" s="655" t="str">
        <f t="shared" si="118"/>
        <v/>
      </c>
    </row>
    <row r="241" spans="1:55" ht="12" customHeight="1">
      <c r="A241" s="36"/>
      <c r="B241" s="36"/>
      <c r="C241" s="36"/>
      <c r="D241" s="36"/>
      <c r="E241" s="36"/>
      <c r="F241" s="36"/>
      <c r="G241" s="36"/>
      <c r="H241" s="46">
        <v>3241</v>
      </c>
      <c r="I241" s="38"/>
      <c r="J241" s="39"/>
      <c r="K241" s="40" t="s">
        <v>520</v>
      </c>
      <c r="L241" s="309">
        <f t="shared" ref="L241:S241" si="163">L399+L1032</f>
        <v>0</v>
      </c>
      <c r="M241" s="309">
        <f t="shared" si="163"/>
        <v>0</v>
      </c>
      <c r="N241" s="339">
        <f t="shared" si="163"/>
        <v>0</v>
      </c>
      <c r="O241" s="339">
        <f t="shared" si="163"/>
        <v>0</v>
      </c>
      <c r="P241" s="294">
        <f t="shared" si="163"/>
        <v>0</v>
      </c>
      <c r="Q241" s="294">
        <f t="shared" si="163"/>
        <v>0</v>
      </c>
      <c r="R241" s="443">
        <f t="shared" si="163"/>
        <v>0</v>
      </c>
      <c r="S241" s="294">
        <f t="shared" si="163"/>
        <v>0</v>
      </c>
      <c r="T241" s="294"/>
      <c r="U241" s="292" t="b">
        <f t="shared" si="127"/>
        <v>1</v>
      </c>
      <c r="V241" s="471">
        <v>0</v>
      </c>
      <c r="W241" s="471">
        <f>W399+W1032</f>
        <v>0</v>
      </c>
      <c r="X241" s="527">
        <f>X399+X1032</f>
        <v>0</v>
      </c>
      <c r="Y241" s="527"/>
      <c r="Z241" s="527">
        <f>Z399+Z1032</f>
        <v>0</v>
      </c>
      <c r="AA241" s="527">
        <f>AA399+AA1032</f>
        <v>0</v>
      </c>
      <c r="AB241" s="528">
        <f>AB399+AB1032</f>
        <v>0</v>
      </c>
      <c r="AC241" s="528">
        <f>AC399+AC1032</f>
        <v>0</v>
      </c>
      <c r="AD241" s="524"/>
      <c r="AE241" s="524"/>
      <c r="AF241" s="524"/>
      <c r="AG241" s="524"/>
      <c r="AH241" s="527"/>
      <c r="AI241" s="527">
        <v>0</v>
      </c>
      <c r="AJ241" s="516"/>
      <c r="AK241" s="516"/>
      <c r="AL241" s="516"/>
      <c r="AM241" s="294"/>
      <c r="AO241" t="b">
        <f t="shared" si="112"/>
        <v>1</v>
      </c>
      <c r="AP241" s="462">
        <f>AP399+AP1032</f>
        <v>0</v>
      </c>
      <c r="AQ241" s="443">
        <v>0</v>
      </c>
      <c r="AR241" s="462">
        <f>AR399+AR1032</f>
        <v>0</v>
      </c>
      <c r="AS241" s="443">
        <f>AS399+AS1032</f>
        <v>0</v>
      </c>
      <c r="AT241" s="613">
        <f>AT399+AT1032</f>
        <v>0</v>
      </c>
      <c r="AU241" s="471">
        <f>AU399+AU1032</f>
        <v>0</v>
      </c>
      <c r="AV241" s="638">
        <v>0</v>
      </c>
      <c r="AW241" s="638">
        <v>0</v>
      </c>
      <c r="AX241" s="655" t="str">
        <f t="shared" si="114"/>
        <v/>
      </c>
      <c r="AY241" s="655" t="str">
        <f t="shared" si="115"/>
        <v/>
      </c>
      <c r="AZ241" s="655" t="str">
        <f t="shared" si="116"/>
        <v/>
      </c>
      <c r="BA241" s="655" t="str">
        <f t="shared" si="117"/>
        <v/>
      </c>
      <c r="BB241" s="655" t="str">
        <f t="shared" si="118"/>
        <v/>
      </c>
      <c r="BC241" s="655" t="str">
        <f t="shared" si="118"/>
        <v/>
      </c>
    </row>
    <row r="242" spans="1:55" ht="12" customHeight="1">
      <c r="A242" s="36"/>
      <c r="B242" s="36"/>
      <c r="C242" s="36"/>
      <c r="D242" s="36"/>
      <c r="E242" s="36"/>
      <c r="F242" s="36"/>
      <c r="G242" s="36"/>
      <c r="H242" s="46"/>
      <c r="I242" s="38"/>
      <c r="J242" s="39"/>
      <c r="K242" s="40"/>
      <c r="L242" s="316"/>
      <c r="M242" s="316"/>
      <c r="N242" s="338"/>
      <c r="O242" s="338"/>
      <c r="P242" s="293"/>
      <c r="Q242" s="293"/>
      <c r="R242" s="442"/>
      <c r="S242" s="293"/>
      <c r="T242" s="293"/>
      <c r="U242" s="292" t="b">
        <f t="shared" si="127"/>
        <v>0</v>
      </c>
      <c r="V242" s="470"/>
      <c r="W242" s="470"/>
      <c r="X242" s="525"/>
      <c r="Y242" s="525"/>
      <c r="Z242" s="525"/>
      <c r="AA242" s="525"/>
      <c r="AB242" s="526"/>
      <c r="AC242" s="526"/>
      <c r="AD242" s="524"/>
      <c r="AE242" s="524"/>
      <c r="AF242" s="524"/>
      <c r="AG242" s="524"/>
      <c r="AH242" s="525"/>
      <c r="AI242" s="525"/>
      <c r="AJ242" s="516"/>
      <c r="AK242" s="516"/>
      <c r="AL242" s="516"/>
      <c r="AM242" s="293"/>
      <c r="AO242" t="b">
        <f t="shared" si="112"/>
        <v>0</v>
      </c>
      <c r="AQ242" s="442"/>
      <c r="AS242" s="442"/>
      <c r="AT242" s="613"/>
      <c r="AU242" s="470"/>
      <c r="AV242" s="637"/>
      <c r="AW242" s="637"/>
      <c r="AX242" s="655" t="str">
        <f t="shared" si="114"/>
        <v/>
      </c>
      <c r="AY242" s="655" t="str">
        <f t="shared" si="115"/>
        <v/>
      </c>
      <c r="AZ242" s="655" t="str">
        <f t="shared" si="116"/>
        <v/>
      </c>
      <c r="BA242" s="655" t="str">
        <f t="shared" si="117"/>
        <v/>
      </c>
      <c r="BB242" s="655" t="str">
        <f t="shared" si="118"/>
        <v/>
      </c>
      <c r="BC242" s="655" t="str">
        <f t="shared" si="118"/>
        <v/>
      </c>
    </row>
    <row r="243" spans="1:55" ht="12" customHeight="1">
      <c r="A243" s="20"/>
      <c r="B243" s="20"/>
      <c r="C243" s="20"/>
      <c r="D243" s="20"/>
      <c r="E243" s="20"/>
      <c r="F243" s="20"/>
      <c r="G243" s="20"/>
      <c r="H243" s="16"/>
      <c r="I243" s="17"/>
      <c r="J243" s="14"/>
      <c r="K243" s="19"/>
      <c r="L243" s="313">
        <v>1</v>
      </c>
      <c r="M243" s="313">
        <v>2</v>
      </c>
      <c r="N243" s="335">
        <v>3</v>
      </c>
      <c r="O243" s="335">
        <v>4</v>
      </c>
      <c r="P243" s="290">
        <v>5</v>
      </c>
      <c r="Q243" s="290">
        <v>6</v>
      </c>
      <c r="R243" s="439"/>
      <c r="S243" s="290"/>
      <c r="T243" s="290"/>
      <c r="U243" s="292" t="b">
        <f t="shared" si="127"/>
        <v>0</v>
      </c>
      <c r="V243" s="467"/>
      <c r="W243" s="467"/>
      <c r="X243" s="514"/>
      <c r="Y243" s="514"/>
      <c r="Z243" s="514"/>
      <c r="AA243" s="514"/>
      <c r="AB243" s="515">
        <v>7</v>
      </c>
      <c r="AC243" s="515">
        <v>8</v>
      </c>
      <c r="AD243" s="515">
        <v>9</v>
      </c>
      <c r="AE243" s="515">
        <v>10</v>
      </c>
      <c r="AF243" s="515">
        <v>11</v>
      </c>
      <c r="AG243" s="515">
        <v>12</v>
      </c>
      <c r="AH243" s="514"/>
      <c r="AI243" s="514"/>
      <c r="AJ243" s="516"/>
      <c r="AK243" s="516"/>
      <c r="AL243" s="516"/>
      <c r="AM243" s="290"/>
      <c r="AO243" t="b">
        <f t="shared" si="112"/>
        <v>0</v>
      </c>
      <c r="AQ243" s="439"/>
      <c r="AS243" s="439"/>
      <c r="AT243" s="612"/>
      <c r="AU243" s="467"/>
      <c r="AV243" s="632"/>
      <c r="AW243" s="632"/>
      <c r="AX243" s="655" t="str">
        <f t="shared" si="114"/>
        <v/>
      </c>
      <c r="AY243" s="655" t="str">
        <f t="shared" si="115"/>
        <v/>
      </c>
      <c r="AZ243" s="655" t="str">
        <f t="shared" si="116"/>
        <v/>
      </c>
      <c r="BA243" s="655" t="str">
        <f t="shared" si="117"/>
        <v/>
      </c>
      <c r="BB243" s="655" t="str">
        <f t="shared" si="118"/>
        <v/>
      </c>
      <c r="BC243" s="655" t="str">
        <f t="shared" si="118"/>
        <v/>
      </c>
    </row>
    <row r="244" spans="1:55" ht="12" customHeight="1">
      <c r="A244" s="56"/>
      <c r="B244" s="56"/>
      <c r="C244" s="56"/>
      <c r="D244" s="56"/>
      <c r="E244" s="56"/>
      <c r="F244" s="56"/>
      <c r="G244" s="56"/>
      <c r="H244" s="57">
        <v>329</v>
      </c>
      <c r="I244" s="58"/>
      <c r="J244" s="59"/>
      <c r="K244" s="60" t="s">
        <v>123</v>
      </c>
      <c r="L244" s="315">
        <f t="shared" ref="L244:AA244" si="164">L245+L246+L247+L248+L249+L250+L251</f>
        <v>1308919</v>
      </c>
      <c r="M244" s="315">
        <f t="shared" si="164"/>
        <v>173723.4056672639</v>
      </c>
      <c r="N244" s="337">
        <f t="shared" si="164"/>
        <v>1164960</v>
      </c>
      <c r="O244" s="337">
        <f t="shared" si="164"/>
        <v>154616.76289070275</v>
      </c>
      <c r="P244" s="292">
        <f t="shared" si="164"/>
        <v>215900</v>
      </c>
      <c r="Q244" s="292">
        <f t="shared" si="164"/>
        <v>261300</v>
      </c>
      <c r="R244" s="441">
        <f t="shared" si="164"/>
        <v>233239</v>
      </c>
      <c r="S244" s="292">
        <f t="shared" si="164"/>
        <v>251164.58000000002</v>
      </c>
      <c r="T244" s="292"/>
      <c r="U244" s="292" t="b">
        <f t="shared" si="127"/>
        <v>1</v>
      </c>
      <c r="V244" s="469">
        <v>286670</v>
      </c>
      <c r="W244" s="469">
        <f>W245+W246+W247+W248+W249+W250+W251</f>
        <v>336070.25</v>
      </c>
      <c r="X244" s="522">
        <f>X245+X246+X247+X248+X249+X250+X251</f>
        <v>464400.3</v>
      </c>
      <c r="Y244" s="522"/>
      <c r="Z244" s="522">
        <f t="shared" si="164"/>
        <v>0</v>
      </c>
      <c r="AA244" s="522">
        <f t="shared" si="164"/>
        <v>0</v>
      </c>
      <c r="AB244" s="523">
        <f>AB245+AB246+AB247+AB248+AB249+AB250+AB251</f>
        <v>261700</v>
      </c>
      <c r="AC244" s="523">
        <f>AC245+AC246+AC247+AC248+AC249+AC250+AC251</f>
        <v>261700</v>
      </c>
      <c r="AD244" s="524">
        <f>O244/M244*100</f>
        <v>89.001687652177111</v>
      </c>
      <c r="AE244" s="524">
        <f t="shared" ref="AE244:AF248" si="165">P244/O244*100</f>
        <v>139.63557117840958</v>
      </c>
      <c r="AF244" s="524">
        <f t="shared" si="165"/>
        <v>121.02825382121351</v>
      </c>
      <c r="AG244" s="524">
        <f t="shared" ref="AG244:AG251" si="166">AB244/Q244*100</f>
        <v>100.15308075009568</v>
      </c>
      <c r="AH244" s="522"/>
      <c r="AI244" s="522">
        <v>464400.3</v>
      </c>
      <c r="AJ244" s="516">
        <f t="shared" ref="AJ244:AJ251" si="167">W244/R244*100</f>
        <v>144.08836000840338</v>
      </c>
      <c r="AK244" s="516">
        <f t="shared" ref="AK244:AK251" si="168">AT244/W244*100</f>
        <v>141.47339730309363</v>
      </c>
      <c r="AL244" s="516">
        <f t="shared" ref="AL244:AL251" si="169">X244/AT244*100</f>
        <v>97.675949100851824</v>
      </c>
      <c r="AM244" s="292"/>
      <c r="AO244" t="b">
        <f t="shared" si="112"/>
        <v>1</v>
      </c>
      <c r="AP244" s="440">
        <f>AP245+AP246+AP247+AP248+AP249+AP250+AP251</f>
        <v>285139.46000000002</v>
      </c>
      <c r="AQ244" s="441">
        <v>305069.39</v>
      </c>
      <c r="AR244" s="440">
        <f>AR245+AR246+AR247+AR248+AR249+AR250+AR251</f>
        <v>285139.46000000002</v>
      </c>
      <c r="AS244" s="441">
        <f>AS245+AS246+AS247+AS248+AS249+AS250+AS251</f>
        <v>158743.37999999998</v>
      </c>
      <c r="AT244" s="612">
        <f>AT245+AT246+AT247+AT248+AT249+AT250+AT251</f>
        <v>475450</v>
      </c>
      <c r="AU244" s="469">
        <f>AU245+AU246+AU247+AU248+AU249+AU250+AU251</f>
        <v>509950</v>
      </c>
      <c r="AV244" s="636">
        <v>464400.3</v>
      </c>
      <c r="AW244" s="636">
        <v>464400.3</v>
      </c>
      <c r="AX244" s="655">
        <f t="shared" si="114"/>
        <v>203.8466980222004</v>
      </c>
      <c r="AY244" s="655">
        <f t="shared" si="115"/>
        <v>155.84978879723067</v>
      </c>
      <c r="AZ244" s="655">
        <f t="shared" si="116"/>
        <v>107.25628352087494</v>
      </c>
      <c r="BA244" s="655">
        <f t="shared" si="117"/>
        <v>167.15869133904255</v>
      </c>
      <c r="BB244" s="655">
        <f t="shared" si="118"/>
        <v>91.067810569663692</v>
      </c>
      <c r="BC244" s="655">
        <f t="shared" si="118"/>
        <v>100</v>
      </c>
    </row>
    <row r="245" spans="1:55" ht="12" customHeight="1">
      <c r="A245" s="36"/>
      <c r="B245" s="36"/>
      <c r="C245" s="36"/>
      <c r="D245" s="36"/>
      <c r="E245" s="36"/>
      <c r="F245" s="36"/>
      <c r="G245" s="36"/>
      <c r="H245" s="46">
        <v>3291</v>
      </c>
      <c r="I245" s="38"/>
      <c r="J245" s="39"/>
      <c r="K245" s="40" t="s">
        <v>124</v>
      </c>
      <c r="L245" s="309">
        <f t="shared" ref="L245:AA245" si="170">L419</f>
        <v>100854</v>
      </c>
      <c r="M245" s="309">
        <f t="shared" si="170"/>
        <v>13385.626119848695</v>
      </c>
      <c r="N245" s="339">
        <f t="shared" si="170"/>
        <v>51825</v>
      </c>
      <c r="O245" s="339">
        <f t="shared" si="170"/>
        <v>6878.3595460879951</v>
      </c>
      <c r="P245" s="294">
        <f t="shared" si="170"/>
        <v>13000</v>
      </c>
      <c r="Q245" s="294">
        <f t="shared" si="170"/>
        <v>13000</v>
      </c>
      <c r="R245" s="443">
        <f t="shared" si="170"/>
        <v>12655</v>
      </c>
      <c r="S245" s="294">
        <f t="shared" si="170"/>
        <v>1149.75</v>
      </c>
      <c r="T245" s="294"/>
      <c r="U245" s="292" t="b">
        <f t="shared" si="127"/>
        <v>1</v>
      </c>
      <c r="V245" s="471">
        <v>10000</v>
      </c>
      <c r="W245" s="471">
        <f>W419</f>
        <v>10000</v>
      </c>
      <c r="X245" s="527">
        <f>X419</f>
        <v>13000</v>
      </c>
      <c r="Y245" s="527"/>
      <c r="Z245" s="527" t="b">
        <f t="shared" si="170"/>
        <v>0</v>
      </c>
      <c r="AA245" s="527">
        <f t="shared" si="170"/>
        <v>0</v>
      </c>
      <c r="AB245" s="528">
        <f>AB419</f>
        <v>13000</v>
      </c>
      <c r="AC245" s="528">
        <f>AC419</f>
        <v>13000</v>
      </c>
      <c r="AD245" s="524">
        <f>O245/M245*100</f>
        <v>51.386162175025284</v>
      </c>
      <c r="AE245" s="524">
        <f t="shared" si="165"/>
        <v>188.99855282199712</v>
      </c>
      <c r="AF245" s="524">
        <f t="shared" si="165"/>
        <v>100</v>
      </c>
      <c r="AG245" s="524">
        <f t="shared" si="166"/>
        <v>100</v>
      </c>
      <c r="AH245" s="527"/>
      <c r="AI245" s="527">
        <v>13000</v>
      </c>
      <c r="AJ245" s="516">
        <f t="shared" si="167"/>
        <v>79.02015013828526</v>
      </c>
      <c r="AK245" s="516">
        <f t="shared" si="168"/>
        <v>120</v>
      </c>
      <c r="AL245" s="516">
        <f t="shared" si="169"/>
        <v>108.33333333333333</v>
      </c>
      <c r="AM245" s="294"/>
      <c r="AO245" t="b">
        <f t="shared" si="112"/>
        <v>1</v>
      </c>
      <c r="AP245" s="462">
        <f>AP419</f>
        <v>12042.89</v>
      </c>
      <c r="AQ245" s="443">
        <v>12042.89</v>
      </c>
      <c r="AR245" s="462">
        <f>AR419</f>
        <v>12042.89</v>
      </c>
      <c r="AS245" s="443">
        <f>AS419</f>
        <v>458.8</v>
      </c>
      <c r="AT245" s="613">
        <f>AT419</f>
        <v>12000</v>
      </c>
      <c r="AU245" s="471">
        <f>AU419</f>
        <v>12000</v>
      </c>
      <c r="AV245" s="638">
        <v>13000</v>
      </c>
      <c r="AW245" s="638">
        <v>13000</v>
      </c>
      <c r="AX245" s="655">
        <f t="shared" si="114"/>
        <v>94.824180165942323</v>
      </c>
      <c r="AY245" s="655">
        <f t="shared" si="115"/>
        <v>99.643856250451506</v>
      </c>
      <c r="AZ245" s="655">
        <f t="shared" si="116"/>
        <v>100</v>
      </c>
      <c r="BA245" s="655">
        <f t="shared" si="117"/>
        <v>99.643856250451506</v>
      </c>
      <c r="BB245" s="655">
        <f t="shared" si="118"/>
        <v>108.33333333333333</v>
      </c>
      <c r="BC245" s="655">
        <f t="shared" si="118"/>
        <v>100</v>
      </c>
    </row>
    <row r="246" spans="1:55" ht="12" customHeight="1">
      <c r="A246" s="36"/>
      <c r="B246" s="36"/>
      <c r="C246" s="36"/>
      <c r="D246" s="36"/>
      <c r="E246" s="36"/>
      <c r="F246" s="36"/>
      <c r="G246" s="36"/>
      <c r="H246" s="46">
        <v>3292</v>
      </c>
      <c r="I246" s="38"/>
      <c r="J246" s="39"/>
      <c r="K246" s="40" t="s">
        <v>125</v>
      </c>
      <c r="L246" s="309">
        <f t="shared" ref="L246:S246" si="171">L420+L1036+L1163</f>
        <v>52468</v>
      </c>
      <c r="M246" s="309">
        <f t="shared" si="171"/>
        <v>6963.7003118986004</v>
      </c>
      <c r="N246" s="339">
        <f t="shared" si="171"/>
        <v>47776</v>
      </c>
      <c r="O246" s="339">
        <f t="shared" si="171"/>
        <v>6340.9648948171744</v>
      </c>
      <c r="P246" s="294">
        <f t="shared" si="171"/>
        <v>9500</v>
      </c>
      <c r="Q246" s="294">
        <f t="shared" si="171"/>
        <v>8700</v>
      </c>
      <c r="R246" s="443">
        <f t="shared" si="171"/>
        <v>4516</v>
      </c>
      <c r="S246" s="294">
        <f t="shared" si="171"/>
        <v>4509</v>
      </c>
      <c r="T246" s="294"/>
      <c r="U246" s="292" t="b">
        <f t="shared" si="127"/>
        <v>1</v>
      </c>
      <c r="V246" s="471">
        <v>9620</v>
      </c>
      <c r="W246" s="471">
        <f>W420+W1036+W1163</f>
        <v>9620</v>
      </c>
      <c r="X246" s="527">
        <f>X420+X1036+X1163</f>
        <v>11800</v>
      </c>
      <c r="Y246" s="527"/>
      <c r="Z246" s="527">
        <f>Z420+Z1036+Z1163</f>
        <v>0</v>
      </c>
      <c r="AA246" s="527">
        <f>AA420+AA1036+AA1163</f>
        <v>0</v>
      </c>
      <c r="AB246" s="528">
        <f>AB420+AB1036+AB1163</f>
        <v>9600</v>
      </c>
      <c r="AC246" s="528">
        <f>AC420+AC1036+AC1163</f>
        <v>9600</v>
      </c>
      <c r="AD246" s="524">
        <f>O246/M246*100</f>
        <v>91.057406419150709</v>
      </c>
      <c r="AE246" s="524">
        <f t="shared" si="165"/>
        <v>149.81947002679169</v>
      </c>
      <c r="AF246" s="524">
        <f t="shared" si="165"/>
        <v>91.578947368421055</v>
      </c>
      <c r="AG246" s="524">
        <f t="shared" si="166"/>
        <v>110.34482758620689</v>
      </c>
      <c r="AH246" s="527"/>
      <c r="AI246" s="527">
        <v>11800</v>
      </c>
      <c r="AJ246" s="516">
        <f t="shared" si="167"/>
        <v>213.02037201062888</v>
      </c>
      <c r="AK246" s="516">
        <f t="shared" si="168"/>
        <v>110.18711018711018</v>
      </c>
      <c r="AL246" s="516">
        <f t="shared" si="169"/>
        <v>111.32075471698113</v>
      </c>
      <c r="AM246" s="294"/>
      <c r="AO246" t="b">
        <f t="shared" si="112"/>
        <v>1</v>
      </c>
      <c r="AP246" s="462">
        <f>AP420+AP1036+AP1163</f>
        <v>4509.63</v>
      </c>
      <c r="AQ246" s="443">
        <v>7778.49</v>
      </c>
      <c r="AR246" s="462">
        <f>AR420+AR1036+AR1163</f>
        <v>4509.63</v>
      </c>
      <c r="AS246" s="443">
        <f>AS420+AS1036+AS1163</f>
        <v>4511.8900000000003</v>
      </c>
      <c r="AT246" s="613">
        <f>AT420+AT1036+AT1163</f>
        <v>10600</v>
      </c>
      <c r="AU246" s="471">
        <f>AU420+AU1036+AU1163</f>
        <v>10600</v>
      </c>
      <c r="AV246" s="638">
        <v>11800</v>
      </c>
      <c r="AW246" s="638">
        <v>11800</v>
      </c>
      <c r="AX246" s="655">
        <f t="shared" si="114"/>
        <v>234.72099202834369</v>
      </c>
      <c r="AY246" s="655">
        <f t="shared" si="115"/>
        <v>136.27323555085883</v>
      </c>
      <c r="AZ246" s="655">
        <f t="shared" si="116"/>
        <v>100</v>
      </c>
      <c r="BA246" s="655">
        <f t="shared" si="117"/>
        <v>136.27323555085883</v>
      </c>
      <c r="BB246" s="655">
        <f t="shared" si="118"/>
        <v>111.32075471698113</v>
      </c>
      <c r="BC246" s="655">
        <f t="shared" si="118"/>
        <v>100</v>
      </c>
    </row>
    <row r="247" spans="1:55" ht="12" customHeight="1">
      <c r="A247" s="36"/>
      <c r="B247" s="36"/>
      <c r="C247" s="36"/>
      <c r="D247" s="36"/>
      <c r="E247" s="36"/>
      <c r="F247" s="36"/>
      <c r="G247" s="36"/>
      <c r="H247" s="46">
        <v>3293</v>
      </c>
      <c r="I247" s="38"/>
      <c r="J247" s="39"/>
      <c r="K247" s="40" t="s">
        <v>126</v>
      </c>
      <c r="L247" s="309">
        <f t="shared" ref="L247:S247" si="172">L402+L1037+L1164</f>
        <v>63203</v>
      </c>
      <c r="M247" s="309">
        <f t="shared" si="172"/>
        <v>8388.4796602296101</v>
      </c>
      <c r="N247" s="339">
        <f t="shared" si="172"/>
        <v>54485</v>
      </c>
      <c r="O247" s="339">
        <f t="shared" si="172"/>
        <v>7231.4022164709004</v>
      </c>
      <c r="P247" s="294">
        <f t="shared" si="172"/>
        <v>12400</v>
      </c>
      <c r="Q247" s="294">
        <f t="shared" si="172"/>
        <v>13900</v>
      </c>
      <c r="R247" s="443">
        <f t="shared" si="172"/>
        <v>11962</v>
      </c>
      <c r="S247" s="294">
        <f t="shared" si="172"/>
        <v>3811</v>
      </c>
      <c r="T247" s="294"/>
      <c r="U247" s="292" t="b">
        <f t="shared" si="127"/>
        <v>1</v>
      </c>
      <c r="V247" s="471">
        <v>16100</v>
      </c>
      <c r="W247" s="471">
        <f>W402+W1037+W1164</f>
        <v>16100</v>
      </c>
      <c r="X247" s="527">
        <f>X402+X1037+X1164</f>
        <v>20400</v>
      </c>
      <c r="Y247" s="527"/>
      <c r="Z247" s="527">
        <f>Z402+Z1037+Z1164</f>
        <v>0</v>
      </c>
      <c r="AA247" s="527">
        <f>AA402+AA1037+AA1164</f>
        <v>0</v>
      </c>
      <c r="AB247" s="528">
        <f>AB402+AB1037+AB1164</f>
        <v>12900</v>
      </c>
      <c r="AC247" s="528">
        <f>AC402+AC1037+AC1164</f>
        <v>12900</v>
      </c>
      <c r="AD247" s="524">
        <f>O247/M247*100</f>
        <v>86.206350964352964</v>
      </c>
      <c r="AE247" s="524">
        <f t="shared" si="165"/>
        <v>171.47435073873544</v>
      </c>
      <c r="AF247" s="524">
        <f t="shared" si="165"/>
        <v>112.09677419354837</v>
      </c>
      <c r="AG247" s="524">
        <f t="shared" si="166"/>
        <v>92.805755395683448</v>
      </c>
      <c r="AH247" s="527"/>
      <c r="AI247" s="527">
        <v>20400</v>
      </c>
      <c r="AJ247" s="516">
        <f t="shared" si="167"/>
        <v>134.59287744524326</v>
      </c>
      <c r="AK247" s="516">
        <f t="shared" si="168"/>
        <v>114.28571428571428</v>
      </c>
      <c r="AL247" s="516">
        <f t="shared" si="169"/>
        <v>110.86956521739131</v>
      </c>
      <c r="AM247" s="294"/>
      <c r="AO247" t="b">
        <f t="shared" si="112"/>
        <v>1</v>
      </c>
      <c r="AP247" s="462">
        <f>AP402+AP1037+AP1164</f>
        <v>4264.1099999999997</v>
      </c>
      <c r="AQ247" s="443">
        <v>6705.18</v>
      </c>
      <c r="AR247" s="462">
        <f>AR402+AR1037+AR1164</f>
        <v>4264.1099999999997</v>
      </c>
      <c r="AS247" s="443">
        <f>AS402+AS1037+AS1164</f>
        <v>2567.6</v>
      </c>
      <c r="AT247" s="613">
        <f>AT402+AT1037+AT1164</f>
        <v>18400</v>
      </c>
      <c r="AU247" s="471">
        <f>AU402+AU1037+AU1164</f>
        <v>18400</v>
      </c>
      <c r="AV247" s="638">
        <v>20400</v>
      </c>
      <c r="AW247" s="638">
        <v>20400</v>
      </c>
      <c r="AX247" s="655">
        <f t="shared" si="114"/>
        <v>153.82043136599231</v>
      </c>
      <c r="AY247" s="655">
        <f t="shared" si="115"/>
        <v>274.4147062420397</v>
      </c>
      <c r="AZ247" s="655">
        <f t="shared" si="116"/>
        <v>100</v>
      </c>
      <c r="BA247" s="655">
        <f t="shared" si="117"/>
        <v>274.4147062420397</v>
      </c>
      <c r="BB247" s="655">
        <f t="shared" si="118"/>
        <v>110.86956521739131</v>
      </c>
      <c r="BC247" s="655">
        <f t="shared" si="118"/>
        <v>100</v>
      </c>
    </row>
    <row r="248" spans="1:55" ht="12" customHeight="1">
      <c r="A248" s="36"/>
      <c r="B248" s="36"/>
      <c r="C248" s="36"/>
      <c r="D248" s="36"/>
      <c r="E248" s="36"/>
      <c r="F248" s="36"/>
      <c r="G248" s="36"/>
      <c r="H248" s="46">
        <v>3294</v>
      </c>
      <c r="I248" s="38"/>
      <c r="J248" s="39"/>
      <c r="K248" s="40" t="s">
        <v>127</v>
      </c>
      <c r="L248" s="309">
        <f t="shared" ref="L248:S248" si="173">L421+L422+L1038</f>
        <v>33838</v>
      </c>
      <c r="M248" s="309">
        <f t="shared" si="173"/>
        <v>4491.074391134116</v>
      </c>
      <c r="N248" s="339">
        <f t="shared" si="173"/>
        <v>54285</v>
      </c>
      <c r="O248" s="339">
        <f t="shared" si="173"/>
        <v>7204.8576547879748</v>
      </c>
      <c r="P248" s="294">
        <f t="shared" si="173"/>
        <v>6500</v>
      </c>
      <c r="Q248" s="294">
        <f t="shared" si="173"/>
        <v>15700</v>
      </c>
      <c r="R248" s="443">
        <f t="shared" si="173"/>
        <v>14047</v>
      </c>
      <c r="S248" s="294">
        <f t="shared" si="173"/>
        <v>7997.43</v>
      </c>
      <c r="T248" s="294"/>
      <c r="U248" s="292" t="b">
        <f t="shared" si="127"/>
        <v>1</v>
      </c>
      <c r="V248" s="471">
        <v>15800</v>
      </c>
      <c r="W248" s="471">
        <f>W421+W422+W1038</f>
        <v>15800</v>
      </c>
      <c r="X248" s="527">
        <f>X421+X422+X1038</f>
        <v>17300</v>
      </c>
      <c r="Y248" s="527"/>
      <c r="Z248" s="527">
        <f>Z421+Z422+Z1038</f>
        <v>0</v>
      </c>
      <c r="AA248" s="527">
        <f>AA421+AA422+AA1038</f>
        <v>0</v>
      </c>
      <c r="AB248" s="528">
        <f>AB421+AB422+AB1038</f>
        <v>6500</v>
      </c>
      <c r="AC248" s="528">
        <f>AC421+AC422+AC1038</f>
        <v>6500</v>
      </c>
      <c r="AD248" s="524">
        <f>O248/M248*100</f>
        <v>160.42614811750104</v>
      </c>
      <c r="AE248" s="524">
        <f t="shared" si="165"/>
        <v>90.216910748825654</v>
      </c>
      <c r="AF248" s="524">
        <f t="shared" si="165"/>
        <v>241.53846153846152</v>
      </c>
      <c r="AG248" s="524">
        <f t="shared" si="166"/>
        <v>41.401273885350321</v>
      </c>
      <c r="AH248" s="527"/>
      <c r="AI248" s="527">
        <v>17300</v>
      </c>
      <c r="AJ248" s="516">
        <f t="shared" si="167"/>
        <v>112.47953299636933</v>
      </c>
      <c r="AK248" s="516">
        <f t="shared" si="168"/>
        <v>100</v>
      </c>
      <c r="AL248" s="516">
        <f t="shared" si="169"/>
        <v>109.49367088607596</v>
      </c>
      <c r="AM248" s="294"/>
      <c r="AO248" t="b">
        <f t="shared" si="112"/>
        <v>1</v>
      </c>
      <c r="AP248" s="462">
        <f>AP421+AP422+AP1038</f>
        <v>8329.24</v>
      </c>
      <c r="AQ248" s="443">
        <v>8329.24</v>
      </c>
      <c r="AR248" s="462">
        <f>AR421+AR422+AR1038</f>
        <v>8329.24</v>
      </c>
      <c r="AS248" s="443">
        <f>AS421+AS422+AS1038</f>
        <v>4164.6099999999997</v>
      </c>
      <c r="AT248" s="613">
        <f>AT421+AT422+AT1038</f>
        <v>15800</v>
      </c>
      <c r="AU248" s="471">
        <f>AU421+AU422+AU1038</f>
        <v>15800</v>
      </c>
      <c r="AV248" s="638">
        <v>17300</v>
      </c>
      <c r="AW248" s="638">
        <v>17300</v>
      </c>
      <c r="AX248" s="655">
        <f t="shared" si="114"/>
        <v>112.47953299636933</v>
      </c>
      <c r="AY248" s="655">
        <f t="shared" si="115"/>
        <v>189.69317728868421</v>
      </c>
      <c r="AZ248" s="655">
        <f t="shared" si="116"/>
        <v>100</v>
      </c>
      <c r="BA248" s="655">
        <f t="shared" si="117"/>
        <v>189.69317728868421</v>
      </c>
      <c r="BB248" s="655">
        <f t="shared" si="118"/>
        <v>109.49367088607596</v>
      </c>
      <c r="BC248" s="655">
        <f t="shared" si="118"/>
        <v>100</v>
      </c>
    </row>
    <row r="249" spans="1:55" ht="12" customHeight="1">
      <c r="A249" s="36"/>
      <c r="B249" s="36"/>
      <c r="C249" s="36"/>
      <c r="D249" s="36"/>
      <c r="E249" s="36"/>
      <c r="F249" s="36"/>
      <c r="G249" s="36"/>
      <c r="H249" s="46">
        <v>3295</v>
      </c>
      <c r="I249" s="38"/>
      <c r="J249" s="39"/>
      <c r="K249" s="40" t="s">
        <v>445</v>
      </c>
      <c r="L249" s="309">
        <f t="shared" ref="L249:S249" si="174">L423+L1039</f>
        <v>2400</v>
      </c>
      <c r="M249" s="309">
        <f t="shared" si="174"/>
        <v>318.53474019510253</v>
      </c>
      <c r="N249" s="339">
        <f t="shared" si="174"/>
        <v>1200</v>
      </c>
      <c r="O249" s="339">
        <f t="shared" si="174"/>
        <v>159.26737009755126</v>
      </c>
      <c r="P249" s="294">
        <f t="shared" si="174"/>
        <v>4000</v>
      </c>
      <c r="Q249" s="294">
        <f t="shared" si="174"/>
        <v>1000</v>
      </c>
      <c r="R249" s="443">
        <f t="shared" si="174"/>
        <v>2254</v>
      </c>
      <c r="S249" s="294">
        <f t="shared" si="174"/>
        <v>370.21</v>
      </c>
      <c r="T249" s="294"/>
      <c r="U249" s="292" t="b">
        <f t="shared" si="127"/>
        <v>1</v>
      </c>
      <c r="V249" s="471">
        <v>1000</v>
      </c>
      <c r="W249" s="471">
        <f>W423+W1039</f>
        <v>1000</v>
      </c>
      <c r="X249" s="527">
        <f>X423+X1039</f>
        <v>1500</v>
      </c>
      <c r="Y249" s="527"/>
      <c r="Z249" s="527">
        <f>Z423+Z1039</f>
        <v>0</v>
      </c>
      <c r="AA249" s="527">
        <f>AA423+AA1039</f>
        <v>0</v>
      </c>
      <c r="AB249" s="528">
        <f>AB423+AB1039</f>
        <v>4000</v>
      </c>
      <c r="AC249" s="528">
        <f>AC423+AC1039</f>
        <v>4000</v>
      </c>
      <c r="AD249" s="524"/>
      <c r="AE249" s="524"/>
      <c r="AF249" s="524">
        <f>Q249/P249*100</f>
        <v>25</v>
      </c>
      <c r="AG249" s="524">
        <f t="shared" si="166"/>
        <v>400</v>
      </c>
      <c r="AH249" s="527"/>
      <c r="AI249" s="527">
        <v>1500</v>
      </c>
      <c r="AJ249" s="516">
        <f t="shared" si="167"/>
        <v>44.365572315882872</v>
      </c>
      <c r="AK249" s="516">
        <f t="shared" si="168"/>
        <v>100</v>
      </c>
      <c r="AL249" s="516">
        <f t="shared" si="169"/>
        <v>150</v>
      </c>
      <c r="AM249" s="294"/>
      <c r="AO249" t="b">
        <f t="shared" si="112"/>
        <v>1</v>
      </c>
      <c r="AP249" s="462">
        <f>AP423+AP1039</f>
        <v>434.65</v>
      </c>
      <c r="AQ249" s="443">
        <v>434.65</v>
      </c>
      <c r="AR249" s="462">
        <f>AR423+AR1039</f>
        <v>434.65</v>
      </c>
      <c r="AS249" s="443">
        <f>AS423+AS1039</f>
        <v>183.56</v>
      </c>
      <c r="AT249" s="613">
        <f>AT423+AT1039</f>
        <v>1000</v>
      </c>
      <c r="AU249" s="471">
        <f>AU423+AU1039</f>
        <v>1000</v>
      </c>
      <c r="AV249" s="638">
        <v>1500</v>
      </c>
      <c r="AW249" s="638">
        <v>1500</v>
      </c>
      <c r="AX249" s="655">
        <f t="shared" si="114"/>
        <v>44.365572315882872</v>
      </c>
      <c r="AY249" s="655">
        <f t="shared" si="115"/>
        <v>230.07017140227771</v>
      </c>
      <c r="AZ249" s="655">
        <f t="shared" si="116"/>
        <v>100</v>
      </c>
      <c r="BA249" s="655">
        <f t="shared" si="117"/>
        <v>230.07017140227771</v>
      </c>
      <c r="BB249" s="655">
        <f t="shared" si="118"/>
        <v>150</v>
      </c>
      <c r="BC249" s="655">
        <f t="shared" si="118"/>
        <v>100</v>
      </c>
    </row>
    <row r="250" spans="1:55" ht="12" customHeight="1">
      <c r="A250" s="36"/>
      <c r="B250" s="36"/>
      <c r="C250" s="36"/>
      <c r="D250" s="36"/>
      <c r="E250" s="36"/>
      <c r="F250" s="36"/>
      <c r="G250" s="36"/>
      <c r="H250" s="46">
        <v>3296</v>
      </c>
      <c r="I250" s="38"/>
      <c r="J250" s="39"/>
      <c r="K250" s="40" t="s">
        <v>659</v>
      </c>
      <c r="L250" s="309">
        <f t="shared" ref="L250:AA250" si="175">L424</f>
        <v>29746</v>
      </c>
      <c r="M250" s="309">
        <f t="shared" si="175"/>
        <v>3947.9726591014664</v>
      </c>
      <c r="N250" s="339">
        <f t="shared" si="175"/>
        <v>26461</v>
      </c>
      <c r="O250" s="339">
        <f t="shared" si="175"/>
        <v>3511.9782334594197</v>
      </c>
      <c r="P250" s="294">
        <f t="shared" si="175"/>
        <v>4000</v>
      </c>
      <c r="Q250" s="294">
        <f t="shared" si="175"/>
        <v>1000</v>
      </c>
      <c r="R250" s="443">
        <f t="shared" si="175"/>
        <v>298</v>
      </c>
      <c r="S250" s="294">
        <f t="shared" si="175"/>
        <v>33.18</v>
      </c>
      <c r="T250" s="294"/>
      <c r="U250" s="292" t="b">
        <f t="shared" si="127"/>
        <v>1</v>
      </c>
      <c r="V250" s="471">
        <v>4000</v>
      </c>
      <c r="W250" s="471">
        <f>W424</f>
        <v>4000</v>
      </c>
      <c r="X250" s="527">
        <f>X424</f>
        <v>5000</v>
      </c>
      <c r="Y250" s="527"/>
      <c r="Z250" s="527" t="b">
        <f t="shared" si="175"/>
        <v>0</v>
      </c>
      <c r="AA250" s="527">
        <f t="shared" si="175"/>
        <v>0</v>
      </c>
      <c r="AB250" s="527">
        <f>AB424</f>
        <v>4000</v>
      </c>
      <c r="AC250" s="527">
        <f>AC424</f>
        <v>4000</v>
      </c>
      <c r="AD250" s="524">
        <f>O250/M250*100</f>
        <v>88.956498352719692</v>
      </c>
      <c r="AE250" s="524">
        <f>P250/O250*100</f>
        <v>113.8959223007445</v>
      </c>
      <c r="AF250" s="524">
        <f>Q250/P250*100</f>
        <v>25</v>
      </c>
      <c r="AG250" s="524">
        <f t="shared" si="166"/>
        <v>400</v>
      </c>
      <c r="AH250" s="527"/>
      <c r="AI250" s="527">
        <v>5000</v>
      </c>
      <c r="AJ250" s="516">
        <f t="shared" si="167"/>
        <v>1342.2818791946308</v>
      </c>
      <c r="AK250" s="516">
        <f t="shared" si="168"/>
        <v>100</v>
      </c>
      <c r="AL250" s="516">
        <f t="shared" si="169"/>
        <v>125</v>
      </c>
      <c r="AM250" s="294"/>
      <c r="AO250" t="b">
        <f t="shared" si="112"/>
        <v>1</v>
      </c>
      <c r="AP250" s="462">
        <f>AP424</f>
        <v>33.18</v>
      </c>
      <c r="AQ250" s="443">
        <v>33.18</v>
      </c>
      <c r="AR250" s="462">
        <f>AR424</f>
        <v>33.18</v>
      </c>
      <c r="AS250" s="443">
        <f>AS424</f>
        <v>0</v>
      </c>
      <c r="AT250" s="613">
        <f>AT424</f>
        <v>4000</v>
      </c>
      <c r="AU250" s="471">
        <f>AU424</f>
        <v>2000</v>
      </c>
      <c r="AV250" s="638">
        <v>5000</v>
      </c>
      <c r="AW250" s="638">
        <v>5000</v>
      </c>
      <c r="AX250" s="655">
        <f t="shared" si="114"/>
        <v>1342.2818791946308</v>
      </c>
      <c r="AY250" s="655">
        <f t="shared" si="115"/>
        <v>12055.455093429777</v>
      </c>
      <c r="AZ250" s="655">
        <f t="shared" si="116"/>
        <v>50</v>
      </c>
      <c r="BA250" s="655">
        <f t="shared" si="117"/>
        <v>6027.7275467148884</v>
      </c>
      <c r="BB250" s="655">
        <f t="shared" si="118"/>
        <v>250</v>
      </c>
      <c r="BC250" s="655">
        <f t="shared" si="118"/>
        <v>100</v>
      </c>
    </row>
    <row r="251" spans="1:55" ht="12" customHeight="1">
      <c r="A251" s="36"/>
      <c r="B251" s="36"/>
      <c r="C251" s="36"/>
      <c r="D251" s="36"/>
      <c r="E251" s="36"/>
      <c r="F251" s="36"/>
      <c r="G251" s="36"/>
      <c r="H251" s="46">
        <v>3299</v>
      </c>
      <c r="I251" s="38"/>
      <c r="J251" s="39"/>
      <c r="K251" s="40" t="s">
        <v>123</v>
      </c>
      <c r="L251" s="309">
        <f t="shared" ref="L251:S251" si="176">L425+L426+L427+L428+L429+L430+L431+L432+L433+L434+L436+L437+L501+L502+L774+L835+L836+L837+L838+L1040+L1102+L1165+L1199+L1103</f>
        <v>1026410</v>
      </c>
      <c r="M251" s="309">
        <f t="shared" si="176"/>
        <v>136228.01778485632</v>
      </c>
      <c r="N251" s="339">
        <f t="shared" si="176"/>
        <v>928928</v>
      </c>
      <c r="O251" s="339">
        <f t="shared" si="176"/>
        <v>123289.93297498173</v>
      </c>
      <c r="P251" s="294">
        <f t="shared" si="176"/>
        <v>166500</v>
      </c>
      <c r="Q251" s="294">
        <f t="shared" si="176"/>
        <v>208000</v>
      </c>
      <c r="R251" s="443">
        <f t="shared" si="176"/>
        <v>187507</v>
      </c>
      <c r="S251" s="294">
        <f t="shared" si="176"/>
        <v>233294.01</v>
      </c>
      <c r="T251" s="294"/>
      <c r="U251" s="292" t="b">
        <f t="shared" si="127"/>
        <v>1</v>
      </c>
      <c r="V251" s="471">
        <v>230150</v>
      </c>
      <c r="W251" s="471">
        <f>W425+W426+W427+W428+W429+W430+W431+W432+W433+W434+W436+W437+W501+W502+W774+W835+W836+W837+W838+W1040+W1102+W1165+W1199+W1103</f>
        <v>279550.25</v>
      </c>
      <c r="X251" s="527">
        <f>X425+X426+X427+X428+X429+X430+X431+X432+X433+X434+X436+X437+X501+X502+X774+X835+X836+X837+X838+X1040+X1102+X1165+X1199+X1103</f>
        <v>395400.3</v>
      </c>
      <c r="Y251" s="527"/>
      <c r="Z251" s="527">
        <f>Z425+Z426+Z427+Z428+Z429+Z430+Z431+Z432+Z433+Z434+Z436+Z437+Z501+Z502+Z774+Z835+Z836+Z837+Z838+Z1040+Z1102+Z1165+Z1199+Z1103</f>
        <v>0</v>
      </c>
      <c r="AA251" s="527">
        <f>AA425+AA426+AA427+AA428+AA429+AA430+AA431+AA432+AA433+AA434+AA436+AA437+AA501+AA502+AA774+AA835+AA836+AA837+AA838+AA1040+AA1102+AA1165+AA1199+AA1103</f>
        <v>0</v>
      </c>
      <c r="AB251" s="527">
        <f>AB425+AB426+AB427+AB428+AB429+AB430+AB431+AB432+AB433+AB434+AB436+AB437+AB501+AB502+AB774+AB835+AB836+AB837+AB838+AB1040+AB1102+AB1165+AB1199+AB1103</f>
        <v>211700</v>
      </c>
      <c r="AC251" s="527">
        <f>AC425+AC426+AC427+AC428+AC429+AC430+AC431+AC432+AC433+AC434+AC436+AC437+AC501+AC502+AC774+AC835+AC836+AC837+AC838+AC1040+AC1102+AC1165+AC1199+AC1103</f>
        <v>211700</v>
      </c>
      <c r="AD251" s="524">
        <f>O251/M251*100</f>
        <v>90.502625656414097</v>
      </c>
      <c r="AE251" s="524">
        <f>P251/O251*100</f>
        <v>135.0475225205829</v>
      </c>
      <c r="AF251" s="524">
        <f>Q251/P251*100</f>
        <v>124.92492492492492</v>
      </c>
      <c r="AG251" s="524">
        <f t="shared" si="166"/>
        <v>101.77884615384616</v>
      </c>
      <c r="AH251" s="527"/>
      <c r="AI251" s="527">
        <v>395400.3</v>
      </c>
      <c r="AJ251" s="516">
        <f t="shared" si="167"/>
        <v>149.08790071837319</v>
      </c>
      <c r="AK251" s="516">
        <f t="shared" si="168"/>
        <v>147.9698193795212</v>
      </c>
      <c r="AL251" s="516">
        <f t="shared" si="169"/>
        <v>95.588130061646311</v>
      </c>
      <c r="AM251" s="294"/>
      <c r="AO251" t="b">
        <f t="shared" si="112"/>
        <v>1</v>
      </c>
      <c r="AP251" s="462">
        <f>AP425+AP426+AP427+AP428+AP429+AP430+AP431+AP432+AP433+AP434+AP436+AP437+AP501+AP502+AP774+AP835+AP836+AP837+AP838+AP1040+AP1102+AP1165+AP1199+AP1103</f>
        <v>255525.76000000001</v>
      </c>
      <c r="AQ251" s="443">
        <v>269745.76</v>
      </c>
      <c r="AR251" s="462">
        <f>AR425+AR426+AR427+AR428+AR429+AR430+AR431+AR432+AR433+AR434+AR436+AR437+AR501+AR502+AR774+AR835+AR836+AR837+AR838+AR1040+AR1102+AR1165+AR1199+AR1103</f>
        <v>255525.76000000001</v>
      </c>
      <c r="AS251" s="443">
        <f>AS425+AS426+AS427+AS428+AS429+AS430+AS431+AS432+AS433+AS434+AS436+AS437+AS501+AS502+AS774+AS835+AS836+AS837+AS838+AS1040+AS1102+AS1165+AS1199+AS1103</f>
        <v>146856.91999999998</v>
      </c>
      <c r="AT251" s="613">
        <f>AT425+AT426+AT427+AT428+AT429+AT430+AT431+AT432+AT433+AT434+AT436+AT437+AT501+AT502+AT774+AT835+AT836+AT837+AT838+AT1040+AT1102+AT1165+AT1199+AT1103</f>
        <v>413650</v>
      </c>
      <c r="AU251" s="471">
        <f>AU425+AU426+AU427+AU428+AU429+AU430+AU431+AU432+AU433+AU434+AU436+AU437+AU501+AU502+AU774+AU835+AU836+AU837+AU838+AU1040+AU1102+AU1165+AU1199+AU1103</f>
        <v>450150</v>
      </c>
      <c r="AV251" s="638">
        <v>395400.3</v>
      </c>
      <c r="AW251" s="638">
        <v>395400.3</v>
      </c>
      <c r="AX251" s="655">
        <f t="shared" si="114"/>
        <v>220.6050974096967</v>
      </c>
      <c r="AY251" s="655">
        <f t="shared" si="115"/>
        <v>153.34810081908239</v>
      </c>
      <c r="AZ251" s="655">
        <f t="shared" si="116"/>
        <v>108.82388492687053</v>
      </c>
      <c r="BA251" s="655">
        <f t="shared" si="117"/>
        <v>166.87936077289962</v>
      </c>
      <c r="BB251" s="655">
        <f t="shared" si="118"/>
        <v>87.83745418193935</v>
      </c>
      <c r="BC251" s="655">
        <f t="shared" si="118"/>
        <v>100</v>
      </c>
    </row>
    <row r="252" spans="1:55" ht="12" customHeight="1">
      <c r="A252" s="36"/>
      <c r="B252" s="36"/>
      <c r="C252" s="36"/>
      <c r="D252" s="36"/>
      <c r="E252" s="36"/>
      <c r="F252" s="36"/>
      <c r="G252" s="36"/>
      <c r="H252" s="46"/>
      <c r="I252" s="38"/>
      <c r="J252" s="39"/>
      <c r="K252" s="40"/>
      <c r="L252" s="316"/>
      <c r="M252" s="316"/>
      <c r="N252" s="338"/>
      <c r="O252" s="338"/>
      <c r="P252" s="293"/>
      <c r="Q252" s="293"/>
      <c r="R252" s="442"/>
      <c r="S252" s="293"/>
      <c r="T252" s="293"/>
      <c r="U252" s="292" t="b">
        <f t="shared" si="127"/>
        <v>0</v>
      </c>
      <c r="V252" s="470"/>
      <c r="W252" s="470"/>
      <c r="X252" s="525"/>
      <c r="Y252" s="525"/>
      <c r="Z252" s="525"/>
      <c r="AA252" s="525"/>
      <c r="AB252" s="526"/>
      <c r="AC252" s="526"/>
      <c r="AD252" s="524"/>
      <c r="AE252" s="524"/>
      <c r="AF252" s="524"/>
      <c r="AG252" s="524"/>
      <c r="AH252" s="525"/>
      <c r="AI252" s="525"/>
      <c r="AJ252" s="516"/>
      <c r="AK252" s="516"/>
      <c r="AL252" s="516"/>
      <c r="AM252" s="293"/>
      <c r="AO252" t="b">
        <f t="shared" si="112"/>
        <v>0</v>
      </c>
      <c r="AQ252" s="442"/>
      <c r="AS252" s="442"/>
      <c r="AT252" s="613"/>
      <c r="AU252" s="470"/>
      <c r="AV252" s="637"/>
      <c r="AW252" s="637"/>
      <c r="AX252" s="655" t="str">
        <f t="shared" si="114"/>
        <v/>
      </c>
      <c r="AY252" s="655" t="str">
        <f t="shared" si="115"/>
        <v/>
      </c>
      <c r="AZ252" s="655" t="str">
        <f t="shared" si="116"/>
        <v/>
      </c>
      <c r="BA252" s="655" t="str">
        <f t="shared" si="117"/>
        <v/>
      </c>
      <c r="BB252" s="655" t="str">
        <f t="shared" si="118"/>
        <v/>
      </c>
      <c r="BC252" s="655" t="str">
        <f t="shared" si="118"/>
        <v/>
      </c>
    </row>
    <row r="253" spans="1:55" ht="12" customHeight="1">
      <c r="A253" s="47"/>
      <c r="B253" s="47"/>
      <c r="C253" s="47"/>
      <c r="D253" s="47"/>
      <c r="E253" s="47"/>
      <c r="F253" s="47"/>
      <c r="G253" s="47"/>
      <c r="H253" s="48">
        <v>34</v>
      </c>
      <c r="I253" s="49"/>
      <c r="J253" s="50"/>
      <c r="K253" s="51" t="s">
        <v>128</v>
      </c>
      <c r="L253" s="315">
        <f t="shared" ref="L253:AA253" si="177">L255+L258</f>
        <v>210754</v>
      </c>
      <c r="M253" s="315">
        <f t="shared" si="177"/>
        <v>27971.862764616097</v>
      </c>
      <c r="N253" s="337">
        <f t="shared" si="177"/>
        <v>189957</v>
      </c>
      <c r="O253" s="337">
        <f t="shared" si="177"/>
        <v>25211.626518017118</v>
      </c>
      <c r="P253" s="292">
        <f t="shared" si="177"/>
        <v>30600</v>
      </c>
      <c r="Q253" s="292">
        <f t="shared" si="177"/>
        <v>69200</v>
      </c>
      <c r="R253" s="441">
        <f t="shared" si="177"/>
        <v>64032</v>
      </c>
      <c r="S253" s="292">
        <f t="shared" si="177"/>
        <v>27135.35</v>
      </c>
      <c r="T253" s="292"/>
      <c r="U253" s="292" t="b">
        <f t="shared" si="127"/>
        <v>1</v>
      </c>
      <c r="V253" s="469">
        <v>36980</v>
      </c>
      <c r="W253" s="469">
        <f>W255+W258</f>
        <v>81930</v>
      </c>
      <c r="X253" s="522">
        <f>X255+X258</f>
        <v>118950</v>
      </c>
      <c r="Y253" s="522"/>
      <c r="Z253" s="522">
        <f t="shared" si="177"/>
        <v>0</v>
      </c>
      <c r="AA253" s="522">
        <f t="shared" si="177"/>
        <v>0</v>
      </c>
      <c r="AB253" s="523">
        <f>AB255+AB258</f>
        <v>31600</v>
      </c>
      <c r="AC253" s="523">
        <f>AC255+AC258</f>
        <v>31600</v>
      </c>
      <c r="AD253" s="524">
        <f>O253/M253*100</f>
        <v>90.132097136946385</v>
      </c>
      <c r="AE253" s="524">
        <f>P253/O253*100</f>
        <v>121.37257379301633</v>
      </c>
      <c r="AF253" s="524">
        <f>Q253/P253*100</f>
        <v>226.14379084967319</v>
      </c>
      <c r="AG253" s="524">
        <f>AB253/Q253*100</f>
        <v>45.664739884393065</v>
      </c>
      <c r="AH253" s="522"/>
      <c r="AI253" s="522">
        <v>118950</v>
      </c>
      <c r="AJ253" s="516">
        <f>W253/R253*100</f>
        <v>127.95164917541229</v>
      </c>
      <c r="AK253" s="516">
        <f>AT253/W253*100</f>
        <v>122.97082875625533</v>
      </c>
      <c r="AL253" s="516">
        <f>X253/AT253*100</f>
        <v>118.06451612903226</v>
      </c>
      <c r="AM253" s="292"/>
      <c r="AO253" t="b">
        <f t="shared" si="112"/>
        <v>1</v>
      </c>
      <c r="AP253" s="440">
        <f>AP255+AP258</f>
        <v>34266.990000000005</v>
      </c>
      <c r="AQ253" s="441">
        <v>35961.33</v>
      </c>
      <c r="AR253" s="440">
        <f>AR255+AR258</f>
        <v>34266.990000000005</v>
      </c>
      <c r="AS253" s="441">
        <f>AS255+AS258</f>
        <v>18031.009999999998</v>
      </c>
      <c r="AT253" s="612">
        <f>AT255+AT258</f>
        <v>100750</v>
      </c>
      <c r="AU253" s="469">
        <f>AU255+AU258</f>
        <v>101950</v>
      </c>
      <c r="AV253" s="636">
        <v>118950</v>
      </c>
      <c r="AW253" s="636">
        <v>118950</v>
      </c>
      <c r="AX253" s="655">
        <f t="shared" si="114"/>
        <v>157.34320339830086</v>
      </c>
      <c r="AY253" s="655">
        <f t="shared" si="115"/>
        <v>280.16205184847166</v>
      </c>
      <c r="AZ253" s="655">
        <f t="shared" si="116"/>
        <v>101.1910669975186</v>
      </c>
      <c r="BA253" s="655">
        <f t="shared" si="117"/>
        <v>283.49896958760979</v>
      </c>
      <c r="BB253" s="655">
        <f t="shared" si="118"/>
        <v>116.67484060814124</v>
      </c>
      <c r="BC253" s="655">
        <f t="shared" si="118"/>
        <v>100</v>
      </c>
    </row>
    <row r="254" spans="1:55" ht="12" customHeight="1">
      <c r="A254" s="61"/>
      <c r="B254" s="61"/>
      <c r="C254" s="61"/>
      <c r="D254" s="61"/>
      <c r="E254" s="61"/>
      <c r="F254" s="61"/>
      <c r="G254" s="61"/>
      <c r="H254" s="62"/>
      <c r="I254" s="63"/>
      <c r="J254" s="64"/>
      <c r="K254" s="65"/>
      <c r="L254" s="315"/>
      <c r="M254" s="315"/>
      <c r="N254" s="337"/>
      <c r="O254" s="337"/>
      <c r="P254" s="292"/>
      <c r="Q254" s="292"/>
      <c r="R254" s="441"/>
      <c r="S254" s="292"/>
      <c r="T254" s="292"/>
      <c r="U254" s="292" t="b">
        <f t="shared" si="127"/>
        <v>0</v>
      </c>
      <c r="V254" s="469"/>
      <c r="W254" s="469"/>
      <c r="X254" s="522"/>
      <c r="Y254" s="522"/>
      <c r="Z254" s="522"/>
      <c r="AA254" s="522"/>
      <c r="AB254" s="523"/>
      <c r="AC254" s="523"/>
      <c r="AD254" s="524"/>
      <c r="AE254" s="524"/>
      <c r="AF254" s="524"/>
      <c r="AG254" s="524"/>
      <c r="AH254" s="522"/>
      <c r="AI254" s="522"/>
      <c r="AJ254" s="516"/>
      <c r="AK254" s="516"/>
      <c r="AL254" s="516"/>
      <c r="AM254" s="292"/>
      <c r="AO254" t="b">
        <f t="shared" si="112"/>
        <v>0</v>
      </c>
      <c r="AQ254" s="441"/>
      <c r="AS254" s="441"/>
      <c r="AT254" s="612"/>
      <c r="AU254" s="469"/>
      <c r="AV254" s="636"/>
      <c r="AW254" s="636"/>
      <c r="AX254" s="655" t="str">
        <f t="shared" si="114"/>
        <v/>
      </c>
      <c r="AY254" s="655" t="str">
        <f t="shared" si="115"/>
        <v/>
      </c>
      <c r="AZ254" s="655" t="str">
        <f t="shared" si="116"/>
        <v/>
      </c>
      <c r="BA254" s="655" t="str">
        <f t="shared" si="117"/>
        <v/>
      </c>
      <c r="BB254" s="655" t="str">
        <f t="shared" si="118"/>
        <v/>
      </c>
      <c r="BC254" s="655" t="str">
        <f t="shared" si="118"/>
        <v/>
      </c>
    </row>
    <row r="255" spans="1:55" ht="12" customHeight="1">
      <c r="A255" s="137"/>
      <c r="B255" s="137"/>
      <c r="C255" s="137"/>
      <c r="D255" s="137"/>
      <c r="E255" s="137"/>
      <c r="F255" s="137"/>
      <c r="G255" s="137"/>
      <c r="H255" s="57">
        <v>342</v>
      </c>
      <c r="I255" s="58"/>
      <c r="J255" s="59"/>
      <c r="K255" s="60" t="s">
        <v>437</v>
      </c>
      <c r="L255" s="315">
        <f t="shared" ref="L255:AC255" si="178">L256</f>
        <v>14909</v>
      </c>
      <c r="M255" s="315">
        <f t="shared" si="178"/>
        <v>1978.7643506536597</v>
      </c>
      <c r="N255" s="337">
        <f t="shared" si="178"/>
        <v>14777</v>
      </c>
      <c r="O255" s="337">
        <f t="shared" si="178"/>
        <v>1961.244939942929</v>
      </c>
      <c r="P255" s="292">
        <f t="shared" si="178"/>
        <v>2700</v>
      </c>
      <c r="Q255" s="292">
        <f t="shared" si="178"/>
        <v>2700</v>
      </c>
      <c r="R255" s="441">
        <f t="shared" si="178"/>
        <v>382</v>
      </c>
      <c r="S255" s="292">
        <f t="shared" si="178"/>
        <v>466.87</v>
      </c>
      <c r="T255" s="292"/>
      <c r="U255" s="292" t="b">
        <f t="shared" si="127"/>
        <v>1</v>
      </c>
      <c r="V255" s="469">
        <v>2700</v>
      </c>
      <c r="W255" s="469">
        <f t="shared" si="178"/>
        <v>600</v>
      </c>
      <c r="X255" s="522">
        <f t="shared" si="178"/>
        <v>1000</v>
      </c>
      <c r="Y255" s="522"/>
      <c r="Z255" s="522" t="b">
        <f t="shared" si="178"/>
        <v>0</v>
      </c>
      <c r="AA255" s="522">
        <f t="shared" si="178"/>
        <v>0</v>
      </c>
      <c r="AB255" s="523">
        <f t="shared" si="178"/>
        <v>2700</v>
      </c>
      <c r="AC255" s="523">
        <f t="shared" si="178"/>
        <v>2700</v>
      </c>
      <c r="AD255" s="524">
        <f>O255/M255*100</f>
        <v>99.114628747736262</v>
      </c>
      <c r="AE255" s="524">
        <f>P255/O255*100</f>
        <v>137.66765920010829</v>
      </c>
      <c r="AF255" s="524">
        <f>Q255/P255*100</f>
        <v>100</v>
      </c>
      <c r="AG255" s="524">
        <f>AB255/Q255*100</f>
        <v>100</v>
      </c>
      <c r="AH255" s="522"/>
      <c r="AI255" s="522">
        <v>1000</v>
      </c>
      <c r="AJ255" s="516">
        <f>W255/R255*100</f>
        <v>157.06806282722513</v>
      </c>
      <c r="AK255" s="516">
        <f>AT255/W255*100</f>
        <v>166.66666666666669</v>
      </c>
      <c r="AL255" s="516">
        <f>X255/AT255*100</f>
        <v>100</v>
      </c>
      <c r="AM255" s="292"/>
      <c r="AO255" t="b">
        <f t="shared" si="112"/>
        <v>1</v>
      </c>
      <c r="AP255" s="440">
        <f t="shared" ref="AP255:AU255" si="179">AP256</f>
        <v>466.87</v>
      </c>
      <c r="AQ255" s="441">
        <v>466.87</v>
      </c>
      <c r="AR255" s="440">
        <f>AR256</f>
        <v>466.87</v>
      </c>
      <c r="AS255" s="441">
        <f t="shared" si="179"/>
        <v>252.1</v>
      </c>
      <c r="AT255" s="612">
        <f>AT256</f>
        <v>1000</v>
      </c>
      <c r="AU255" s="469">
        <f t="shared" si="179"/>
        <v>1200</v>
      </c>
      <c r="AV255" s="636">
        <v>1000</v>
      </c>
      <c r="AW255" s="636">
        <v>1000</v>
      </c>
      <c r="AX255" s="655">
        <f t="shared" si="114"/>
        <v>261.78010471204186</v>
      </c>
      <c r="AY255" s="655">
        <f t="shared" si="115"/>
        <v>214.19238760254461</v>
      </c>
      <c r="AZ255" s="655">
        <f t="shared" si="116"/>
        <v>120</v>
      </c>
      <c r="BA255" s="655">
        <f t="shared" si="117"/>
        <v>257.0308651230535</v>
      </c>
      <c r="BB255" s="655">
        <f t="shared" si="118"/>
        <v>83.333333333333343</v>
      </c>
      <c r="BC255" s="655">
        <f t="shared" si="118"/>
        <v>100</v>
      </c>
    </row>
    <row r="256" spans="1:55" ht="12" customHeight="1">
      <c r="A256" s="61"/>
      <c r="B256" s="61"/>
      <c r="C256" s="61"/>
      <c r="D256" s="61"/>
      <c r="E256" s="61"/>
      <c r="F256" s="61"/>
      <c r="G256" s="61"/>
      <c r="H256" s="201">
        <v>3423</v>
      </c>
      <c r="I256" s="202"/>
      <c r="J256" s="203"/>
      <c r="K256" s="40" t="s">
        <v>436</v>
      </c>
      <c r="L256" s="309">
        <f t="shared" ref="L256:AA256" si="180">L478</f>
        <v>14909</v>
      </c>
      <c r="M256" s="309">
        <f t="shared" si="180"/>
        <v>1978.7643506536597</v>
      </c>
      <c r="N256" s="339">
        <f t="shared" si="180"/>
        <v>14777</v>
      </c>
      <c r="O256" s="339">
        <f t="shared" si="180"/>
        <v>1961.244939942929</v>
      </c>
      <c r="P256" s="294">
        <f t="shared" si="180"/>
        <v>2700</v>
      </c>
      <c r="Q256" s="294">
        <f t="shared" si="180"/>
        <v>2700</v>
      </c>
      <c r="R256" s="443">
        <f t="shared" si="180"/>
        <v>382</v>
      </c>
      <c r="S256" s="294">
        <f t="shared" si="180"/>
        <v>466.87</v>
      </c>
      <c r="T256" s="294"/>
      <c r="U256" s="292" t="b">
        <f t="shared" si="127"/>
        <v>1</v>
      </c>
      <c r="V256" s="471">
        <v>2700</v>
      </c>
      <c r="W256" s="471">
        <f>W478</f>
        <v>600</v>
      </c>
      <c r="X256" s="527">
        <f>X478</f>
        <v>1000</v>
      </c>
      <c r="Y256" s="527"/>
      <c r="Z256" s="527" t="b">
        <f t="shared" si="180"/>
        <v>0</v>
      </c>
      <c r="AA256" s="527">
        <f t="shared" si="180"/>
        <v>0</v>
      </c>
      <c r="AB256" s="528">
        <f>AB478</f>
        <v>2700</v>
      </c>
      <c r="AC256" s="528">
        <f>AC478</f>
        <v>2700</v>
      </c>
      <c r="AD256" s="524">
        <f>O256/M256*100</f>
        <v>99.114628747736262</v>
      </c>
      <c r="AE256" s="524">
        <f>P256/O256*100</f>
        <v>137.66765920010829</v>
      </c>
      <c r="AF256" s="524">
        <f>Q256/P256*100</f>
        <v>100</v>
      </c>
      <c r="AG256" s="524">
        <f>AB256/Q256*100</f>
        <v>100</v>
      </c>
      <c r="AH256" s="527"/>
      <c r="AI256" s="527">
        <v>1000</v>
      </c>
      <c r="AJ256" s="516">
        <f>W256/R256*100</f>
        <v>157.06806282722513</v>
      </c>
      <c r="AK256" s="516">
        <f>AT256/W256*100</f>
        <v>166.66666666666669</v>
      </c>
      <c r="AL256" s="516">
        <f>X256/AT256*100</f>
        <v>100</v>
      </c>
      <c r="AM256" s="294"/>
      <c r="AO256" t="b">
        <f t="shared" si="112"/>
        <v>1</v>
      </c>
      <c r="AP256" s="462">
        <f>AP478</f>
        <v>466.87</v>
      </c>
      <c r="AQ256" s="443">
        <v>466.87</v>
      </c>
      <c r="AR256" s="462">
        <f>AR478</f>
        <v>466.87</v>
      </c>
      <c r="AS256" s="443">
        <f>AS478</f>
        <v>252.1</v>
      </c>
      <c r="AT256" s="613">
        <f>AT478</f>
        <v>1000</v>
      </c>
      <c r="AU256" s="471">
        <f>AU478</f>
        <v>1200</v>
      </c>
      <c r="AV256" s="638">
        <v>1000</v>
      </c>
      <c r="AW256" s="638">
        <v>1000</v>
      </c>
      <c r="AX256" s="655">
        <f t="shared" si="114"/>
        <v>261.78010471204186</v>
      </c>
      <c r="AY256" s="655">
        <f t="shared" si="115"/>
        <v>214.19238760254461</v>
      </c>
      <c r="AZ256" s="655">
        <f t="shared" si="116"/>
        <v>120</v>
      </c>
      <c r="BA256" s="655">
        <f t="shared" si="117"/>
        <v>257.0308651230535</v>
      </c>
      <c r="BB256" s="655">
        <f t="shared" si="118"/>
        <v>83.333333333333343</v>
      </c>
      <c r="BC256" s="655">
        <f t="shared" si="118"/>
        <v>100</v>
      </c>
    </row>
    <row r="257" spans="1:55" ht="12" customHeight="1">
      <c r="A257" s="36"/>
      <c r="B257" s="36"/>
      <c r="C257" s="36"/>
      <c r="D257" s="36"/>
      <c r="E257" s="36"/>
      <c r="F257" s="36"/>
      <c r="G257" s="36"/>
      <c r="H257" s="46"/>
      <c r="I257" s="38"/>
      <c r="J257" s="39"/>
      <c r="K257" s="40"/>
      <c r="L257" s="316"/>
      <c r="M257" s="316"/>
      <c r="N257" s="338"/>
      <c r="O257" s="338"/>
      <c r="P257" s="293"/>
      <c r="Q257" s="293"/>
      <c r="R257" s="442"/>
      <c r="S257" s="293"/>
      <c r="T257" s="293"/>
      <c r="U257" s="292" t="b">
        <f t="shared" si="127"/>
        <v>0</v>
      </c>
      <c r="V257" s="470"/>
      <c r="W257" s="470"/>
      <c r="X257" s="525"/>
      <c r="Y257" s="525"/>
      <c r="Z257" s="525"/>
      <c r="AA257" s="525"/>
      <c r="AB257" s="526"/>
      <c r="AC257" s="526"/>
      <c r="AD257" s="524"/>
      <c r="AE257" s="524"/>
      <c r="AF257" s="524"/>
      <c r="AG257" s="524"/>
      <c r="AH257" s="525"/>
      <c r="AI257" s="525"/>
      <c r="AJ257" s="516"/>
      <c r="AK257" s="516"/>
      <c r="AL257" s="516"/>
      <c r="AM257" s="293"/>
      <c r="AO257" t="b">
        <f t="shared" si="112"/>
        <v>0</v>
      </c>
      <c r="AQ257" s="442"/>
      <c r="AS257" s="442"/>
      <c r="AT257" s="613"/>
      <c r="AU257" s="470"/>
      <c r="AV257" s="637"/>
      <c r="AW257" s="637"/>
      <c r="AX257" s="655" t="str">
        <f t="shared" si="114"/>
        <v/>
      </c>
      <c r="AY257" s="655" t="str">
        <f t="shared" si="115"/>
        <v/>
      </c>
      <c r="AZ257" s="655" t="str">
        <f t="shared" si="116"/>
        <v/>
      </c>
      <c r="BA257" s="655" t="str">
        <f t="shared" si="117"/>
        <v/>
      </c>
      <c r="BB257" s="655" t="str">
        <f t="shared" si="118"/>
        <v/>
      </c>
      <c r="BC257" s="655" t="str">
        <f t="shared" si="118"/>
        <v/>
      </c>
    </row>
    <row r="258" spans="1:55" ht="12" customHeight="1">
      <c r="A258" s="56"/>
      <c r="B258" s="56"/>
      <c r="C258" s="56"/>
      <c r="D258" s="56"/>
      <c r="E258" s="56"/>
      <c r="F258" s="56"/>
      <c r="G258" s="56"/>
      <c r="H258" s="57">
        <v>343</v>
      </c>
      <c r="I258" s="58"/>
      <c r="J258" s="59"/>
      <c r="K258" s="60" t="s">
        <v>129</v>
      </c>
      <c r="L258" s="315">
        <f t="shared" ref="L258:AA258" si="181">L259+L260+L261+L262</f>
        <v>195845</v>
      </c>
      <c r="M258" s="315">
        <f t="shared" si="181"/>
        <v>25993.098413962438</v>
      </c>
      <c r="N258" s="337">
        <f t="shared" si="181"/>
        <v>175180</v>
      </c>
      <c r="O258" s="337">
        <f t="shared" si="181"/>
        <v>23250.38157807419</v>
      </c>
      <c r="P258" s="292">
        <f t="shared" si="181"/>
        <v>27900</v>
      </c>
      <c r="Q258" s="292">
        <f t="shared" si="181"/>
        <v>66500</v>
      </c>
      <c r="R258" s="441">
        <f t="shared" si="181"/>
        <v>63650</v>
      </c>
      <c r="S258" s="292">
        <f t="shared" si="181"/>
        <v>26668.48</v>
      </c>
      <c r="T258" s="292"/>
      <c r="U258" s="292" t="b">
        <f t="shared" si="127"/>
        <v>1</v>
      </c>
      <c r="V258" s="469">
        <v>34280</v>
      </c>
      <c r="W258" s="469">
        <f>W259+W260+W261+W262</f>
        <v>81330</v>
      </c>
      <c r="X258" s="522">
        <f>X259+X260+X261+X262</f>
        <v>117950</v>
      </c>
      <c r="Y258" s="522"/>
      <c r="Z258" s="522">
        <f t="shared" si="181"/>
        <v>0</v>
      </c>
      <c r="AA258" s="522">
        <f t="shared" si="181"/>
        <v>0</v>
      </c>
      <c r="AB258" s="523">
        <f>AB259+AB260+AB261+AB262</f>
        <v>28900</v>
      </c>
      <c r="AC258" s="523">
        <f>AC259+AC260+AC261+AC262</f>
        <v>28900</v>
      </c>
      <c r="AD258" s="524">
        <f>O258/M258*100</f>
        <v>89.448288187086717</v>
      </c>
      <c r="AE258" s="524">
        <f>P258/O258*100</f>
        <v>119.99803059710015</v>
      </c>
      <c r="AF258" s="524">
        <f>Q258/P258*100</f>
        <v>238.35125448028674</v>
      </c>
      <c r="AG258" s="524">
        <f>AB258/Q258*100</f>
        <v>43.458646616541351</v>
      </c>
      <c r="AH258" s="522"/>
      <c r="AI258" s="522">
        <v>117950</v>
      </c>
      <c r="AJ258" s="516">
        <f>W258/R258*100</f>
        <v>127.77690494893952</v>
      </c>
      <c r="AK258" s="516">
        <f>AT258/W258*100</f>
        <v>122.64846919955737</v>
      </c>
      <c r="AL258" s="516">
        <f>X258/AT258*100</f>
        <v>118.24561403508771</v>
      </c>
      <c r="AM258" s="292"/>
      <c r="AO258" t="b">
        <f t="shared" si="112"/>
        <v>1</v>
      </c>
      <c r="AP258" s="440">
        <f>AP259+AP260+AP261+AP262</f>
        <v>33800.120000000003</v>
      </c>
      <c r="AQ258" s="441">
        <v>35494.46</v>
      </c>
      <c r="AR258" s="440">
        <f>AR259+AR260+AR261+AR262</f>
        <v>33800.120000000003</v>
      </c>
      <c r="AS258" s="441">
        <f>AS259+AS260+AS261+AS262</f>
        <v>17778.91</v>
      </c>
      <c r="AT258" s="612">
        <f>AT259+AT260+AT261+AT262</f>
        <v>99750</v>
      </c>
      <c r="AU258" s="469">
        <f>AU259+AU260+AU261+AU262</f>
        <v>100750</v>
      </c>
      <c r="AV258" s="636">
        <v>117950</v>
      </c>
      <c r="AW258" s="636">
        <v>117950</v>
      </c>
      <c r="AX258" s="655">
        <f t="shared" si="114"/>
        <v>156.71641791044777</v>
      </c>
      <c r="AY258" s="655">
        <f t="shared" si="115"/>
        <v>281.02977197004833</v>
      </c>
      <c r="AZ258" s="655">
        <f t="shared" si="116"/>
        <v>101.00250626566417</v>
      </c>
      <c r="BA258" s="655">
        <f t="shared" si="117"/>
        <v>283.84711304242973</v>
      </c>
      <c r="BB258" s="655">
        <f t="shared" si="118"/>
        <v>117.07196029776674</v>
      </c>
      <c r="BC258" s="655">
        <f t="shared" si="118"/>
        <v>100</v>
      </c>
    </row>
    <row r="259" spans="1:55" ht="12" customHeight="1">
      <c r="A259" s="36"/>
      <c r="B259" s="36"/>
      <c r="C259" s="36"/>
      <c r="D259" s="36"/>
      <c r="E259" s="36"/>
      <c r="F259" s="36"/>
      <c r="G259" s="36"/>
      <c r="H259" s="46">
        <v>3431</v>
      </c>
      <c r="I259" s="38"/>
      <c r="J259" s="39"/>
      <c r="K259" s="40" t="s">
        <v>130</v>
      </c>
      <c r="L259" s="309">
        <f t="shared" ref="L259:S259" si="182">L481+L1044+L1107+L1169</f>
        <v>59738</v>
      </c>
      <c r="M259" s="309">
        <f t="shared" si="182"/>
        <v>7928.5951290729308</v>
      </c>
      <c r="N259" s="339">
        <f t="shared" si="182"/>
        <v>53441</v>
      </c>
      <c r="O259" s="339">
        <f t="shared" si="182"/>
        <v>7092.8396044860301</v>
      </c>
      <c r="P259" s="294">
        <f t="shared" si="182"/>
        <v>8100</v>
      </c>
      <c r="Q259" s="294">
        <f t="shared" si="182"/>
        <v>9500</v>
      </c>
      <c r="R259" s="443">
        <f t="shared" si="182"/>
        <v>9668</v>
      </c>
      <c r="S259" s="294">
        <f t="shared" si="182"/>
        <v>7326</v>
      </c>
      <c r="T259" s="294"/>
      <c r="U259" s="292" t="b">
        <f t="shared" si="127"/>
        <v>1</v>
      </c>
      <c r="V259" s="471">
        <v>10280</v>
      </c>
      <c r="W259" s="471">
        <f>W481+W1044+W1107+W1169</f>
        <v>12330</v>
      </c>
      <c r="X259" s="527">
        <f>X481+X1044+X1107+X1169</f>
        <v>13950</v>
      </c>
      <c r="Y259" s="527"/>
      <c r="Z259" s="527">
        <f>Z481+Z1044+Z1107+Z1169</f>
        <v>0</v>
      </c>
      <c r="AA259" s="527">
        <f>AA481+AA1044+AA1107+AA1169</f>
        <v>0</v>
      </c>
      <c r="AB259" s="528">
        <f>AB481+AB1044+AB1107+AB1169</f>
        <v>8200</v>
      </c>
      <c r="AC259" s="528">
        <f>AC481+AC1044+AC1107+AC1169</f>
        <v>8200</v>
      </c>
      <c r="AD259" s="524">
        <f>O259/M259*100</f>
        <v>89.458970839331741</v>
      </c>
      <c r="AE259" s="524">
        <f>P259/O259*100</f>
        <v>114.19967814973523</v>
      </c>
      <c r="AF259" s="524">
        <f>Q259/P259*100</f>
        <v>117.28395061728396</v>
      </c>
      <c r="AG259" s="524">
        <f>AB259/Q259*100</f>
        <v>86.31578947368422</v>
      </c>
      <c r="AH259" s="527"/>
      <c r="AI259" s="527">
        <v>13950</v>
      </c>
      <c r="AJ259" s="516">
        <f>W259/R259*100</f>
        <v>127.53413322300374</v>
      </c>
      <c r="AK259" s="516">
        <f>AT259/W259*100</f>
        <v>103.40632603406326</v>
      </c>
      <c r="AL259" s="516">
        <f>X259/AT259*100</f>
        <v>109.41176470588236</v>
      </c>
      <c r="AM259" s="294"/>
      <c r="AO259" t="b">
        <f t="shared" si="112"/>
        <v>1</v>
      </c>
      <c r="AP259" s="462">
        <f>AP481+AP1044+AP1107+AP1169</f>
        <v>9747.94</v>
      </c>
      <c r="AQ259" s="443">
        <v>11442.28</v>
      </c>
      <c r="AR259" s="462">
        <f>AR481+AR1044+AR1107+AR1169</f>
        <v>9747.94</v>
      </c>
      <c r="AS259" s="443">
        <f>AS481+AS1044+AS1107+AS1169</f>
        <v>7038.04</v>
      </c>
      <c r="AT259" s="613">
        <f>AT481+AT1044+AT1107+AT1169</f>
        <v>12750</v>
      </c>
      <c r="AU259" s="471">
        <f>AU481+AU1044+AU1107+AU1169</f>
        <v>14750</v>
      </c>
      <c r="AV259" s="638">
        <v>13950</v>
      </c>
      <c r="AW259" s="638">
        <v>13950</v>
      </c>
      <c r="AX259" s="655">
        <f t="shared" si="114"/>
        <v>131.87836160529582</v>
      </c>
      <c r="AY259" s="655">
        <f t="shared" si="115"/>
        <v>111.42884110509443</v>
      </c>
      <c r="AZ259" s="655">
        <f t="shared" si="116"/>
        <v>115.68627450980394</v>
      </c>
      <c r="BA259" s="655">
        <f t="shared" si="117"/>
        <v>128.90787500393276</v>
      </c>
      <c r="BB259" s="655">
        <f t="shared" si="118"/>
        <v>94.576271186440678</v>
      </c>
      <c r="BC259" s="655">
        <f t="shared" si="118"/>
        <v>100</v>
      </c>
    </row>
    <row r="260" spans="1:55" ht="12" customHeight="1">
      <c r="A260" s="36"/>
      <c r="B260" s="36"/>
      <c r="C260" s="36"/>
      <c r="D260" s="36"/>
      <c r="E260" s="36"/>
      <c r="F260" s="36"/>
      <c r="G260" s="36"/>
      <c r="H260" s="46">
        <v>3432</v>
      </c>
      <c r="I260" s="38"/>
      <c r="J260" s="39"/>
      <c r="K260" s="40" t="s">
        <v>131</v>
      </c>
      <c r="L260" s="309"/>
      <c r="M260" s="309"/>
      <c r="N260" s="339"/>
      <c r="O260" s="339"/>
      <c r="P260" s="294"/>
      <c r="Q260" s="294"/>
      <c r="R260" s="443"/>
      <c r="S260" s="294"/>
      <c r="T260" s="294"/>
      <c r="U260" s="292" t="b">
        <f t="shared" si="127"/>
        <v>0</v>
      </c>
      <c r="V260" s="471"/>
      <c r="W260" s="471"/>
      <c r="X260" s="527"/>
      <c r="Y260" s="527"/>
      <c r="Z260" s="527"/>
      <c r="AA260" s="527"/>
      <c r="AB260" s="528"/>
      <c r="AC260" s="528"/>
      <c r="AD260" s="524"/>
      <c r="AE260" s="524"/>
      <c r="AF260" s="524"/>
      <c r="AG260" s="524"/>
      <c r="AH260" s="527"/>
      <c r="AI260" s="527"/>
      <c r="AJ260" s="516"/>
      <c r="AK260" s="516"/>
      <c r="AL260" s="516"/>
      <c r="AM260" s="294"/>
      <c r="AO260" t="b">
        <f t="shared" si="112"/>
        <v>0</v>
      </c>
      <c r="AQ260" s="443"/>
      <c r="AS260" s="443"/>
      <c r="AT260" s="613"/>
      <c r="AU260" s="471"/>
      <c r="AV260" s="638"/>
      <c r="AW260" s="638"/>
      <c r="AX260" s="655" t="str">
        <f t="shared" si="114"/>
        <v/>
      </c>
      <c r="AY260" s="655" t="str">
        <f t="shared" si="115"/>
        <v/>
      </c>
      <c r="AZ260" s="655" t="str">
        <f t="shared" si="116"/>
        <v/>
      </c>
      <c r="BA260" s="655" t="str">
        <f t="shared" si="117"/>
        <v/>
      </c>
      <c r="BB260" s="655" t="str">
        <f t="shared" si="118"/>
        <v/>
      </c>
      <c r="BC260" s="655" t="str">
        <f t="shared" si="118"/>
        <v/>
      </c>
    </row>
    <row r="261" spans="1:55" ht="12" customHeight="1">
      <c r="A261" s="36"/>
      <c r="B261" s="36"/>
      <c r="C261" s="36"/>
      <c r="D261" s="36"/>
      <c r="E261" s="36"/>
      <c r="F261" s="36"/>
      <c r="G261" s="36"/>
      <c r="H261" s="46">
        <v>3433</v>
      </c>
      <c r="I261" s="38"/>
      <c r="J261" s="39"/>
      <c r="K261" s="40" t="s">
        <v>132</v>
      </c>
      <c r="L261" s="309">
        <f t="shared" ref="L261:AA261" si="183">L482</f>
        <v>57488</v>
      </c>
      <c r="M261" s="309">
        <f t="shared" si="183"/>
        <v>7629.9688101400225</v>
      </c>
      <c r="N261" s="339">
        <f t="shared" si="183"/>
        <v>2530</v>
      </c>
      <c r="O261" s="339">
        <f t="shared" si="183"/>
        <v>335.78870528900387</v>
      </c>
      <c r="P261" s="294">
        <f t="shared" si="183"/>
        <v>4000</v>
      </c>
      <c r="Q261" s="294">
        <f t="shared" si="183"/>
        <v>4000</v>
      </c>
      <c r="R261" s="443">
        <f t="shared" si="183"/>
        <v>537</v>
      </c>
      <c r="S261" s="294">
        <f t="shared" si="183"/>
        <v>537.29999999999995</v>
      </c>
      <c r="T261" s="294"/>
      <c r="U261" s="292" t="b">
        <f t="shared" si="127"/>
        <v>1</v>
      </c>
      <c r="V261" s="471">
        <v>4000</v>
      </c>
      <c r="W261" s="471">
        <f>W482</f>
        <v>4000</v>
      </c>
      <c r="X261" s="527">
        <f>X482</f>
        <v>4000</v>
      </c>
      <c r="Y261" s="527"/>
      <c r="Z261" s="527" t="b">
        <f t="shared" si="183"/>
        <v>0</v>
      </c>
      <c r="AA261" s="527">
        <f t="shared" si="183"/>
        <v>0</v>
      </c>
      <c r="AB261" s="528">
        <f>AB482</f>
        <v>4000</v>
      </c>
      <c r="AC261" s="528">
        <f>AC482</f>
        <v>4000</v>
      </c>
      <c r="AD261" s="524">
        <f>O261/M261*100</f>
        <v>4.4009184525466178</v>
      </c>
      <c r="AE261" s="524"/>
      <c r="AF261" s="524"/>
      <c r="AG261" s="524"/>
      <c r="AH261" s="527"/>
      <c r="AI261" s="527">
        <v>4000</v>
      </c>
      <c r="AJ261" s="516">
        <f>W261/R261*100</f>
        <v>744.87895716946002</v>
      </c>
      <c r="AK261" s="516">
        <f>AT261/W261*100</f>
        <v>100</v>
      </c>
      <c r="AL261" s="516">
        <f>X261/AT261*100</f>
        <v>100</v>
      </c>
      <c r="AM261" s="294"/>
      <c r="AO261" t="b">
        <f t="shared" si="112"/>
        <v>1</v>
      </c>
      <c r="AP261" s="462">
        <f>AP482</f>
        <v>571.34</v>
      </c>
      <c r="AQ261" s="443">
        <v>571.34</v>
      </c>
      <c r="AR261" s="462">
        <f>AR482</f>
        <v>571.34</v>
      </c>
      <c r="AS261" s="443">
        <f>AS482</f>
        <v>590.25</v>
      </c>
      <c r="AT261" s="613">
        <f>AT482</f>
        <v>4000</v>
      </c>
      <c r="AU261" s="471">
        <f>AU482</f>
        <v>2000</v>
      </c>
      <c r="AV261" s="638">
        <v>4000</v>
      </c>
      <c r="AW261" s="638">
        <v>4000</v>
      </c>
      <c r="AX261" s="655">
        <f t="shared" si="114"/>
        <v>744.87895716946002</v>
      </c>
      <c r="AY261" s="655">
        <f t="shared" si="115"/>
        <v>700.10851682010707</v>
      </c>
      <c r="AZ261" s="655">
        <f t="shared" si="116"/>
        <v>50</v>
      </c>
      <c r="BA261" s="655">
        <f t="shared" si="117"/>
        <v>350.05425841005354</v>
      </c>
      <c r="BB261" s="655">
        <f t="shared" si="118"/>
        <v>200</v>
      </c>
      <c r="BC261" s="655">
        <f t="shared" si="118"/>
        <v>100</v>
      </c>
    </row>
    <row r="262" spans="1:55" ht="12" customHeight="1">
      <c r="A262" s="36"/>
      <c r="B262" s="36"/>
      <c r="C262" s="36"/>
      <c r="D262" s="36"/>
      <c r="E262" s="36"/>
      <c r="F262" s="36"/>
      <c r="G262" s="36"/>
      <c r="H262" s="46">
        <v>3434</v>
      </c>
      <c r="I262" s="38"/>
      <c r="J262" s="39"/>
      <c r="K262" s="40" t="s">
        <v>133</v>
      </c>
      <c r="L262" s="309">
        <f t="shared" ref="L262:AA262" si="184">L483+L484+L485</f>
        <v>78619</v>
      </c>
      <c r="M262" s="309">
        <f t="shared" si="184"/>
        <v>10434.534474749486</v>
      </c>
      <c r="N262" s="339">
        <f t="shared" si="184"/>
        <v>119209</v>
      </c>
      <c r="O262" s="339">
        <f t="shared" si="184"/>
        <v>15821.753268299157</v>
      </c>
      <c r="P262" s="294">
        <f t="shared" si="184"/>
        <v>15800</v>
      </c>
      <c r="Q262" s="294">
        <f t="shared" si="184"/>
        <v>53000</v>
      </c>
      <c r="R262" s="443">
        <f t="shared" si="184"/>
        <v>53445</v>
      </c>
      <c r="S262" s="294">
        <f t="shared" si="184"/>
        <v>18805.18</v>
      </c>
      <c r="T262" s="294"/>
      <c r="U262" s="292" t="b">
        <f t="shared" si="127"/>
        <v>1</v>
      </c>
      <c r="V262" s="471">
        <v>20000</v>
      </c>
      <c r="W262" s="471">
        <f>W483+W484+W485</f>
        <v>65000</v>
      </c>
      <c r="X262" s="527">
        <f>X483+X484+X485</f>
        <v>100000</v>
      </c>
      <c r="Y262" s="527"/>
      <c r="Z262" s="527">
        <f t="shared" si="184"/>
        <v>0</v>
      </c>
      <c r="AA262" s="527">
        <f t="shared" si="184"/>
        <v>0</v>
      </c>
      <c r="AB262" s="528">
        <f>AB483+AB484+AB485</f>
        <v>16700</v>
      </c>
      <c r="AC262" s="528">
        <f>AC483+AC484+AC485</f>
        <v>16700</v>
      </c>
      <c r="AD262" s="524">
        <f>O262/M262*100</f>
        <v>151.62874114399827</v>
      </c>
      <c r="AE262" s="524">
        <f>P262/O262*100</f>
        <v>99.862510380927617</v>
      </c>
      <c r="AF262" s="524">
        <f>Q262/P262*100</f>
        <v>335.44303797468353</v>
      </c>
      <c r="AG262" s="524">
        <f>AB262/Q262*100</f>
        <v>31.509433962264151</v>
      </c>
      <c r="AH262" s="527"/>
      <c r="AI262" s="527">
        <v>100000</v>
      </c>
      <c r="AJ262" s="516">
        <f>W262/R262*100</f>
        <v>121.62035737674243</v>
      </c>
      <c r="AK262" s="516">
        <f>AT262/W262*100</f>
        <v>127.69230769230768</v>
      </c>
      <c r="AL262" s="516">
        <f>X262/AT262*100</f>
        <v>120.48192771084338</v>
      </c>
      <c r="AM262" s="294"/>
      <c r="AO262" t="b">
        <f t="shared" si="112"/>
        <v>1</v>
      </c>
      <c r="AP262" s="462">
        <f>AP483+AP484+AP485</f>
        <v>23480.84</v>
      </c>
      <c r="AQ262" s="443">
        <v>23480.84</v>
      </c>
      <c r="AR262" s="462">
        <f>AR483+AR484+AR485</f>
        <v>23480.84</v>
      </c>
      <c r="AS262" s="443">
        <f>AS483+AS484+AS485</f>
        <v>10150.619999999999</v>
      </c>
      <c r="AT262" s="613">
        <f>AT483+AT484+AT485</f>
        <v>83000</v>
      </c>
      <c r="AU262" s="471">
        <f>AU483+AU484+AU485</f>
        <v>84000</v>
      </c>
      <c r="AV262" s="638">
        <v>100000</v>
      </c>
      <c r="AW262" s="638">
        <v>100000</v>
      </c>
      <c r="AX262" s="655">
        <f t="shared" si="114"/>
        <v>155.29984095799421</v>
      </c>
      <c r="AY262" s="655">
        <f t="shared" si="115"/>
        <v>353.47968812018649</v>
      </c>
      <c r="AZ262" s="655">
        <f t="shared" si="116"/>
        <v>101.20481927710843</v>
      </c>
      <c r="BA262" s="655">
        <f t="shared" si="117"/>
        <v>357.73847954332132</v>
      </c>
      <c r="BB262" s="655">
        <f t="shared" si="118"/>
        <v>119.04761904761905</v>
      </c>
      <c r="BC262" s="655">
        <f t="shared" si="118"/>
        <v>100</v>
      </c>
    </row>
    <row r="263" spans="1:55" ht="12" customHeight="1">
      <c r="A263" s="20"/>
      <c r="B263" s="20"/>
      <c r="C263" s="20"/>
      <c r="D263" s="20"/>
      <c r="E263" s="20"/>
      <c r="F263" s="20"/>
      <c r="G263" s="20"/>
      <c r="H263" s="16"/>
      <c r="I263" s="17"/>
      <c r="J263" s="18"/>
      <c r="K263" s="19"/>
      <c r="L263" s="313"/>
      <c r="M263" s="313"/>
      <c r="N263" s="335"/>
      <c r="O263" s="335"/>
      <c r="P263" s="290"/>
      <c r="Q263" s="290"/>
      <c r="R263" s="439"/>
      <c r="S263" s="290"/>
      <c r="T263" s="290"/>
      <c r="U263" s="292" t="b">
        <f t="shared" si="127"/>
        <v>0</v>
      </c>
      <c r="V263" s="467"/>
      <c r="W263" s="467"/>
      <c r="X263" s="514"/>
      <c r="Y263" s="514"/>
      <c r="Z263" s="514"/>
      <c r="AA263" s="514"/>
      <c r="AB263" s="515"/>
      <c r="AC263" s="515"/>
      <c r="AD263" s="524"/>
      <c r="AE263" s="524"/>
      <c r="AF263" s="524"/>
      <c r="AG263" s="524"/>
      <c r="AH263" s="514"/>
      <c r="AI263" s="514"/>
      <c r="AJ263" s="516"/>
      <c r="AK263" s="516"/>
      <c r="AL263" s="516"/>
      <c r="AM263" s="290"/>
      <c r="AO263" t="b">
        <f t="shared" si="112"/>
        <v>0</v>
      </c>
      <c r="AQ263" s="439"/>
      <c r="AS263" s="439"/>
      <c r="AT263" s="612"/>
      <c r="AU263" s="467"/>
      <c r="AV263" s="632"/>
      <c r="AW263" s="632"/>
      <c r="AX263" s="655" t="str">
        <f t="shared" si="114"/>
        <v/>
      </c>
      <c r="AY263" s="655" t="str">
        <f t="shared" si="115"/>
        <v/>
      </c>
      <c r="AZ263" s="655" t="str">
        <f t="shared" si="116"/>
        <v/>
      </c>
      <c r="BA263" s="655" t="str">
        <f t="shared" si="117"/>
        <v/>
      </c>
      <c r="BB263" s="655" t="str">
        <f t="shared" si="118"/>
        <v/>
      </c>
      <c r="BC263" s="655" t="str">
        <f t="shared" si="118"/>
        <v/>
      </c>
    </row>
    <row r="264" spans="1:55" ht="12" customHeight="1">
      <c r="A264" s="47"/>
      <c r="B264" s="47"/>
      <c r="C264" s="47"/>
      <c r="D264" s="47"/>
      <c r="E264" s="47"/>
      <c r="F264" s="47"/>
      <c r="G264" s="47"/>
      <c r="H264" s="48">
        <v>35</v>
      </c>
      <c r="I264" s="49"/>
      <c r="J264" s="50"/>
      <c r="K264" s="51" t="s">
        <v>134</v>
      </c>
      <c r="L264" s="315">
        <f t="shared" ref="L264:AA264" si="185">L266</f>
        <v>0</v>
      </c>
      <c r="M264" s="315">
        <f t="shared" si="185"/>
        <v>0</v>
      </c>
      <c r="N264" s="337">
        <f t="shared" si="185"/>
        <v>0</v>
      </c>
      <c r="O264" s="337">
        <f t="shared" si="185"/>
        <v>0</v>
      </c>
      <c r="P264" s="292">
        <f t="shared" si="185"/>
        <v>0</v>
      </c>
      <c r="Q264" s="292">
        <f t="shared" si="185"/>
        <v>0</v>
      </c>
      <c r="R264" s="441">
        <f t="shared" si="185"/>
        <v>0</v>
      </c>
      <c r="S264" s="292">
        <f t="shared" si="185"/>
        <v>0</v>
      </c>
      <c r="T264" s="292"/>
      <c r="U264" s="292" t="b">
        <f t="shared" si="127"/>
        <v>1</v>
      </c>
      <c r="V264" s="469">
        <v>5000</v>
      </c>
      <c r="W264" s="469">
        <f>W266</f>
        <v>0</v>
      </c>
      <c r="X264" s="522">
        <f>X266</f>
        <v>7000</v>
      </c>
      <c r="Y264" s="522"/>
      <c r="Z264" s="522">
        <f t="shared" si="185"/>
        <v>0</v>
      </c>
      <c r="AA264" s="522">
        <f t="shared" si="185"/>
        <v>0</v>
      </c>
      <c r="AB264" s="523">
        <f>AB266</f>
        <v>5000</v>
      </c>
      <c r="AC264" s="523">
        <f>AC266</f>
        <v>5000</v>
      </c>
      <c r="AD264" s="524"/>
      <c r="AE264" s="524"/>
      <c r="AF264" s="524"/>
      <c r="AG264" s="524"/>
      <c r="AH264" s="522"/>
      <c r="AI264" s="522">
        <v>7000</v>
      </c>
      <c r="AJ264" s="516"/>
      <c r="AK264" s="516"/>
      <c r="AL264" s="516">
        <f>X264/AT264*100</f>
        <v>100</v>
      </c>
      <c r="AM264" s="292"/>
      <c r="AO264" t="b">
        <f t="shared" si="112"/>
        <v>1</v>
      </c>
      <c r="AP264" s="440">
        <f>AP266</f>
        <v>0</v>
      </c>
      <c r="AQ264" s="441">
        <v>0</v>
      </c>
      <c r="AR264" s="440">
        <f>AR266</f>
        <v>0</v>
      </c>
      <c r="AS264" s="441">
        <f>AS266</f>
        <v>0</v>
      </c>
      <c r="AT264" s="612">
        <f>AT266</f>
        <v>7000</v>
      </c>
      <c r="AU264" s="469">
        <f>AU266</f>
        <v>1000</v>
      </c>
      <c r="AV264" s="636">
        <v>7000</v>
      </c>
      <c r="AW264" s="636">
        <v>7000</v>
      </c>
      <c r="AX264" s="655" t="str">
        <f t="shared" si="114"/>
        <v/>
      </c>
      <c r="AY264" s="655" t="str">
        <f t="shared" si="115"/>
        <v/>
      </c>
      <c r="AZ264" s="655">
        <f t="shared" si="116"/>
        <v>14.285714285714285</v>
      </c>
      <c r="BA264" s="655" t="str">
        <f t="shared" si="117"/>
        <v/>
      </c>
      <c r="BB264" s="655">
        <f t="shared" si="118"/>
        <v>700</v>
      </c>
      <c r="BC264" s="655">
        <f t="shared" si="118"/>
        <v>100</v>
      </c>
    </row>
    <row r="265" spans="1:55" ht="12" customHeight="1">
      <c r="A265" s="36"/>
      <c r="B265" s="36"/>
      <c r="C265" s="36"/>
      <c r="D265" s="36"/>
      <c r="E265" s="36"/>
      <c r="F265" s="36"/>
      <c r="G265" s="36"/>
      <c r="H265" s="46"/>
      <c r="I265" s="38"/>
      <c r="J265" s="39"/>
      <c r="K265" s="40"/>
      <c r="L265" s="309"/>
      <c r="M265" s="309"/>
      <c r="N265" s="339"/>
      <c r="O265" s="339"/>
      <c r="P265" s="294"/>
      <c r="Q265" s="294"/>
      <c r="R265" s="443"/>
      <c r="S265" s="294"/>
      <c r="T265" s="294"/>
      <c r="U265" s="292" t="b">
        <f t="shared" si="127"/>
        <v>0</v>
      </c>
      <c r="V265" s="471"/>
      <c r="W265" s="471"/>
      <c r="X265" s="527"/>
      <c r="Y265" s="527"/>
      <c r="Z265" s="527"/>
      <c r="AA265" s="527"/>
      <c r="AB265" s="528"/>
      <c r="AC265" s="528"/>
      <c r="AD265" s="524"/>
      <c r="AE265" s="524"/>
      <c r="AF265" s="524"/>
      <c r="AG265" s="524"/>
      <c r="AH265" s="527"/>
      <c r="AI265" s="527"/>
      <c r="AJ265" s="516"/>
      <c r="AK265" s="516"/>
      <c r="AL265" s="516"/>
      <c r="AM265" s="294"/>
      <c r="AO265" t="b">
        <f t="shared" si="112"/>
        <v>0</v>
      </c>
      <c r="AQ265" s="443"/>
      <c r="AS265" s="443"/>
      <c r="AT265" s="613"/>
      <c r="AU265" s="471"/>
      <c r="AV265" s="638"/>
      <c r="AW265" s="638"/>
      <c r="AX265" s="655" t="str">
        <f t="shared" si="114"/>
        <v/>
      </c>
      <c r="AY265" s="655" t="str">
        <f t="shared" si="115"/>
        <v/>
      </c>
      <c r="AZ265" s="655" t="str">
        <f t="shared" si="116"/>
        <v/>
      </c>
      <c r="BA265" s="655" t="str">
        <f t="shared" si="117"/>
        <v/>
      </c>
      <c r="BB265" s="655" t="str">
        <f t="shared" si="118"/>
        <v/>
      </c>
      <c r="BC265" s="655" t="str">
        <f t="shared" si="118"/>
        <v/>
      </c>
    </row>
    <row r="266" spans="1:55" ht="12" customHeight="1">
      <c r="A266" s="56"/>
      <c r="B266" s="56"/>
      <c r="C266" s="56"/>
      <c r="D266" s="56"/>
      <c r="E266" s="56"/>
      <c r="F266" s="56"/>
      <c r="G266" s="56"/>
      <c r="H266" s="57">
        <v>352</v>
      </c>
      <c r="I266" s="58"/>
      <c r="J266" s="59"/>
      <c r="K266" s="60" t="s">
        <v>135</v>
      </c>
      <c r="L266" s="315">
        <f t="shared" ref="L266:AC266" si="186">L267</f>
        <v>0</v>
      </c>
      <c r="M266" s="315">
        <f t="shared" si="186"/>
        <v>0</v>
      </c>
      <c r="N266" s="337">
        <f t="shared" si="186"/>
        <v>0</v>
      </c>
      <c r="O266" s="337">
        <f t="shared" si="186"/>
        <v>0</v>
      </c>
      <c r="P266" s="292">
        <f t="shared" si="186"/>
        <v>0</v>
      </c>
      <c r="Q266" s="292">
        <f t="shared" si="186"/>
        <v>0</v>
      </c>
      <c r="R266" s="441">
        <f t="shared" si="186"/>
        <v>0</v>
      </c>
      <c r="S266" s="292">
        <f t="shared" si="186"/>
        <v>0</v>
      </c>
      <c r="T266" s="292"/>
      <c r="U266" s="292" t="b">
        <f t="shared" si="127"/>
        <v>1</v>
      </c>
      <c r="V266" s="469">
        <v>5000</v>
      </c>
      <c r="W266" s="469">
        <f t="shared" si="186"/>
        <v>0</v>
      </c>
      <c r="X266" s="522">
        <f t="shared" si="186"/>
        <v>7000</v>
      </c>
      <c r="Y266" s="522"/>
      <c r="Z266" s="522">
        <f t="shared" si="186"/>
        <v>0</v>
      </c>
      <c r="AA266" s="522">
        <f t="shared" si="186"/>
        <v>0</v>
      </c>
      <c r="AB266" s="523">
        <f t="shared" si="186"/>
        <v>5000</v>
      </c>
      <c r="AC266" s="523">
        <f t="shared" si="186"/>
        <v>5000</v>
      </c>
      <c r="AD266" s="524"/>
      <c r="AE266" s="524"/>
      <c r="AF266" s="524"/>
      <c r="AG266" s="524"/>
      <c r="AH266" s="522"/>
      <c r="AI266" s="522">
        <v>7000</v>
      </c>
      <c r="AJ266" s="516"/>
      <c r="AK266" s="516"/>
      <c r="AL266" s="516">
        <f>X266/AT266*100</f>
        <v>100</v>
      </c>
      <c r="AM266" s="292"/>
      <c r="AO266" t="b">
        <f t="shared" ref="AO266:AO329" si="187">__xlfn.ISFORMULA(AT266)</f>
        <v>1</v>
      </c>
      <c r="AP266" s="440">
        <f t="shared" ref="AP266:AU266" si="188">AP267</f>
        <v>0</v>
      </c>
      <c r="AQ266" s="441">
        <v>0</v>
      </c>
      <c r="AR266" s="440">
        <f>AR267</f>
        <v>0</v>
      </c>
      <c r="AS266" s="441">
        <f t="shared" si="188"/>
        <v>0</v>
      </c>
      <c r="AT266" s="612">
        <f>AT267</f>
        <v>7000</v>
      </c>
      <c r="AU266" s="469">
        <f t="shared" si="188"/>
        <v>1000</v>
      </c>
      <c r="AV266" s="636">
        <v>7000</v>
      </c>
      <c r="AW266" s="636">
        <v>7000</v>
      </c>
      <c r="AX266" s="655" t="str">
        <f t="shared" si="114"/>
        <v/>
      </c>
      <c r="AY266" s="655" t="str">
        <f t="shared" si="115"/>
        <v/>
      </c>
      <c r="AZ266" s="655">
        <f t="shared" si="116"/>
        <v>14.285714285714285</v>
      </c>
      <c r="BA266" s="655" t="str">
        <f t="shared" si="117"/>
        <v/>
      </c>
      <c r="BB266" s="655">
        <f t="shared" si="118"/>
        <v>700</v>
      </c>
      <c r="BC266" s="655">
        <f t="shared" si="118"/>
        <v>100</v>
      </c>
    </row>
    <row r="267" spans="1:55" ht="12" customHeight="1">
      <c r="A267" s="36"/>
      <c r="B267" s="36"/>
      <c r="C267" s="36"/>
      <c r="D267" s="36"/>
      <c r="E267" s="36"/>
      <c r="F267" s="36"/>
      <c r="G267" s="36"/>
      <c r="H267" s="46">
        <v>3523</v>
      </c>
      <c r="I267" s="38"/>
      <c r="J267" s="39"/>
      <c r="K267" s="40" t="s">
        <v>136</v>
      </c>
      <c r="L267" s="309">
        <f t="shared" ref="L267:AA267" si="189">L529+L530+L531</f>
        <v>0</v>
      </c>
      <c r="M267" s="309">
        <f t="shared" si="189"/>
        <v>0</v>
      </c>
      <c r="N267" s="339">
        <f t="shared" si="189"/>
        <v>0</v>
      </c>
      <c r="O267" s="339">
        <f t="shared" si="189"/>
        <v>0</v>
      </c>
      <c r="P267" s="294">
        <f t="shared" si="189"/>
        <v>0</v>
      </c>
      <c r="Q267" s="294">
        <f t="shared" si="189"/>
        <v>0</v>
      </c>
      <c r="R267" s="443">
        <f t="shared" si="189"/>
        <v>0</v>
      </c>
      <c r="S267" s="294">
        <f t="shared" si="189"/>
        <v>0</v>
      </c>
      <c r="T267" s="294"/>
      <c r="U267" s="292" t="b">
        <f t="shared" si="127"/>
        <v>1</v>
      </c>
      <c r="V267" s="471">
        <v>5000</v>
      </c>
      <c r="W267" s="471">
        <f>W529+W530+W531</f>
        <v>0</v>
      </c>
      <c r="X267" s="527">
        <f>X529+X530+X531</f>
        <v>7000</v>
      </c>
      <c r="Y267" s="527"/>
      <c r="Z267" s="527">
        <f t="shared" si="189"/>
        <v>0</v>
      </c>
      <c r="AA267" s="527">
        <f t="shared" si="189"/>
        <v>0</v>
      </c>
      <c r="AB267" s="528">
        <f>AB529+AB530+AB531</f>
        <v>5000</v>
      </c>
      <c r="AC267" s="528">
        <f>AC529+AC530+AC531</f>
        <v>5000</v>
      </c>
      <c r="AD267" s="524"/>
      <c r="AE267" s="524"/>
      <c r="AF267" s="524"/>
      <c r="AG267" s="524"/>
      <c r="AH267" s="527"/>
      <c r="AI267" s="527">
        <v>7000</v>
      </c>
      <c r="AJ267" s="516"/>
      <c r="AK267" s="516"/>
      <c r="AL267" s="516">
        <f>X267/AT267*100</f>
        <v>100</v>
      </c>
      <c r="AM267" s="294"/>
      <c r="AO267" t="b">
        <f t="shared" si="187"/>
        <v>1</v>
      </c>
      <c r="AP267" s="462">
        <f>AP529+AP530+AP531</f>
        <v>0</v>
      </c>
      <c r="AQ267" s="443">
        <v>0</v>
      </c>
      <c r="AR267" s="462">
        <f>AR529+AR530+AR531</f>
        <v>0</v>
      </c>
      <c r="AS267" s="443">
        <f>AS529+AS530+AS531</f>
        <v>0</v>
      </c>
      <c r="AT267" s="613">
        <f>AT529+AT530+AT531</f>
        <v>7000</v>
      </c>
      <c r="AU267" s="471">
        <f>AU529+AU530+AU531</f>
        <v>1000</v>
      </c>
      <c r="AV267" s="638">
        <v>7000</v>
      </c>
      <c r="AW267" s="638">
        <v>7000</v>
      </c>
      <c r="AX267" s="655" t="str">
        <f t="shared" ref="AX267:AX330" si="190">IF(AND(ISNUMBER(AT267), ISNUMBER(R267), R267&lt;&gt;0), (AT267/R267)*100, "")</f>
        <v/>
      </c>
      <c r="AY267" s="655" t="str">
        <f t="shared" ref="AY267:AY330" si="191">IF(AND(ISNUMBER(AT267), ISNUMBER(AQ267), AQ267&lt;&gt;0), (AT267/AQ267)*100, "")</f>
        <v/>
      </c>
      <c r="AZ267" s="655">
        <f t="shared" ref="AZ267:AZ330" si="192">IF(AND(ISNUMBER(AU267), ISNUMBER(AT267), AT267&lt;&gt;0), (AU267/AT267)*100, "")</f>
        <v>14.285714285714285</v>
      </c>
      <c r="BA267" s="655" t="str">
        <f t="shared" ref="BA267:BA330" si="193">IF(AND(ISNUMBER(AU267), ISNUMBER(AQ267), AQ267&lt;&gt;0), (AU267/AQ267)*100, "")</f>
        <v/>
      </c>
      <c r="BB267" s="655">
        <f t="shared" ref="BB267:BC330" si="194">IF(AND(ISNUMBER(AV267), ISNUMBER(AU267), AU267&lt;&gt;0), (AV267/AU267)*100, "")</f>
        <v>700</v>
      </c>
      <c r="BC267" s="655">
        <f t="shared" si="194"/>
        <v>100</v>
      </c>
    </row>
    <row r="268" spans="1:55" ht="12" customHeight="1">
      <c r="A268" s="36"/>
      <c r="B268" s="36"/>
      <c r="C268" s="36"/>
      <c r="D268" s="36"/>
      <c r="E268" s="36"/>
      <c r="F268" s="36"/>
      <c r="G268" s="36"/>
      <c r="H268" s="46"/>
      <c r="I268" s="38"/>
      <c r="J268" s="39"/>
      <c r="K268" s="40"/>
      <c r="L268" s="309"/>
      <c r="M268" s="309"/>
      <c r="N268" s="339"/>
      <c r="O268" s="339"/>
      <c r="P268" s="294"/>
      <c r="Q268" s="294"/>
      <c r="R268" s="443"/>
      <c r="S268" s="294"/>
      <c r="T268" s="294"/>
      <c r="U268" s="292" t="b">
        <f t="shared" si="127"/>
        <v>0</v>
      </c>
      <c r="V268" s="471"/>
      <c r="W268" s="471"/>
      <c r="X268" s="527"/>
      <c r="Y268" s="527"/>
      <c r="Z268" s="527"/>
      <c r="AA268" s="527"/>
      <c r="AB268" s="528"/>
      <c r="AC268" s="528"/>
      <c r="AD268" s="524"/>
      <c r="AE268" s="524"/>
      <c r="AF268" s="524"/>
      <c r="AG268" s="524"/>
      <c r="AH268" s="527"/>
      <c r="AI268" s="527"/>
      <c r="AJ268" s="516"/>
      <c r="AK268" s="516"/>
      <c r="AL268" s="516"/>
      <c r="AM268" s="294"/>
      <c r="AO268" t="b">
        <f t="shared" si="187"/>
        <v>0</v>
      </c>
      <c r="AQ268" s="443"/>
      <c r="AS268" s="443"/>
      <c r="AT268" s="613"/>
      <c r="AU268" s="471"/>
      <c r="AV268" s="638"/>
      <c r="AW268" s="638"/>
      <c r="AX268" s="655" t="str">
        <f t="shared" si="190"/>
        <v/>
      </c>
      <c r="AY268" s="655" t="str">
        <f t="shared" si="191"/>
        <v/>
      </c>
      <c r="AZ268" s="655" t="str">
        <f t="shared" si="192"/>
        <v/>
      </c>
      <c r="BA268" s="655" t="str">
        <f t="shared" si="193"/>
        <v/>
      </c>
      <c r="BB268" s="655" t="str">
        <f t="shared" si="194"/>
        <v/>
      </c>
      <c r="BC268" s="655" t="str">
        <f t="shared" si="194"/>
        <v/>
      </c>
    </row>
    <row r="269" spans="1:55" ht="12" customHeight="1">
      <c r="A269" s="47"/>
      <c r="B269" s="47"/>
      <c r="C269" s="47"/>
      <c r="D269" s="47"/>
      <c r="E269" s="47"/>
      <c r="F269" s="47"/>
      <c r="G269" s="47"/>
      <c r="H269" s="48">
        <v>36</v>
      </c>
      <c r="I269" s="49"/>
      <c r="J269" s="50"/>
      <c r="K269" s="51" t="s">
        <v>137</v>
      </c>
      <c r="L269" s="315">
        <f t="shared" ref="L269:AA269" si="195">L271+L274</f>
        <v>125225</v>
      </c>
      <c r="M269" s="315">
        <f t="shared" si="195"/>
        <v>16620.213683721548</v>
      </c>
      <c r="N269" s="337">
        <f t="shared" si="195"/>
        <v>123588</v>
      </c>
      <c r="O269" s="337">
        <f t="shared" si="195"/>
        <v>16402.946446346803</v>
      </c>
      <c r="P269" s="292">
        <f t="shared" si="195"/>
        <v>25899.508925608865</v>
      </c>
      <c r="Q269" s="292">
        <f t="shared" si="195"/>
        <v>34100</v>
      </c>
      <c r="R269" s="441">
        <f t="shared" si="195"/>
        <v>22250</v>
      </c>
      <c r="S269" s="292">
        <f t="shared" si="195"/>
        <v>16691.73</v>
      </c>
      <c r="T269" s="292"/>
      <c r="U269" s="292" t="b">
        <f t="shared" si="127"/>
        <v>1</v>
      </c>
      <c r="V269" s="469">
        <v>34130</v>
      </c>
      <c r="W269" s="469">
        <f>W271+W274</f>
        <v>39500</v>
      </c>
      <c r="X269" s="522">
        <f>X271+X274</f>
        <v>42000</v>
      </c>
      <c r="Y269" s="522"/>
      <c r="Z269" s="522">
        <f t="shared" si="195"/>
        <v>2</v>
      </c>
      <c r="AA269" s="522">
        <f t="shared" si="195"/>
        <v>0</v>
      </c>
      <c r="AB269" s="523">
        <f>AB271+AB274</f>
        <v>31500</v>
      </c>
      <c r="AC269" s="523">
        <f>AC271+AC274</f>
        <v>31500</v>
      </c>
      <c r="AD269" s="524">
        <f>O269/M269*100</f>
        <v>98.692753044519861</v>
      </c>
      <c r="AE269" s="524">
        <f>P269/O269*100</f>
        <v>157.89546719746255</v>
      </c>
      <c r="AF269" s="524">
        <f>Q269/P269*100</f>
        <v>131.66272803837865</v>
      </c>
      <c r="AG269" s="524">
        <f>AB269/Q269*100</f>
        <v>92.375366568914956</v>
      </c>
      <c r="AH269" s="522"/>
      <c r="AI269" s="522">
        <v>42000</v>
      </c>
      <c r="AJ269" s="516">
        <f>W269/R269*100</f>
        <v>177.52808988764045</v>
      </c>
      <c r="AK269" s="516">
        <f>AT269/W269*100</f>
        <v>101.26582278481013</v>
      </c>
      <c r="AL269" s="516">
        <f>X269/AT269*100</f>
        <v>105</v>
      </c>
      <c r="AM269" s="292"/>
      <c r="AO269" t="b">
        <f t="shared" si="187"/>
        <v>1</v>
      </c>
      <c r="AP269" s="440">
        <f>AP271+AP274</f>
        <v>34240.369999999995</v>
      </c>
      <c r="AQ269" s="441">
        <v>34240.370000000003</v>
      </c>
      <c r="AR269" s="440">
        <f>AR271+AR274</f>
        <v>34240.369999999995</v>
      </c>
      <c r="AS269" s="441">
        <f>AS271+AS274</f>
        <v>2312.96</v>
      </c>
      <c r="AT269" s="612">
        <f>AT271+AT274</f>
        <v>40000</v>
      </c>
      <c r="AU269" s="469">
        <f>AU271+AU274</f>
        <v>102000</v>
      </c>
      <c r="AV269" s="636">
        <v>42000</v>
      </c>
      <c r="AW269" s="636">
        <v>42000</v>
      </c>
      <c r="AX269" s="655">
        <f t="shared" si="190"/>
        <v>179.77528089887639</v>
      </c>
      <c r="AY269" s="655">
        <f t="shared" si="191"/>
        <v>116.82116752827145</v>
      </c>
      <c r="AZ269" s="655">
        <f t="shared" si="192"/>
        <v>254.99999999999997</v>
      </c>
      <c r="BA269" s="655">
        <f t="shared" si="193"/>
        <v>297.89397719709217</v>
      </c>
      <c r="BB269" s="655">
        <f t="shared" si="194"/>
        <v>41.17647058823529</v>
      </c>
      <c r="BC269" s="655">
        <f t="shared" si="194"/>
        <v>100</v>
      </c>
    </row>
    <row r="270" spans="1:55" ht="12" customHeight="1">
      <c r="A270" s="36"/>
      <c r="B270" s="36"/>
      <c r="C270" s="36"/>
      <c r="D270" s="36"/>
      <c r="E270" s="36"/>
      <c r="F270" s="36"/>
      <c r="G270" s="36"/>
      <c r="H270" s="46"/>
      <c r="I270" s="38"/>
      <c r="J270" s="39"/>
      <c r="K270" s="40"/>
      <c r="L270" s="309"/>
      <c r="M270" s="309"/>
      <c r="N270" s="339"/>
      <c r="O270" s="339"/>
      <c r="P270" s="294"/>
      <c r="Q270" s="294"/>
      <c r="R270" s="443"/>
      <c r="S270" s="294"/>
      <c r="T270" s="294"/>
      <c r="U270" s="292" t="b">
        <f t="shared" si="127"/>
        <v>0</v>
      </c>
      <c r="V270" s="471"/>
      <c r="W270" s="471"/>
      <c r="X270" s="527"/>
      <c r="Y270" s="527"/>
      <c r="Z270" s="527"/>
      <c r="AA270" s="527"/>
      <c r="AB270" s="528"/>
      <c r="AC270" s="528"/>
      <c r="AD270" s="524"/>
      <c r="AE270" s="524"/>
      <c r="AF270" s="524"/>
      <c r="AG270" s="524"/>
      <c r="AH270" s="527"/>
      <c r="AI270" s="527"/>
      <c r="AJ270" s="516"/>
      <c r="AK270" s="516"/>
      <c r="AL270" s="516"/>
      <c r="AM270" s="294"/>
      <c r="AO270" t="b">
        <f t="shared" si="187"/>
        <v>0</v>
      </c>
      <c r="AQ270" s="443"/>
      <c r="AS270" s="443"/>
      <c r="AT270" s="613"/>
      <c r="AU270" s="471"/>
      <c r="AV270" s="638"/>
      <c r="AW270" s="638"/>
      <c r="AX270" s="655" t="str">
        <f t="shared" si="190"/>
        <v/>
      </c>
      <c r="AY270" s="655" t="str">
        <f t="shared" si="191"/>
        <v/>
      </c>
      <c r="AZ270" s="655" t="str">
        <f t="shared" si="192"/>
        <v/>
      </c>
      <c r="BA270" s="655" t="str">
        <f t="shared" si="193"/>
        <v/>
      </c>
      <c r="BB270" s="655" t="str">
        <f t="shared" si="194"/>
        <v/>
      </c>
      <c r="BC270" s="655" t="str">
        <f t="shared" si="194"/>
        <v/>
      </c>
    </row>
    <row r="271" spans="1:55" ht="12" customHeight="1">
      <c r="A271" s="56"/>
      <c r="B271" s="56"/>
      <c r="C271" s="56"/>
      <c r="D271" s="56"/>
      <c r="E271" s="56"/>
      <c r="F271" s="56"/>
      <c r="G271" s="56"/>
      <c r="H271" s="57">
        <v>363</v>
      </c>
      <c r="I271" s="58"/>
      <c r="J271" s="59"/>
      <c r="K271" s="60" t="s">
        <v>138</v>
      </c>
      <c r="L271" s="315">
        <f t="shared" ref="L271:AC271" si="196">L272</f>
        <v>0</v>
      </c>
      <c r="M271" s="315">
        <f t="shared" si="196"/>
        <v>0</v>
      </c>
      <c r="N271" s="337">
        <f t="shared" si="196"/>
        <v>0</v>
      </c>
      <c r="O271" s="337">
        <f t="shared" si="196"/>
        <v>0</v>
      </c>
      <c r="P271" s="292">
        <f t="shared" si="196"/>
        <v>0</v>
      </c>
      <c r="Q271" s="292">
        <f t="shared" si="196"/>
        <v>0</v>
      </c>
      <c r="R271" s="441">
        <f t="shared" si="196"/>
        <v>0</v>
      </c>
      <c r="S271" s="292">
        <f t="shared" si="196"/>
        <v>0</v>
      </c>
      <c r="T271" s="292"/>
      <c r="U271" s="292" t="b">
        <f t="shared" si="127"/>
        <v>1</v>
      </c>
      <c r="V271" s="469">
        <v>0</v>
      </c>
      <c r="W271" s="469">
        <f t="shared" si="196"/>
        <v>0</v>
      </c>
      <c r="X271" s="522">
        <f t="shared" si="196"/>
        <v>0</v>
      </c>
      <c r="Y271" s="522"/>
      <c r="Z271" s="522">
        <f t="shared" si="196"/>
        <v>0</v>
      </c>
      <c r="AA271" s="522">
        <f t="shared" si="196"/>
        <v>0</v>
      </c>
      <c r="AB271" s="523">
        <f t="shared" si="196"/>
        <v>0</v>
      </c>
      <c r="AC271" s="523">
        <f t="shared" si="196"/>
        <v>0</v>
      </c>
      <c r="AD271" s="524"/>
      <c r="AE271" s="524"/>
      <c r="AF271" s="524"/>
      <c r="AG271" s="524"/>
      <c r="AH271" s="522"/>
      <c r="AI271" s="522">
        <v>0</v>
      </c>
      <c r="AJ271" s="516"/>
      <c r="AK271" s="516"/>
      <c r="AL271" s="516"/>
      <c r="AM271" s="292"/>
      <c r="AO271" t="b">
        <f t="shared" si="187"/>
        <v>1</v>
      </c>
      <c r="AP271" s="440">
        <f t="shared" ref="AP271:AU271" si="197">AP272</f>
        <v>0</v>
      </c>
      <c r="AQ271" s="441">
        <v>0</v>
      </c>
      <c r="AR271" s="440">
        <f>AR272</f>
        <v>0</v>
      </c>
      <c r="AS271" s="441">
        <f t="shared" si="197"/>
        <v>0</v>
      </c>
      <c r="AT271" s="612">
        <f>AT272</f>
        <v>0</v>
      </c>
      <c r="AU271" s="469">
        <f t="shared" si="197"/>
        <v>0</v>
      </c>
      <c r="AV271" s="636">
        <v>0</v>
      </c>
      <c r="AW271" s="636">
        <v>0</v>
      </c>
      <c r="AX271" s="655" t="str">
        <f t="shared" si="190"/>
        <v/>
      </c>
      <c r="AY271" s="655" t="str">
        <f t="shared" si="191"/>
        <v/>
      </c>
      <c r="AZ271" s="655" t="str">
        <f t="shared" si="192"/>
        <v/>
      </c>
      <c r="BA271" s="655" t="str">
        <f t="shared" si="193"/>
        <v/>
      </c>
      <c r="BB271" s="655" t="str">
        <f t="shared" si="194"/>
        <v/>
      </c>
      <c r="BC271" s="655" t="str">
        <f t="shared" si="194"/>
        <v/>
      </c>
    </row>
    <row r="272" spans="1:55" ht="12" customHeight="1">
      <c r="A272" s="36"/>
      <c r="B272" s="36"/>
      <c r="C272" s="36"/>
      <c r="D272" s="36"/>
      <c r="E272" s="36"/>
      <c r="F272" s="36"/>
      <c r="G272" s="36"/>
      <c r="H272" s="46">
        <v>3631</v>
      </c>
      <c r="I272" s="38"/>
      <c r="J272" s="39"/>
      <c r="K272" s="40" t="s">
        <v>139</v>
      </c>
      <c r="L272" s="309"/>
      <c r="M272" s="309"/>
      <c r="N272" s="339"/>
      <c r="O272" s="339"/>
      <c r="P272" s="294"/>
      <c r="Q272" s="294"/>
      <c r="R272" s="443"/>
      <c r="S272" s="294"/>
      <c r="T272" s="294"/>
      <c r="U272" s="292" t="b">
        <f t="shared" si="127"/>
        <v>0</v>
      </c>
      <c r="V272" s="471"/>
      <c r="W272" s="471"/>
      <c r="X272" s="527"/>
      <c r="Y272" s="527"/>
      <c r="Z272" s="527"/>
      <c r="AA272" s="527"/>
      <c r="AB272" s="528"/>
      <c r="AC272" s="528"/>
      <c r="AD272" s="524"/>
      <c r="AE272" s="524"/>
      <c r="AF272" s="524"/>
      <c r="AG272" s="524"/>
      <c r="AH272" s="527"/>
      <c r="AI272" s="527"/>
      <c r="AJ272" s="516"/>
      <c r="AK272" s="516"/>
      <c r="AL272" s="516"/>
      <c r="AM272" s="294"/>
      <c r="AO272" t="b">
        <f t="shared" si="187"/>
        <v>0</v>
      </c>
      <c r="AQ272" s="443"/>
      <c r="AS272" s="443"/>
      <c r="AT272" s="613"/>
      <c r="AU272" s="471"/>
      <c r="AV272" s="638"/>
      <c r="AW272" s="638"/>
      <c r="AX272" s="655" t="str">
        <f t="shared" si="190"/>
        <v/>
      </c>
      <c r="AY272" s="655" t="str">
        <f t="shared" si="191"/>
        <v/>
      </c>
      <c r="AZ272" s="655" t="str">
        <f t="shared" si="192"/>
        <v/>
      </c>
      <c r="BA272" s="655" t="str">
        <f t="shared" si="193"/>
        <v/>
      </c>
      <c r="BB272" s="655" t="str">
        <f t="shared" si="194"/>
        <v/>
      </c>
      <c r="BC272" s="655" t="str">
        <f t="shared" si="194"/>
        <v/>
      </c>
    </row>
    <row r="273" spans="1:55" ht="12" customHeight="1">
      <c r="A273" s="36"/>
      <c r="B273" s="36"/>
      <c r="C273" s="36"/>
      <c r="D273" s="36"/>
      <c r="E273" s="36"/>
      <c r="F273" s="36"/>
      <c r="G273" s="36"/>
      <c r="H273" s="253"/>
      <c r="I273" s="254"/>
      <c r="J273" s="208"/>
      <c r="K273" s="255"/>
      <c r="L273" s="309"/>
      <c r="M273" s="309"/>
      <c r="N273" s="339"/>
      <c r="O273" s="339"/>
      <c r="P273" s="294"/>
      <c r="Q273" s="294"/>
      <c r="R273" s="443"/>
      <c r="S273" s="294"/>
      <c r="T273" s="294"/>
      <c r="U273" s="292" t="b">
        <f t="shared" si="127"/>
        <v>0</v>
      </c>
      <c r="V273" s="471"/>
      <c r="W273" s="471"/>
      <c r="X273" s="527"/>
      <c r="Y273" s="527"/>
      <c r="Z273" s="527"/>
      <c r="AA273" s="527"/>
      <c r="AB273" s="528"/>
      <c r="AC273" s="528"/>
      <c r="AD273" s="524"/>
      <c r="AE273" s="524"/>
      <c r="AF273" s="524"/>
      <c r="AG273" s="524"/>
      <c r="AH273" s="527"/>
      <c r="AI273" s="527"/>
      <c r="AJ273" s="516"/>
      <c r="AK273" s="516"/>
      <c r="AL273" s="516"/>
      <c r="AM273" s="294"/>
      <c r="AO273" t="b">
        <f t="shared" si="187"/>
        <v>0</v>
      </c>
      <c r="AQ273" s="443"/>
      <c r="AS273" s="443"/>
      <c r="AT273" s="613"/>
      <c r="AU273" s="471"/>
      <c r="AV273" s="638"/>
      <c r="AW273" s="638"/>
      <c r="AX273" s="655" t="str">
        <f t="shared" si="190"/>
        <v/>
      </c>
      <c r="AY273" s="655" t="str">
        <f t="shared" si="191"/>
        <v/>
      </c>
      <c r="AZ273" s="655" t="str">
        <f t="shared" si="192"/>
        <v/>
      </c>
      <c r="BA273" s="655" t="str">
        <f t="shared" si="193"/>
        <v/>
      </c>
      <c r="BB273" s="655" t="str">
        <f t="shared" si="194"/>
        <v/>
      </c>
      <c r="BC273" s="655" t="str">
        <f t="shared" si="194"/>
        <v/>
      </c>
    </row>
    <row r="274" spans="1:55" ht="12" customHeight="1">
      <c r="A274" s="56"/>
      <c r="B274" s="56"/>
      <c r="C274" s="56"/>
      <c r="D274" s="56"/>
      <c r="E274" s="56"/>
      <c r="F274" s="56"/>
      <c r="G274" s="56"/>
      <c r="H274" s="57">
        <v>366</v>
      </c>
      <c r="I274" s="58"/>
      <c r="J274" s="59"/>
      <c r="K274" s="60" t="s">
        <v>565</v>
      </c>
      <c r="L274" s="315">
        <f t="shared" ref="L274:AA274" si="198">L275+L276</f>
        <v>125225</v>
      </c>
      <c r="M274" s="315">
        <f t="shared" si="198"/>
        <v>16620.213683721548</v>
      </c>
      <c r="N274" s="337">
        <f t="shared" si="198"/>
        <v>123588</v>
      </c>
      <c r="O274" s="337">
        <f t="shared" si="198"/>
        <v>16402.946446346803</v>
      </c>
      <c r="P274" s="292">
        <f t="shared" si="198"/>
        <v>25899.508925608865</v>
      </c>
      <c r="Q274" s="292">
        <f t="shared" si="198"/>
        <v>34100</v>
      </c>
      <c r="R274" s="441">
        <f t="shared" si="198"/>
        <v>22250</v>
      </c>
      <c r="S274" s="292">
        <f t="shared" si="198"/>
        <v>16691.73</v>
      </c>
      <c r="T274" s="292"/>
      <c r="U274" s="292" t="b">
        <f t="shared" si="127"/>
        <v>1</v>
      </c>
      <c r="V274" s="469">
        <v>34130</v>
      </c>
      <c r="W274" s="469">
        <f>W275+W276</f>
        <v>39500</v>
      </c>
      <c r="X274" s="522">
        <f>X275+X276</f>
        <v>42000</v>
      </c>
      <c r="Y274" s="522"/>
      <c r="Z274" s="522">
        <f t="shared" si="198"/>
        <v>2</v>
      </c>
      <c r="AA274" s="522">
        <f t="shared" si="198"/>
        <v>0</v>
      </c>
      <c r="AB274" s="523">
        <f>AB275+AB276</f>
        <v>31500</v>
      </c>
      <c r="AC274" s="523">
        <f>AC275+AC276</f>
        <v>31500</v>
      </c>
      <c r="AD274" s="524">
        <f>O274/M274*100</f>
        <v>98.692753044519861</v>
      </c>
      <c r="AE274" s="524">
        <f>P274/O274*100</f>
        <v>157.89546719746255</v>
      </c>
      <c r="AF274" s="524">
        <f>Q274/P274*100</f>
        <v>131.66272803837865</v>
      </c>
      <c r="AG274" s="524">
        <f>AB274/Q274*100</f>
        <v>92.375366568914956</v>
      </c>
      <c r="AH274" s="522"/>
      <c r="AI274" s="522">
        <v>42000</v>
      </c>
      <c r="AJ274" s="516">
        <f>W274/R274*100</f>
        <v>177.52808988764045</v>
      </c>
      <c r="AK274" s="516">
        <f>AT274/W274*100</f>
        <v>101.26582278481013</v>
      </c>
      <c r="AL274" s="516">
        <f>X274/AT274*100</f>
        <v>105</v>
      </c>
      <c r="AM274" s="292"/>
      <c r="AO274" t="b">
        <f t="shared" si="187"/>
        <v>1</v>
      </c>
      <c r="AP274" s="440">
        <f>AP275+AP276</f>
        <v>34240.369999999995</v>
      </c>
      <c r="AQ274" s="441">
        <v>34240.370000000003</v>
      </c>
      <c r="AR274" s="440">
        <f>AR275+AR276</f>
        <v>34240.369999999995</v>
      </c>
      <c r="AS274" s="441">
        <f>AS275+AS276</f>
        <v>2312.96</v>
      </c>
      <c r="AT274" s="612">
        <f>AT275+AT276</f>
        <v>40000</v>
      </c>
      <c r="AU274" s="469">
        <f>AU275+AU276</f>
        <v>102000</v>
      </c>
      <c r="AV274" s="636">
        <v>42000</v>
      </c>
      <c r="AW274" s="636">
        <v>42000</v>
      </c>
      <c r="AX274" s="655">
        <f t="shared" si="190"/>
        <v>179.77528089887639</v>
      </c>
      <c r="AY274" s="655">
        <f t="shared" si="191"/>
        <v>116.82116752827145</v>
      </c>
      <c r="AZ274" s="655">
        <f t="shared" si="192"/>
        <v>254.99999999999997</v>
      </c>
      <c r="BA274" s="655">
        <f t="shared" si="193"/>
        <v>297.89397719709217</v>
      </c>
      <c r="BB274" s="655">
        <f t="shared" si="194"/>
        <v>41.17647058823529</v>
      </c>
      <c r="BC274" s="655">
        <f t="shared" si="194"/>
        <v>100</v>
      </c>
    </row>
    <row r="275" spans="1:55" ht="12" customHeight="1">
      <c r="A275" s="36"/>
      <c r="B275" s="36"/>
      <c r="C275" s="36"/>
      <c r="D275" s="36"/>
      <c r="E275" s="36"/>
      <c r="F275" s="36"/>
      <c r="G275" s="36"/>
      <c r="H275" s="46">
        <v>3661</v>
      </c>
      <c r="I275" s="38"/>
      <c r="J275" s="39"/>
      <c r="K275" s="40" t="s">
        <v>568</v>
      </c>
      <c r="L275" s="309">
        <f t="shared" ref="L275:S275" si="199">L842+L911</f>
        <v>125225</v>
      </c>
      <c r="M275" s="309">
        <f t="shared" si="199"/>
        <v>16620.213683721548</v>
      </c>
      <c r="N275" s="339">
        <f t="shared" si="199"/>
        <v>123588</v>
      </c>
      <c r="O275" s="339">
        <f t="shared" si="199"/>
        <v>16402.946446346803</v>
      </c>
      <c r="P275" s="294">
        <f t="shared" si="199"/>
        <v>25899.508925608865</v>
      </c>
      <c r="Q275" s="294">
        <f t="shared" si="199"/>
        <v>34100</v>
      </c>
      <c r="R275" s="443">
        <f t="shared" si="199"/>
        <v>22250</v>
      </c>
      <c r="S275" s="294">
        <f t="shared" si="199"/>
        <v>16691.73</v>
      </c>
      <c r="T275" s="294"/>
      <c r="U275" s="292" t="b">
        <f t="shared" ref="U275:U336" si="200">__xlfn.ISFORMULA(S275)</f>
        <v>1</v>
      </c>
      <c r="V275" s="471">
        <v>34130</v>
      </c>
      <c r="W275" s="471">
        <f>W842+W911</f>
        <v>39500</v>
      </c>
      <c r="X275" s="527">
        <f>X842+X911</f>
        <v>42000</v>
      </c>
      <c r="Y275" s="527"/>
      <c r="Z275" s="527">
        <f>Z842+Z911</f>
        <v>1</v>
      </c>
      <c r="AA275" s="527">
        <f>AA842+AA911</f>
        <v>0</v>
      </c>
      <c r="AB275" s="528">
        <f>AB842+AB911</f>
        <v>26500</v>
      </c>
      <c r="AC275" s="528">
        <f>AC842+AC911</f>
        <v>26500</v>
      </c>
      <c r="AD275" s="524">
        <f>O275/M275*100</f>
        <v>98.692753044519861</v>
      </c>
      <c r="AE275" s="524">
        <f>P275/O275*100</f>
        <v>157.89546719746255</v>
      </c>
      <c r="AF275" s="524">
        <f>Q275/P275*100</f>
        <v>131.66272803837865</v>
      </c>
      <c r="AG275" s="524">
        <f>AB275/Q275*100</f>
        <v>77.712609970674478</v>
      </c>
      <c r="AH275" s="527"/>
      <c r="AI275" s="527">
        <v>42000</v>
      </c>
      <c r="AJ275" s="516">
        <f>W275/R275*100</f>
        <v>177.52808988764045</v>
      </c>
      <c r="AK275" s="516">
        <f>AT275/W275*100</f>
        <v>101.26582278481013</v>
      </c>
      <c r="AL275" s="516">
        <f>X275/AT275*100</f>
        <v>105</v>
      </c>
      <c r="AM275" s="294"/>
      <c r="AO275" t="b">
        <f t="shared" si="187"/>
        <v>1</v>
      </c>
      <c r="AP275" s="462">
        <f>AP842+AP911</f>
        <v>34240.369999999995</v>
      </c>
      <c r="AQ275" s="443">
        <v>34240.370000000003</v>
      </c>
      <c r="AR275" s="462">
        <f>AR842+AR911</f>
        <v>34240.369999999995</v>
      </c>
      <c r="AS275" s="443">
        <f>AS842+AS911</f>
        <v>2312.96</v>
      </c>
      <c r="AT275" s="613">
        <f>AT842+AT911</f>
        <v>40000</v>
      </c>
      <c r="AU275" s="471">
        <f>AU842+AU911+AU506</f>
        <v>102000</v>
      </c>
      <c r="AV275" s="638">
        <v>42000</v>
      </c>
      <c r="AW275" s="638">
        <v>42000</v>
      </c>
      <c r="AX275" s="655">
        <f t="shared" si="190"/>
        <v>179.77528089887639</v>
      </c>
      <c r="AY275" s="655">
        <f t="shared" si="191"/>
        <v>116.82116752827145</v>
      </c>
      <c r="AZ275" s="655">
        <f t="shared" si="192"/>
        <v>254.99999999999997</v>
      </c>
      <c r="BA275" s="655">
        <f t="shared" si="193"/>
        <v>297.89397719709217</v>
      </c>
      <c r="BB275" s="655">
        <f t="shared" si="194"/>
        <v>41.17647058823529</v>
      </c>
      <c r="BC275" s="655">
        <f t="shared" si="194"/>
        <v>100</v>
      </c>
    </row>
    <row r="276" spans="1:55" ht="12" customHeight="1">
      <c r="A276" s="36"/>
      <c r="B276" s="36"/>
      <c r="C276" s="36"/>
      <c r="D276" s="36"/>
      <c r="E276" s="36"/>
      <c r="F276" s="36"/>
      <c r="G276" s="36"/>
      <c r="H276" s="46">
        <v>3662</v>
      </c>
      <c r="I276" s="38"/>
      <c r="J276" s="39"/>
      <c r="K276" s="40" t="s">
        <v>564</v>
      </c>
      <c r="L276" s="309">
        <f t="shared" ref="L276:AA276" si="201">L927</f>
        <v>0</v>
      </c>
      <c r="M276" s="309">
        <f t="shared" si="201"/>
        <v>0</v>
      </c>
      <c r="N276" s="339">
        <f t="shared" si="201"/>
        <v>0</v>
      </c>
      <c r="O276" s="339">
        <f t="shared" si="201"/>
        <v>0</v>
      </c>
      <c r="P276" s="294">
        <f t="shared" si="201"/>
        <v>0</v>
      </c>
      <c r="Q276" s="294">
        <f t="shared" si="201"/>
        <v>0</v>
      </c>
      <c r="R276" s="443">
        <f t="shared" si="201"/>
        <v>0</v>
      </c>
      <c r="S276" s="294">
        <f t="shared" si="201"/>
        <v>0</v>
      </c>
      <c r="T276" s="294"/>
      <c r="U276" s="292" t="b">
        <f t="shared" si="200"/>
        <v>1</v>
      </c>
      <c r="V276" s="471">
        <v>0</v>
      </c>
      <c r="W276" s="471">
        <f>W927</f>
        <v>0</v>
      </c>
      <c r="X276" s="527">
        <f>X927</f>
        <v>0</v>
      </c>
      <c r="Y276" s="527"/>
      <c r="Z276" s="527" t="b">
        <f t="shared" si="201"/>
        <v>1</v>
      </c>
      <c r="AA276" s="527">
        <f t="shared" si="201"/>
        <v>0</v>
      </c>
      <c r="AB276" s="528">
        <f>AB927</f>
        <v>5000</v>
      </c>
      <c r="AC276" s="528">
        <f>AC927</f>
        <v>5000</v>
      </c>
      <c r="AD276" s="524"/>
      <c r="AE276" s="524"/>
      <c r="AF276" s="524"/>
      <c r="AG276" s="524"/>
      <c r="AH276" s="527"/>
      <c r="AI276" s="527">
        <v>0</v>
      </c>
      <c r="AJ276" s="516"/>
      <c r="AK276" s="516"/>
      <c r="AL276" s="516"/>
      <c r="AM276" s="294"/>
      <c r="AO276" t="b">
        <f t="shared" si="187"/>
        <v>1</v>
      </c>
      <c r="AP276" s="462">
        <f>AP927</f>
        <v>0</v>
      </c>
      <c r="AQ276" s="443">
        <v>0</v>
      </c>
      <c r="AR276" s="462">
        <f>AR927</f>
        <v>0</v>
      </c>
      <c r="AS276" s="443">
        <f>AS927</f>
        <v>0</v>
      </c>
      <c r="AT276" s="613">
        <f>AT927</f>
        <v>0</v>
      </c>
      <c r="AU276" s="471">
        <f>AU927</f>
        <v>0</v>
      </c>
      <c r="AV276" s="638">
        <v>0</v>
      </c>
      <c r="AW276" s="638">
        <v>0</v>
      </c>
      <c r="AX276" s="655" t="str">
        <f t="shared" si="190"/>
        <v/>
      </c>
      <c r="AY276" s="655" t="str">
        <f t="shared" si="191"/>
        <v/>
      </c>
      <c r="AZ276" s="655" t="str">
        <f t="shared" si="192"/>
        <v/>
      </c>
      <c r="BA276" s="655" t="str">
        <f t="shared" si="193"/>
        <v/>
      </c>
      <c r="BB276" s="655" t="str">
        <f t="shared" si="194"/>
        <v/>
      </c>
      <c r="BC276" s="655" t="str">
        <f t="shared" si="194"/>
        <v/>
      </c>
    </row>
    <row r="277" spans="1:55" ht="12" customHeight="1">
      <c r="A277" s="20"/>
      <c r="B277" s="20"/>
      <c r="C277" s="20"/>
      <c r="D277" s="20"/>
      <c r="E277" s="20"/>
      <c r="F277" s="20"/>
      <c r="G277" s="20"/>
      <c r="H277" s="16"/>
      <c r="I277" s="17"/>
      <c r="J277" s="258"/>
      <c r="K277" s="19"/>
      <c r="L277" s="313"/>
      <c r="M277" s="313"/>
      <c r="N277" s="335"/>
      <c r="O277" s="335"/>
      <c r="P277" s="290"/>
      <c r="Q277" s="290"/>
      <c r="R277" s="439"/>
      <c r="S277" s="290"/>
      <c r="T277" s="290"/>
      <c r="U277" s="292" t="b">
        <f t="shared" si="200"/>
        <v>0</v>
      </c>
      <c r="V277" s="467"/>
      <c r="W277" s="467"/>
      <c r="X277" s="514"/>
      <c r="Y277" s="514"/>
      <c r="Z277" s="514"/>
      <c r="AA277" s="514"/>
      <c r="AB277" s="515"/>
      <c r="AC277" s="515"/>
      <c r="AD277" s="524"/>
      <c r="AE277" s="524"/>
      <c r="AF277" s="524"/>
      <c r="AG277" s="524"/>
      <c r="AH277" s="514"/>
      <c r="AI277" s="514"/>
      <c r="AJ277" s="516"/>
      <c r="AK277" s="516"/>
      <c r="AL277" s="516"/>
      <c r="AM277" s="290"/>
      <c r="AO277" t="b">
        <f t="shared" si="187"/>
        <v>0</v>
      </c>
      <c r="AQ277" s="439"/>
      <c r="AS277" s="439"/>
      <c r="AT277" s="612"/>
      <c r="AU277" s="467"/>
      <c r="AV277" s="632"/>
      <c r="AW277" s="632"/>
      <c r="AX277" s="655" t="str">
        <f t="shared" si="190"/>
        <v/>
      </c>
      <c r="AY277" s="655" t="str">
        <f t="shared" si="191"/>
        <v/>
      </c>
      <c r="AZ277" s="655" t="str">
        <f t="shared" si="192"/>
        <v/>
      </c>
      <c r="BA277" s="655" t="str">
        <f t="shared" si="193"/>
        <v/>
      </c>
      <c r="BB277" s="655" t="str">
        <f t="shared" si="194"/>
        <v/>
      </c>
      <c r="BC277" s="655" t="str">
        <f t="shared" si="194"/>
        <v/>
      </c>
    </row>
    <row r="278" spans="1:55" ht="12" customHeight="1">
      <c r="A278" s="47"/>
      <c r="B278" s="47"/>
      <c r="C278" s="47"/>
      <c r="D278" s="47"/>
      <c r="E278" s="47"/>
      <c r="F278" s="47"/>
      <c r="G278" s="47"/>
      <c r="H278" s="48">
        <v>37</v>
      </c>
      <c r="I278" s="49"/>
      <c r="J278" s="50"/>
      <c r="K278" s="109" t="s">
        <v>140</v>
      </c>
      <c r="L278" s="315">
        <f t="shared" ref="L278:AA278" si="202">L281</f>
        <v>731840</v>
      </c>
      <c r="M278" s="315">
        <f t="shared" si="202"/>
        <v>97131.86011015992</v>
      </c>
      <c r="N278" s="337">
        <f t="shared" si="202"/>
        <v>988301</v>
      </c>
      <c r="O278" s="337">
        <f t="shared" si="202"/>
        <v>131170.08427898333</v>
      </c>
      <c r="P278" s="292">
        <f t="shared" si="202"/>
        <v>146700</v>
      </c>
      <c r="Q278" s="292">
        <f t="shared" si="202"/>
        <v>158000</v>
      </c>
      <c r="R278" s="441">
        <f t="shared" si="202"/>
        <v>153896</v>
      </c>
      <c r="S278" s="292">
        <f t="shared" si="202"/>
        <v>44713.59</v>
      </c>
      <c r="T278" s="292"/>
      <c r="U278" s="292" t="b">
        <f t="shared" si="200"/>
        <v>1</v>
      </c>
      <c r="V278" s="469">
        <v>174500</v>
      </c>
      <c r="W278" s="469">
        <f>W281</f>
        <v>183500</v>
      </c>
      <c r="X278" s="522">
        <f>X281</f>
        <v>273000</v>
      </c>
      <c r="Y278" s="522"/>
      <c r="Z278" s="522">
        <f t="shared" si="202"/>
        <v>2</v>
      </c>
      <c r="AA278" s="522">
        <f t="shared" si="202"/>
        <v>0</v>
      </c>
      <c r="AB278" s="523">
        <f>AB281</f>
        <v>152000</v>
      </c>
      <c r="AC278" s="523">
        <f>AC281</f>
        <v>152000</v>
      </c>
      <c r="AD278" s="524">
        <f>O278/M278*100</f>
        <v>135.04331547879318</v>
      </c>
      <c r="AE278" s="524">
        <f>P278/O278*100</f>
        <v>111.83952561011272</v>
      </c>
      <c r="AF278" s="524">
        <f>Q278/P278*100</f>
        <v>107.70279481935923</v>
      </c>
      <c r="AG278" s="524">
        <f>AB278/Q278*100</f>
        <v>96.202531645569621</v>
      </c>
      <c r="AH278" s="522"/>
      <c r="AI278" s="522">
        <v>273000</v>
      </c>
      <c r="AJ278" s="516">
        <f>W278/R278*100</f>
        <v>119.23636741695691</v>
      </c>
      <c r="AK278" s="516">
        <f>AT278/W278*100</f>
        <v>127.52043596730245</v>
      </c>
      <c r="AL278" s="516">
        <f>X278/AT278*100</f>
        <v>116.66666666666667</v>
      </c>
      <c r="AM278" s="292"/>
      <c r="AO278" t="b">
        <f t="shared" si="187"/>
        <v>1</v>
      </c>
      <c r="AP278" s="440">
        <f>AP281</f>
        <v>154738.14000000001</v>
      </c>
      <c r="AQ278" s="441">
        <v>154738.14000000001</v>
      </c>
      <c r="AR278" s="440">
        <f>AR281</f>
        <v>154738.14000000001</v>
      </c>
      <c r="AS278" s="441">
        <f>AS281</f>
        <v>110361.70000000001</v>
      </c>
      <c r="AT278" s="612">
        <f>AT281</f>
        <v>234000</v>
      </c>
      <c r="AU278" s="469">
        <f>AU281</f>
        <v>263000</v>
      </c>
      <c r="AV278" s="636">
        <v>273000</v>
      </c>
      <c r="AW278" s="636">
        <v>273000</v>
      </c>
      <c r="AX278" s="655">
        <f t="shared" si="190"/>
        <v>152.05073556167801</v>
      </c>
      <c r="AY278" s="655">
        <f t="shared" si="191"/>
        <v>151.22322137257174</v>
      </c>
      <c r="AZ278" s="655">
        <f t="shared" si="192"/>
        <v>112.3931623931624</v>
      </c>
      <c r="BA278" s="655">
        <f t="shared" si="193"/>
        <v>169.96456077344601</v>
      </c>
      <c r="BB278" s="655">
        <f t="shared" si="194"/>
        <v>103.8022813688213</v>
      </c>
      <c r="BC278" s="655">
        <f t="shared" si="194"/>
        <v>100</v>
      </c>
    </row>
    <row r="279" spans="1:55" ht="12" customHeight="1">
      <c r="A279" s="20"/>
      <c r="B279" s="20"/>
      <c r="C279" s="20"/>
      <c r="D279" s="20"/>
      <c r="E279" s="20"/>
      <c r="F279" s="20"/>
      <c r="G279" s="20"/>
      <c r="H279" s="11"/>
      <c r="I279" s="12"/>
      <c r="J279" s="14"/>
      <c r="K279" s="55"/>
      <c r="L279" s="313"/>
      <c r="M279" s="313"/>
      <c r="N279" s="335"/>
      <c r="O279" s="335"/>
      <c r="P279" s="290"/>
      <c r="Q279" s="290"/>
      <c r="R279" s="439"/>
      <c r="S279" s="290"/>
      <c r="T279" s="290"/>
      <c r="U279" s="292" t="b">
        <f t="shared" si="200"/>
        <v>0</v>
      </c>
      <c r="V279" s="467"/>
      <c r="W279" s="467"/>
      <c r="X279" s="514"/>
      <c r="Y279" s="514"/>
      <c r="Z279" s="514"/>
      <c r="AA279" s="514"/>
      <c r="AB279" s="515"/>
      <c r="AC279" s="515"/>
      <c r="AD279" s="524"/>
      <c r="AE279" s="524"/>
      <c r="AF279" s="524"/>
      <c r="AG279" s="524"/>
      <c r="AH279" s="514"/>
      <c r="AI279" s="514"/>
      <c r="AJ279" s="516"/>
      <c r="AK279" s="516"/>
      <c r="AL279" s="516"/>
      <c r="AM279" s="290"/>
      <c r="AO279" t="b">
        <f t="shared" si="187"/>
        <v>0</v>
      </c>
      <c r="AQ279" s="439"/>
      <c r="AS279" s="439"/>
      <c r="AT279" s="612"/>
      <c r="AU279" s="467"/>
      <c r="AV279" s="632"/>
      <c r="AW279" s="632"/>
      <c r="AX279" s="655" t="str">
        <f t="shared" si="190"/>
        <v/>
      </c>
      <c r="AY279" s="655" t="str">
        <f t="shared" si="191"/>
        <v/>
      </c>
      <c r="AZ279" s="655" t="str">
        <f t="shared" si="192"/>
        <v/>
      </c>
      <c r="BA279" s="655" t="str">
        <f t="shared" si="193"/>
        <v/>
      </c>
      <c r="BB279" s="655" t="str">
        <f t="shared" si="194"/>
        <v/>
      </c>
      <c r="BC279" s="655" t="str">
        <f t="shared" si="194"/>
        <v/>
      </c>
    </row>
    <row r="280" spans="1:55" ht="12" customHeight="1">
      <c r="A280" s="20"/>
      <c r="B280" s="20"/>
      <c r="C280" s="20"/>
      <c r="D280" s="20"/>
      <c r="E280" s="20"/>
      <c r="F280" s="20"/>
      <c r="G280" s="20"/>
      <c r="H280" s="16"/>
      <c r="I280" s="17"/>
      <c r="J280" s="14"/>
      <c r="K280" s="19"/>
      <c r="L280" s="313">
        <v>1</v>
      </c>
      <c r="M280" s="313">
        <v>2</v>
      </c>
      <c r="N280" s="335">
        <v>3</v>
      </c>
      <c r="O280" s="335">
        <v>4</v>
      </c>
      <c r="P280" s="290">
        <v>5</v>
      </c>
      <c r="Q280" s="290">
        <v>6</v>
      </c>
      <c r="R280" s="439"/>
      <c r="S280" s="290"/>
      <c r="T280" s="290"/>
      <c r="U280" s="292" t="b">
        <f t="shared" si="200"/>
        <v>0</v>
      </c>
      <c r="V280" s="467"/>
      <c r="W280" s="467"/>
      <c r="X280" s="514"/>
      <c r="Y280" s="514"/>
      <c r="Z280" s="514"/>
      <c r="AA280" s="514"/>
      <c r="AB280" s="515">
        <v>7</v>
      </c>
      <c r="AC280" s="515">
        <v>8</v>
      </c>
      <c r="AD280" s="515">
        <v>9</v>
      </c>
      <c r="AE280" s="515">
        <v>10</v>
      </c>
      <c r="AF280" s="515">
        <v>11</v>
      </c>
      <c r="AG280" s="515">
        <v>12</v>
      </c>
      <c r="AH280" s="514"/>
      <c r="AI280" s="514"/>
      <c r="AJ280" s="516"/>
      <c r="AK280" s="516"/>
      <c r="AL280" s="516"/>
      <c r="AM280" s="290"/>
      <c r="AO280" t="b">
        <f t="shared" si="187"/>
        <v>0</v>
      </c>
      <c r="AQ280" s="439"/>
      <c r="AS280" s="439"/>
      <c r="AT280" s="612"/>
      <c r="AU280" s="467"/>
      <c r="AV280" s="632"/>
      <c r="AW280" s="632"/>
      <c r="AX280" s="655" t="str">
        <f t="shared" si="190"/>
        <v/>
      </c>
      <c r="AY280" s="655" t="str">
        <f t="shared" si="191"/>
        <v/>
      </c>
      <c r="AZ280" s="655" t="str">
        <f t="shared" si="192"/>
        <v/>
      </c>
      <c r="BA280" s="655" t="str">
        <f t="shared" si="193"/>
        <v/>
      </c>
      <c r="BB280" s="655" t="str">
        <f t="shared" si="194"/>
        <v/>
      </c>
      <c r="BC280" s="655" t="str">
        <f t="shared" si="194"/>
        <v/>
      </c>
    </row>
    <row r="281" spans="1:55" ht="12" customHeight="1">
      <c r="A281" s="56"/>
      <c r="B281" s="56"/>
      <c r="C281" s="56"/>
      <c r="D281" s="56"/>
      <c r="E281" s="56"/>
      <c r="F281" s="56"/>
      <c r="G281" s="56"/>
      <c r="H281" s="57">
        <v>372</v>
      </c>
      <c r="I281" s="58"/>
      <c r="J281" s="59"/>
      <c r="K281" s="246" t="s">
        <v>141</v>
      </c>
      <c r="L281" s="315">
        <f t="shared" ref="L281:AA281" si="203">L282+L283</f>
        <v>731840</v>
      </c>
      <c r="M281" s="315">
        <f t="shared" si="203"/>
        <v>97131.86011015992</v>
      </c>
      <c r="N281" s="337">
        <f t="shared" si="203"/>
        <v>988301</v>
      </c>
      <c r="O281" s="337">
        <f t="shared" si="203"/>
        <v>131170.08427898333</v>
      </c>
      <c r="P281" s="292">
        <f t="shared" si="203"/>
        <v>146700</v>
      </c>
      <c r="Q281" s="292">
        <f t="shared" si="203"/>
        <v>158000</v>
      </c>
      <c r="R281" s="441">
        <f t="shared" si="203"/>
        <v>153896</v>
      </c>
      <c r="S281" s="292">
        <f t="shared" si="203"/>
        <v>44713.59</v>
      </c>
      <c r="T281" s="292"/>
      <c r="U281" s="292" t="b">
        <f t="shared" si="200"/>
        <v>1</v>
      </c>
      <c r="V281" s="469">
        <v>174500</v>
      </c>
      <c r="W281" s="469">
        <f>W282+W283</f>
        <v>183500</v>
      </c>
      <c r="X281" s="522">
        <f>X282+X283</f>
        <v>273000</v>
      </c>
      <c r="Y281" s="522"/>
      <c r="Z281" s="522">
        <f t="shared" si="203"/>
        <v>2</v>
      </c>
      <c r="AA281" s="522">
        <f t="shared" si="203"/>
        <v>0</v>
      </c>
      <c r="AB281" s="523">
        <f>AB282+AB283</f>
        <v>152000</v>
      </c>
      <c r="AC281" s="523">
        <f>AC282+AC283</f>
        <v>152000</v>
      </c>
      <c r="AD281" s="524">
        <f>O281/M281*100</f>
        <v>135.04331547879318</v>
      </c>
      <c r="AE281" s="524">
        <f t="shared" ref="AE281:AF283" si="204">P281/O281*100</f>
        <v>111.83952561011272</v>
      </c>
      <c r="AF281" s="524">
        <f t="shared" si="204"/>
        <v>107.70279481935923</v>
      </c>
      <c r="AG281" s="524">
        <f>AB281/Q281*100</f>
        <v>96.202531645569621</v>
      </c>
      <c r="AH281" s="522"/>
      <c r="AI281" s="522">
        <v>273000</v>
      </c>
      <c r="AJ281" s="516">
        <f>W281/R281*100</f>
        <v>119.23636741695691</v>
      </c>
      <c r="AK281" s="516">
        <f>AT281/W281*100</f>
        <v>127.52043596730245</v>
      </c>
      <c r="AL281" s="516">
        <f>X281/AT281*100</f>
        <v>116.66666666666667</v>
      </c>
      <c r="AM281" s="292"/>
      <c r="AO281" t="b">
        <f t="shared" si="187"/>
        <v>1</v>
      </c>
      <c r="AP281" s="440">
        <f>AP282+AP283</f>
        <v>154738.14000000001</v>
      </c>
      <c r="AQ281" s="441">
        <v>154738.14000000001</v>
      </c>
      <c r="AR281" s="440">
        <f>AR282+AR283</f>
        <v>154738.14000000001</v>
      </c>
      <c r="AS281" s="441">
        <f>AS282+AS283</f>
        <v>110361.70000000001</v>
      </c>
      <c r="AT281" s="612">
        <f>AT282+AT283</f>
        <v>234000</v>
      </c>
      <c r="AU281" s="469">
        <f>AU282+AU283</f>
        <v>263000</v>
      </c>
      <c r="AV281" s="636">
        <v>273000</v>
      </c>
      <c r="AW281" s="636">
        <v>273000</v>
      </c>
      <c r="AX281" s="655">
        <f t="shared" si="190"/>
        <v>152.05073556167801</v>
      </c>
      <c r="AY281" s="655">
        <f t="shared" si="191"/>
        <v>151.22322137257174</v>
      </c>
      <c r="AZ281" s="655">
        <f t="shared" si="192"/>
        <v>112.3931623931624</v>
      </c>
      <c r="BA281" s="655">
        <f t="shared" si="193"/>
        <v>169.96456077344601</v>
      </c>
      <c r="BB281" s="655">
        <f t="shared" si="194"/>
        <v>103.8022813688213</v>
      </c>
      <c r="BC281" s="655">
        <f t="shared" si="194"/>
        <v>100</v>
      </c>
    </row>
    <row r="282" spans="1:55" ht="12" customHeight="1">
      <c r="A282" s="36"/>
      <c r="B282" s="36"/>
      <c r="C282" s="36"/>
      <c r="D282" s="36"/>
      <c r="E282" s="36"/>
      <c r="F282" s="36"/>
      <c r="G282" s="36"/>
      <c r="H282" s="46">
        <v>3721</v>
      </c>
      <c r="I282" s="38"/>
      <c r="J282" s="39"/>
      <c r="K282" s="69" t="s">
        <v>142</v>
      </c>
      <c r="L282" s="309">
        <f t="shared" ref="L282:AA282" si="205">L937</f>
        <v>526750</v>
      </c>
      <c r="M282" s="309">
        <f t="shared" si="205"/>
        <v>69911.739332404264</v>
      </c>
      <c r="N282" s="339">
        <f t="shared" si="205"/>
        <v>592585</v>
      </c>
      <c r="O282" s="339">
        <f t="shared" si="205"/>
        <v>78649.545424381169</v>
      </c>
      <c r="P282" s="294">
        <f t="shared" si="205"/>
        <v>96700</v>
      </c>
      <c r="Q282" s="294">
        <f t="shared" si="205"/>
        <v>98000</v>
      </c>
      <c r="R282" s="443">
        <f t="shared" si="205"/>
        <v>100320</v>
      </c>
      <c r="S282" s="294">
        <f t="shared" si="205"/>
        <v>21193.68</v>
      </c>
      <c r="T282" s="294"/>
      <c r="U282" s="292" t="b">
        <f t="shared" si="200"/>
        <v>1</v>
      </c>
      <c r="V282" s="471">
        <v>110500</v>
      </c>
      <c r="W282" s="471">
        <f>W937</f>
        <v>114500</v>
      </c>
      <c r="X282" s="527">
        <f>X937</f>
        <v>173000</v>
      </c>
      <c r="Y282" s="527"/>
      <c r="Z282" s="527" t="b">
        <f t="shared" si="205"/>
        <v>1</v>
      </c>
      <c r="AA282" s="527">
        <f t="shared" si="205"/>
        <v>0</v>
      </c>
      <c r="AB282" s="528">
        <f>AB937</f>
        <v>100000</v>
      </c>
      <c r="AC282" s="528">
        <f>AC937</f>
        <v>100000</v>
      </c>
      <c r="AD282" s="524">
        <f>O282/M282*100</f>
        <v>112.49833887043191</v>
      </c>
      <c r="AE282" s="524">
        <f t="shared" si="204"/>
        <v>122.95048811562901</v>
      </c>
      <c r="AF282" s="524">
        <f t="shared" si="204"/>
        <v>101.34436401240951</v>
      </c>
      <c r="AG282" s="524">
        <f>AB282/Q282*100</f>
        <v>102.04081632653062</v>
      </c>
      <c r="AH282" s="527"/>
      <c r="AI282" s="527">
        <v>173000</v>
      </c>
      <c r="AJ282" s="516">
        <f>W282/R282*100</f>
        <v>114.1347687400319</v>
      </c>
      <c r="AK282" s="516">
        <f>AT282/W282*100</f>
        <v>134.49781659388645</v>
      </c>
      <c r="AL282" s="516">
        <f>X282/AT282*100</f>
        <v>112.33766233766234</v>
      </c>
      <c r="AM282" s="294"/>
      <c r="AO282" t="b">
        <f t="shared" si="187"/>
        <v>1</v>
      </c>
      <c r="AP282" s="462">
        <f>AP937</f>
        <v>113267.61</v>
      </c>
      <c r="AQ282" s="443">
        <v>113267.61</v>
      </c>
      <c r="AR282" s="462">
        <f>AR937</f>
        <v>113267.61</v>
      </c>
      <c r="AS282" s="443">
        <f>AS937</f>
        <v>41246.46</v>
      </c>
      <c r="AT282" s="613">
        <f>AT937</f>
        <v>154000</v>
      </c>
      <c r="AU282" s="471">
        <f>AU937</f>
        <v>153000</v>
      </c>
      <c r="AV282" s="638">
        <v>173000</v>
      </c>
      <c r="AW282" s="638">
        <v>173000</v>
      </c>
      <c r="AX282" s="655">
        <f t="shared" si="190"/>
        <v>153.50877192982458</v>
      </c>
      <c r="AY282" s="655">
        <f t="shared" si="191"/>
        <v>135.96119843969515</v>
      </c>
      <c r="AZ282" s="655">
        <f t="shared" si="192"/>
        <v>99.350649350649363</v>
      </c>
      <c r="BA282" s="655">
        <f t="shared" si="193"/>
        <v>135.07833351476208</v>
      </c>
      <c r="BB282" s="655">
        <f t="shared" si="194"/>
        <v>113.0718954248366</v>
      </c>
      <c r="BC282" s="655">
        <f t="shared" si="194"/>
        <v>100</v>
      </c>
    </row>
    <row r="283" spans="1:55" ht="12" customHeight="1">
      <c r="A283" s="36"/>
      <c r="B283" s="36"/>
      <c r="C283" s="36"/>
      <c r="D283" s="36"/>
      <c r="E283" s="36"/>
      <c r="F283" s="36"/>
      <c r="G283" s="36"/>
      <c r="H283" s="46">
        <v>3722</v>
      </c>
      <c r="I283" s="38"/>
      <c r="J283" s="39"/>
      <c r="K283" s="69" t="s">
        <v>143</v>
      </c>
      <c r="L283" s="309">
        <f t="shared" ref="L283:AA283" si="206">L943</f>
        <v>205090</v>
      </c>
      <c r="M283" s="309">
        <f t="shared" si="206"/>
        <v>27220.120777755656</v>
      </c>
      <c r="N283" s="339">
        <f t="shared" si="206"/>
        <v>395716</v>
      </c>
      <c r="O283" s="339">
        <f t="shared" si="206"/>
        <v>52520.538854602157</v>
      </c>
      <c r="P283" s="294">
        <f t="shared" si="206"/>
        <v>50000</v>
      </c>
      <c r="Q283" s="294">
        <f t="shared" si="206"/>
        <v>60000</v>
      </c>
      <c r="R283" s="443">
        <f t="shared" si="206"/>
        <v>53576</v>
      </c>
      <c r="S283" s="294">
        <f t="shared" si="206"/>
        <v>23519.91</v>
      </c>
      <c r="T283" s="294"/>
      <c r="U283" s="292" t="b">
        <f t="shared" si="200"/>
        <v>1</v>
      </c>
      <c r="V283" s="471">
        <v>64000</v>
      </c>
      <c r="W283" s="471">
        <f>W943</f>
        <v>69000</v>
      </c>
      <c r="X283" s="527">
        <f>X943</f>
        <v>100000</v>
      </c>
      <c r="Y283" s="527"/>
      <c r="Z283" s="527" t="b">
        <f t="shared" si="206"/>
        <v>1</v>
      </c>
      <c r="AA283" s="527">
        <f t="shared" si="206"/>
        <v>0</v>
      </c>
      <c r="AB283" s="528">
        <f>AB943</f>
        <v>52000</v>
      </c>
      <c r="AC283" s="528">
        <f>AC943</f>
        <v>52000</v>
      </c>
      <c r="AD283" s="524">
        <f>O283/M283*100</f>
        <v>192.94748646935491</v>
      </c>
      <c r="AE283" s="524">
        <f t="shared" si="204"/>
        <v>95.20085111544644</v>
      </c>
      <c r="AF283" s="524">
        <f t="shared" si="204"/>
        <v>120</v>
      </c>
      <c r="AG283" s="524">
        <f>AB283/Q283*100</f>
        <v>86.666666666666671</v>
      </c>
      <c r="AH283" s="527"/>
      <c r="AI283" s="527">
        <v>100000</v>
      </c>
      <c r="AJ283" s="516">
        <f>W283/R283*100</f>
        <v>128.78901000447962</v>
      </c>
      <c r="AK283" s="516">
        <f>AT283/W283*100</f>
        <v>115.94202898550725</v>
      </c>
      <c r="AL283" s="516">
        <f>X283/AT283*100</f>
        <v>125</v>
      </c>
      <c r="AM283" s="294"/>
      <c r="AO283" t="b">
        <f t="shared" si="187"/>
        <v>1</v>
      </c>
      <c r="AP283" s="462">
        <f>AP943</f>
        <v>41470.53</v>
      </c>
      <c r="AQ283" s="443">
        <v>41470.53</v>
      </c>
      <c r="AR283" s="462">
        <f>AR943</f>
        <v>41470.53</v>
      </c>
      <c r="AS283" s="443">
        <f>AS943</f>
        <v>69115.240000000005</v>
      </c>
      <c r="AT283" s="613">
        <f>AT943</f>
        <v>80000</v>
      </c>
      <c r="AU283" s="471">
        <f>AU943</f>
        <v>110000</v>
      </c>
      <c r="AV283" s="638">
        <v>100000</v>
      </c>
      <c r="AW283" s="638">
        <v>100000</v>
      </c>
      <c r="AX283" s="655">
        <f t="shared" si="190"/>
        <v>149.32059130954158</v>
      </c>
      <c r="AY283" s="655">
        <f t="shared" si="191"/>
        <v>192.90807231062638</v>
      </c>
      <c r="AZ283" s="655">
        <f t="shared" si="192"/>
        <v>137.5</v>
      </c>
      <c r="BA283" s="655">
        <f t="shared" si="193"/>
        <v>265.24859942711123</v>
      </c>
      <c r="BB283" s="655">
        <f t="shared" si="194"/>
        <v>90.909090909090907</v>
      </c>
      <c r="BC283" s="655">
        <f t="shared" si="194"/>
        <v>100</v>
      </c>
    </row>
    <row r="284" spans="1:55" ht="12" customHeight="1">
      <c r="A284" s="20"/>
      <c r="B284" s="20"/>
      <c r="C284" s="20"/>
      <c r="D284" s="20"/>
      <c r="E284" s="20"/>
      <c r="F284" s="20"/>
      <c r="G284" s="20"/>
      <c r="H284" s="11"/>
      <c r="I284" s="12"/>
      <c r="J284" s="14"/>
      <c r="K284" s="94"/>
      <c r="L284" s="313"/>
      <c r="M284" s="313"/>
      <c r="N284" s="335"/>
      <c r="O284" s="335"/>
      <c r="P284" s="290"/>
      <c r="Q284" s="290"/>
      <c r="R284" s="439"/>
      <c r="S284" s="290"/>
      <c r="T284" s="290"/>
      <c r="U284" s="292" t="b">
        <f t="shared" si="200"/>
        <v>0</v>
      </c>
      <c r="V284" s="467"/>
      <c r="W284" s="467"/>
      <c r="X284" s="514"/>
      <c r="Y284" s="514"/>
      <c r="Z284" s="514"/>
      <c r="AA284" s="514"/>
      <c r="AB284" s="515"/>
      <c r="AC284" s="515"/>
      <c r="AD284" s="524"/>
      <c r="AE284" s="524"/>
      <c r="AF284" s="524"/>
      <c r="AG284" s="524"/>
      <c r="AH284" s="514"/>
      <c r="AI284" s="514"/>
      <c r="AJ284" s="516"/>
      <c r="AK284" s="516"/>
      <c r="AL284" s="516"/>
      <c r="AM284" s="290"/>
      <c r="AO284" t="b">
        <f t="shared" si="187"/>
        <v>0</v>
      </c>
      <c r="AQ284" s="439"/>
      <c r="AS284" s="439"/>
      <c r="AT284" s="612"/>
      <c r="AU284" s="467"/>
      <c r="AV284" s="632"/>
      <c r="AW284" s="632"/>
      <c r="AX284" s="655" t="str">
        <f t="shared" si="190"/>
        <v/>
      </c>
      <c r="AY284" s="655" t="str">
        <f t="shared" si="191"/>
        <v/>
      </c>
      <c r="AZ284" s="655" t="str">
        <f t="shared" si="192"/>
        <v/>
      </c>
      <c r="BA284" s="655" t="str">
        <f t="shared" si="193"/>
        <v/>
      </c>
      <c r="BB284" s="655" t="str">
        <f t="shared" si="194"/>
        <v/>
      </c>
      <c r="BC284" s="655" t="str">
        <f t="shared" si="194"/>
        <v/>
      </c>
    </row>
    <row r="285" spans="1:55" ht="12" customHeight="1">
      <c r="A285" s="47"/>
      <c r="B285" s="47"/>
      <c r="C285" s="47"/>
      <c r="D285" s="47"/>
      <c r="E285" s="47"/>
      <c r="F285" s="47"/>
      <c r="G285" s="47"/>
      <c r="H285" s="48">
        <v>38</v>
      </c>
      <c r="I285" s="49"/>
      <c r="J285" s="50"/>
      <c r="K285" s="51" t="s">
        <v>144</v>
      </c>
      <c r="L285" s="315">
        <f t="shared" ref="L285:R285" si="207">L287+L291+L295+L298+L301</f>
        <v>6822410</v>
      </c>
      <c r="M285" s="315">
        <f t="shared" si="207"/>
        <v>905489.41535602883</v>
      </c>
      <c r="N285" s="337">
        <f t="shared" si="207"/>
        <v>8618019</v>
      </c>
      <c r="O285" s="337">
        <f t="shared" si="207"/>
        <v>1143807.6846506069</v>
      </c>
      <c r="P285" s="292">
        <f t="shared" si="207"/>
        <v>1356560</v>
      </c>
      <c r="Q285" s="292">
        <f t="shared" si="207"/>
        <v>1484060</v>
      </c>
      <c r="R285" s="441">
        <f t="shared" si="207"/>
        <v>1410343</v>
      </c>
      <c r="S285" s="292" t="e">
        <f>S287+S291+S295+S298+S301</f>
        <v>#REF!</v>
      </c>
      <c r="T285" s="292"/>
      <c r="U285" s="292" t="b">
        <f t="shared" si="200"/>
        <v>1</v>
      </c>
      <c r="V285" s="469">
        <v>1426540</v>
      </c>
      <c r="W285" s="469">
        <f>W287+W291+W295+W298+W301</f>
        <v>1498870</v>
      </c>
      <c r="X285" s="522">
        <f>X287+X291+X295+X298+X301</f>
        <v>2335248</v>
      </c>
      <c r="Y285" s="522"/>
      <c r="Z285" s="522">
        <f>Z287+Z291+Z295+Z298+Z301</f>
        <v>14</v>
      </c>
      <c r="AA285" s="522">
        <f>AA287+AA291+AA295+AA298+AA301</f>
        <v>0</v>
      </c>
      <c r="AB285" s="523">
        <f>AB287+AB291+AB295+AB298+AB301</f>
        <v>1335450</v>
      </c>
      <c r="AC285" s="523">
        <f>AC287+AC291+AC295+AC298+AC301</f>
        <v>1335450</v>
      </c>
      <c r="AD285" s="524">
        <f>O285/M285*100</f>
        <v>126.31927720556224</v>
      </c>
      <c r="AE285" s="524">
        <f>P285/O285*100</f>
        <v>118.60035722826791</v>
      </c>
      <c r="AF285" s="524">
        <f>Q285/P285*100</f>
        <v>109.39877336793064</v>
      </c>
      <c r="AG285" s="524">
        <f>AB285/Q285*100</f>
        <v>89.986253925043457</v>
      </c>
      <c r="AH285" s="522"/>
      <c r="AI285" s="522">
        <v>2335248</v>
      </c>
      <c r="AJ285" s="516">
        <f>W285/R285*100</f>
        <v>106.27698368411089</v>
      </c>
      <c r="AK285" s="516">
        <f>AT285/W285*100</f>
        <v>154.09341704083744</v>
      </c>
      <c r="AL285" s="516">
        <f>X285/AT285*100</f>
        <v>101.1078686906298</v>
      </c>
      <c r="AM285" s="292"/>
      <c r="AO285" t="b">
        <f t="shared" si="187"/>
        <v>1</v>
      </c>
      <c r="AP285" s="440">
        <f>AP287+AP291+AP295+AP298+AP301</f>
        <v>1261818.94</v>
      </c>
      <c r="AQ285" s="441">
        <v>1283651.8799999999</v>
      </c>
      <c r="AR285" s="440">
        <f>AR287+AR291+AR295+AR298+AR301</f>
        <v>1261818.94</v>
      </c>
      <c r="AS285" s="441">
        <f>AS287+AS291+AS295+AS298+AS301</f>
        <v>575431.91999999993</v>
      </c>
      <c r="AT285" s="612">
        <f>AT287+AT291+AT295+AT298+AT301</f>
        <v>2309660</v>
      </c>
      <c r="AU285" s="469">
        <f>AU287+AU291+AU295+AU298+AU301</f>
        <v>1337181</v>
      </c>
      <c r="AV285" s="636">
        <v>2335248</v>
      </c>
      <c r="AW285" s="636">
        <v>2335248</v>
      </c>
      <c r="AX285" s="655">
        <f t="shared" si="190"/>
        <v>163.76583568677972</v>
      </c>
      <c r="AY285" s="655">
        <f t="shared" si="191"/>
        <v>179.92884488277306</v>
      </c>
      <c r="AZ285" s="655">
        <f t="shared" si="192"/>
        <v>57.895144739918422</v>
      </c>
      <c r="BA285" s="655">
        <f t="shared" si="193"/>
        <v>104.17006517374479</v>
      </c>
      <c r="BB285" s="655">
        <f t="shared" si="194"/>
        <v>174.63963367711625</v>
      </c>
      <c r="BC285" s="655">
        <f t="shared" si="194"/>
        <v>100</v>
      </c>
    </row>
    <row r="286" spans="1:55" ht="12" customHeight="1">
      <c r="A286" s="36"/>
      <c r="B286" s="36"/>
      <c r="C286" s="36"/>
      <c r="D286" s="36"/>
      <c r="E286" s="36"/>
      <c r="F286" s="36"/>
      <c r="G286" s="36"/>
      <c r="H286" s="46"/>
      <c r="I286" s="38"/>
      <c r="J286" s="39"/>
      <c r="K286" s="40"/>
      <c r="L286" s="316"/>
      <c r="M286" s="316"/>
      <c r="N286" s="338"/>
      <c r="O286" s="338"/>
      <c r="P286" s="293"/>
      <c r="Q286" s="293"/>
      <c r="R286" s="442"/>
      <c r="S286" s="293"/>
      <c r="T286" s="293"/>
      <c r="U286" s="292" t="b">
        <f t="shared" si="200"/>
        <v>0</v>
      </c>
      <c r="V286" s="470"/>
      <c r="W286" s="470"/>
      <c r="X286" s="525"/>
      <c r="Y286" s="525"/>
      <c r="Z286" s="525"/>
      <c r="AA286" s="525"/>
      <c r="AB286" s="526"/>
      <c r="AC286" s="526"/>
      <c r="AD286" s="524"/>
      <c r="AE286" s="524"/>
      <c r="AF286" s="524"/>
      <c r="AG286" s="524"/>
      <c r="AH286" s="525"/>
      <c r="AI286" s="525"/>
      <c r="AJ286" s="516"/>
      <c r="AK286" s="516"/>
      <c r="AL286" s="516"/>
      <c r="AM286" s="293"/>
      <c r="AO286" t="b">
        <f t="shared" si="187"/>
        <v>0</v>
      </c>
      <c r="AQ286" s="442"/>
      <c r="AS286" s="442"/>
      <c r="AT286" s="613"/>
      <c r="AU286" s="470"/>
      <c r="AV286" s="637"/>
      <c r="AW286" s="637"/>
      <c r="AX286" s="655" t="str">
        <f t="shared" si="190"/>
        <v/>
      </c>
      <c r="AY286" s="655" t="str">
        <f t="shared" si="191"/>
        <v/>
      </c>
      <c r="AZ286" s="655" t="str">
        <f t="shared" si="192"/>
        <v/>
      </c>
      <c r="BA286" s="655" t="str">
        <f t="shared" si="193"/>
        <v/>
      </c>
      <c r="BB286" s="655" t="str">
        <f t="shared" si="194"/>
        <v/>
      </c>
      <c r="BC286" s="655" t="str">
        <f t="shared" si="194"/>
        <v/>
      </c>
    </row>
    <row r="287" spans="1:55" ht="12" customHeight="1">
      <c r="A287" s="56"/>
      <c r="B287" s="56"/>
      <c r="C287" s="56"/>
      <c r="D287" s="56"/>
      <c r="E287" s="56"/>
      <c r="F287" s="56"/>
      <c r="G287" s="56"/>
      <c r="H287" s="57">
        <v>381</v>
      </c>
      <c r="I287" s="58"/>
      <c r="J287" s="59"/>
      <c r="K287" s="60" t="s">
        <v>71</v>
      </c>
      <c r="L287" s="315">
        <f t="shared" ref="L287:AA287" si="208">L288+L289</f>
        <v>1400130</v>
      </c>
      <c r="M287" s="315">
        <f t="shared" si="208"/>
        <v>185829.18574557037</v>
      </c>
      <c r="N287" s="337">
        <f t="shared" si="208"/>
        <v>1903480</v>
      </c>
      <c r="O287" s="337">
        <f t="shared" si="208"/>
        <v>252635.21136107238</v>
      </c>
      <c r="P287" s="292">
        <f t="shared" si="208"/>
        <v>273520</v>
      </c>
      <c r="Q287" s="292">
        <f t="shared" si="208"/>
        <v>338120</v>
      </c>
      <c r="R287" s="441">
        <f t="shared" si="208"/>
        <v>441542</v>
      </c>
      <c r="S287" s="292" t="e">
        <f t="shared" si="208"/>
        <v>#REF!</v>
      </c>
      <c r="T287" s="292"/>
      <c r="U287" s="292" t="b">
        <f t="shared" si="200"/>
        <v>1</v>
      </c>
      <c r="V287" s="469">
        <v>361380</v>
      </c>
      <c r="W287" s="469">
        <f>W288+W289</f>
        <v>347980</v>
      </c>
      <c r="X287" s="522">
        <f>X288+X289</f>
        <v>354500</v>
      </c>
      <c r="Y287" s="522"/>
      <c r="Z287" s="522">
        <f t="shared" si="208"/>
        <v>9</v>
      </c>
      <c r="AA287" s="522">
        <f t="shared" si="208"/>
        <v>0</v>
      </c>
      <c r="AB287" s="523">
        <f>AB288+AB289</f>
        <v>277000</v>
      </c>
      <c r="AC287" s="523">
        <f>AC288+AC289</f>
        <v>277000</v>
      </c>
      <c r="AD287" s="524">
        <f>O287/M287*100</f>
        <v>135.95023319263211</v>
      </c>
      <c r="AE287" s="524">
        <f t="shared" ref="AE287:AF289" si="209">P287/O287*100</f>
        <v>108.26677664067918</v>
      </c>
      <c r="AF287" s="524">
        <f t="shared" si="209"/>
        <v>123.61801696402456</v>
      </c>
      <c r="AG287" s="524">
        <f>AB287/Q287*100</f>
        <v>81.92357742813202</v>
      </c>
      <c r="AH287" s="522"/>
      <c r="AI287" s="522">
        <v>354500</v>
      </c>
      <c r="AJ287" s="516">
        <f>W287/R287*100</f>
        <v>78.810169813970134</v>
      </c>
      <c r="AK287" s="516">
        <f>AT287/W287*100</f>
        <v>93.396172193804233</v>
      </c>
      <c r="AL287" s="516">
        <f>X287/AT287*100</f>
        <v>109.07692307692307</v>
      </c>
      <c r="AM287" s="292"/>
      <c r="AO287" t="b">
        <f t="shared" si="187"/>
        <v>1</v>
      </c>
      <c r="AP287" s="440">
        <f>AP288+AP289</f>
        <v>324343.94</v>
      </c>
      <c r="AQ287" s="441">
        <v>346176.88</v>
      </c>
      <c r="AR287" s="440">
        <f>AR288+AR289</f>
        <v>324343.94</v>
      </c>
      <c r="AS287" s="441">
        <f>AS288+AS289</f>
        <v>71461.399999999994</v>
      </c>
      <c r="AT287" s="612">
        <f>AT288+AT289</f>
        <v>325000</v>
      </c>
      <c r="AU287" s="469">
        <f>AU288+AU289</f>
        <v>328000</v>
      </c>
      <c r="AV287" s="636">
        <v>354500</v>
      </c>
      <c r="AW287" s="636">
        <v>354500</v>
      </c>
      <c r="AX287" s="655">
        <f t="shared" si="190"/>
        <v>73.605681905685074</v>
      </c>
      <c r="AY287" s="655">
        <f t="shared" si="191"/>
        <v>93.882641729280124</v>
      </c>
      <c r="AZ287" s="655">
        <f t="shared" si="192"/>
        <v>100.92307692307692</v>
      </c>
      <c r="BA287" s="655">
        <f t="shared" si="193"/>
        <v>94.749250729858105</v>
      </c>
      <c r="BB287" s="655">
        <f t="shared" si="194"/>
        <v>108.07926829268293</v>
      </c>
      <c r="BC287" s="655">
        <f t="shared" si="194"/>
        <v>100</v>
      </c>
    </row>
    <row r="288" spans="1:55" ht="12" customHeight="1">
      <c r="A288" s="36"/>
      <c r="B288" s="36"/>
      <c r="C288" s="36"/>
      <c r="D288" s="36"/>
      <c r="E288" s="36"/>
      <c r="F288" s="36"/>
      <c r="G288" s="36"/>
      <c r="H288" s="46">
        <v>3811</v>
      </c>
      <c r="I288" s="38"/>
      <c r="J288" s="39"/>
      <c r="K288" s="40" t="s">
        <v>145</v>
      </c>
      <c r="L288" s="309">
        <f t="shared" ref="L288:S288" si="210">L442+L510+L781+L801+L859+L879+L887+L895+L918+L952+L1051</f>
        <v>1372548</v>
      </c>
      <c r="M288" s="309">
        <f t="shared" si="210"/>
        <v>182168.42524387816</v>
      </c>
      <c r="N288" s="339">
        <f t="shared" si="210"/>
        <v>1880415</v>
      </c>
      <c r="O288" s="339">
        <f t="shared" si="210"/>
        <v>249573.95978498901</v>
      </c>
      <c r="P288" s="294">
        <f t="shared" si="210"/>
        <v>267620</v>
      </c>
      <c r="Q288" s="294">
        <f t="shared" si="210"/>
        <v>332120</v>
      </c>
      <c r="R288" s="443">
        <f t="shared" si="210"/>
        <v>437560</v>
      </c>
      <c r="S288" s="294" t="e">
        <f t="shared" si="210"/>
        <v>#REF!</v>
      </c>
      <c r="T288" s="294"/>
      <c r="U288" s="292" t="b">
        <f t="shared" si="200"/>
        <v>1</v>
      </c>
      <c r="V288" s="471">
        <v>353000</v>
      </c>
      <c r="W288" s="471">
        <f>W442+W510+W781+W801+W859+W879+W887+W895+W918+W952+W1051</f>
        <v>339600</v>
      </c>
      <c r="X288" s="527">
        <f>X442+X510+X781+X801+X859+X879+X887+X895+X918+X952+X1051</f>
        <v>344000</v>
      </c>
      <c r="Y288" s="527"/>
      <c r="Z288" s="527">
        <f>Z442+Z510+Z781+Z801+Z859+Z879+Z887+Z895+Z918+Z952+Z1051</f>
        <v>9</v>
      </c>
      <c r="AA288" s="527">
        <f>AA442+AA510+AA781+AA801+AA859+AA879+AA887+AA895+AA918+AA952+AA1051</f>
        <v>0</v>
      </c>
      <c r="AB288" s="528">
        <f>AB442+AB510+AB781+AB801+AB859+AB879+AB887+AB895+AB918+AB952+AB1051</f>
        <v>271000</v>
      </c>
      <c r="AC288" s="528">
        <f>AC442+AC510+AC781+AC801+AC859+AC879+AC887+AC895+AC918+AC952+AC1051</f>
        <v>271000</v>
      </c>
      <c r="AD288" s="524">
        <f>O288/M288*100</f>
        <v>137.00176605845479</v>
      </c>
      <c r="AE288" s="524">
        <f t="shared" si="209"/>
        <v>107.23073842742161</v>
      </c>
      <c r="AF288" s="524">
        <f t="shared" si="209"/>
        <v>124.10133771765936</v>
      </c>
      <c r="AG288" s="524">
        <f>AB288/Q288*100</f>
        <v>81.597013127785132</v>
      </c>
      <c r="AH288" s="527"/>
      <c r="AI288" s="527">
        <v>344000</v>
      </c>
      <c r="AJ288" s="516">
        <f>W288/R288*100</f>
        <v>77.612213182192164</v>
      </c>
      <c r="AK288" s="516">
        <f>AT288/W288*100</f>
        <v>92.932862190812727</v>
      </c>
      <c r="AL288" s="516">
        <f>X288/AT288*100</f>
        <v>108.99873257287706</v>
      </c>
      <c r="AM288" s="294"/>
      <c r="AO288" t="b">
        <f t="shared" si="187"/>
        <v>1</v>
      </c>
      <c r="AP288" s="462">
        <f>AP442+AP510+AP781+AP801+AP859+AP879+AP887+AP895+AP918+AP952+AP1051</f>
        <v>324343.94</v>
      </c>
      <c r="AQ288" s="443">
        <v>324343.94</v>
      </c>
      <c r="AR288" s="462">
        <f>AR442+AR510+AR781+AR801+AR859+AR879+AR887+AR895+AR918+AR952+AR1051</f>
        <v>324343.94</v>
      </c>
      <c r="AS288" s="443">
        <f>AS442+AS510+AS781+AS801+AS859+AS879+AS887+AS895+AS918+AS952+AS1051</f>
        <v>71461.399999999994</v>
      </c>
      <c r="AT288" s="613">
        <f>AT442+AT510+AT781+AT801+AT859+AT879+AT887+AT895+AT918+AT952+AT1051</f>
        <v>315600</v>
      </c>
      <c r="AU288" s="471">
        <f>AU442+AU510+AU781+AU801+AU859+AU879+AU887+AU895+AU918+AU952+AU1051</f>
        <v>318600</v>
      </c>
      <c r="AV288" s="638">
        <v>344000</v>
      </c>
      <c r="AW288" s="638">
        <v>344000</v>
      </c>
      <c r="AX288" s="655">
        <f t="shared" si="190"/>
        <v>72.12725111984642</v>
      </c>
      <c r="AY288" s="655">
        <f t="shared" si="191"/>
        <v>97.304114884958238</v>
      </c>
      <c r="AZ288" s="655">
        <f t="shared" si="192"/>
        <v>100.95057034220531</v>
      </c>
      <c r="BA288" s="655">
        <f t="shared" si="193"/>
        <v>98.229058942800037</v>
      </c>
      <c r="BB288" s="655">
        <f t="shared" si="194"/>
        <v>107.97237915881983</v>
      </c>
      <c r="BC288" s="655">
        <f t="shared" si="194"/>
        <v>100</v>
      </c>
    </row>
    <row r="289" spans="1:55" ht="12" customHeight="1">
      <c r="A289" s="36"/>
      <c r="B289" s="36"/>
      <c r="C289" s="36"/>
      <c r="D289" s="36"/>
      <c r="E289" s="36"/>
      <c r="F289" s="36"/>
      <c r="G289" s="36"/>
      <c r="H289" s="46">
        <v>3812</v>
      </c>
      <c r="I289" s="38"/>
      <c r="J289" s="39"/>
      <c r="K289" s="40" t="s">
        <v>146</v>
      </c>
      <c r="L289" s="309">
        <f t="shared" ref="L289:AA289" si="211">L1052</f>
        <v>27582</v>
      </c>
      <c r="M289" s="309">
        <f t="shared" si="211"/>
        <v>3660.7605016922157</v>
      </c>
      <c r="N289" s="339">
        <f t="shared" si="211"/>
        <v>23065</v>
      </c>
      <c r="O289" s="339">
        <f t="shared" si="211"/>
        <v>3061.2515760833498</v>
      </c>
      <c r="P289" s="294">
        <f t="shared" si="211"/>
        <v>5900</v>
      </c>
      <c r="Q289" s="294">
        <f t="shared" si="211"/>
        <v>6000</v>
      </c>
      <c r="R289" s="443">
        <f t="shared" si="211"/>
        <v>3982</v>
      </c>
      <c r="S289" s="294">
        <f t="shared" si="211"/>
        <v>0</v>
      </c>
      <c r="T289" s="294"/>
      <c r="U289" s="292" t="b">
        <f t="shared" si="200"/>
        <v>1</v>
      </c>
      <c r="V289" s="471">
        <v>8380</v>
      </c>
      <c r="W289" s="471">
        <f>W1052</f>
        <v>8380</v>
      </c>
      <c r="X289" s="527">
        <f>X1052</f>
        <v>10500</v>
      </c>
      <c r="Y289" s="527"/>
      <c r="Z289" s="527" t="b">
        <f t="shared" si="211"/>
        <v>0</v>
      </c>
      <c r="AA289" s="527">
        <f t="shared" si="211"/>
        <v>0</v>
      </c>
      <c r="AB289" s="528">
        <f>AB1052</f>
        <v>6000</v>
      </c>
      <c r="AC289" s="528">
        <f>AC1052</f>
        <v>6000</v>
      </c>
      <c r="AD289" s="524">
        <f>O289/M289*100</f>
        <v>83.62337756507867</v>
      </c>
      <c r="AE289" s="524">
        <f t="shared" si="209"/>
        <v>192.73162800780403</v>
      </c>
      <c r="AF289" s="524">
        <f t="shared" si="209"/>
        <v>101.69491525423729</v>
      </c>
      <c r="AG289" s="524">
        <f>AB289/Q289*100</f>
        <v>100</v>
      </c>
      <c r="AH289" s="527"/>
      <c r="AI289" s="527">
        <v>10500</v>
      </c>
      <c r="AJ289" s="516">
        <f>W289/R289*100</f>
        <v>210.44701155198391</v>
      </c>
      <c r="AK289" s="516">
        <f>AT289/W289*100</f>
        <v>112.17183770883055</v>
      </c>
      <c r="AL289" s="516">
        <f>X289/AT289*100</f>
        <v>111.70212765957446</v>
      </c>
      <c r="AM289" s="294"/>
      <c r="AO289" t="b">
        <f t="shared" si="187"/>
        <v>1</v>
      </c>
      <c r="AP289" s="462">
        <f>AP1052</f>
        <v>0</v>
      </c>
      <c r="AQ289" s="443">
        <v>21832.94</v>
      </c>
      <c r="AR289" s="462">
        <f>AR1052</f>
        <v>0</v>
      </c>
      <c r="AS289" s="443">
        <f>AS1052</f>
        <v>0</v>
      </c>
      <c r="AT289" s="613">
        <f>AT1052</f>
        <v>9400</v>
      </c>
      <c r="AU289" s="471">
        <f>AU1052</f>
        <v>9400</v>
      </c>
      <c r="AV289" s="638">
        <v>10500</v>
      </c>
      <c r="AW289" s="638">
        <v>10500</v>
      </c>
      <c r="AX289" s="655">
        <f t="shared" si="190"/>
        <v>236.06228026117529</v>
      </c>
      <c r="AY289" s="655">
        <f t="shared" si="191"/>
        <v>43.054210747613467</v>
      </c>
      <c r="AZ289" s="655">
        <f t="shared" si="192"/>
        <v>100</v>
      </c>
      <c r="BA289" s="655">
        <f t="shared" si="193"/>
        <v>43.054210747613467</v>
      </c>
      <c r="BB289" s="655">
        <f t="shared" si="194"/>
        <v>111.70212765957446</v>
      </c>
      <c r="BC289" s="655">
        <f t="shared" si="194"/>
        <v>100</v>
      </c>
    </row>
    <row r="290" spans="1:55" ht="12" customHeight="1">
      <c r="A290" s="36"/>
      <c r="B290" s="36"/>
      <c r="C290" s="36"/>
      <c r="D290" s="36"/>
      <c r="E290" s="36"/>
      <c r="F290" s="36"/>
      <c r="G290" s="36"/>
      <c r="H290" s="46"/>
      <c r="I290" s="38"/>
      <c r="J290" s="39"/>
      <c r="K290" s="40"/>
      <c r="L290" s="309"/>
      <c r="M290" s="309"/>
      <c r="N290" s="339"/>
      <c r="O290" s="339"/>
      <c r="P290" s="294"/>
      <c r="Q290" s="294"/>
      <c r="R290" s="443"/>
      <c r="S290" s="294"/>
      <c r="T290" s="294"/>
      <c r="U290" s="292" t="b">
        <f t="shared" si="200"/>
        <v>0</v>
      </c>
      <c r="V290" s="471"/>
      <c r="W290" s="471"/>
      <c r="X290" s="527"/>
      <c r="Y290" s="527"/>
      <c r="Z290" s="527"/>
      <c r="AA290" s="527"/>
      <c r="AB290" s="528"/>
      <c r="AC290" s="528"/>
      <c r="AD290" s="524"/>
      <c r="AE290" s="524"/>
      <c r="AF290" s="524"/>
      <c r="AG290" s="524"/>
      <c r="AH290" s="527"/>
      <c r="AI290" s="527"/>
      <c r="AJ290" s="516"/>
      <c r="AK290" s="516"/>
      <c r="AL290" s="516"/>
      <c r="AM290" s="294"/>
      <c r="AO290" t="b">
        <f t="shared" si="187"/>
        <v>0</v>
      </c>
      <c r="AQ290" s="443"/>
      <c r="AS290" s="443"/>
      <c r="AT290" s="613"/>
      <c r="AU290" s="471"/>
      <c r="AV290" s="638"/>
      <c r="AW290" s="638"/>
      <c r="AX290" s="655" t="str">
        <f t="shared" si="190"/>
        <v/>
      </c>
      <c r="AY290" s="655" t="str">
        <f t="shared" si="191"/>
        <v/>
      </c>
      <c r="AZ290" s="655" t="str">
        <f t="shared" si="192"/>
        <v/>
      </c>
      <c r="BA290" s="655" t="str">
        <f t="shared" si="193"/>
        <v/>
      </c>
      <c r="BB290" s="655" t="str">
        <f t="shared" si="194"/>
        <v/>
      </c>
      <c r="BC290" s="655" t="str">
        <f t="shared" si="194"/>
        <v/>
      </c>
    </row>
    <row r="291" spans="1:55" ht="12" customHeight="1">
      <c r="A291" s="56"/>
      <c r="B291" s="56"/>
      <c r="C291" s="56"/>
      <c r="D291" s="56"/>
      <c r="E291" s="56"/>
      <c r="F291" s="56"/>
      <c r="G291" s="56"/>
      <c r="H291" s="57">
        <v>382</v>
      </c>
      <c r="I291" s="58"/>
      <c r="J291" s="59"/>
      <c r="K291" s="60" t="s">
        <v>72</v>
      </c>
      <c r="L291" s="315">
        <f t="shared" ref="L291:AA291" si="212">L292+L293</f>
        <v>0</v>
      </c>
      <c r="M291" s="315">
        <f t="shared" si="212"/>
        <v>0</v>
      </c>
      <c r="N291" s="337">
        <f t="shared" si="212"/>
        <v>0</v>
      </c>
      <c r="O291" s="337">
        <f t="shared" si="212"/>
        <v>0</v>
      </c>
      <c r="P291" s="292">
        <f t="shared" si="212"/>
        <v>4000</v>
      </c>
      <c r="Q291" s="292">
        <f t="shared" si="212"/>
        <v>0</v>
      </c>
      <c r="R291" s="441">
        <f t="shared" si="212"/>
        <v>0</v>
      </c>
      <c r="S291" s="292">
        <f t="shared" si="212"/>
        <v>0</v>
      </c>
      <c r="T291" s="292"/>
      <c r="U291" s="292" t="b">
        <f t="shared" si="200"/>
        <v>1</v>
      </c>
      <c r="V291" s="469">
        <v>4000</v>
      </c>
      <c r="W291" s="469">
        <f>W292+W293</f>
        <v>0</v>
      </c>
      <c r="X291" s="522">
        <f>X292+X293</f>
        <v>4000</v>
      </c>
      <c r="Y291" s="522"/>
      <c r="Z291" s="522">
        <f t="shared" si="212"/>
        <v>0</v>
      </c>
      <c r="AA291" s="522">
        <f t="shared" si="212"/>
        <v>0</v>
      </c>
      <c r="AB291" s="523">
        <f>AB292+AB293</f>
        <v>5000</v>
      </c>
      <c r="AC291" s="523">
        <f>AC292+AC293</f>
        <v>5000</v>
      </c>
      <c r="AD291" s="524"/>
      <c r="AE291" s="524"/>
      <c r="AF291" s="524"/>
      <c r="AG291" s="524"/>
      <c r="AH291" s="522"/>
      <c r="AI291" s="522">
        <v>4000</v>
      </c>
      <c r="AJ291" s="516"/>
      <c r="AK291" s="516"/>
      <c r="AL291" s="516">
        <f>X291/AT291*100</f>
        <v>100</v>
      </c>
      <c r="AM291" s="292"/>
      <c r="AO291" t="b">
        <f t="shared" si="187"/>
        <v>1</v>
      </c>
      <c r="AP291" s="440">
        <f>AP292+AP293</f>
        <v>0</v>
      </c>
      <c r="AQ291" s="441">
        <v>0</v>
      </c>
      <c r="AR291" s="440">
        <f>AR292+AR293</f>
        <v>0</v>
      </c>
      <c r="AS291" s="441">
        <f>AS292+AS293</f>
        <v>0</v>
      </c>
      <c r="AT291" s="612">
        <f>AT292+AT293</f>
        <v>4000</v>
      </c>
      <c r="AU291" s="469">
        <f>AU292+AU293</f>
        <v>0</v>
      </c>
      <c r="AV291" s="636">
        <v>4000</v>
      </c>
      <c r="AW291" s="636">
        <v>4000</v>
      </c>
      <c r="AX291" s="655" t="str">
        <f t="shared" si="190"/>
        <v/>
      </c>
      <c r="AY291" s="655" t="str">
        <f t="shared" si="191"/>
        <v/>
      </c>
      <c r="AZ291" s="655">
        <f t="shared" si="192"/>
        <v>0</v>
      </c>
      <c r="BA291" s="655" t="str">
        <f t="shared" si="193"/>
        <v/>
      </c>
      <c r="BB291" s="655" t="str">
        <f t="shared" si="194"/>
        <v/>
      </c>
      <c r="BC291" s="655">
        <f t="shared" si="194"/>
        <v>100</v>
      </c>
    </row>
    <row r="292" spans="1:55" ht="12" customHeight="1">
      <c r="A292" s="36"/>
      <c r="B292" s="36"/>
      <c r="C292" s="36"/>
      <c r="D292" s="36"/>
      <c r="E292" s="36"/>
      <c r="F292" s="36"/>
      <c r="G292" s="36"/>
      <c r="H292" s="46">
        <v>3821</v>
      </c>
      <c r="I292" s="38"/>
      <c r="J292" s="39"/>
      <c r="K292" s="40" t="s">
        <v>147</v>
      </c>
      <c r="L292" s="309">
        <f t="shared" ref="L292:AA292" si="213">L611</f>
        <v>0</v>
      </c>
      <c r="M292" s="309">
        <f t="shared" si="213"/>
        <v>0</v>
      </c>
      <c r="N292" s="339">
        <f t="shared" si="213"/>
        <v>0</v>
      </c>
      <c r="O292" s="339">
        <f t="shared" si="213"/>
        <v>0</v>
      </c>
      <c r="P292" s="294">
        <f t="shared" si="213"/>
        <v>4000</v>
      </c>
      <c r="Q292" s="294">
        <f t="shared" si="213"/>
        <v>0</v>
      </c>
      <c r="R292" s="443">
        <f t="shared" si="213"/>
        <v>0</v>
      </c>
      <c r="S292" s="294">
        <f t="shared" si="213"/>
        <v>0</v>
      </c>
      <c r="T292" s="294"/>
      <c r="U292" s="292" t="b">
        <f t="shared" si="200"/>
        <v>1</v>
      </c>
      <c r="V292" s="471">
        <v>4000</v>
      </c>
      <c r="W292" s="471">
        <f>W611</f>
        <v>0</v>
      </c>
      <c r="X292" s="527">
        <f>X611</f>
        <v>4000</v>
      </c>
      <c r="Y292" s="527"/>
      <c r="Z292" s="527" t="b">
        <f t="shared" si="213"/>
        <v>0</v>
      </c>
      <c r="AA292" s="527">
        <f t="shared" si="213"/>
        <v>0</v>
      </c>
      <c r="AB292" s="528">
        <f>AB611</f>
        <v>5000</v>
      </c>
      <c r="AC292" s="528">
        <f>AC611</f>
        <v>5000</v>
      </c>
      <c r="AD292" s="524"/>
      <c r="AE292" s="524"/>
      <c r="AF292" s="524"/>
      <c r="AG292" s="524"/>
      <c r="AH292" s="527"/>
      <c r="AI292" s="527">
        <v>4000</v>
      </c>
      <c r="AJ292" s="516"/>
      <c r="AK292" s="516"/>
      <c r="AL292" s="516">
        <f>X292/AT292*100</f>
        <v>100</v>
      </c>
      <c r="AM292" s="294"/>
      <c r="AO292" t="b">
        <f t="shared" si="187"/>
        <v>1</v>
      </c>
      <c r="AP292" s="462">
        <f>AP611</f>
        <v>0</v>
      </c>
      <c r="AQ292" s="443">
        <v>0</v>
      </c>
      <c r="AR292" s="462">
        <f>AR611</f>
        <v>0</v>
      </c>
      <c r="AS292" s="443">
        <f>AS611</f>
        <v>0</v>
      </c>
      <c r="AT292" s="613">
        <f>AT611</f>
        <v>4000</v>
      </c>
      <c r="AU292" s="471">
        <f>AU611</f>
        <v>0</v>
      </c>
      <c r="AV292" s="638">
        <v>4000</v>
      </c>
      <c r="AW292" s="638">
        <v>4000</v>
      </c>
      <c r="AX292" s="655" t="str">
        <f t="shared" si="190"/>
        <v/>
      </c>
      <c r="AY292" s="655" t="str">
        <f t="shared" si="191"/>
        <v/>
      </c>
      <c r="AZ292" s="655">
        <f t="shared" si="192"/>
        <v>0</v>
      </c>
      <c r="BA292" s="655" t="str">
        <f t="shared" si="193"/>
        <v/>
      </c>
      <c r="BB292" s="655" t="str">
        <f t="shared" si="194"/>
        <v/>
      </c>
      <c r="BC292" s="655">
        <f t="shared" si="194"/>
        <v>100</v>
      </c>
    </row>
    <row r="293" spans="1:55" ht="12" customHeight="1">
      <c r="A293" s="36"/>
      <c r="B293" s="36"/>
      <c r="C293" s="36"/>
      <c r="D293" s="36"/>
      <c r="E293" s="36"/>
      <c r="F293" s="36"/>
      <c r="G293" s="36"/>
      <c r="H293" s="46">
        <v>3822</v>
      </c>
      <c r="I293" s="38"/>
      <c r="J293" s="39"/>
      <c r="K293" s="40" t="s">
        <v>439</v>
      </c>
      <c r="L293" s="309">
        <f t="shared" ref="L293:AA293" si="214">L697</f>
        <v>0</v>
      </c>
      <c r="M293" s="309">
        <f t="shared" si="214"/>
        <v>0</v>
      </c>
      <c r="N293" s="339">
        <f t="shared" si="214"/>
        <v>0</v>
      </c>
      <c r="O293" s="339">
        <f t="shared" si="214"/>
        <v>0</v>
      </c>
      <c r="P293" s="294">
        <f t="shared" si="214"/>
        <v>0</v>
      </c>
      <c r="Q293" s="294">
        <f t="shared" si="214"/>
        <v>0</v>
      </c>
      <c r="R293" s="443">
        <f t="shared" si="214"/>
        <v>0</v>
      </c>
      <c r="S293" s="294">
        <f t="shared" si="214"/>
        <v>0</v>
      </c>
      <c r="T293" s="294"/>
      <c r="U293" s="292" t="b">
        <f t="shared" si="200"/>
        <v>1</v>
      </c>
      <c r="V293" s="471">
        <v>0</v>
      </c>
      <c r="W293" s="471">
        <f>W697</f>
        <v>0</v>
      </c>
      <c r="X293" s="527">
        <f>X697</f>
        <v>0</v>
      </c>
      <c r="Y293" s="527"/>
      <c r="Z293" s="527" t="b">
        <f t="shared" si="214"/>
        <v>0</v>
      </c>
      <c r="AA293" s="527">
        <f t="shared" si="214"/>
        <v>0</v>
      </c>
      <c r="AB293" s="528">
        <f>AB697</f>
        <v>0</v>
      </c>
      <c r="AC293" s="528">
        <f>AC697</f>
        <v>0</v>
      </c>
      <c r="AD293" s="524"/>
      <c r="AE293" s="524"/>
      <c r="AF293" s="524"/>
      <c r="AG293" s="524"/>
      <c r="AH293" s="527"/>
      <c r="AI293" s="527">
        <v>0</v>
      </c>
      <c r="AJ293" s="516"/>
      <c r="AK293" s="516"/>
      <c r="AL293" s="516"/>
      <c r="AM293" s="294"/>
      <c r="AO293" t="b">
        <f t="shared" si="187"/>
        <v>1</v>
      </c>
      <c r="AP293" s="462">
        <f>AP697</f>
        <v>0</v>
      </c>
      <c r="AQ293" s="443">
        <v>0</v>
      </c>
      <c r="AR293" s="462">
        <f>AR697</f>
        <v>0</v>
      </c>
      <c r="AS293" s="443">
        <f>AS697</f>
        <v>0</v>
      </c>
      <c r="AT293" s="613">
        <f>AT697</f>
        <v>0</v>
      </c>
      <c r="AU293" s="471">
        <f>AU697</f>
        <v>0</v>
      </c>
      <c r="AV293" s="638">
        <v>0</v>
      </c>
      <c r="AW293" s="638">
        <v>0</v>
      </c>
      <c r="AX293" s="655" t="str">
        <f t="shared" si="190"/>
        <v/>
      </c>
      <c r="AY293" s="655" t="str">
        <f t="shared" si="191"/>
        <v/>
      </c>
      <c r="AZ293" s="655" t="str">
        <f t="shared" si="192"/>
        <v/>
      </c>
      <c r="BA293" s="655" t="str">
        <f t="shared" si="193"/>
        <v/>
      </c>
      <c r="BB293" s="655" t="str">
        <f t="shared" si="194"/>
        <v/>
      </c>
      <c r="BC293" s="655" t="str">
        <f t="shared" si="194"/>
        <v/>
      </c>
    </row>
    <row r="294" spans="1:55" ht="12" customHeight="1">
      <c r="A294" s="36"/>
      <c r="B294" s="36"/>
      <c r="C294" s="36"/>
      <c r="D294" s="36"/>
      <c r="E294" s="36"/>
      <c r="F294" s="36"/>
      <c r="G294" s="36"/>
      <c r="H294" s="46"/>
      <c r="I294" s="38"/>
      <c r="J294" s="39"/>
      <c r="K294" s="40"/>
      <c r="L294" s="309"/>
      <c r="M294" s="309"/>
      <c r="N294" s="339"/>
      <c r="O294" s="339"/>
      <c r="P294" s="294"/>
      <c r="Q294" s="294"/>
      <c r="R294" s="443"/>
      <c r="S294" s="294"/>
      <c r="T294" s="294"/>
      <c r="U294" s="292" t="b">
        <f t="shared" si="200"/>
        <v>0</v>
      </c>
      <c r="V294" s="471"/>
      <c r="W294" s="471"/>
      <c r="X294" s="527"/>
      <c r="Y294" s="527"/>
      <c r="Z294" s="527"/>
      <c r="AA294" s="527"/>
      <c r="AB294" s="528"/>
      <c r="AC294" s="528"/>
      <c r="AD294" s="524"/>
      <c r="AE294" s="524"/>
      <c r="AF294" s="524"/>
      <c r="AG294" s="524"/>
      <c r="AH294" s="527"/>
      <c r="AI294" s="527"/>
      <c r="AJ294" s="516"/>
      <c r="AK294" s="516"/>
      <c r="AL294" s="516"/>
      <c r="AM294" s="294"/>
      <c r="AO294" t="b">
        <f t="shared" si="187"/>
        <v>0</v>
      </c>
      <c r="AQ294" s="443"/>
      <c r="AS294" s="443"/>
      <c r="AT294" s="613"/>
      <c r="AU294" s="471"/>
      <c r="AV294" s="638"/>
      <c r="AW294" s="638"/>
      <c r="AX294" s="655" t="str">
        <f t="shared" si="190"/>
        <v/>
      </c>
      <c r="AY294" s="655" t="str">
        <f t="shared" si="191"/>
        <v/>
      </c>
      <c r="AZ294" s="655" t="str">
        <f t="shared" si="192"/>
        <v/>
      </c>
      <c r="BA294" s="655" t="str">
        <f t="shared" si="193"/>
        <v/>
      </c>
      <c r="BB294" s="655" t="str">
        <f t="shared" si="194"/>
        <v/>
      </c>
      <c r="BC294" s="655" t="str">
        <f t="shared" si="194"/>
        <v/>
      </c>
    </row>
    <row r="295" spans="1:55" ht="12" customHeight="1">
      <c r="A295" s="56"/>
      <c r="B295" s="56"/>
      <c r="C295" s="56"/>
      <c r="D295" s="56"/>
      <c r="E295" s="56"/>
      <c r="F295" s="56"/>
      <c r="G295" s="56"/>
      <c r="H295" s="57">
        <v>383</v>
      </c>
      <c r="I295" s="58"/>
      <c r="J295" s="59"/>
      <c r="K295" s="60" t="s">
        <v>148</v>
      </c>
      <c r="L295" s="315">
        <f t="shared" ref="L295:AC295" si="215">L296</f>
        <v>87280</v>
      </c>
      <c r="M295" s="315">
        <f t="shared" si="215"/>
        <v>11584.046718428561</v>
      </c>
      <c r="N295" s="337">
        <f t="shared" si="215"/>
        <v>7673</v>
      </c>
      <c r="O295" s="337">
        <f t="shared" si="215"/>
        <v>1018.3821089654257</v>
      </c>
      <c r="P295" s="292">
        <f t="shared" si="215"/>
        <v>4000</v>
      </c>
      <c r="Q295" s="292">
        <f t="shared" si="215"/>
        <v>12600</v>
      </c>
      <c r="R295" s="441">
        <f t="shared" si="215"/>
        <v>0</v>
      </c>
      <c r="S295" s="292">
        <f t="shared" si="215"/>
        <v>1500</v>
      </c>
      <c r="T295" s="292"/>
      <c r="U295" s="292" t="b">
        <f t="shared" si="200"/>
        <v>1</v>
      </c>
      <c r="V295" s="469">
        <v>10000</v>
      </c>
      <c r="W295" s="469">
        <f t="shared" si="215"/>
        <v>5000</v>
      </c>
      <c r="X295" s="522">
        <f t="shared" si="215"/>
        <v>5000</v>
      </c>
      <c r="Y295" s="522"/>
      <c r="Z295" s="522" t="b">
        <f t="shared" si="215"/>
        <v>0</v>
      </c>
      <c r="AA295" s="522">
        <f t="shared" si="215"/>
        <v>0</v>
      </c>
      <c r="AB295" s="523">
        <f t="shared" si="215"/>
        <v>4000</v>
      </c>
      <c r="AC295" s="523">
        <f t="shared" si="215"/>
        <v>4000</v>
      </c>
      <c r="AD295" s="524">
        <f>O295/M295*100</f>
        <v>8.7912465627864353</v>
      </c>
      <c r="AE295" s="524"/>
      <c r="AF295" s="524"/>
      <c r="AG295" s="524"/>
      <c r="AH295" s="522"/>
      <c r="AI295" s="522">
        <v>5000</v>
      </c>
      <c r="AJ295" s="516"/>
      <c r="AK295" s="516">
        <f>AT295/W295*100</f>
        <v>100</v>
      </c>
      <c r="AL295" s="516">
        <f>X295/AT295*100</f>
        <v>100</v>
      </c>
      <c r="AM295" s="292"/>
      <c r="AO295" t="b">
        <f t="shared" si="187"/>
        <v>1</v>
      </c>
      <c r="AP295" s="440">
        <f t="shared" ref="AP295:AU295" si="216">AP296</f>
        <v>1500</v>
      </c>
      <c r="AQ295" s="441">
        <v>1500</v>
      </c>
      <c r="AR295" s="440">
        <f>AR296</f>
        <v>1500</v>
      </c>
      <c r="AS295" s="441">
        <f t="shared" si="216"/>
        <v>0</v>
      </c>
      <c r="AT295" s="612">
        <f>AT296</f>
        <v>5000</v>
      </c>
      <c r="AU295" s="469">
        <f t="shared" si="216"/>
        <v>5000</v>
      </c>
      <c r="AV295" s="636">
        <v>5000</v>
      </c>
      <c r="AW295" s="636">
        <v>5000</v>
      </c>
      <c r="AX295" s="655" t="str">
        <f t="shared" si="190"/>
        <v/>
      </c>
      <c r="AY295" s="655">
        <f t="shared" si="191"/>
        <v>333.33333333333337</v>
      </c>
      <c r="AZ295" s="655">
        <f t="shared" si="192"/>
        <v>100</v>
      </c>
      <c r="BA295" s="655">
        <f t="shared" si="193"/>
        <v>333.33333333333337</v>
      </c>
      <c r="BB295" s="655">
        <f t="shared" si="194"/>
        <v>100</v>
      </c>
      <c r="BC295" s="655">
        <f t="shared" si="194"/>
        <v>100</v>
      </c>
    </row>
    <row r="296" spans="1:55" ht="12" customHeight="1">
      <c r="A296" s="36"/>
      <c r="B296" s="36"/>
      <c r="C296" s="36"/>
      <c r="D296" s="36"/>
      <c r="E296" s="36"/>
      <c r="F296" s="36"/>
      <c r="G296" s="36"/>
      <c r="H296" s="46">
        <v>3831</v>
      </c>
      <c r="I296" s="38"/>
      <c r="J296" s="39"/>
      <c r="K296" s="40" t="s">
        <v>149</v>
      </c>
      <c r="L296" s="309">
        <f t="shared" ref="L296:AA296" si="217">L445</f>
        <v>87280</v>
      </c>
      <c r="M296" s="309">
        <f t="shared" si="217"/>
        <v>11584.046718428561</v>
      </c>
      <c r="N296" s="339">
        <f t="shared" si="217"/>
        <v>7673</v>
      </c>
      <c r="O296" s="339">
        <f t="shared" si="217"/>
        <v>1018.3821089654257</v>
      </c>
      <c r="P296" s="294">
        <f t="shared" si="217"/>
        <v>4000</v>
      </c>
      <c r="Q296" s="294">
        <f t="shared" si="217"/>
        <v>12600</v>
      </c>
      <c r="R296" s="443">
        <f t="shared" si="217"/>
        <v>0</v>
      </c>
      <c r="S296" s="294">
        <f t="shared" si="217"/>
        <v>1500</v>
      </c>
      <c r="T296" s="294"/>
      <c r="U296" s="292" t="b">
        <f t="shared" si="200"/>
        <v>1</v>
      </c>
      <c r="V296" s="471">
        <v>10000</v>
      </c>
      <c r="W296" s="471">
        <f>W445</f>
        <v>5000</v>
      </c>
      <c r="X296" s="527">
        <f>X445</f>
        <v>5000</v>
      </c>
      <c r="Y296" s="527"/>
      <c r="Z296" s="527" t="b">
        <f t="shared" si="217"/>
        <v>0</v>
      </c>
      <c r="AA296" s="527">
        <f t="shared" si="217"/>
        <v>0</v>
      </c>
      <c r="AB296" s="528">
        <f>AB445</f>
        <v>4000</v>
      </c>
      <c r="AC296" s="528">
        <f>AC445</f>
        <v>4000</v>
      </c>
      <c r="AD296" s="524">
        <f>O296/M296*100</f>
        <v>8.7912465627864353</v>
      </c>
      <c r="AE296" s="524"/>
      <c r="AF296" s="524"/>
      <c r="AG296" s="524"/>
      <c r="AH296" s="527"/>
      <c r="AI296" s="527">
        <v>5000</v>
      </c>
      <c r="AJ296" s="516"/>
      <c r="AK296" s="516">
        <f>AT296/W296*100</f>
        <v>100</v>
      </c>
      <c r="AL296" s="516">
        <f>X296/AT296*100</f>
        <v>100</v>
      </c>
      <c r="AM296" s="294"/>
      <c r="AO296" t="b">
        <f t="shared" si="187"/>
        <v>1</v>
      </c>
      <c r="AP296" s="462">
        <f>AP445</f>
        <v>1500</v>
      </c>
      <c r="AQ296" s="443">
        <v>1500</v>
      </c>
      <c r="AR296" s="462">
        <f>AR445</f>
        <v>1500</v>
      </c>
      <c r="AS296" s="443">
        <f>AS445</f>
        <v>0</v>
      </c>
      <c r="AT296" s="613">
        <f>AT445</f>
        <v>5000</v>
      </c>
      <c r="AU296" s="471">
        <f>AU445</f>
        <v>5000</v>
      </c>
      <c r="AV296" s="638">
        <v>5000</v>
      </c>
      <c r="AW296" s="638">
        <v>5000</v>
      </c>
      <c r="AX296" s="655" t="str">
        <f t="shared" si="190"/>
        <v/>
      </c>
      <c r="AY296" s="655">
        <f t="shared" si="191"/>
        <v>333.33333333333337</v>
      </c>
      <c r="AZ296" s="655">
        <f t="shared" si="192"/>
        <v>100</v>
      </c>
      <c r="BA296" s="655">
        <f t="shared" si="193"/>
        <v>333.33333333333337</v>
      </c>
      <c r="BB296" s="655">
        <f t="shared" si="194"/>
        <v>100</v>
      </c>
      <c r="BC296" s="655">
        <f t="shared" si="194"/>
        <v>100</v>
      </c>
    </row>
    <row r="297" spans="1:55" ht="12" customHeight="1">
      <c r="A297" s="20"/>
      <c r="B297" s="20"/>
      <c r="C297" s="20"/>
      <c r="D297" s="20"/>
      <c r="E297" s="20"/>
      <c r="F297" s="20"/>
      <c r="G297" s="20"/>
      <c r="H297" s="16"/>
      <c r="I297" s="17"/>
      <c r="J297" s="14"/>
      <c r="K297" s="19"/>
      <c r="L297" s="313"/>
      <c r="M297" s="313"/>
      <c r="N297" s="335"/>
      <c r="O297" s="335"/>
      <c r="P297" s="290"/>
      <c r="Q297" s="290"/>
      <c r="R297" s="439"/>
      <c r="S297" s="290"/>
      <c r="T297" s="290"/>
      <c r="U297" s="292" t="b">
        <f t="shared" si="200"/>
        <v>0</v>
      </c>
      <c r="V297" s="467"/>
      <c r="W297" s="467"/>
      <c r="X297" s="514"/>
      <c r="Y297" s="514"/>
      <c r="Z297" s="514"/>
      <c r="AA297" s="514"/>
      <c r="AB297" s="515"/>
      <c r="AC297" s="515"/>
      <c r="AD297" s="524"/>
      <c r="AE297" s="524"/>
      <c r="AF297" s="524"/>
      <c r="AG297" s="524"/>
      <c r="AH297" s="514"/>
      <c r="AI297" s="514"/>
      <c r="AJ297" s="516"/>
      <c r="AK297" s="516"/>
      <c r="AL297" s="516"/>
      <c r="AM297" s="290"/>
      <c r="AO297" t="b">
        <f t="shared" si="187"/>
        <v>0</v>
      </c>
      <c r="AQ297" s="439"/>
      <c r="AS297" s="439"/>
      <c r="AT297" s="612"/>
      <c r="AU297" s="467"/>
      <c r="AV297" s="632"/>
      <c r="AW297" s="632"/>
      <c r="AX297" s="655" t="str">
        <f t="shared" si="190"/>
        <v/>
      </c>
      <c r="AY297" s="655" t="str">
        <f t="shared" si="191"/>
        <v/>
      </c>
      <c r="AZ297" s="655" t="str">
        <f t="shared" si="192"/>
        <v/>
      </c>
      <c r="BA297" s="655" t="str">
        <f t="shared" si="193"/>
        <v/>
      </c>
      <c r="BB297" s="655" t="str">
        <f t="shared" si="194"/>
        <v/>
      </c>
      <c r="BC297" s="655" t="str">
        <f t="shared" si="194"/>
        <v/>
      </c>
    </row>
    <row r="298" spans="1:55" ht="12" customHeight="1">
      <c r="A298" s="56"/>
      <c r="B298" s="56"/>
      <c r="C298" s="56"/>
      <c r="D298" s="56"/>
      <c r="E298" s="56"/>
      <c r="F298" s="56"/>
      <c r="G298" s="56"/>
      <c r="H298" s="57">
        <v>385</v>
      </c>
      <c r="I298" s="58"/>
      <c r="J298" s="59"/>
      <c r="K298" s="60" t="s">
        <v>150</v>
      </c>
      <c r="L298" s="315">
        <f t="shared" ref="L298:AC298" si="218">L299</f>
        <v>0</v>
      </c>
      <c r="M298" s="315">
        <f t="shared" si="218"/>
        <v>0</v>
      </c>
      <c r="N298" s="337">
        <f t="shared" si="218"/>
        <v>0</v>
      </c>
      <c r="O298" s="337">
        <f t="shared" si="218"/>
        <v>0</v>
      </c>
      <c r="P298" s="292">
        <f t="shared" si="218"/>
        <v>14040</v>
      </c>
      <c r="Q298" s="292">
        <f t="shared" si="218"/>
        <v>6440</v>
      </c>
      <c r="R298" s="441">
        <f t="shared" si="218"/>
        <v>0</v>
      </c>
      <c r="S298" s="292">
        <f t="shared" si="218"/>
        <v>0</v>
      </c>
      <c r="T298" s="292"/>
      <c r="U298" s="292" t="b">
        <f t="shared" si="200"/>
        <v>1</v>
      </c>
      <c r="V298" s="469">
        <v>11160</v>
      </c>
      <c r="W298" s="469">
        <f t="shared" si="218"/>
        <v>4390</v>
      </c>
      <c r="X298" s="522">
        <f t="shared" si="218"/>
        <v>1748</v>
      </c>
      <c r="Y298" s="522"/>
      <c r="Z298" s="522" t="b">
        <f t="shared" si="218"/>
        <v>0</v>
      </c>
      <c r="AA298" s="522">
        <f t="shared" si="218"/>
        <v>0</v>
      </c>
      <c r="AB298" s="523">
        <f t="shared" si="218"/>
        <v>14450</v>
      </c>
      <c r="AC298" s="523">
        <f t="shared" si="218"/>
        <v>14450</v>
      </c>
      <c r="AD298" s="524"/>
      <c r="AE298" s="524"/>
      <c r="AF298" s="524"/>
      <c r="AG298" s="524"/>
      <c r="AH298" s="522"/>
      <c r="AI298" s="522">
        <v>1748</v>
      </c>
      <c r="AJ298" s="516"/>
      <c r="AK298" s="516">
        <f>AT298/W298*100</f>
        <v>128.92938496583145</v>
      </c>
      <c r="AL298" s="516">
        <f>X298/AT298*100</f>
        <v>30.883392226148409</v>
      </c>
      <c r="AM298" s="292"/>
      <c r="AO298" t="b">
        <f t="shared" si="187"/>
        <v>1</v>
      </c>
      <c r="AP298" s="440">
        <f t="shared" ref="AP298:AU298" si="219">AP299</f>
        <v>0</v>
      </c>
      <c r="AQ298" s="441">
        <v>0</v>
      </c>
      <c r="AR298" s="440">
        <f>AR299</f>
        <v>0</v>
      </c>
      <c r="AS298" s="441">
        <f t="shared" si="219"/>
        <v>0</v>
      </c>
      <c r="AT298" s="612">
        <f>AT299</f>
        <v>5660</v>
      </c>
      <c r="AU298" s="469">
        <f t="shared" si="219"/>
        <v>10681</v>
      </c>
      <c r="AV298" s="636">
        <v>1748</v>
      </c>
      <c r="AW298" s="636">
        <v>1748</v>
      </c>
      <c r="AX298" s="655" t="str">
        <f t="shared" si="190"/>
        <v/>
      </c>
      <c r="AY298" s="655" t="str">
        <f t="shared" si="191"/>
        <v/>
      </c>
      <c r="AZ298" s="655">
        <f t="shared" si="192"/>
        <v>188.71024734982331</v>
      </c>
      <c r="BA298" s="655" t="str">
        <f t="shared" si="193"/>
        <v/>
      </c>
      <c r="BB298" s="655">
        <f t="shared" si="194"/>
        <v>16.36550884748619</v>
      </c>
      <c r="BC298" s="655">
        <f t="shared" si="194"/>
        <v>100</v>
      </c>
    </row>
    <row r="299" spans="1:55" ht="12" customHeight="1">
      <c r="A299" s="36"/>
      <c r="B299" s="36"/>
      <c r="C299" s="36"/>
      <c r="D299" s="36"/>
      <c r="E299" s="36"/>
      <c r="F299" s="36"/>
      <c r="G299" s="36"/>
      <c r="H299" s="46">
        <v>3851</v>
      </c>
      <c r="I299" s="38"/>
      <c r="J299" s="39"/>
      <c r="K299" s="40" t="s">
        <v>151</v>
      </c>
      <c r="L299" s="309">
        <f t="shared" ref="L299:AA299" si="220">L448</f>
        <v>0</v>
      </c>
      <c r="M299" s="309">
        <f t="shared" si="220"/>
        <v>0</v>
      </c>
      <c r="N299" s="339">
        <f t="shared" si="220"/>
        <v>0</v>
      </c>
      <c r="O299" s="339">
        <f t="shared" si="220"/>
        <v>0</v>
      </c>
      <c r="P299" s="294">
        <f t="shared" si="220"/>
        <v>14040</v>
      </c>
      <c r="Q299" s="294">
        <f t="shared" si="220"/>
        <v>6440</v>
      </c>
      <c r="R299" s="443">
        <f t="shared" si="220"/>
        <v>0</v>
      </c>
      <c r="S299" s="294">
        <f t="shared" si="220"/>
        <v>0</v>
      </c>
      <c r="T299" s="294"/>
      <c r="U299" s="292" t="b">
        <f t="shared" si="200"/>
        <v>1</v>
      </c>
      <c r="V299" s="471">
        <v>11160</v>
      </c>
      <c r="W299" s="471">
        <f>W448</f>
        <v>4390</v>
      </c>
      <c r="X299" s="527">
        <f>X448</f>
        <v>1748</v>
      </c>
      <c r="Y299" s="527"/>
      <c r="Z299" s="527" t="b">
        <f t="shared" si="220"/>
        <v>0</v>
      </c>
      <c r="AA299" s="527">
        <f t="shared" si="220"/>
        <v>0</v>
      </c>
      <c r="AB299" s="528">
        <f>AB448</f>
        <v>14450</v>
      </c>
      <c r="AC299" s="528">
        <f>AC448</f>
        <v>14450</v>
      </c>
      <c r="AD299" s="524"/>
      <c r="AE299" s="524"/>
      <c r="AF299" s="524"/>
      <c r="AG299" s="524"/>
      <c r="AH299" s="527"/>
      <c r="AI299" s="527">
        <v>1748</v>
      </c>
      <c r="AJ299" s="516"/>
      <c r="AK299" s="516">
        <f>AT299/W299*100</f>
        <v>128.92938496583145</v>
      </c>
      <c r="AL299" s="516">
        <f>X299/AT299*100</f>
        <v>30.883392226148409</v>
      </c>
      <c r="AM299" s="294"/>
      <c r="AO299" t="b">
        <f t="shared" si="187"/>
        <v>1</v>
      </c>
      <c r="AP299" s="462">
        <f>AP448</f>
        <v>0</v>
      </c>
      <c r="AQ299" s="443">
        <v>0</v>
      </c>
      <c r="AR299" s="462">
        <f>AR448</f>
        <v>0</v>
      </c>
      <c r="AS299" s="443">
        <f>AS448</f>
        <v>0</v>
      </c>
      <c r="AT299" s="613">
        <f>AT448</f>
        <v>5660</v>
      </c>
      <c r="AU299" s="471">
        <f>AU448</f>
        <v>10681</v>
      </c>
      <c r="AV299" s="638">
        <v>1748</v>
      </c>
      <c r="AW299" s="638">
        <v>1748</v>
      </c>
      <c r="AX299" s="655" t="str">
        <f t="shared" si="190"/>
        <v/>
      </c>
      <c r="AY299" s="655" t="str">
        <f t="shared" si="191"/>
        <v/>
      </c>
      <c r="AZ299" s="655">
        <f t="shared" si="192"/>
        <v>188.71024734982331</v>
      </c>
      <c r="BA299" s="655" t="str">
        <f t="shared" si="193"/>
        <v/>
      </c>
      <c r="BB299" s="655">
        <f t="shared" si="194"/>
        <v>16.36550884748619</v>
      </c>
      <c r="BC299" s="655">
        <f t="shared" si="194"/>
        <v>100</v>
      </c>
    </row>
    <row r="300" spans="1:55" ht="12" customHeight="1">
      <c r="A300" s="25"/>
      <c r="B300" s="25"/>
      <c r="C300" s="25"/>
      <c r="D300" s="25"/>
      <c r="E300" s="25"/>
      <c r="F300" s="25"/>
      <c r="G300" s="25"/>
      <c r="H300" s="70"/>
      <c r="I300" s="27"/>
      <c r="J300" s="28"/>
      <c r="K300" s="29"/>
      <c r="L300" s="317"/>
      <c r="M300" s="317"/>
      <c r="N300" s="341"/>
      <c r="O300" s="341"/>
      <c r="P300" s="296"/>
      <c r="Q300" s="296"/>
      <c r="R300" s="445"/>
      <c r="S300" s="296"/>
      <c r="T300" s="296"/>
      <c r="U300" s="292" t="b">
        <f t="shared" si="200"/>
        <v>0</v>
      </c>
      <c r="V300" s="473"/>
      <c r="W300" s="473"/>
      <c r="X300" s="531"/>
      <c r="Y300" s="531"/>
      <c r="Z300" s="531"/>
      <c r="AA300" s="531"/>
      <c r="AB300" s="532"/>
      <c r="AC300" s="532"/>
      <c r="AD300" s="524"/>
      <c r="AE300" s="524"/>
      <c r="AF300" s="524"/>
      <c r="AG300" s="524"/>
      <c r="AH300" s="531"/>
      <c r="AI300" s="531"/>
      <c r="AJ300" s="516"/>
      <c r="AK300" s="516"/>
      <c r="AL300" s="516"/>
      <c r="AM300" s="296"/>
      <c r="AO300" t="b">
        <f t="shared" si="187"/>
        <v>0</v>
      </c>
      <c r="AQ300" s="445"/>
      <c r="AS300" s="445"/>
      <c r="AT300" s="612"/>
      <c r="AU300" s="473"/>
      <c r="AV300" s="640"/>
      <c r="AW300" s="640"/>
      <c r="AX300" s="655" t="str">
        <f t="shared" si="190"/>
        <v/>
      </c>
      <c r="AY300" s="655" t="str">
        <f t="shared" si="191"/>
        <v/>
      </c>
      <c r="AZ300" s="655" t="str">
        <f t="shared" si="192"/>
        <v/>
      </c>
      <c r="BA300" s="655" t="str">
        <f t="shared" si="193"/>
        <v/>
      </c>
      <c r="BB300" s="655" t="str">
        <f t="shared" si="194"/>
        <v/>
      </c>
      <c r="BC300" s="655" t="str">
        <f t="shared" si="194"/>
        <v/>
      </c>
    </row>
    <row r="301" spans="1:55" ht="12" customHeight="1">
      <c r="A301" s="56"/>
      <c r="B301" s="56"/>
      <c r="C301" s="56"/>
      <c r="D301" s="56"/>
      <c r="E301" s="56"/>
      <c r="F301" s="56"/>
      <c r="G301" s="56"/>
      <c r="H301" s="57">
        <v>386</v>
      </c>
      <c r="I301" s="58"/>
      <c r="J301" s="59"/>
      <c r="K301" s="60" t="s">
        <v>152</v>
      </c>
      <c r="L301" s="315">
        <f t="shared" ref="L301:AC301" si="221">L302</f>
        <v>5335000</v>
      </c>
      <c r="M301" s="315">
        <f t="shared" si="221"/>
        <v>708076.18289202987</v>
      </c>
      <c r="N301" s="337">
        <f t="shared" si="221"/>
        <v>6706866</v>
      </c>
      <c r="O301" s="337">
        <f t="shared" si="221"/>
        <v>890154.09118056926</v>
      </c>
      <c r="P301" s="292">
        <f t="shared" si="221"/>
        <v>1061000</v>
      </c>
      <c r="Q301" s="292">
        <f t="shared" si="221"/>
        <v>1126900</v>
      </c>
      <c r="R301" s="441">
        <f t="shared" si="221"/>
        <v>968801</v>
      </c>
      <c r="S301" s="292">
        <f t="shared" si="221"/>
        <v>603597.53</v>
      </c>
      <c r="T301" s="292"/>
      <c r="U301" s="292" t="b">
        <f t="shared" si="200"/>
        <v>1</v>
      </c>
      <c r="V301" s="469">
        <v>1040000</v>
      </c>
      <c r="W301" s="469">
        <f t="shared" si="221"/>
        <v>1141500</v>
      </c>
      <c r="X301" s="522">
        <f t="shared" si="221"/>
        <v>1970000</v>
      </c>
      <c r="Y301" s="522"/>
      <c r="Z301" s="522">
        <f t="shared" si="221"/>
        <v>5</v>
      </c>
      <c r="AA301" s="522">
        <f t="shared" si="221"/>
        <v>0</v>
      </c>
      <c r="AB301" s="523">
        <f t="shared" si="221"/>
        <v>1035000</v>
      </c>
      <c r="AC301" s="523">
        <f t="shared" si="221"/>
        <v>1035000</v>
      </c>
      <c r="AD301" s="524">
        <f>O301/M301*100</f>
        <v>125.71445173383317</v>
      </c>
      <c r="AE301" s="524">
        <f>P301/O301*100</f>
        <v>119.19284655456066</v>
      </c>
      <c r="AF301" s="524">
        <f>Q301/P301*100</f>
        <v>106.21112158341188</v>
      </c>
      <c r="AG301" s="524">
        <f>AB301/Q301*100</f>
        <v>91.844884195580804</v>
      </c>
      <c r="AH301" s="522"/>
      <c r="AI301" s="522">
        <v>1970000</v>
      </c>
      <c r="AJ301" s="516">
        <f>W301/R301*100</f>
        <v>117.82605509284156</v>
      </c>
      <c r="AK301" s="516">
        <f>AT301/W301*100</f>
        <v>172.57993867717914</v>
      </c>
      <c r="AL301" s="516">
        <f>X301/AT301*100</f>
        <v>100</v>
      </c>
      <c r="AM301" s="292"/>
      <c r="AO301" t="b">
        <f t="shared" si="187"/>
        <v>1</v>
      </c>
      <c r="AP301" s="440">
        <f t="shared" ref="AP301:AU301" si="222">AP302</f>
        <v>935975</v>
      </c>
      <c r="AQ301" s="441">
        <v>935975</v>
      </c>
      <c r="AR301" s="440">
        <f>AR302</f>
        <v>935975</v>
      </c>
      <c r="AS301" s="441">
        <f t="shared" si="222"/>
        <v>503970.51999999996</v>
      </c>
      <c r="AT301" s="612">
        <f>AT302</f>
        <v>1970000</v>
      </c>
      <c r="AU301" s="469">
        <f t="shared" si="222"/>
        <v>993500</v>
      </c>
      <c r="AV301" s="636">
        <v>1970000</v>
      </c>
      <c r="AW301" s="636">
        <v>1970000</v>
      </c>
      <c r="AX301" s="655">
        <f t="shared" si="190"/>
        <v>203.34413362496528</v>
      </c>
      <c r="AY301" s="655">
        <f t="shared" si="191"/>
        <v>210.47570715029781</v>
      </c>
      <c r="AZ301" s="655">
        <f t="shared" si="192"/>
        <v>50.431472081218274</v>
      </c>
      <c r="BA301" s="655">
        <f t="shared" si="193"/>
        <v>106.14599748924918</v>
      </c>
      <c r="BB301" s="655">
        <f t="shared" si="194"/>
        <v>198.28887770508302</v>
      </c>
      <c r="BC301" s="655">
        <f t="shared" si="194"/>
        <v>100</v>
      </c>
    </row>
    <row r="302" spans="1:55" ht="12" customHeight="1">
      <c r="A302" s="36"/>
      <c r="B302" s="36"/>
      <c r="C302" s="36"/>
      <c r="D302" s="36"/>
      <c r="E302" s="36"/>
      <c r="F302" s="36"/>
      <c r="G302" s="36"/>
      <c r="H302" s="46">
        <v>3861</v>
      </c>
      <c r="I302" s="38"/>
      <c r="J302" s="39"/>
      <c r="K302" s="40" t="s">
        <v>153</v>
      </c>
      <c r="L302" s="309">
        <f t="shared" ref="L302:S302" si="223">L572+L590+L632+L672+L689+L745+L818</f>
        <v>5335000</v>
      </c>
      <c r="M302" s="309">
        <f t="shared" si="223"/>
        <v>708076.18289202987</v>
      </c>
      <c r="N302" s="339">
        <f t="shared" si="223"/>
        <v>6706866</v>
      </c>
      <c r="O302" s="339">
        <f t="shared" si="223"/>
        <v>890154.09118056926</v>
      </c>
      <c r="P302" s="294">
        <f t="shared" si="223"/>
        <v>1061000</v>
      </c>
      <c r="Q302" s="294">
        <f t="shared" si="223"/>
        <v>1126900</v>
      </c>
      <c r="R302" s="443">
        <f t="shared" si="223"/>
        <v>968801</v>
      </c>
      <c r="S302" s="294">
        <f t="shared" si="223"/>
        <v>603597.53</v>
      </c>
      <c r="T302" s="294"/>
      <c r="U302" s="292" t="b">
        <f t="shared" si="200"/>
        <v>1</v>
      </c>
      <c r="V302" s="471">
        <v>1040000</v>
      </c>
      <c r="W302" s="471">
        <f>W572+W590+W632+W672+W689+W745+W818</f>
        <v>1141500</v>
      </c>
      <c r="X302" s="527">
        <f>X572+X590+X632+X672+X689+X745+X818</f>
        <v>1970000</v>
      </c>
      <c r="Y302" s="527"/>
      <c r="Z302" s="527">
        <f>Z572+Z590+Z632+Z672+Z689+Z745+Z818</f>
        <v>5</v>
      </c>
      <c r="AA302" s="527">
        <f>AA572+AA590+AA632+AA672+AA689+AA745+AA818</f>
        <v>0</v>
      </c>
      <c r="AB302" s="528">
        <f>AB572+AB590+AB632+AB672+AB689+AB745+AB818</f>
        <v>1035000</v>
      </c>
      <c r="AC302" s="528">
        <f>AC572+AC590+AC632+AC672+AC689+AC745+AC818</f>
        <v>1035000</v>
      </c>
      <c r="AD302" s="524">
        <f>O302/M302*100</f>
        <v>125.71445173383317</v>
      </c>
      <c r="AE302" s="524">
        <f>P302/O302*100</f>
        <v>119.19284655456066</v>
      </c>
      <c r="AF302" s="524">
        <f>Q302/P302*100</f>
        <v>106.21112158341188</v>
      </c>
      <c r="AG302" s="524">
        <f>AB302/Q302*100</f>
        <v>91.844884195580804</v>
      </c>
      <c r="AH302" s="527"/>
      <c r="AI302" s="527">
        <v>1970000</v>
      </c>
      <c r="AJ302" s="516">
        <f>W302/R302*100</f>
        <v>117.82605509284156</v>
      </c>
      <c r="AK302" s="516">
        <f>AT302/W302*100</f>
        <v>172.57993867717914</v>
      </c>
      <c r="AL302" s="516">
        <f>X302/AT302*100</f>
        <v>100</v>
      </c>
      <c r="AM302" s="294"/>
      <c r="AO302" t="b">
        <f t="shared" si="187"/>
        <v>1</v>
      </c>
      <c r="AP302" s="462">
        <f>AP572+AP590+AP632+AP672+AP689+AP745+AP818</f>
        <v>935975</v>
      </c>
      <c r="AQ302" s="443">
        <v>935975</v>
      </c>
      <c r="AR302" s="462">
        <f>AR572+AR590+AR632+AR672+AR689+AR745+AR818</f>
        <v>935975</v>
      </c>
      <c r="AS302" s="443">
        <f>AS572+AS590+AS632+AS672+AS689+AS745+AS818</f>
        <v>503970.51999999996</v>
      </c>
      <c r="AT302" s="613">
        <f>AT572+AT590+AT632+AT672+AT689+AT745+AT818</f>
        <v>1970000</v>
      </c>
      <c r="AU302" s="471">
        <f>AU572+AU590+AU632+AU672+AU689+AU745+AU818</f>
        <v>993500</v>
      </c>
      <c r="AV302" s="638">
        <v>1970000</v>
      </c>
      <c r="AW302" s="638">
        <v>1970000</v>
      </c>
      <c r="AX302" s="655">
        <f t="shared" si="190"/>
        <v>203.34413362496528</v>
      </c>
      <c r="AY302" s="655">
        <f t="shared" si="191"/>
        <v>210.47570715029781</v>
      </c>
      <c r="AZ302" s="655">
        <f t="shared" si="192"/>
        <v>50.431472081218274</v>
      </c>
      <c r="BA302" s="655">
        <f t="shared" si="193"/>
        <v>106.14599748924918</v>
      </c>
      <c r="BB302" s="655">
        <f t="shared" si="194"/>
        <v>198.28887770508302</v>
      </c>
      <c r="BC302" s="655">
        <f t="shared" si="194"/>
        <v>100</v>
      </c>
    </row>
    <row r="303" spans="1:55" ht="12" customHeight="1">
      <c r="A303" s="20"/>
      <c r="B303" s="20"/>
      <c r="C303" s="20"/>
      <c r="D303" s="20"/>
      <c r="E303" s="20"/>
      <c r="F303" s="20"/>
      <c r="G303" s="20"/>
      <c r="H303" s="16"/>
      <c r="I303" s="17"/>
      <c r="J303" s="18"/>
      <c r="K303" s="19"/>
      <c r="L303" s="313"/>
      <c r="M303" s="313"/>
      <c r="N303" s="335"/>
      <c r="O303" s="335"/>
      <c r="P303" s="290"/>
      <c r="Q303" s="290"/>
      <c r="R303" s="439"/>
      <c r="S303" s="290"/>
      <c r="T303" s="290"/>
      <c r="U303" s="292" t="b">
        <f t="shared" si="200"/>
        <v>0</v>
      </c>
      <c r="V303" s="467"/>
      <c r="W303" s="467"/>
      <c r="X303" s="514"/>
      <c r="Y303" s="514"/>
      <c r="Z303" s="514"/>
      <c r="AA303" s="514"/>
      <c r="AB303" s="515"/>
      <c r="AC303" s="515"/>
      <c r="AD303" s="524"/>
      <c r="AE303" s="524"/>
      <c r="AF303" s="524"/>
      <c r="AG303" s="524"/>
      <c r="AH303" s="514"/>
      <c r="AI303" s="514"/>
      <c r="AJ303" s="516"/>
      <c r="AK303" s="516"/>
      <c r="AL303" s="516"/>
      <c r="AM303" s="290"/>
      <c r="AO303" t="b">
        <f t="shared" si="187"/>
        <v>0</v>
      </c>
      <c r="AQ303" s="439"/>
      <c r="AS303" s="439"/>
      <c r="AT303" s="612"/>
      <c r="AU303" s="467"/>
      <c r="AV303" s="632"/>
      <c r="AW303" s="632"/>
      <c r="AX303" s="655" t="str">
        <f t="shared" si="190"/>
        <v/>
      </c>
      <c r="AY303" s="655" t="str">
        <f t="shared" si="191"/>
        <v/>
      </c>
      <c r="AZ303" s="655" t="str">
        <f t="shared" si="192"/>
        <v/>
      </c>
      <c r="BA303" s="655" t="str">
        <f t="shared" si="193"/>
        <v/>
      </c>
      <c r="BB303" s="655" t="str">
        <f t="shared" si="194"/>
        <v/>
      </c>
      <c r="BC303" s="655" t="str">
        <f t="shared" si="194"/>
        <v/>
      </c>
    </row>
    <row r="304" spans="1:55" ht="12" customHeight="1">
      <c r="A304" s="41"/>
      <c r="B304" s="41"/>
      <c r="C304" s="41"/>
      <c r="D304" s="41"/>
      <c r="E304" s="41"/>
      <c r="F304" s="41"/>
      <c r="G304" s="41"/>
      <c r="H304" s="42">
        <v>4</v>
      </c>
      <c r="I304" s="43"/>
      <c r="J304" s="44"/>
      <c r="K304" s="45" t="s">
        <v>154</v>
      </c>
      <c r="L304" s="315">
        <f t="shared" ref="L304:AA304" si="224">L306+L311+L333</f>
        <v>4478424</v>
      </c>
      <c r="M304" s="315">
        <f t="shared" si="224"/>
        <v>594389.01055146323</v>
      </c>
      <c r="N304" s="337">
        <f t="shared" si="224"/>
        <v>2004477</v>
      </c>
      <c r="O304" s="337">
        <f t="shared" si="224"/>
        <v>266039.81684252433</v>
      </c>
      <c r="P304" s="292">
        <f t="shared" si="224"/>
        <v>1536700</v>
      </c>
      <c r="Q304" s="292">
        <f t="shared" si="224"/>
        <v>662060</v>
      </c>
      <c r="R304" s="441">
        <f t="shared" si="224"/>
        <v>728804</v>
      </c>
      <c r="S304" s="292">
        <f t="shared" si="224"/>
        <v>573598.02999999991</v>
      </c>
      <c r="T304" s="292"/>
      <c r="U304" s="292" t="b">
        <f t="shared" si="200"/>
        <v>1</v>
      </c>
      <c r="V304" s="469">
        <v>1809820</v>
      </c>
      <c r="W304" s="469">
        <f>W306+W311+W333</f>
        <v>730000</v>
      </c>
      <c r="X304" s="522">
        <f>X306+X311+X333</f>
        <v>911500.3</v>
      </c>
      <c r="Y304" s="522"/>
      <c r="Z304" s="522">
        <f t="shared" si="224"/>
        <v>3</v>
      </c>
      <c r="AA304" s="522">
        <f t="shared" si="224"/>
        <v>4</v>
      </c>
      <c r="AB304" s="523">
        <f>AB306+AB311+AB333</f>
        <v>495100</v>
      </c>
      <c r="AC304" s="523">
        <f>AC306+AC311+AC333</f>
        <v>495100</v>
      </c>
      <c r="AD304" s="524">
        <f>O304/M304*100</f>
        <v>44.75853559198503</v>
      </c>
      <c r="AE304" s="524">
        <f>P304/O304*100</f>
        <v>577.62030444849211</v>
      </c>
      <c r="AF304" s="524">
        <f>Q304/P304*100</f>
        <v>43.083230298692001</v>
      </c>
      <c r="AG304" s="524">
        <f>AB304/Q304*100</f>
        <v>74.781741836087363</v>
      </c>
      <c r="AH304" s="522"/>
      <c r="AI304" s="522">
        <v>911500.3</v>
      </c>
      <c r="AJ304" s="516">
        <f>W304/R304*100</f>
        <v>100.16410447802153</v>
      </c>
      <c r="AK304" s="516">
        <f>AT304/W304*100</f>
        <v>151.30136986301369</v>
      </c>
      <c r="AL304" s="516">
        <f>X304/AT304*100</f>
        <v>82.526057039384341</v>
      </c>
      <c r="AM304" s="292"/>
      <c r="AO304" t="b">
        <f t="shared" si="187"/>
        <v>1</v>
      </c>
      <c r="AP304" s="440">
        <f>AP306+AP311+AP333</f>
        <v>608216.67999999993</v>
      </c>
      <c r="AQ304" s="441">
        <v>648786.98</v>
      </c>
      <c r="AR304" s="440">
        <f>AR306+AR311+AR333</f>
        <v>608216.67999999993</v>
      </c>
      <c r="AS304" s="441">
        <f>AS306+AS311+AS333</f>
        <v>85646.73000000001</v>
      </c>
      <c r="AT304" s="612">
        <f>AT306+AT311+AT333</f>
        <v>1104500</v>
      </c>
      <c r="AU304" s="469">
        <f>AU306+AU311+AU333</f>
        <v>1837750</v>
      </c>
      <c r="AV304" s="636">
        <v>911500.3</v>
      </c>
      <c r="AW304" s="636">
        <v>911500.3</v>
      </c>
      <c r="AX304" s="655">
        <f t="shared" si="190"/>
        <v>151.54966218626683</v>
      </c>
      <c r="AY304" s="655">
        <f t="shared" si="191"/>
        <v>170.24077764322584</v>
      </c>
      <c r="AZ304" s="655">
        <f t="shared" si="192"/>
        <v>166.38750565866908</v>
      </c>
      <c r="BA304" s="655">
        <f t="shared" si="193"/>
        <v>283.25938353448464</v>
      </c>
      <c r="BB304" s="655">
        <f t="shared" si="194"/>
        <v>49.598710379540201</v>
      </c>
      <c r="BC304" s="655">
        <f t="shared" si="194"/>
        <v>100</v>
      </c>
    </row>
    <row r="305" spans="1:55" ht="12" customHeight="1">
      <c r="A305" s="36"/>
      <c r="B305" s="36"/>
      <c r="C305" s="36"/>
      <c r="D305" s="36"/>
      <c r="E305" s="36"/>
      <c r="F305" s="36"/>
      <c r="G305" s="36"/>
      <c r="H305" s="46"/>
      <c r="I305" s="38"/>
      <c r="J305" s="39"/>
      <c r="K305" s="40"/>
      <c r="L305" s="316"/>
      <c r="M305" s="316"/>
      <c r="N305" s="338"/>
      <c r="O305" s="338"/>
      <c r="P305" s="293"/>
      <c r="Q305" s="293"/>
      <c r="R305" s="442"/>
      <c r="S305" s="293"/>
      <c r="T305" s="293"/>
      <c r="U305" s="292" t="b">
        <f t="shared" si="200"/>
        <v>0</v>
      </c>
      <c r="V305" s="470"/>
      <c r="W305" s="470"/>
      <c r="X305" s="525"/>
      <c r="Y305" s="525"/>
      <c r="Z305" s="525"/>
      <c r="AA305" s="525"/>
      <c r="AB305" s="526"/>
      <c r="AC305" s="526"/>
      <c r="AD305" s="524"/>
      <c r="AE305" s="524"/>
      <c r="AF305" s="524"/>
      <c r="AG305" s="524"/>
      <c r="AH305" s="525"/>
      <c r="AI305" s="525"/>
      <c r="AJ305" s="516"/>
      <c r="AK305" s="516"/>
      <c r="AL305" s="516"/>
      <c r="AM305" s="293"/>
      <c r="AO305" t="b">
        <f t="shared" si="187"/>
        <v>0</v>
      </c>
      <c r="AQ305" s="442"/>
      <c r="AS305" s="442"/>
      <c r="AT305" s="613"/>
      <c r="AU305" s="470"/>
      <c r="AV305" s="637"/>
      <c r="AW305" s="637"/>
      <c r="AX305" s="655" t="str">
        <f t="shared" si="190"/>
        <v/>
      </c>
      <c r="AY305" s="655" t="str">
        <f t="shared" si="191"/>
        <v/>
      </c>
      <c r="AZ305" s="655" t="str">
        <f t="shared" si="192"/>
        <v/>
      </c>
      <c r="BA305" s="655" t="str">
        <f t="shared" si="193"/>
        <v/>
      </c>
      <c r="BB305" s="655" t="str">
        <f t="shared" si="194"/>
        <v/>
      </c>
      <c r="BC305" s="655" t="str">
        <f t="shared" si="194"/>
        <v/>
      </c>
    </row>
    <row r="306" spans="1:55" ht="12" customHeight="1">
      <c r="A306" s="47"/>
      <c r="B306" s="47"/>
      <c r="C306" s="47"/>
      <c r="D306" s="47"/>
      <c r="E306" s="47"/>
      <c r="F306" s="47"/>
      <c r="G306" s="47"/>
      <c r="H306" s="48">
        <v>41</v>
      </c>
      <c r="I306" s="49"/>
      <c r="J306" s="50"/>
      <c r="K306" s="51" t="s">
        <v>724</v>
      </c>
      <c r="L306" s="315">
        <f t="shared" ref="L306:AA306" si="225">L308</f>
        <v>0</v>
      </c>
      <c r="M306" s="315">
        <f t="shared" si="225"/>
        <v>0</v>
      </c>
      <c r="N306" s="337">
        <f t="shared" si="225"/>
        <v>0</v>
      </c>
      <c r="O306" s="337">
        <f t="shared" si="225"/>
        <v>0</v>
      </c>
      <c r="P306" s="292">
        <f t="shared" si="225"/>
        <v>0</v>
      </c>
      <c r="Q306" s="292">
        <f t="shared" si="225"/>
        <v>0</v>
      </c>
      <c r="R306" s="441">
        <f t="shared" si="225"/>
        <v>0</v>
      </c>
      <c r="S306" s="292">
        <f t="shared" si="225"/>
        <v>0</v>
      </c>
      <c r="T306" s="292"/>
      <c r="U306" s="292" t="b">
        <f t="shared" si="200"/>
        <v>1</v>
      </c>
      <c r="V306" s="469"/>
      <c r="W306" s="469">
        <f>W308</f>
        <v>0</v>
      </c>
      <c r="X306" s="522">
        <f>X308</f>
        <v>0</v>
      </c>
      <c r="Y306" s="522"/>
      <c r="Z306" s="522">
        <f t="shared" si="225"/>
        <v>3</v>
      </c>
      <c r="AA306" s="522">
        <f t="shared" si="225"/>
        <v>4</v>
      </c>
      <c r="AB306" s="523">
        <f>AB308</f>
        <v>0</v>
      </c>
      <c r="AC306" s="523">
        <f>AC308</f>
        <v>0</v>
      </c>
      <c r="AD306" s="524"/>
      <c r="AE306" s="524"/>
      <c r="AF306" s="524"/>
      <c r="AG306" s="524"/>
      <c r="AH306" s="522"/>
      <c r="AI306" s="522">
        <v>0</v>
      </c>
      <c r="AJ306" s="516"/>
      <c r="AK306" s="516"/>
      <c r="AL306" s="516"/>
      <c r="AM306" s="292"/>
      <c r="AO306" t="b">
        <f t="shared" si="187"/>
        <v>1</v>
      </c>
      <c r="AP306" s="440">
        <f>AP308</f>
        <v>0</v>
      </c>
      <c r="AQ306" s="441">
        <v>0</v>
      </c>
      <c r="AR306" s="440">
        <f>AR308</f>
        <v>0</v>
      </c>
      <c r="AS306" s="441">
        <f>AS308</f>
        <v>0</v>
      </c>
      <c r="AT306" s="612">
        <f>AT308</f>
        <v>0</v>
      </c>
      <c r="AU306" s="469">
        <f>AU308</f>
        <v>0</v>
      </c>
      <c r="AV306" s="636">
        <v>0</v>
      </c>
      <c r="AW306" s="636">
        <v>0</v>
      </c>
      <c r="AX306" s="655" t="str">
        <f t="shared" si="190"/>
        <v/>
      </c>
      <c r="AY306" s="655" t="str">
        <f t="shared" si="191"/>
        <v/>
      </c>
      <c r="AZ306" s="655" t="str">
        <f t="shared" si="192"/>
        <v/>
      </c>
      <c r="BA306" s="655" t="str">
        <f t="shared" si="193"/>
        <v/>
      </c>
      <c r="BB306" s="655" t="str">
        <f t="shared" si="194"/>
        <v/>
      </c>
      <c r="BC306" s="655" t="str">
        <f t="shared" si="194"/>
        <v/>
      </c>
    </row>
    <row r="307" spans="1:55" ht="12" customHeight="1">
      <c r="A307" s="20"/>
      <c r="B307" s="20"/>
      <c r="C307" s="20"/>
      <c r="D307" s="20"/>
      <c r="E307" s="20"/>
      <c r="F307" s="20"/>
      <c r="G307" s="20"/>
      <c r="H307" s="16"/>
      <c r="I307" s="17"/>
      <c r="J307" s="18"/>
      <c r="K307" s="19"/>
      <c r="L307" s="313"/>
      <c r="M307" s="313"/>
      <c r="N307" s="335"/>
      <c r="O307" s="335"/>
      <c r="P307" s="290"/>
      <c r="Q307" s="290"/>
      <c r="R307" s="439"/>
      <c r="S307" s="290"/>
      <c r="T307" s="290"/>
      <c r="U307" s="292" t="b">
        <f t="shared" si="200"/>
        <v>0</v>
      </c>
      <c r="V307" s="467"/>
      <c r="W307" s="467"/>
      <c r="X307" s="514"/>
      <c r="Y307" s="514"/>
      <c r="Z307" s="514"/>
      <c r="AA307" s="514"/>
      <c r="AB307" s="515"/>
      <c r="AC307" s="515"/>
      <c r="AD307" s="524"/>
      <c r="AE307" s="524"/>
      <c r="AF307" s="524"/>
      <c r="AG307" s="524"/>
      <c r="AH307" s="514"/>
      <c r="AI307" s="514"/>
      <c r="AJ307" s="516"/>
      <c r="AK307" s="516"/>
      <c r="AL307" s="516"/>
      <c r="AM307" s="290"/>
      <c r="AO307" t="b">
        <f t="shared" si="187"/>
        <v>0</v>
      </c>
      <c r="AQ307" s="439"/>
      <c r="AS307" s="439"/>
      <c r="AT307" s="612"/>
      <c r="AU307" s="467"/>
      <c r="AV307" s="632"/>
      <c r="AW307" s="632"/>
      <c r="AX307" s="655" t="str">
        <f t="shared" si="190"/>
        <v/>
      </c>
      <c r="AY307" s="655" t="str">
        <f t="shared" si="191"/>
        <v/>
      </c>
      <c r="AZ307" s="655" t="str">
        <f t="shared" si="192"/>
        <v/>
      </c>
      <c r="BA307" s="655" t="str">
        <f t="shared" si="193"/>
        <v/>
      </c>
      <c r="BB307" s="655" t="str">
        <f t="shared" si="194"/>
        <v/>
      </c>
      <c r="BC307" s="655" t="str">
        <f t="shared" si="194"/>
        <v/>
      </c>
    </row>
    <row r="308" spans="1:55" ht="12" customHeight="1">
      <c r="A308" s="56"/>
      <c r="B308" s="56"/>
      <c r="C308" s="56"/>
      <c r="D308" s="56"/>
      <c r="E308" s="56"/>
      <c r="F308" s="56"/>
      <c r="G308" s="56"/>
      <c r="H308" s="57">
        <v>411</v>
      </c>
      <c r="I308" s="58"/>
      <c r="J308" s="59"/>
      <c r="K308" s="60" t="s">
        <v>725</v>
      </c>
      <c r="L308" s="315">
        <f t="shared" ref="L308:R308" si="226">L309</f>
        <v>0</v>
      </c>
      <c r="M308" s="315">
        <f t="shared" si="226"/>
        <v>0</v>
      </c>
      <c r="N308" s="337">
        <f t="shared" si="226"/>
        <v>0</v>
      </c>
      <c r="O308" s="337">
        <f t="shared" si="226"/>
        <v>0</v>
      </c>
      <c r="P308" s="292">
        <f t="shared" si="226"/>
        <v>0</v>
      </c>
      <c r="Q308" s="292">
        <f t="shared" si="226"/>
        <v>0</v>
      </c>
      <c r="R308" s="441">
        <f t="shared" si="226"/>
        <v>0</v>
      </c>
      <c r="S308" s="292">
        <f t="shared" ref="S308:X308" si="227">S309</f>
        <v>0</v>
      </c>
      <c r="T308" s="292">
        <f t="shared" si="227"/>
        <v>0</v>
      </c>
      <c r="U308" s="292">
        <f t="shared" si="227"/>
        <v>0</v>
      </c>
      <c r="V308" s="469">
        <f t="shared" si="227"/>
        <v>0</v>
      </c>
      <c r="W308" s="469">
        <f t="shared" si="227"/>
        <v>0</v>
      </c>
      <c r="X308" s="522">
        <f t="shared" si="227"/>
        <v>0</v>
      </c>
      <c r="Y308" s="522"/>
      <c r="Z308" s="522">
        <f>Z309</f>
        <v>3</v>
      </c>
      <c r="AA308" s="522">
        <f>AA309</f>
        <v>4</v>
      </c>
      <c r="AB308" s="523">
        <f>AB309</f>
        <v>0</v>
      </c>
      <c r="AC308" s="523">
        <f>AC309</f>
        <v>0</v>
      </c>
      <c r="AD308" s="524"/>
      <c r="AE308" s="524"/>
      <c r="AF308" s="524"/>
      <c r="AG308" s="524"/>
      <c r="AH308" s="522"/>
      <c r="AI308" s="522">
        <v>0</v>
      </c>
      <c r="AJ308" s="516"/>
      <c r="AK308" s="516"/>
      <c r="AL308" s="516"/>
      <c r="AM308" s="292"/>
      <c r="AO308" t="b">
        <f t="shared" si="187"/>
        <v>1</v>
      </c>
      <c r="AP308" s="440">
        <f t="shared" ref="AP308:AU308" si="228">AP309</f>
        <v>0</v>
      </c>
      <c r="AQ308" s="441">
        <v>0</v>
      </c>
      <c r="AR308" s="440">
        <f>AR309</f>
        <v>0</v>
      </c>
      <c r="AS308" s="441">
        <f t="shared" si="228"/>
        <v>0</v>
      </c>
      <c r="AT308" s="612">
        <f>AT309</f>
        <v>0</v>
      </c>
      <c r="AU308" s="469">
        <f t="shared" si="228"/>
        <v>0</v>
      </c>
      <c r="AV308" s="636">
        <v>0</v>
      </c>
      <c r="AW308" s="636">
        <v>0</v>
      </c>
      <c r="AX308" s="655" t="str">
        <f t="shared" si="190"/>
        <v/>
      </c>
      <c r="AY308" s="655" t="str">
        <f t="shared" si="191"/>
        <v/>
      </c>
      <c r="AZ308" s="655" t="str">
        <f t="shared" si="192"/>
        <v/>
      </c>
      <c r="BA308" s="655" t="str">
        <f t="shared" si="193"/>
        <v/>
      </c>
      <c r="BB308" s="655" t="str">
        <f t="shared" si="194"/>
        <v/>
      </c>
      <c r="BC308" s="655" t="str">
        <f t="shared" si="194"/>
        <v/>
      </c>
    </row>
    <row r="309" spans="1:55" ht="12" customHeight="1">
      <c r="A309" s="36"/>
      <c r="B309" s="36"/>
      <c r="C309" s="36"/>
      <c r="D309" s="36"/>
      <c r="E309" s="36"/>
      <c r="F309" s="36"/>
      <c r="G309" s="36"/>
      <c r="H309" s="46">
        <v>4111</v>
      </c>
      <c r="I309" s="38"/>
      <c r="J309" s="39"/>
      <c r="K309" s="40" t="s">
        <v>80</v>
      </c>
      <c r="L309" s="309">
        <v>0</v>
      </c>
      <c r="M309" s="309">
        <v>0</v>
      </c>
      <c r="N309" s="339">
        <v>0</v>
      </c>
      <c r="O309" s="339">
        <v>0</v>
      </c>
      <c r="P309" s="294">
        <v>0</v>
      </c>
      <c r="Q309" s="294">
        <v>0</v>
      </c>
      <c r="R309" s="443">
        <f>R469</f>
        <v>0</v>
      </c>
      <c r="S309" s="294">
        <f t="shared" ref="S309:X309" si="229">S469</f>
        <v>0</v>
      </c>
      <c r="T309" s="294">
        <f t="shared" si="229"/>
        <v>0</v>
      </c>
      <c r="U309" s="294">
        <f t="shared" si="229"/>
        <v>0</v>
      </c>
      <c r="V309" s="471">
        <f t="shared" si="229"/>
        <v>0</v>
      </c>
      <c r="W309" s="471">
        <f t="shared" si="229"/>
        <v>0</v>
      </c>
      <c r="X309" s="527">
        <f t="shared" si="229"/>
        <v>0</v>
      </c>
      <c r="Y309" s="527"/>
      <c r="Z309" s="527">
        <v>3</v>
      </c>
      <c r="AA309" s="527">
        <v>4</v>
      </c>
      <c r="AB309" s="528">
        <f>AB469</f>
        <v>0</v>
      </c>
      <c r="AC309" s="528">
        <f>AC469</f>
        <v>0</v>
      </c>
      <c r="AD309" s="524"/>
      <c r="AE309" s="524"/>
      <c r="AF309" s="524"/>
      <c r="AG309" s="524"/>
      <c r="AH309" s="527"/>
      <c r="AI309" s="527">
        <v>0</v>
      </c>
      <c r="AJ309" s="516"/>
      <c r="AK309" s="516"/>
      <c r="AL309" s="516"/>
      <c r="AM309" s="294"/>
      <c r="AO309" t="b">
        <f t="shared" si="187"/>
        <v>1</v>
      </c>
      <c r="AP309" s="462">
        <f>AP469</f>
        <v>0</v>
      </c>
      <c r="AQ309" s="443">
        <v>0</v>
      </c>
      <c r="AR309" s="462">
        <f>AR469</f>
        <v>0</v>
      </c>
      <c r="AS309" s="443">
        <f>AS469</f>
        <v>0</v>
      </c>
      <c r="AT309" s="613">
        <f>AT469</f>
        <v>0</v>
      </c>
      <c r="AU309" s="471">
        <f>AU469</f>
        <v>0</v>
      </c>
      <c r="AV309" s="638">
        <v>0</v>
      </c>
      <c r="AW309" s="638">
        <v>0</v>
      </c>
      <c r="AX309" s="655" t="str">
        <f t="shared" si="190"/>
        <v/>
      </c>
      <c r="AY309" s="655" t="str">
        <f t="shared" si="191"/>
        <v/>
      </c>
      <c r="AZ309" s="655" t="str">
        <f t="shared" si="192"/>
        <v/>
      </c>
      <c r="BA309" s="655" t="str">
        <f t="shared" si="193"/>
        <v/>
      </c>
      <c r="BB309" s="655" t="str">
        <f t="shared" si="194"/>
        <v/>
      </c>
      <c r="BC309" s="655" t="str">
        <f t="shared" si="194"/>
        <v/>
      </c>
    </row>
    <row r="310" spans="1:55" ht="12" customHeight="1">
      <c r="A310" s="36"/>
      <c r="B310" s="36"/>
      <c r="C310" s="36"/>
      <c r="D310" s="36"/>
      <c r="E310" s="36"/>
      <c r="F310" s="36"/>
      <c r="G310" s="36"/>
      <c r="H310" s="46"/>
      <c r="I310" s="38"/>
      <c r="J310" s="39"/>
      <c r="K310" s="40"/>
      <c r="L310" s="316"/>
      <c r="M310" s="316"/>
      <c r="N310" s="338"/>
      <c r="O310" s="338"/>
      <c r="P310" s="293"/>
      <c r="Q310" s="293"/>
      <c r="R310" s="442"/>
      <c r="S310" s="293"/>
      <c r="T310" s="293"/>
      <c r="U310" s="292" t="b">
        <f t="shared" si="200"/>
        <v>0</v>
      </c>
      <c r="V310" s="470"/>
      <c r="W310" s="470"/>
      <c r="X310" s="525"/>
      <c r="Y310" s="525"/>
      <c r="Z310" s="525"/>
      <c r="AA310" s="525"/>
      <c r="AB310" s="526"/>
      <c r="AC310" s="526"/>
      <c r="AD310" s="524"/>
      <c r="AE310" s="524"/>
      <c r="AF310" s="524"/>
      <c r="AG310" s="524"/>
      <c r="AH310" s="525"/>
      <c r="AI310" s="525"/>
      <c r="AJ310" s="516"/>
      <c r="AK310" s="516"/>
      <c r="AL310" s="516"/>
      <c r="AM310" s="293"/>
      <c r="AO310" t="b">
        <f t="shared" si="187"/>
        <v>0</v>
      </c>
      <c r="AQ310" s="442"/>
      <c r="AS310" s="442"/>
      <c r="AT310" s="613"/>
      <c r="AU310" s="470"/>
      <c r="AV310" s="637"/>
      <c r="AW310" s="637"/>
      <c r="AX310" s="655" t="str">
        <f t="shared" si="190"/>
        <v/>
      </c>
      <c r="AY310" s="655" t="str">
        <f t="shared" si="191"/>
        <v/>
      </c>
      <c r="AZ310" s="655" t="str">
        <f t="shared" si="192"/>
        <v/>
      </c>
      <c r="BA310" s="655" t="str">
        <f t="shared" si="193"/>
        <v/>
      </c>
      <c r="BB310" s="655" t="str">
        <f t="shared" si="194"/>
        <v/>
      </c>
      <c r="BC310" s="655" t="str">
        <f t="shared" si="194"/>
        <v/>
      </c>
    </row>
    <row r="311" spans="1:55" ht="12" customHeight="1">
      <c r="A311" s="47"/>
      <c r="B311" s="47"/>
      <c r="C311" s="47"/>
      <c r="D311" s="47"/>
      <c r="E311" s="47"/>
      <c r="F311" s="47"/>
      <c r="G311" s="47"/>
      <c r="H311" s="48">
        <v>42</v>
      </c>
      <c r="I311" s="49"/>
      <c r="J311" s="50"/>
      <c r="K311" s="51" t="s">
        <v>155</v>
      </c>
      <c r="L311" s="315">
        <f t="shared" ref="L311:AA311" si="230">L313+L318+L326+L329</f>
        <v>2001789</v>
      </c>
      <c r="M311" s="315">
        <f t="shared" si="230"/>
        <v>265683.05793350586</v>
      </c>
      <c r="N311" s="337">
        <f t="shared" si="230"/>
        <v>1381514</v>
      </c>
      <c r="O311" s="337">
        <f t="shared" si="230"/>
        <v>183358.41794412368</v>
      </c>
      <c r="P311" s="292">
        <f t="shared" si="230"/>
        <v>1536700</v>
      </c>
      <c r="Q311" s="292">
        <f t="shared" si="230"/>
        <v>638700</v>
      </c>
      <c r="R311" s="441">
        <f t="shared" si="230"/>
        <v>702934</v>
      </c>
      <c r="S311" s="292">
        <f t="shared" si="230"/>
        <v>573598.02999999991</v>
      </c>
      <c r="T311" s="292"/>
      <c r="U311" s="292" t="b">
        <f t="shared" si="200"/>
        <v>1</v>
      </c>
      <c r="V311" s="469">
        <v>1779820</v>
      </c>
      <c r="W311" s="469">
        <f>W313+W318+W326+W329</f>
        <v>730000</v>
      </c>
      <c r="X311" s="522">
        <f>X313+X318+X326+X329</f>
        <v>611500.30000000005</v>
      </c>
      <c r="Y311" s="522"/>
      <c r="Z311" s="522">
        <f t="shared" si="230"/>
        <v>0</v>
      </c>
      <c r="AA311" s="522">
        <f t="shared" si="230"/>
        <v>0</v>
      </c>
      <c r="AB311" s="523">
        <f>AB313+AB318+AB326+AB329</f>
        <v>495100</v>
      </c>
      <c r="AC311" s="523">
        <f>AC313+AC318+AC326+AC329</f>
        <v>495100</v>
      </c>
      <c r="AD311" s="524">
        <f>O311/M311*100</f>
        <v>69.013967006512672</v>
      </c>
      <c r="AE311" s="524">
        <f>P311/O311*100</f>
        <v>838.08532884936403</v>
      </c>
      <c r="AF311" s="524">
        <f>Q311/P311*100</f>
        <v>41.563089737749728</v>
      </c>
      <c r="AG311" s="524">
        <f>AB311/Q311*100</f>
        <v>77.516831063096916</v>
      </c>
      <c r="AH311" s="522"/>
      <c r="AI311" s="522">
        <v>611500.30000000005</v>
      </c>
      <c r="AJ311" s="516">
        <f>W311/R311*100</f>
        <v>103.85043261529532</v>
      </c>
      <c r="AK311" s="516">
        <f>AT311/W311*100</f>
        <v>130.75342465753425</v>
      </c>
      <c r="AL311" s="516">
        <f>X311/AT311*100</f>
        <v>64.064986904138294</v>
      </c>
      <c r="AM311" s="292"/>
      <c r="AO311" t="b">
        <f t="shared" si="187"/>
        <v>1</v>
      </c>
      <c r="AP311" s="440">
        <f>AP313+AP318+AP326+AP329</f>
        <v>608216.67999999993</v>
      </c>
      <c r="AQ311" s="441">
        <v>648786.98</v>
      </c>
      <c r="AR311" s="440">
        <f>AR313+AR318+AR326+AR329</f>
        <v>608216.67999999993</v>
      </c>
      <c r="AS311" s="441">
        <f>AS313+AS318+AS326+AS329</f>
        <v>85646.73000000001</v>
      </c>
      <c r="AT311" s="612">
        <f>AT313+AT318+AT326+AT329</f>
        <v>954500</v>
      </c>
      <c r="AU311" s="469">
        <f>AU313+AU318+AU326+AU329</f>
        <v>1687750</v>
      </c>
      <c r="AV311" s="636">
        <v>611500.30000000005</v>
      </c>
      <c r="AW311" s="636">
        <v>611500.30000000005</v>
      </c>
      <c r="AX311" s="655">
        <f t="shared" si="190"/>
        <v>135.78799716616354</v>
      </c>
      <c r="AY311" s="655">
        <f t="shared" si="191"/>
        <v>147.1207082484917</v>
      </c>
      <c r="AZ311" s="655">
        <f t="shared" si="192"/>
        <v>176.82032477737036</v>
      </c>
      <c r="BA311" s="655">
        <f t="shared" si="193"/>
        <v>260.13931413975047</v>
      </c>
      <c r="BB311" s="655">
        <f t="shared" si="194"/>
        <v>36.231687157458161</v>
      </c>
      <c r="BC311" s="655">
        <f t="shared" si="194"/>
        <v>100</v>
      </c>
    </row>
    <row r="312" spans="1:55" ht="12" customHeight="1">
      <c r="A312" s="20"/>
      <c r="B312" s="20"/>
      <c r="C312" s="20"/>
      <c r="D312" s="20"/>
      <c r="E312" s="20"/>
      <c r="F312" s="20"/>
      <c r="G312" s="20"/>
      <c r="H312" s="16"/>
      <c r="I312" s="17"/>
      <c r="J312" s="18"/>
      <c r="K312" s="19"/>
      <c r="L312" s="313"/>
      <c r="M312" s="313"/>
      <c r="N312" s="335"/>
      <c r="O312" s="335"/>
      <c r="P312" s="290"/>
      <c r="Q312" s="290"/>
      <c r="R312" s="439"/>
      <c r="S312" s="290"/>
      <c r="T312" s="290"/>
      <c r="U312" s="292" t="b">
        <f t="shared" si="200"/>
        <v>0</v>
      </c>
      <c r="V312" s="467"/>
      <c r="W312" s="467"/>
      <c r="X312" s="514"/>
      <c r="Y312" s="514"/>
      <c r="Z312" s="514"/>
      <c r="AA312" s="514"/>
      <c r="AB312" s="515"/>
      <c r="AC312" s="515"/>
      <c r="AD312" s="524"/>
      <c r="AE312" s="524"/>
      <c r="AF312" s="524"/>
      <c r="AG312" s="524"/>
      <c r="AH312" s="514"/>
      <c r="AI312" s="514"/>
      <c r="AJ312" s="516"/>
      <c r="AK312" s="516"/>
      <c r="AL312" s="516"/>
      <c r="AM312" s="290"/>
      <c r="AO312" t="b">
        <f t="shared" si="187"/>
        <v>0</v>
      </c>
      <c r="AQ312" s="439"/>
      <c r="AS312" s="439"/>
      <c r="AT312" s="612"/>
      <c r="AU312" s="467"/>
      <c r="AV312" s="632"/>
      <c r="AW312" s="632"/>
      <c r="AX312" s="655" t="str">
        <f t="shared" si="190"/>
        <v/>
      </c>
      <c r="AY312" s="655" t="str">
        <f t="shared" si="191"/>
        <v/>
      </c>
      <c r="AZ312" s="655" t="str">
        <f t="shared" si="192"/>
        <v/>
      </c>
      <c r="BA312" s="655" t="str">
        <f t="shared" si="193"/>
        <v/>
      </c>
      <c r="BB312" s="655" t="str">
        <f t="shared" si="194"/>
        <v/>
      </c>
      <c r="BC312" s="655" t="str">
        <f t="shared" si="194"/>
        <v/>
      </c>
    </row>
    <row r="313" spans="1:55" ht="12" customHeight="1">
      <c r="A313" s="56"/>
      <c r="B313" s="56"/>
      <c r="C313" s="56"/>
      <c r="D313" s="56"/>
      <c r="E313" s="56"/>
      <c r="F313" s="56"/>
      <c r="G313" s="56"/>
      <c r="H313" s="57">
        <v>421</v>
      </c>
      <c r="I313" s="58"/>
      <c r="J313" s="59"/>
      <c r="K313" s="60" t="s">
        <v>156</v>
      </c>
      <c r="L313" s="315">
        <f t="shared" ref="L313:AA313" si="231">L314+L315+L316</f>
        <v>1627658</v>
      </c>
      <c r="M313" s="315">
        <f t="shared" si="231"/>
        <v>216027.34089853341</v>
      </c>
      <c r="N313" s="337">
        <f t="shared" si="231"/>
        <v>484558</v>
      </c>
      <c r="O313" s="337">
        <f t="shared" si="231"/>
        <v>64311.898599774366</v>
      </c>
      <c r="P313" s="292">
        <f t="shared" si="231"/>
        <v>1420700</v>
      </c>
      <c r="Q313" s="292">
        <f t="shared" si="231"/>
        <v>573600</v>
      </c>
      <c r="R313" s="441">
        <f t="shared" si="231"/>
        <v>635308</v>
      </c>
      <c r="S313" s="292">
        <f t="shared" si="231"/>
        <v>532365.02999999991</v>
      </c>
      <c r="T313" s="292"/>
      <c r="U313" s="292" t="b">
        <f t="shared" si="200"/>
        <v>1</v>
      </c>
      <c r="V313" s="469">
        <v>1653000</v>
      </c>
      <c r="W313" s="469">
        <f>W314+W315+W316</f>
        <v>581500</v>
      </c>
      <c r="X313" s="522">
        <f>X314+X315+X316</f>
        <v>475000</v>
      </c>
      <c r="Y313" s="522"/>
      <c r="Z313" s="522">
        <f t="shared" si="231"/>
        <v>0</v>
      </c>
      <c r="AA313" s="522">
        <f t="shared" si="231"/>
        <v>0</v>
      </c>
      <c r="AB313" s="523">
        <f>AB314+AB315+AB316</f>
        <v>402600</v>
      </c>
      <c r="AC313" s="523">
        <f>AC314+AC315+AC316</f>
        <v>402600</v>
      </c>
      <c r="AD313" s="524">
        <f>O313/M313*100</f>
        <v>29.77025886273406</v>
      </c>
      <c r="AE313" s="524"/>
      <c r="AF313" s="524"/>
      <c r="AG313" s="524"/>
      <c r="AH313" s="522"/>
      <c r="AI313" s="522">
        <v>475000</v>
      </c>
      <c r="AJ313" s="516">
        <f>W313/R313*100</f>
        <v>91.530407298507171</v>
      </c>
      <c r="AK313" s="516">
        <f>AT313/W313*100</f>
        <v>147.89337919174548</v>
      </c>
      <c r="AL313" s="516">
        <f>X313/AT313*100</f>
        <v>55.232558139534881</v>
      </c>
      <c r="AM313" s="292"/>
      <c r="AO313" t="b">
        <f t="shared" si="187"/>
        <v>1</v>
      </c>
      <c r="AP313" s="440">
        <f>AP314+AP315+AP316</f>
        <v>550856.06999999995</v>
      </c>
      <c r="AQ313" s="441">
        <v>550856.06999999995</v>
      </c>
      <c r="AR313" s="440">
        <f>AR314+AR315+AR316</f>
        <v>550856.06999999995</v>
      </c>
      <c r="AS313" s="441">
        <f>AS314+AS315+AS316</f>
        <v>67254.350000000006</v>
      </c>
      <c r="AT313" s="612">
        <f>AT314+AT315+AT316</f>
        <v>860000</v>
      </c>
      <c r="AU313" s="469">
        <f>AU314+AU315+AU316</f>
        <v>1507250</v>
      </c>
      <c r="AV313" s="636">
        <v>475000</v>
      </c>
      <c r="AW313" s="636">
        <v>475000</v>
      </c>
      <c r="AX313" s="655">
        <f t="shared" si="190"/>
        <v>135.3674123417303</v>
      </c>
      <c r="AY313" s="655">
        <f t="shared" si="191"/>
        <v>156.12063601296072</v>
      </c>
      <c r="AZ313" s="655">
        <f t="shared" si="192"/>
        <v>175.26162790697674</v>
      </c>
      <c r="BA313" s="655">
        <f t="shared" si="193"/>
        <v>273.61956817504074</v>
      </c>
      <c r="BB313" s="655">
        <f t="shared" si="194"/>
        <v>31.514347321280479</v>
      </c>
      <c r="BC313" s="655">
        <f t="shared" si="194"/>
        <v>100</v>
      </c>
    </row>
    <row r="314" spans="1:55" ht="12" customHeight="1">
      <c r="A314" s="36"/>
      <c r="B314" s="36"/>
      <c r="C314" s="36"/>
      <c r="D314" s="36"/>
      <c r="E314" s="36"/>
      <c r="F314" s="36"/>
      <c r="G314" s="36"/>
      <c r="H314" s="46">
        <v>4212</v>
      </c>
      <c r="I314" s="38"/>
      <c r="J314" s="39"/>
      <c r="K314" s="40" t="s">
        <v>87</v>
      </c>
      <c r="L314" s="309">
        <f>L521+L739+L969+L970+L978+L979+L758+L766</f>
        <v>517164</v>
      </c>
      <c r="M314" s="309">
        <f>M521+M739+M969+M970+M978+M979+M758+M766</f>
        <v>68639.458490941659</v>
      </c>
      <c r="N314" s="339">
        <f t="shared" ref="N314:S314" si="232">N521+N739+N969+N970+N978+N979+N758+N759+N766</f>
        <v>454368</v>
      </c>
      <c r="O314" s="339">
        <f t="shared" si="232"/>
        <v>60304.997013736807</v>
      </c>
      <c r="P314" s="294">
        <f t="shared" si="232"/>
        <v>1088300</v>
      </c>
      <c r="Q314" s="294">
        <f t="shared" si="232"/>
        <v>532600</v>
      </c>
      <c r="R314" s="443">
        <f t="shared" si="232"/>
        <v>597664</v>
      </c>
      <c r="S314" s="294">
        <f t="shared" si="232"/>
        <v>474540.91999999993</v>
      </c>
      <c r="T314" s="294"/>
      <c r="U314" s="292" t="b">
        <f t="shared" si="200"/>
        <v>1</v>
      </c>
      <c r="V314" s="471">
        <v>1403000</v>
      </c>
      <c r="W314" s="471">
        <f>W521+W739+W969+W970+W978+W979+W758+W759+W766</f>
        <v>515000</v>
      </c>
      <c r="X314" s="527">
        <f>X521+X739+X969+X970+X978+X979+X758+X759+X766</f>
        <v>150000</v>
      </c>
      <c r="Y314" s="527"/>
      <c r="Z314" s="527">
        <f>Z521+Z739+Z969+Z970+Z978+Z979+Z758+Z759+Z766</f>
        <v>0</v>
      </c>
      <c r="AA314" s="527">
        <f>AA521+AA739+AA969+AA970+AA978+AA979+AA758+AA759+AA766</f>
        <v>0</v>
      </c>
      <c r="AB314" s="528">
        <f>AB521+AB739+AB969+AB970+AB978+AB979+AB758+AB759+AB766</f>
        <v>172600</v>
      </c>
      <c r="AC314" s="528">
        <f>AC521+AC739+AC969+AC970+AC978+AC979+AC758+AC759+AC766</f>
        <v>172600</v>
      </c>
      <c r="AD314" s="524">
        <f>O314/M314*100</f>
        <v>87.857623500475682</v>
      </c>
      <c r="AE314" s="524"/>
      <c r="AF314" s="524"/>
      <c r="AG314" s="524"/>
      <c r="AH314" s="527"/>
      <c r="AI314" s="527">
        <v>150000</v>
      </c>
      <c r="AJ314" s="516">
        <f>W314/R314*100</f>
        <v>86.168817261872888</v>
      </c>
      <c r="AK314" s="516">
        <f>AT314/W314*100</f>
        <v>114.5631067961165</v>
      </c>
      <c r="AL314" s="516">
        <f>X314/AT314*100</f>
        <v>25.423728813559322</v>
      </c>
      <c r="AM314" s="294"/>
      <c r="AO314" t="b">
        <f t="shared" si="187"/>
        <v>1</v>
      </c>
      <c r="AP314" s="462">
        <f>AP521+AP739+AP969+AP970+AP978+AP979+AP758+AP759+AP766</f>
        <v>484863.20999999996</v>
      </c>
      <c r="AQ314" s="443">
        <v>484863.21</v>
      </c>
      <c r="AR314" s="462">
        <f>AR521+AR739+AR969+AR970+AR978+AR979+AR758+AR759+AR766</f>
        <v>484863.20999999996</v>
      </c>
      <c r="AS314" s="443">
        <f>AS521+AS739+AS969+AS970+AS978+AS979+AS758+AS759+AS766</f>
        <v>49832.35</v>
      </c>
      <c r="AT314" s="613">
        <f>AT521+AT739+AT969+AT970+AT978+AT979+AT758+AT759+AT766</f>
        <v>590000</v>
      </c>
      <c r="AU314" s="471">
        <f>AU521+AU739+AU969+AU970+AU978+AU979+AU758+AU759+AU766+AU980</f>
        <v>1387250</v>
      </c>
      <c r="AV314" s="638">
        <v>150000</v>
      </c>
      <c r="AW314" s="638">
        <v>150000</v>
      </c>
      <c r="AX314" s="655">
        <f t="shared" si="190"/>
        <v>98.717674144669914</v>
      </c>
      <c r="AY314" s="655">
        <f t="shared" si="191"/>
        <v>121.68380438680839</v>
      </c>
      <c r="AZ314" s="655">
        <f t="shared" si="192"/>
        <v>235.12711864406782</v>
      </c>
      <c r="BA314" s="655">
        <f t="shared" si="193"/>
        <v>286.11162311118636</v>
      </c>
      <c r="BB314" s="655">
        <f t="shared" si="194"/>
        <v>10.81275905568571</v>
      </c>
      <c r="BC314" s="655">
        <f t="shared" si="194"/>
        <v>100</v>
      </c>
    </row>
    <row r="315" spans="1:55" ht="12" customHeight="1">
      <c r="A315" s="36"/>
      <c r="B315" s="36"/>
      <c r="C315" s="36"/>
      <c r="D315" s="36"/>
      <c r="E315" s="36"/>
      <c r="F315" s="36"/>
      <c r="G315" s="36"/>
      <c r="H315" s="46">
        <v>4213</v>
      </c>
      <c r="I315" s="38"/>
      <c r="J315" s="39"/>
      <c r="K315" s="40" t="s">
        <v>157</v>
      </c>
      <c r="L315" s="309">
        <f t="shared" ref="L315:AA315" si="233">L580+L581</f>
        <v>322407</v>
      </c>
      <c r="M315" s="309">
        <f t="shared" si="233"/>
        <v>42790.762492534341</v>
      </c>
      <c r="N315" s="339">
        <f t="shared" si="233"/>
        <v>0</v>
      </c>
      <c r="O315" s="339">
        <f t="shared" si="233"/>
        <v>0</v>
      </c>
      <c r="P315" s="294">
        <f t="shared" si="233"/>
        <v>10000</v>
      </c>
      <c r="Q315" s="294">
        <f t="shared" si="233"/>
        <v>0</v>
      </c>
      <c r="R315" s="443">
        <f t="shared" si="233"/>
        <v>0</v>
      </c>
      <c r="S315" s="294">
        <f t="shared" si="233"/>
        <v>37225.360000000001</v>
      </c>
      <c r="T315" s="294"/>
      <c r="U315" s="292" t="b">
        <f t="shared" si="200"/>
        <v>1</v>
      </c>
      <c r="V315" s="471">
        <v>14000</v>
      </c>
      <c r="W315" s="471">
        <f>W580+W581</f>
        <v>40000</v>
      </c>
      <c r="X315" s="527">
        <f>X580+X581</f>
        <v>25000</v>
      </c>
      <c r="Y315" s="527"/>
      <c r="Z315" s="527">
        <f t="shared" si="233"/>
        <v>0</v>
      </c>
      <c r="AA315" s="527">
        <f t="shared" si="233"/>
        <v>0</v>
      </c>
      <c r="AB315" s="528">
        <f>AB580+AB581</f>
        <v>10000</v>
      </c>
      <c r="AC315" s="528">
        <f>AC580+AC581</f>
        <v>10000</v>
      </c>
      <c r="AD315" s="524">
        <f>O315/M315*100</f>
        <v>0</v>
      </c>
      <c r="AE315" s="524"/>
      <c r="AF315" s="524">
        <f>Q315/P315*100</f>
        <v>0</v>
      </c>
      <c r="AG315" s="524"/>
      <c r="AH315" s="527"/>
      <c r="AI315" s="527">
        <v>25000</v>
      </c>
      <c r="AJ315" s="516"/>
      <c r="AK315" s="516">
        <f>AT315/W315*100</f>
        <v>50</v>
      </c>
      <c r="AL315" s="516">
        <f>X315/AT315*100</f>
        <v>125</v>
      </c>
      <c r="AM315" s="294"/>
      <c r="AO315" t="b">
        <f t="shared" si="187"/>
        <v>1</v>
      </c>
      <c r="AP315" s="462">
        <f>AP580+AP581</f>
        <v>49581.61</v>
      </c>
      <c r="AQ315" s="443">
        <v>49581.61</v>
      </c>
      <c r="AR315" s="462">
        <f>AR580+AR581</f>
        <v>49581.61</v>
      </c>
      <c r="AS315" s="443">
        <f>AS580+AS581</f>
        <v>16422</v>
      </c>
      <c r="AT315" s="613">
        <f>AT580+AT581</f>
        <v>20000</v>
      </c>
      <c r="AU315" s="471">
        <f>AU580+AU581</f>
        <v>20000</v>
      </c>
      <c r="AV315" s="638">
        <v>25000</v>
      </c>
      <c r="AW315" s="638">
        <v>25000</v>
      </c>
      <c r="AX315" s="655" t="str">
        <f t="shared" si="190"/>
        <v/>
      </c>
      <c r="AY315" s="655">
        <f t="shared" si="191"/>
        <v>40.337536437400885</v>
      </c>
      <c r="AZ315" s="655">
        <f t="shared" si="192"/>
        <v>100</v>
      </c>
      <c r="BA315" s="655">
        <f t="shared" si="193"/>
        <v>40.337536437400885</v>
      </c>
      <c r="BB315" s="655">
        <f t="shared" si="194"/>
        <v>125</v>
      </c>
      <c r="BC315" s="655">
        <f t="shared" si="194"/>
        <v>100</v>
      </c>
    </row>
    <row r="316" spans="1:55" ht="12" customHeight="1">
      <c r="A316" s="36"/>
      <c r="B316" s="36"/>
      <c r="C316" s="36"/>
      <c r="D316" s="36"/>
      <c r="E316" s="36"/>
      <c r="F316" s="36"/>
      <c r="G316" s="36"/>
      <c r="H316" s="46">
        <v>4214</v>
      </c>
      <c r="I316" s="38"/>
      <c r="J316" s="39"/>
      <c r="K316" s="40" t="s">
        <v>89</v>
      </c>
      <c r="L316" s="309">
        <f>L582+L583+L584+L596+L641+L642+L751</f>
        <v>788087</v>
      </c>
      <c r="M316" s="309">
        <f>M582+M583+M584+M596+M641+M642+M751</f>
        <v>104597.1199150574</v>
      </c>
      <c r="N316" s="339">
        <f t="shared" ref="N316:S316" si="234">N582+N583+N584+N596+N641+N642+N652+N751</f>
        <v>30190</v>
      </c>
      <c r="O316" s="339">
        <f t="shared" si="234"/>
        <v>4006.9015860375603</v>
      </c>
      <c r="P316" s="294">
        <f t="shared" si="234"/>
        <v>322400</v>
      </c>
      <c r="Q316" s="294">
        <f t="shared" si="234"/>
        <v>41000</v>
      </c>
      <c r="R316" s="443">
        <f t="shared" si="234"/>
        <v>37644</v>
      </c>
      <c r="S316" s="294">
        <f t="shared" si="234"/>
        <v>20598.75</v>
      </c>
      <c r="T316" s="294"/>
      <c r="U316" s="292" t="b">
        <f t="shared" si="200"/>
        <v>1</v>
      </c>
      <c r="V316" s="471">
        <v>236000</v>
      </c>
      <c r="W316" s="471">
        <f>W582+W583+W584+W596+W641+W642+W652+W751</f>
        <v>26500</v>
      </c>
      <c r="X316" s="527">
        <f>X582+X583+X584+X596+X641+X642+X652+X751</f>
        <v>300000</v>
      </c>
      <c r="Y316" s="527"/>
      <c r="Z316" s="527">
        <f>Z582+Z583+Z584+Z596+Z641+Z642+Z652+Z751</f>
        <v>0</v>
      </c>
      <c r="AA316" s="527">
        <f>AA582+AA583+AA584+AA596+AA641+AA642+AA652+AA751</f>
        <v>0</v>
      </c>
      <c r="AB316" s="528">
        <f>AB582+AB583+AB584+AB596+AB641+AB642+AB751</f>
        <v>220000</v>
      </c>
      <c r="AC316" s="528">
        <f>AC582+AC583+AC584+AC596+AC641+AC642+AC751</f>
        <v>220000</v>
      </c>
      <c r="AD316" s="524">
        <f>O316/M316*100</f>
        <v>3.8307953309723421</v>
      </c>
      <c r="AE316" s="524"/>
      <c r="AF316" s="524"/>
      <c r="AG316" s="524"/>
      <c r="AH316" s="527"/>
      <c r="AI316" s="527">
        <v>300000</v>
      </c>
      <c r="AJ316" s="516">
        <f>W316/R316*100</f>
        <v>70.396344703007117</v>
      </c>
      <c r="AK316" s="516">
        <f>AT316/W316*100</f>
        <v>943.39622641509436</v>
      </c>
      <c r="AL316" s="516">
        <f>X316/AT316*100</f>
        <v>120</v>
      </c>
      <c r="AM316" s="294"/>
      <c r="AO316" t="b">
        <f t="shared" si="187"/>
        <v>1</v>
      </c>
      <c r="AP316" s="462">
        <f>AP582+AP583+AP584+AP596+AP641+AP642+AP652+AP751</f>
        <v>16411.25</v>
      </c>
      <c r="AQ316" s="443">
        <v>16411.25</v>
      </c>
      <c r="AR316" s="462">
        <f>AR582+AR583+AR584+AR596+AR641+AR642+AR652+AR751</f>
        <v>16411.25</v>
      </c>
      <c r="AS316" s="443">
        <f>AS582+AS583+AS584+AS596+AS641+AS642+AS652+AS751</f>
        <v>1000</v>
      </c>
      <c r="AT316" s="613">
        <f>AT582+AT583+AT584+AT596+AT641+AT642+AT652+AT751</f>
        <v>250000</v>
      </c>
      <c r="AU316" s="471">
        <f>AU582+AU583+AU584+AU596+AU641+AU642+AU652+AU751</f>
        <v>100000</v>
      </c>
      <c r="AV316" s="638">
        <v>300000</v>
      </c>
      <c r="AW316" s="638">
        <v>300000</v>
      </c>
      <c r="AX316" s="655">
        <f t="shared" si="190"/>
        <v>664.11645946233136</v>
      </c>
      <c r="AY316" s="655">
        <f t="shared" si="191"/>
        <v>1523.3452662045852</v>
      </c>
      <c r="AZ316" s="655">
        <f t="shared" si="192"/>
        <v>40</v>
      </c>
      <c r="BA316" s="655">
        <f t="shared" si="193"/>
        <v>609.33810648183407</v>
      </c>
      <c r="BB316" s="655">
        <f t="shared" si="194"/>
        <v>300</v>
      </c>
      <c r="BC316" s="655">
        <f t="shared" si="194"/>
        <v>100</v>
      </c>
    </row>
    <row r="317" spans="1:55" ht="12" customHeight="1">
      <c r="A317" s="36"/>
      <c r="B317" s="36"/>
      <c r="C317" s="36"/>
      <c r="D317" s="36"/>
      <c r="E317" s="36"/>
      <c r="F317" s="36"/>
      <c r="G317" s="36"/>
      <c r="H317" s="46"/>
      <c r="I317" s="38"/>
      <c r="J317" s="39"/>
      <c r="K317" s="40"/>
      <c r="L317" s="316"/>
      <c r="M317" s="316"/>
      <c r="N317" s="338"/>
      <c r="O317" s="338"/>
      <c r="P317" s="293"/>
      <c r="Q317" s="293"/>
      <c r="R317" s="442"/>
      <c r="S317" s="293"/>
      <c r="T317" s="293"/>
      <c r="U317" s="292" t="b">
        <f t="shared" si="200"/>
        <v>0</v>
      </c>
      <c r="V317" s="470"/>
      <c r="W317" s="470"/>
      <c r="X317" s="525"/>
      <c r="Y317" s="525"/>
      <c r="Z317" s="525"/>
      <c r="AA317" s="525"/>
      <c r="AB317" s="526"/>
      <c r="AC317" s="526"/>
      <c r="AD317" s="524"/>
      <c r="AE317" s="524"/>
      <c r="AF317" s="524"/>
      <c r="AG317" s="524"/>
      <c r="AH317" s="525"/>
      <c r="AI317" s="525"/>
      <c r="AJ317" s="516"/>
      <c r="AK317" s="516"/>
      <c r="AL317" s="516"/>
      <c r="AM317" s="293"/>
      <c r="AO317" t="b">
        <f t="shared" si="187"/>
        <v>0</v>
      </c>
      <c r="AQ317" s="442"/>
      <c r="AS317" s="442"/>
      <c r="AT317" s="613"/>
      <c r="AU317" s="470"/>
      <c r="AV317" s="637"/>
      <c r="AW317" s="637"/>
      <c r="AX317" s="655" t="str">
        <f t="shared" si="190"/>
        <v/>
      </c>
      <c r="AY317" s="655" t="str">
        <f t="shared" si="191"/>
        <v/>
      </c>
      <c r="AZ317" s="655" t="str">
        <f t="shared" si="192"/>
        <v/>
      </c>
      <c r="BA317" s="655" t="str">
        <f t="shared" si="193"/>
        <v/>
      </c>
      <c r="BB317" s="655" t="str">
        <f t="shared" si="194"/>
        <v/>
      </c>
      <c r="BC317" s="655" t="str">
        <f t="shared" si="194"/>
        <v/>
      </c>
    </row>
    <row r="318" spans="1:55" ht="12" customHeight="1">
      <c r="A318" s="56"/>
      <c r="B318" s="56"/>
      <c r="C318" s="56"/>
      <c r="D318" s="56"/>
      <c r="E318" s="56"/>
      <c r="F318" s="56"/>
      <c r="G318" s="56"/>
      <c r="H318" s="57">
        <v>422</v>
      </c>
      <c r="I318" s="58"/>
      <c r="J318" s="59"/>
      <c r="K318" s="60" t="s">
        <v>158</v>
      </c>
      <c r="L318" s="315">
        <f t="shared" ref="L318:AA318" si="235">L320+L321+L322+L323+L324</f>
        <v>87010</v>
      </c>
      <c r="M318" s="315">
        <f t="shared" si="235"/>
        <v>11548.211560156611</v>
      </c>
      <c r="N318" s="337">
        <f t="shared" si="235"/>
        <v>486231</v>
      </c>
      <c r="O318" s="337">
        <f t="shared" si="235"/>
        <v>64533.943858252045</v>
      </c>
      <c r="P318" s="292">
        <f t="shared" si="235"/>
        <v>36100</v>
      </c>
      <c r="Q318" s="292">
        <f t="shared" si="235"/>
        <v>28700</v>
      </c>
      <c r="R318" s="441">
        <f t="shared" si="235"/>
        <v>37691</v>
      </c>
      <c r="S318" s="292">
        <f t="shared" si="235"/>
        <v>41233</v>
      </c>
      <c r="T318" s="292"/>
      <c r="U318" s="292" t="b">
        <f t="shared" si="200"/>
        <v>1</v>
      </c>
      <c r="V318" s="469">
        <v>55820</v>
      </c>
      <c r="W318" s="469">
        <f>W320+W321+W322+W323+W324</f>
        <v>82500</v>
      </c>
      <c r="X318" s="522">
        <f>X320+X321+X322+X323+X324</f>
        <v>67500.3</v>
      </c>
      <c r="Y318" s="522"/>
      <c r="Z318" s="522">
        <f t="shared" si="235"/>
        <v>0</v>
      </c>
      <c r="AA318" s="522">
        <f t="shared" si="235"/>
        <v>0</v>
      </c>
      <c r="AB318" s="523">
        <f>AB320+AB321+AB322+AB323+AB324</f>
        <v>27500</v>
      </c>
      <c r="AC318" s="523">
        <f>AC320+AC321+AC322+AC323+AC324</f>
        <v>27500</v>
      </c>
      <c r="AD318" s="524">
        <f>O318/M318*100</f>
        <v>558.8219744856915</v>
      </c>
      <c r="AE318" s="524">
        <f>P318/O318*100</f>
        <v>55.939553422138857</v>
      </c>
      <c r="AF318" s="524">
        <f>Q318/P318*100</f>
        <v>79.501385041551245</v>
      </c>
      <c r="AG318" s="524">
        <f>AB318/Q318*100</f>
        <v>95.818815331010455</v>
      </c>
      <c r="AH318" s="522"/>
      <c r="AI318" s="522">
        <v>67500.3</v>
      </c>
      <c r="AJ318" s="516">
        <f>W318/R318*100</f>
        <v>218.88514499482636</v>
      </c>
      <c r="AK318" s="516">
        <f>AT318/W318*100</f>
        <v>75.757575757575751</v>
      </c>
      <c r="AL318" s="516">
        <f>X318/AT318*100</f>
        <v>108.00048</v>
      </c>
      <c r="AM318" s="292"/>
      <c r="AO318" t="b">
        <f t="shared" si="187"/>
        <v>1</v>
      </c>
      <c r="AP318" s="440">
        <f>AP320+AP321+AP322+AP323+AP324</f>
        <v>44883.509999999995</v>
      </c>
      <c r="AQ318" s="441">
        <v>69840.81</v>
      </c>
      <c r="AR318" s="440">
        <f>AR320+AR321+AR322+AR323+AR324</f>
        <v>44883.509999999995</v>
      </c>
      <c r="AS318" s="441">
        <f>AS320+AS321+AS322+AS323+AS324</f>
        <v>17771.879999999997</v>
      </c>
      <c r="AT318" s="612">
        <f>AT320+AT321+AT322+AT323+AT324</f>
        <v>62500</v>
      </c>
      <c r="AU318" s="469">
        <f>AU320+AU321+AU322+AU323+AU324</f>
        <v>142500</v>
      </c>
      <c r="AV318" s="636">
        <v>67500.3</v>
      </c>
      <c r="AW318" s="636">
        <v>67500.3</v>
      </c>
      <c r="AX318" s="655">
        <f t="shared" si="190"/>
        <v>165.82207954153512</v>
      </c>
      <c r="AY318" s="655">
        <f t="shared" si="191"/>
        <v>89.489225568832893</v>
      </c>
      <c r="AZ318" s="655">
        <f t="shared" si="192"/>
        <v>227.99999999999997</v>
      </c>
      <c r="BA318" s="655">
        <f t="shared" si="193"/>
        <v>204.035434296939</v>
      </c>
      <c r="BB318" s="655">
        <f t="shared" si="194"/>
        <v>47.368631578947365</v>
      </c>
      <c r="BC318" s="655">
        <f t="shared" si="194"/>
        <v>100</v>
      </c>
    </row>
    <row r="319" spans="1:55" ht="12" customHeight="1">
      <c r="A319" s="20"/>
      <c r="B319" s="20"/>
      <c r="C319" s="20"/>
      <c r="D319" s="20"/>
      <c r="E319" s="20"/>
      <c r="F319" s="20"/>
      <c r="G319" s="20"/>
      <c r="H319" s="16"/>
      <c r="I319" s="17"/>
      <c r="J319" s="14"/>
      <c r="K319" s="19"/>
      <c r="L319" s="313">
        <v>1</v>
      </c>
      <c r="M319" s="313">
        <v>2</v>
      </c>
      <c r="N319" s="335">
        <v>3</v>
      </c>
      <c r="O319" s="335">
        <v>4</v>
      </c>
      <c r="P319" s="290">
        <v>5</v>
      </c>
      <c r="Q319" s="290">
        <v>6</v>
      </c>
      <c r="R319" s="439"/>
      <c r="S319" s="290"/>
      <c r="T319" s="290"/>
      <c r="U319" s="292" t="b">
        <f t="shared" si="200"/>
        <v>0</v>
      </c>
      <c r="V319" s="467"/>
      <c r="W319" s="467"/>
      <c r="X319" s="514"/>
      <c r="Y319" s="514"/>
      <c r="Z319" s="514"/>
      <c r="AA319" s="514"/>
      <c r="AB319" s="515">
        <v>7</v>
      </c>
      <c r="AC319" s="515">
        <v>8</v>
      </c>
      <c r="AD319" s="515">
        <v>9</v>
      </c>
      <c r="AE319" s="515">
        <v>10</v>
      </c>
      <c r="AF319" s="515">
        <v>11</v>
      </c>
      <c r="AG319" s="515">
        <v>12</v>
      </c>
      <c r="AH319" s="514"/>
      <c r="AI319" s="514"/>
      <c r="AJ319" s="516"/>
      <c r="AK319" s="516"/>
      <c r="AL319" s="516"/>
      <c r="AM319" s="290"/>
      <c r="AO319" t="b">
        <f t="shared" si="187"/>
        <v>0</v>
      </c>
      <c r="AQ319" s="439"/>
      <c r="AS319" s="439"/>
      <c r="AT319" s="612"/>
      <c r="AU319" s="467"/>
      <c r="AV319" s="632"/>
      <c r="AW319" s="632"/>
      <c r="AX319" s="655" t="str">
        <f t="shared" si="190"/>
        <v/>
      </c>
      <c r="AY319" s="655" t="str">
        <f t="shared" si="191"/>
        <v/>
      </c>
      <c r="AZ319" s="655" t="str">
        <f t="shared" si="192"/>
        <v/>
      </c>
      <c r="BA319" s="655" t="str">
        <f t="shared" si="193"/>
        <v/>
      </c>
      <c r="BB319" s="655" t="str">
        <f t="shared" si="194"/>
        <v/>
      </c>
      <c r="BC319" s="655" t="str">
        <f t="shared" si="194"/>
        <v/>
      </c>
    </row>
    <row r="320" spans="1:55" ht="12" customHeight="1">
      <c r="A320" s="36"/>
      <c r="B320" s="36"/>
      <c r="C320" s="36"/>
      <c r="D320" s="36"/>
      <c r="E320" s="36"/>
      <c r="F320" s="36"/>
      <c r="G320" s="36"/>
      <c r="H320" s="46">
        <v>4221</v>
      </c>
      <c r="I320" s="38"/>
      <c r="J320" s="39"/>
      <c r="K320" s="40" t="s">
        <v>159</v>
      </c>
      <c r="L320" s="309">
        <f t="shared" ref="L320:S320" si="236">L455+L1207+L1115+L1059</f>
        <v>37802</v>
      </c>
      <c r="M320" s="309">
        <f t="shared" si="236"/>
        <v>5017.1876036896938</v>
      </c>
      <c r="N320" s="339">
        <f t="shared" si="236"/>
        <v>39710</v>
      </c>
      <c r="O320" s="339">
        <f t="shared" si="236"/>
        <v>5270.4227221448</v>
      </c>
      <c r="P320" s="294">
        <f t="shared" si="236"/>
        <v>9800</v>
      </c>
      <c r="Q320" s="294">
        <f t="shared" si="236"/>
        <v>9800</v>
      </c>
      <c r="R320" s="443">
        <f t="shared" si="236"/>
        <v>9137</v>
      </c>
      <c r="S320" s="294">
        <f t="shared" si="236"/>
        <v>4297</v>
      </c>
      <c r="T320" s="294"/>
      <c r="U320" s="292" t="b">
        <f t="shared" si="200"/>
        <v>1</v>
      </c>
      <c r="V320" s="471">
        <v>13500</v>
      </c>
      <c r="W320" s="471">
        <f>W455+W1207+W1115+W1059</f>
        <v>23500</v>
      </c>
      <c r="X320" s="527">
        <f>X455+X1207+X1115+X1059</f>
        <v>19000</v>
      </c>
      <c r="Y320" s="527"/>
      <c r="Z320" s="527">
        <f>Z455+Z1207+Z1115+Z1059</f>
        <v>0</v>
      </c>
      <c r="AA320" s="527">
        <f>AA455+AA1207+AA1115+AA1059</f>
        <v>0</v>
      </c>
      <c r="AB320" s="528">
        <f>AB455+AB1207+AB1115+AB1059</f>
        <v>10000</v>
      </c>
      <c r="AC320" s="528">
        <f>AC455+AC1207+AC1115+AC1059</f>
        <v>10000</v>
      </c>
      <c r="AD320" s="524">
        <f>O320/M320*100</f>
        <v>105.0473519919581</v>
      </c>
      <c r="AE320" s="524">
        <f>P320/O320*100</f>
        <v>185.94333920926721</v>
      </c>
      <c r="AF320" s="524">
        <f>Q320/P320*100</f>
        <v>100</v>
      </c>
      <c r="AG320" s="524">
        <f>AB320/Q320*100</f>
        <v>102.04081632653062</v>
      </c>
      <c r="AH320" s="527"/>
      <c r="AI320" s="527">
        <v>19000</v>
      </c>
      <c r="AJ320" s="516">
        <f>W320/R320*100</f>
        <v>257.19601619787676</v>
      </c>
      <c r="AK320" s="516">
        <f>AT320/W320*100</f>
        <v>72.340425531914903</v>
      </c>
      <c r="AL320" s="516">
        <f>X320/AT320*100</f>
        <v>111.76470588235294</v>
      </c>
      <c r="AM320" s="294"/>
      <c r="AO320" t="b">
        <f t="shared" si="187"/>
        <v>1</v>
      </c>
      <c r="AP320" s="462">
        <f>AP455+AP1207+AP1115+AP1059</f>
        <v>4297</v>
      </c>
      <c r="AQ320" s="443">
        <v>6524.41</v>
      </c>
      <c r="AR320" s="462">
        <f>AR455+AR1207+AR1115+AR1059</f>
        <v>4297</v>
      </c>
      <c r="AS320" s="443">
        <f>AS455+AS1207+AS1115+AS1059</f>
        <v>3941</v>
      </c>
      <c r="AT320" s="613">
        <f>AT455+AT1207+AT1115+AT1059</f>
        <v>17000</v>
      </c>
      <c r="AU320" s="471">
        <f>AU455+AU1207+AU1115+AU1059</f>
        <v>17000</v>
      </c>
      <c r="AV320" s="638">
        <v>19000</v>
      </c>
      <c r="AW320" s="638">
        <v>19000</v>
      </c>
      <c r="AX320" s="655">
        <f t="shared" si="190"/>
        <v>186.05669256867679</v>
      </c>
      <c r="AY320" s="655">
        <f t="shared" si="191"/>
        <v>260.55995867825595</v>
      </c>
      <c r="AZ320" s="655">
        <f t="shared" si="192"/>
        <v>100</v>
      </c>
      <c r="BA320" s="655">
        <f t="shared" si="193"/>
        <v>260.55995867825595</v>
      </c>
      <c r="BB320" s="655">
        <f t="shared" si="194"/>
        <v>111.76470588235294</v>
      </c>
      <c r="BC320" s="655">
        <f t="shared" si="194"/>
        <v>100</v>
      </c>
    </row>
    <row r="321" spans="1:55" ht="12" customHeight="1">
      <c r="A321" s="36"/>
      <c r="B321" s="36"/>
      <c r="C321" s="36"/>
      <c r="D321" s="36"/>
      <c r="E321" s="36"/>
      <c r="F321" s="36"/>
      <c r="G321" s="36"/>
      <c r="H321" s="46">
        <v>4222</v>
      </c>
      <c r="I321" s="38"/>
      <c r="J321" s="39"/>
      <c r="K321" s="40" t="s">
        <v>160</v>
      </c>
      <c r="L321" s="309">
        <f t="shared" ref="L321:AA322" si="237">L456</f>
        <v>0</v>
      </c>
      <c r="M321" s="309">
        <f t="shared" si="237"/>
        <v>0</v>
      </c>
      <c r="N321" s="339">
        <f t="shared" si="237"/>
        <v>0</v>
      </c>
      <c r="O321" s="339">
        <f t="shared" si="237"/>
        <v>0</v>
      </c>
      <c r="P321" s="294">
        <f t="shared" si="237"/>
        <v>0</v>
      </c>
      <c r="Q321" s="294">
        <f t="shared" si="237"/>
        <v>0</v>
      </c>
      <c r="R321" s="443">
        <f t="shared" si="237"/>
        <v>0</v>
      </c>
      <c r="S321" s="294">
        <f t="shared" si="237"/>
        <v>0</v>
      </c>
      <c r="T321" s="294"/>
      <c r="U321" s="292" t="b">
        <f t="shared" si="200"/>
        <v>1</v>
      </c>
      <c r="V321" s="471">
        <v>0</v>
      </c>
      <c r="W321" s="471">
        <f>W456</f>
        <v>0</v>
      </c>
      <c r="X321" s="527">
        <f>X456</f>
        <v>0</v>
      </c>
      <c r="Y321" s="527"/>
      <c r="Z321" s="527" t="b">
        <f t="shared" si="237"/>
        <v>0</v>
      </c>
      <c r="AA321" s="527">
        <f t="shared" si="237"/>
        <v>0</v>
      </c>
      <c r="AB321" s="528">
        <f>AB456</f>
        <v>0</v>
      </c>
      <c r="AC321" s="528">
        <f>AC456</f>
        <v>0</v>
      </c>
      <c r="AD321" s="524"/>
      <c r="AE321" s="524"/>
      <c r="AF321" s="524"/>
      <c r="AG321" s="524"/>
      <c r="AH321" s="527"/>
      <c r="AI321" s="527">
        <v>0</v>
      </c>
      <c r="AJ321" s="516"/>
      <c r="AK321" s="516"/>
      <c r="AL321" s="516"/>
      <c r="AM321" s="294"/>
      <c r="AO321" t="b">
        <f t="shared" si="187"/>
        <v>1</v>
      </c>
      <c r="AP321" s="462">
        <f t="shared" ref="AP321:AS322" si="238">AP456</f>
        <v>1226</v>
      </c>
      <c r="AQ321" s="443">
        <v>1226</v>
      </c>
      <c r="AR321" s="462">
        <f>AR456</f>
        <v>1226</v>
      </c>
      <c r="AS321" s="443">
        <f t="shared" si="238"/>
        <v>499</v>
      </c>
      <c r="AT321" s="613">
        <f>AT456</f>
        <v>0</v>
      </c>
      <c r="AU321" s="471">
        <f>AU456</f>
        <v>1000</v>
      </c>
      <c r="AV321" s="638">
        <v>0</v>
      </c>
      <c r="AW321" s="638">
        <v>0</v>
      </c>
      <c r="AX321" s="655" t="str">
        <f t="shared" si="190"/>
        <v/>
      </c>
      <c r="AY321" s="655">
        <f t="shared" si="191"/>
        <v>0</v>
      </c>
      <c r="AZ321" s="655" t="str">
        <f t="shared" si="192"/>
        <v/>
      </c>
      <c r="BA321" s="655">
        <f t="shared" si="193"/>
        <v>81.566068515497562</v>
      </c>
      <c r="BB321" s="655">
        <f t="shared" si="194"/>
        <v>0</v>
      </c>
      <c r="BC321" s="655" t="str">
        <f t="shared" si="194"/>
        <v/>
      </c>
    </row>
    <row r="322" spans="1:55" ht="12" customHeight="1">
      <c r="A322" s="36"/>
      <c r="B322" s="36"/>
      <c r="C322" s="36"/>
      <c r="D322" s="36"/>
      <c r="E322" s="36"/>
      <c r="F322" s="36"/>
      <c r="G322" s="36"/>
      <c r="H322" s="46">
        <v>4223</v>
      </c>
      <c r="I322" s="38"/>
      <c r="J322" s="39"/>
      <c r="K322" s="40" t="s">
        <v>611</v>
      </c>
      <c r="L322" s="309">
        <f t="shared" si="237"/>
        <v>9900</v>
      </c>
      <c r="M322" s="309">
        <f t="shared" si="237"/>
        <v>1313.9558033047979</v>
      </c>
      <c r="N322" s="339">
        <f t="shared" si="237"/>
        <v>5200</v>
      </c>
      <c r="O322" s="339">
        <f t="shared" si="237"/>
        <v>690.15860375605541</v>
      </c>
      <c r="P322" s="294">
        <f t="shared" si="237"/>
        <v>4000</v>
      </c>
      <c r="Q322" s="294">
        <f t="shared" si="237"/>
        <v>0</v>
      </c>
      <c r="R322" s="443">
        <f t="shared" si="237"/>
        <v>0</v>
      </c>
      <c r="S322" s="294">
        <f t="shared" si="237"/>
        <v>17286</v>
      </c>
      <c r="T322" s="294"/>
      <c r="U322" s="292" t="b">
        <f t="shared" si="200"/>
        <v>1</v>
      </c>
      <c r="V322" s="471">
        <v>0</v>
      </c>
      <c r="W322" s="471">
        <f>W457</f>
        <v>22000</v>
      </c>
      <c r="X322" s="527">
        <f>X457</f>
        <v>5000</v>
      </c>
      <c r="Y322" s="527"/>
      <c r="Z322" s="527" t="b">
        <f t="shared" si="237"/>
        <v>0</v>
      </c>
      <c r="AA322" s="527">
        <f t="shared" si="237"/>
        <v>0</v>
      </c>
      <c r="AB322" s="528">
        <f>AB457</f>
        <v>0</v>
      </c>
      <c r="AC322" s="528">
        <f>AC457</f>
        <v>0</v>
      </c>
      <c r="AD322" s="524">
        <f>O322/M322*100</f>
        <v>52.525252525252519</v>
      </c>
      <c r="AE322" s="524"/>
      <c r="AF322" s="524"/>
      <c r="AG322" s="524"/>
      <c r="AH322" s="527"/>
      <c r="AI322" s="527">
        <v>5000</v>
      </c>
      <c r="AJ322" s="516"/>
      <c r="AK322" s="516">
        <f>AT322/W322*100</f>
        <v>27.27272727272727</v>
      </c>
      <c r="AL322" s="516">
        <f>X322/AT322*100</f>
        <v>83.333333333333343</v>
      </c>
      <c r="AM322" s="294"/>
      <c r="AO322" t="b">
        <f t="shared" si="187"/>
        <v>1</v>
      </c>
      <c r="AP322" s="462">
        <f t="shared" si="238"/>
        <v>17286.759999999998</v>
      </c>
      <c r="AQ322" s="443">
        <v>26778.76</v>
      </c>
      <c r="AR322" s="462">
        <f>AR457</f>
        <v>17286.759999999998</v>
      </c>
      <c r="AS322" s="443">
        <f t="shared" si="238"/>
        <v>9550.6299999999992</v>
      </c>
      <c r="AT322" s="613">
        <f>AT457</f>
        <v>6000</v>
      </c>
      <c r="AU322" s="471">
        <f>AU457</f>
        <v>12000</v>
      </c>
      <c r="AV322" s="638">
        <v>5000</v>
      </c>
      <c r="AW322" s="638">
        <v>5000</v>
      </c>
      <c r="AX322" s="655" t="str">
        <f t="shared" si="190"/>
        <v/>
      </c>
      <c r="AY322" s="655">
        <f t="shared" si="191"/>
        <v>22.405817147619981</v>
      </c>
      <c r="AZ322" s="655">
        <f t="shared" si="192"/>
        <v>200</v>
      </c>
      <c r="BA322" s="655">
        <f t="shared" si="193"/>
        <v>44.811634295239962</v>
      </c>
      <c r="BB322" s="655">
        <f t="shared" si="194"/>
        <v>41.666666666666671</v>
      </c>
      <c r="BC322" s="655">
        <f t="shared" si="194"/>
        <v>100</v>
      </c>
    </row>
    <row r="323" spans="1:55" ht="12" customHeight="1">
      <c r="A323" s="36"/>
      <c r="B323" s="36"/>
      <c r="C323" s="36"/>
      <c r="D323" s="36"/>
      <c r="E323" s="36"/>
      <c r="F323" s="36"/>
      <c r="G323" s="36"/>
      <c r="H323" s="46">
        <v>4224</v>
      </c>
      <c r="I323" s="38"/>
      <c r="J323" s="39"/>
      <c r="K323" s="40" t="s">
        <v>530</v>
      </c>
      <c r="L323" s="309"/>
      <c r="M323" s="309"/>
      <c r="N323" s="339"/>
      <c r="O323" s="339"/>
      <c r="P323" s="294"/>
      <c r="Q323" s="294"/>
      <c r="R323" s="443"/>
      <c r="S323" s="294"/>
      <c r="T323" s="294"/>
      <c r="U323" s="292" t="b">
        <f t="shared" si="200"/>
        <v>0</v>
      </c>
      <c r="V323" s="471"/>
      <c r="W323" s="471"/>
      <c r="X323" s="527"/>
      <c r="Y323" s="527"/>
      <c r="Z323" s="527"/>
      <c r="AA323" s="527"/>
      <c r="AB323" s="528"/>
      <c r="AC323" s="528"/>
      <c r="AD323" s="524"/>
      <c r="AE323" s="524"/>
      <c r="AF323" s="524"/>
      <c r="AG323" s="524"/>
      <c r="AH323" s="527"/>
      <c r="AI323" s="527"/>
      <c r="AJ323" s="516"/>
      <c r="AK323" s="516"/>
      <c r="AL323" s="516"/>
      <c r="AM323" s="294"/>
      <c r="AO323" t="b">
        <f t="shared" si="187"/>
        <v>0</v>
      </c>
      <c r="AP323" s="462">
        <f>AP458</f>
        <v>2423.75</v>
      </c>
      <c r="AQ323" s="443">
        <v>2423.75</v>
      </c>
      <c r="AR323" s="462">
        <f>AR458</f>
        <v>2423.75</v>
      </c>
      <c r="AS323" s="443">
        <f>AS458</f>
        <v>0</v>
      </c>
      <c r="AT323" s="613"/>
      <c r="AU323" s="471">
        <f>AU458</f>
        <v>0</v>
      </c>
      <c r="AV323" s="638"/>
      <c r="AW323" s="638"/>
      <c r="AX323" s="655" t="str">
        <f t="shared" si="190"/>
        <v/>
      </c>
      <c r="AY323" s="655" t="str">
        <f t="shared" si="191"/>
        <v/>
      </c>
      <c r="AZ323" s="655" t="str">
        <f t="shared" si="192"/>
        <v/>
      </c>
      <c r="BA323" s="655">
        <f t="shared" si="193"/>
        <v>0</v>
      </c>
      <c r="BB323" s="655" t="str">
        <f t="shared" si="194"/>
        <v/>
      </c>
      <c r="BC323" s="655" t="str">
        <f t="shared" si="194"/>
        <v/>
      </c>
    </row>
    <row r="324" spans="1:55" ht="12" customHeight="1">
      <c r="A324" s="36"/>
      <c r="B324" s="36"/>
      <c r="C324" s="36"/>
      <c r="D324" s="36"/>
      <c r="E324" s="36"/>
      <c r="F324" s="36"/>
      <c r="G324" s="36"/>
      <c r="H324" s="46">
        <v>4227</v>
      </c>
      <c r="I324" s="38"/>
      <c r="J324" s="39"/>
      <c r="K324" s="40" t="s">
        <v>161</v>
      </c>
      <c r="L324" s="309">
        <f t="shared" ref="L324:S324" si="239">L459+L645+L704+L1060+L1208</f>
        <v>39308</v>
      </c>
      <c r="M324" s="309">
        <f t="shared" si="239"/>
        <v>5217.0681531621203</v>
      </c>
      <c r="N324" s="339">
        <f t="shared" si="239"/>
        <v>441321</v>
      </c>
      <c r="O324" s="339">
        <f t="shared" si="239"/>
        <v>58573.362532351188</v>
      </c>
      <c r="P324" s="294">
        <f t="shared" si="239"/>
        <v>22300</v>
      </c>
      <c r="Q324" s="294">
        <f t="shared" si="239"/>
        <v>18900</v>
      </c>
      <c r="R324" s="443">
        <f t="shared" si="239"/>
        <v>28554</v>
      </c>
      <c r="S324" s="294">
        <f t="shared" si="239"/>
        <v>19650</v>
      </c>
      <c r="T324" s="294"/>
      <c r="U324" s="292" t="b">
        <f t="shared" si="200"/>
        <v>1</v>
      </c>
      <c r="V324" s="471">
        <v>42320</v>
      </c>
      <c r="W324" s="471">
        <f>W459+W645+W704+W1060+W1208</f>
        <v>37000</v>
      </c>
      <c r="X324" s="527">
        <f>X459+X645+X704+X1060+X1208</f>
        <v>43500.3</v>
      </c>
      <c r="Y324" s="527"/>
      <c r="Z324" s="527">
        <f>Z459+Z645+Z704+Z1060+Z1208</f>
        <v>0</v>
      </c>
      <c r="AA324" s="527">
        <f>AA459+AA645+AA704+AA1060+AA1208</f>
        <v>0</v>
      </c>
      <c r="AB324" s="528">
        <f>AB459+AB645+AB704+AB1060+AB1208</f>
        <v>17500</v>
      </c>
      <c r="AC324" s="528">
        <f>AC459+AC645+AC704+AC1060+AC1208</f>
        <v>17500</v>
      </c>
      <c r="AD324" s="524"/>
      <c r="AE324" s="524">
        <f>P324/O324*100</f>
        <v>38.071913641091179</v>
      </c>
      <c r="AF324" s="524">
        <f>Q324/P324*100</f>
        <v>84.753363228699556</v>
      </c>
      <c r="AG324" s="524">
        <f>AB324/Q324*100</f>
        <v>92.592592592592595</v>
      </c>
      <c r="AH324" s="527"/>
      <c r="AI324" s="527">
        <v>43500.3</v>
      </c>
      <c r="AJ324" s="516">
        <f>W324/R324*100</f>
        <v>129.57904321636198</v>
      </c>
      <c r="AK324" s="516">
        <f>AT324/W324*100</f>
        <v>106.75675675675676</v>
      </c>
      <c r="AL324" s="516">
        <f>X324/AT324*100</f>
        <v>110.12734177215191</v>
      </c>
      <c r="AM324" s="294"/>
      <c r="AO324" t="b">
        <f t="shared" si="187"/>
        <v>1</v>
      </c>
      <c r="AP324" s="462">
        <f>AP459+AP645+AP704+AP1060+AP1208</f>
        <v>19650</v>
      </c>
      <c r="AQ324" s="443">
        <v>32887.89</v>
      </c>
      <c r="AR324" s="462">
        <f>AR459+AR645+AR704+AR1060+AR1208</f>
        <v>19650</v>
      </c>
      <c r="AS324" s="443">
        <f>AS459+AS645+AS704+AS1060+AS1208</f>
        <v>3781.25</v>
      </c>
      <c r="AT324" s="613">
        <f>AT459+AT645+AT704+AT1060+AT1208</f>
        <v>39500</v>
      </c>
      <c r="AU324" s="471">
        <f>AU459+AU645+AU704+AU1060+AU1208</f>
        <v>112500</v>
      </c>
      <c r="AV324" s="638">
        <v>43500.3</v>
      </c>
      <c r="AW324" s="638">
        <v>43500.3</v>
      </c>
      <c r="AX324" s="655">
        <f t="shared" si="190"/>
        <v>138.33438397422429</v>
      </c>
      <c r="AY324" s="655">
        <f t="shared" si="191"/>
        <v>120.10499913493994</v>
      </c>
      <c r="AZ324" s="655">
        <f t="shared" si="192"/>
        <v>284.81012658227849</v>
      </c>
      <c r="BA324" s="655">
        <f t="shared" si="193"/>
        <v>342.07120006786693</v>
      </c>
      <c r="BB324" s="655">
        <f t="shared" si="194"/>
        <v>38.66693333333334</v>
      </c>
      <c r="BC324" s="655">
        <f t="shared" si="194"/>
        <v>100</v>
      </c>
    </row>
    <row r="325" spans="1:55" ht="12" customHeight="1">
      <c r="A325" s="20"/>
      <c r="B325" s="20"/>
      <c r="C325" s="20"/>
      <c r="D325" s="20"/>
      <c r="E325" s="20"/>
      <c r="F325" s="20"/>
      <c r="G325" s="20"/>
      <c r="H325" s="16"/>
      <c r="I325" s="17"/>
      <c r="J325" s="14"/>
      <c r="K325" s="19"/>
      <c r="L325" s="313"/>
      <c r="M325" s="313"/>
      <c r="N325" s="335"/>
      <c r="O325" s="335"/>
      <c r="P325" s="290"/>
      <c r="Q325" s="290"/>
      <c r="R325" s="439"/>
      <c r="S325" s="290"/>
      <c r="T325" s="290"/>
      <c r="U325" s="292" t="b">
        <f t="shared" si="200"/>
        <v>0</v>
      </c>
      <c r="V325" s="467"/>
      <c r="W325" s="467"/>
      <c r="X325" s="514"/>
      <c r="Y325" s="514"/>
      <c r="Z325" s="514"/>
      <c r="AA325" s="514"/>
      <c r="AB325" s="515"/>
      <c r="AC325" s="515"/>
      <c r="AD325" s="524"/>
      <c r="AE325" s="524"/>
      <c r="AF325" s="524"/>
      <c r="AG325" s="524"/>
      <c r="AH325" s="514"/>
      <c r="AI325" s="514"/>
      <c r="AJ325" s="516"/>
      <c r="AK325" s="516"/>
      <c r="AL325" s="516"/>
      <c r="AM325" s="290"/>
      <c r="AO325" t="b">
        <f t="shared" si="187"/>
        <v>0</v>
      </c>
      <c r="AQ325" s="439"/>
      <c r="AS325" s="439"/>
      <c r="AT325" s="612"/>
      <c r="AU325" s="467"/>
      <c r="AV325" s="632"/>
      <c r="AW325" s="632"/>
      <c r="AX325" s="655" t="str">
        <f t="shared" si="190"/>
        <v/>
      </c>
      <c r="AY325" s="655" t="str">
        <f t="shared" si="191"/>
        <v/>
      </c>
      <c r="AZ325" s="655" t="str">
        <f t="shared" si="192"/>
        <v/>
      </c>
      <c r="BA325" s="655" t="str">
        <f t="shared" si="193"/>
        <v/>
      </c>
      <c r="BB325" s="655" t="str">
        <f t="shared" si="194"/>
        <v/>
      </c>
      <c r="BC325" s="655" t="str">
        <f t="shared" si="194"/>
        <v/>
      </c>
    </row>
    <row r="326" spans="1:55" ht="12" customHeight="1">
      <c r="A326" s="56"/>
      <c r="B326" s="56"/>
      <c r="C326" s="56"/>
      <c r="D326" s="56"/>
      <c r="E326" s="56"/>
      <c r="F326" s="56"/>
      <c r="G326" s="56"/>
      <c r="H326" s="57">
        <v>424</v>
      </c>
      <c r="I326" s="58"/>
      <c r="J326" s="59"/>
      <c r="K326" s="60" t="s">
        <v>162</v>
      </c>
      <c r="L326" s="315">
        <f t="shared" ref="L326:AC326" si="240">L327</f>
        <v>74189</v>
      </c>
      <c r="M326" s="315">
        <f t="shared" si="240"/>
        <v>9846.572433472691</v>
      </c>
      <c r="N326" s="337">
        <f t="shared" si="240"/>
        <v>71400</v>
      </c>
      <c r="O326" s="337">
        <f t="shared" si="240"/>
        <v>9476.4085208042998</v>
      </c>
      <c r="P326" s="292">
        <f t="shared" si="240"/>
        <v>10700</v>
      </c>
      <c r="Q326" s="292">
        <f t="shared" si="240"/>
        <v>10700</v>
      </c>
      <c r="R326" s="441">
        <f t="shared" si="240"/>
        <v>10215</v>
      </c>
      <c r="S326" s="292">
        <f t="shared" si="240"/>
        <v>0</v>
      </c>
      <c r="T326" s="292"/>
      <c r="U326" s="292" t="b">
        <f t="shared" si="200"/>
        <v>1</v>
      </c>
      <c r="V326" s="469">
        <v>11000</v>
      </c>
      <c r="W326" s="469">
        <f t="shared" si="240"/>
        <v>12000</v>
      </c>
      <c r="X326" s="522">
        <f t="shared" si="240"/>
        <v>13000</v>
      </c>
      <c r="Y326" s="522"/>
      <c r="Z326" s="522" t="b">
        <f t="shared" si="240"/>
        <v>0</v>
      </c>
      <c r="AA326" s="522">
        <f t="shared" si="240"/>
        <v>0</v>
      </c>
      <c r="AB326" s="523">
        <f t="shared" si="240"/>
        <v>11000</v>
      </c>
      <c r="AC326" s="523">
        <f t="shared" si="240"/>
        <v>11000</v>
      </c>
      <c r="AD326" s="524">
        <f>O326/M326*100</f>
        <v>96.24068258097563</v>
      </c>
      <c r="AE326" s="524">
        <f>P326/O326*100</f>
        <v>112.91197478991597</v>
      </c>
      <c r="AF326" s="524">
        <f>Q326/P326*100</f>
        <v>100</v>
      </c>
      <c r="AG326" s="524">
        <f>AB326/Q326*100</f>
        <v>102.803738317757</v>
      </c>
      <c r="AH326" s="522"/>
      <c r="AI326" s="522">
        <v>13000</v>
      </c>
      <c r="AJ326" s="516">
        <f>W326/R326*100</f>
        <v>117.47430249632893</v>
      </c>
      <c r="AK326" s="516">
        <f>AT326/W326*100</f>
        <v>100</v>
      </c>
      <c r="AL326" s="516">
        <f>X326/AT326*100</f>
        <v>108.33333333333333</v>
      </c>
      <c r="AM326" s="292"/>
      <c r="AO326" t="b">
        <f t="shared" si="187"/>
        <v>1</v>
      </c>
      <c r="AP326" s="440">
        <f t="shared" ref="AP326:AU326" si="241">AP327</f>
        <v>0</v>
      </c>
      <c r="AQ326" s="441">
        <v>15613</v>
      </c>
      <c r="AR326" s="440">
        <f>AR327</f>
        <v>0</v>
      </c>
      <c r="AS326" s="441">
        <f t="shared" si="241"/>
        <v>0</v>
      </c>
      <c r="AT326" s="612">
        <f>AT327</f>
        <v>12000</v>
      </c>
      <c r="AU326" s="469">
        <f t="shared" si="241"/>
        <v>12000</v>
      </c>
      <c r="AV326" s="636">
        <v>13000</v>
      </c>
      <c r="AW326" s="636">
        <v>13000</v>
      </c>
      <c r="AX326" s="655">
        <f t="shared" si="190"/>
        <v>117.47430249632893</v>
      </c>
      <c r="AY326" s="655">
        <f t="shared" si="191"/>
        <v>76.859027733299172</v>
      </c>
      <c r="AZ326" s="655">
        <f t="shared" si="192"/>
        <v>100</v>
      </c>
      <c r="BA326" s="655">
        <f t="shared" si="193"/>
        <v>76.859027733299172</v>
      </c>
      <c r="BB326" s="655">
        <f t="shared" si="194"/>
        <v>108.33333333333333</v>
      </c>
      <c r="BC326" s="655">
        <f t="shared" si="194"/>
        <v>100</v>
      </c>
    </row>
    <row r="327" spans="1:55" ht="12" customHeight="1">
      <c r="A327" s="36"/>
      <c r="B327" s="36"/>
      <c r="C327" s="36"/>
      <c r="D327" s="36"/>
      <c r="E327" s="36"/>
      <c r="F327" s="36"/>
      <c r="G327" s="36"/>
      <c r="H327" s="46">
        <v>4241</v>
      </c>
      <c r="I327" s="38"/>
      <c r="J327" s="39"/>
      <c r="K327" s="40" t="s">
        <v>163</v>
      </c>
      <c r="L327" s="309">
        <f t="shared" ref="L327:AA327" si="242">L1118</f>
        <v>74189</v>
      </c>
      <c r="M327" s="309">
        <f t="shared" si="242"/>
        <v>9846.572433472691</v>
      </c>
      <c r="N327" s="339">
        <f t="shared" si="242"/>
        <v>71400</v>
      </c>
      <c r="O327" s="339">
        <f t="shared" si="242"/>
        <v>9476.4085208042998</v>
      </c>
      <c r="P327" s="294">
        <f t="shared" si="242"/>
        <v>10700</v>
      </c>
      <c r="Q327" s="294">
        <f t="shared" si="242"/>
        <v>10700</v>
      </c>
      <c r="R327" s="443">
        <f t="shared" si="242"/>
        <v>10215</v>
      </c>
      <c r="S327" s="294">
        <f t="shared" si="242"/>
        <v>0</v>
      </c>
      <c r="T327" s="294"/>
      <c r="U327" s="292" t="b">
        <f t="shared" si="200"/>
        <v>1</v>
      </c>
      <c r="V327" s="471">
        <v>11000</v>
      </c>
      <c r="W327" s="471">
        <f>W1118</f>
        <v>12000</v>
      </c>
      <c r="X327" s="527">
        <f>X1118</f>
        <v>13000</v>
      </c>
      <c r="Y327" s="527"/>
      <c r="Z327" s="527" t="b">
        <f t="shared" si="242"/>
        <v>0</v>
      </c>
      <c r="AA327" s="527">
        <f t="shared" si="242"/>
        <v>0</v>
      </c>
      <c r="AB327" s="528">
        <f>AB1118</f>
        <v>11000</v>
      </c>
      <c r="AC327" s="528">
        <f>AC1118</f>
        <v>11000</v>
      </c>
      <c r="AD327" s="524">
        <f>O327/M327*100</f>
        <v>96.24068258097563</v>
      </c>
      <c r="AE327" s="524">
        <f>P327/O327*100</f>
        <v>112.91197478991597</v>
      </c>
      <c r="AF327" s="524">
        <f>Q327/P327*100</f>
        <v>100</v>
      </c>
      <c r="AG327" s="524">
        <f>AB327/Q327*100</f>
        <v>102.803738317757</v>
      </c>
      <c r="AH327" s="527"/>
      <c r="AI327" s="527">
        <v>13000</v>
      </c>
      <c r="AJ327" s="516">
        <f>W327/R327*100</f>
        <v>117.47430249632893</v>
      </c>
      <c r="AK327" s="516">
        <f>AT327/W327*100</f>
        <v>100</v>
      </c>
      <c r="AL327" s="516">
        <f>X327/AT327*100</f>
        <v>108.33333333333333</v>
      </c>
      <c r="AM327" s="294"/>
      <c r="AO327" t="b">
        <f t="shared" si="187"/>
        <v>1</v>
      </c>
      <c r="AP327" s="462">
        <f>AP1118</f>
        <v>0</v>
      </c>
      <c r="AQ327" s="443">
        <v>15613</v>
      </c>
      <c r="AR327" s="462">
        <f>AR1118</f>
        <v>0</v>
      </c>
      <c r="AS327" s="443">
        <f>AS1118</f>
        <v>0</v>
      </c>
      <c r="AT327" s="613">
        <f>AT1118</f>
        <v>12000</v>
      </c>
      <c r="AU327" s="471">
        <f>AU1118</f>
        <v>12000</v>
      </c>
      <c r="AV327" s="638">
        <v>13000</v>
      </c>
      <c r="AW327" s="638">
        <v>13000</v>
      </c>
      <c r="AX327" s="655">
        <f t="shared" si="190"/>
        <v>117.47430249632893</v>
      </c>
      <c r="AY327" s="655">
        <f t="shared" si="191"/>
        <v>76.859027733299172</v>
      </c>
      <c r="AZ327" s="655">
        <f t="shared" si="192"/>
        <v>100</v>
      </c>
      <c r="BA327" s="655">
        <f t="shared" si="193"/>
        <v>76.859027733299172</v>
      </c>
      <c r="BB327" s="655">
        <f t="shared" si="194"/>
        <v>108.33333333333333</v>
      </c>
      <c r="BC327" s="655">
        <f t="shared" si="194"/>
        <v>100</v>
      </c>
    </row>
    <row r="328" spans="1:55" ht="12" customHeight="1">
      <c r="A328" s="20"/>
      <c r="B328" s="20"/>
      <c r="C328" s="20"/>
      <c r="D328" s="20"/>
      <c r="E328" s="20"/>
      <c r="F328" s="20"/>
      <c r="G328" s="20"/>
      <c r="H328" s="16"/>
      <c r="I328" s="17"/>
      <c r="J328" s="14"/>
      <c r="K328" s="19"/>
      <c r="L328" s="313"/>
      <c r="M328" s="313"/>
      <c r="N328" s="335"/>
      <c r="O328" s="335"/>
      <c r="P328" s="290"/>
      <c r="Q328" s="290"/>
      <c r="R328" s="439"/>
      <c r="S328" s="290"/>
      <c r="T328" s="290"/>
      <c r="U328" s="292" t="b">
        <f t="shared" si="200"/>
        <v>0</v>
      </c>
      <c r="V328" s="467"/>
      <c r="W328" s="467"/>
      <c r="X328" s="514"/>
      <c r="Y328" s="514"/>
      <c r="Z328" s="514"/>
      <c r="AA328" s="514"/>
      <c r="AB328" s="515"/>
      <c r="AC328" s="515"/>
      <c r="AD328" s="524"/>
      <c r="AE328" s="524"/>
      <c r="AF328" s="524"/>
      <c r="AG328" s="524"/>
      <c r="AH328" s="514"/>
      <c r="AI328" s="514"/>
      <c r="AJ328" s="516"/>
      <c r="AK328" s="516"/>
      <c r="AL328" s="516"/>
      <c r="AM328" s="290"/>
      <c r="AO328" t="b">
        <f t="shared" si="187"/>
        <v>0</v>
      </c>
      <c r="AQ328" s="439"/>
      <c r="AS328" s="439"/>
      <c r="AT328" s="612"/>
      <c r="AU328" s="467"/>
      <c r="AV328" s="632"/>
      <c r="AW328" s="632"/>
      <c r="AX328" s="655" t="str">
        <f t="shared" si="190"/>
        <v/>
      </c>
      <c r="AY328" s="655" t="str">
        <f t="shared" si="191"/>
        <v/>
      </c>
      <c r="AZ328" s="655" t="str">
        <f t="shared" si="192"/>
        <v/>
      </c>
      <c r="BA328" s="655" t="str">
        <f t="shared" si="193"/>
        <v/>
      </c>
      <c r="BB328" s="655" t="str">
        <f t="shared" si="194"/>
        <v/>
      </c>
      <c r="BC328" s="655" t="str">
        <f t="shared" si="194"/>
        <v/>
      </c>
    </row>
    <row r="329" spans="1:55" ht="12" customHeight="1">
      <c r="A329" s="56"/>
      <c r="B329" s="56"/>
      <c r="C329" s="56"/>
      <c r="D329" s="56"/>
      <c r="E329" s="56"/>
      <c r="F329" s="56"/>
      <c r="G329" s="56"/>
      <c r="H329" s="57">
        <v>426</v>
      </c>
      <c r="I329" s="58"/>
      <c r="J329" s="59"/>
      <c r="K329" s="60" t="s">
        <v>164</v>
      </c>
      <c r="L329" s="315">
        <f t="shared" ref="L329:AA329" si="243">L330+L331</f>
        <v>212932</v>
      </c>
      <c r="M329" s="315">
        <f t="shared" si="243"/>
        <v>28260.933041343153</v>
      </c>
      <c r="N329" s="337">
        <f t="shared" si="243"/>
        <v>339325</v>
      </c>
      <c r="O329" s="337">
        <f t="shared" si="243"/>
        <v>45036.166965292985</v>
      </c>
      <c r="P329" s="292">
        <f t="shared" si="243"/>
        <v>69200</v>
      </c>
      <c r="Q329" s="292">
        <f t="shared" si="243"/>
        <v>25700</v>
      </c>
      <c r="R329" s="441">
        <f t="shared" si="243"/>
        <v>19720</v>
      </c>
      <c r="S329" s="292">
        <f t="shared" si="243"/>
        <v>0</v>
      </c>
      <c r="T329" s="292"/>
      <c r="U329" s="292" t="b">
        <f t="shared" si="200"/>
        <v>1</v>
      </c>
      <c r="V329" s="469">
        <v>60000</v>
      </c>
      <c r="W329" s="469">
        <f>W330+W331</f>
        <v>54000</v>
      </c>
      <c r="X329" s="522">
        <f>X330+X331</f>
        <v>56000</v>
      </c>
      <c r="Y329" s="522"/>
      <c r="Z329" s="522">
        <f t="shared" si="243"/>
        <v>0</v>
      </c>
      <c r="AA329" s="522">
        <f t="shared" si="243"/>
        <v>0</v>
      </c>
      <c r="AB329" s="523">
        <f>AB330+AB331</f>
        <v>54000</v>
      </c>
      <c r="AC329" s="523">
        <f>AC330+AC331</f>
        <v>54000</v>
      </c>
      <c r="AD329" s="524">
        <f>O329/M329*100</f>
        <v>159.35838671500761</v>
      </c>
      <c r="AE329" s="524">
        <f>P329/O329*100</f>
        <v>153.65428424077211</v>
      </c>
      <c r="AF329" s="524">
        <f>Q329/P329*100</f>
        <v>37.138728323699425</v>
      </c>
      <c r="AG329" s="524">
        <f>AB329/Q329*100</f>
        <v>210.11673151750975</v>
      </c>
      <c r="AH329" s="522"/>
      <c r="AI329" s="522">
        <v>56000</v>
      </c>
      <c r="AJ329" s="516">
        <f>W329/R329*100</f>
        <v>273.83367139959432</v>
      </c>
      <c r="AK329" s="516">
        <f>AT329/W329*100</f>
        <v>37.037037037037038</v>
      </c>
      <c r="AL329" s="516">
        <f>X329/AT329*100</f>
        <v>280</v>
      </c>
      <c r="AM329" s="292"/>
      <c r="AO329" t="b">
        <f t="shared" si="187"/>
        <v>1</v>
      </c>
      <c r="AP329" s="440">
        <f>AP330+AP331</f>
        <v>12477.1</v>
      </c>
      <c r="AQ329" s="441">
        <v>12477.1</v>
      </c>
      <c r="AR329" s="440">
        <f>AR330+AR331</f>
        <v>12477.1</v>
      </c>
      <c r="AS329" s="441">
        <f>AS330+AS331</f>
        <v>620.5</v>
      </c>
      <c r="AT329" s="612">
        <f>AT330+AT331</f>
        <v>20000</v>
      </c>
      <c r="AU329" s="469">
        <f>AU330+AU331</f>
        <v>26000</v>
      </c>
      <c r="AV329" s="636">
        <v>56000</v>
      </c>
      <c r="AW329" s="636">
        <v>56000</v>
      </c>
      <c r="AX329" s="655">
        <f t="shared" si="190"/>
        <v>101.41987829614605</v>
      </c>
      <c r="AY329" s="655">
        <f t="shared" si="191"/>
        <v>160.29365798142197</v>
      </c>
      <c r="AZ329" s="655">
        <f t="shared" si="192"/>
        <v>130</v>
      </c>
      <c r="BA329" s="655">
        <f t="shared" si="193"/>
        <v>208.38175537584854</v>
      </c>
      <c r="BB329" s="655">
        <f t="shared" si="194"/>
        <v>215.38461538461539</v>
      </c>
      <c r="BC329" s="655">
        <f t="shared" si="194"/>
        <v>100</v>
      </c>
    </row>
    <row r="330" spans="1:55" ht="12" customHeight="1">
      <c r="A330" s="36"/>
      <c r="B330" s="36"/>
      <c r="C330" s="36"/>
      <c r="D330" s="36"/>
      <c r="E330" s="36"/>
      <c r="F330" s="36"/>
      <c r="G330" s="36"/>
      <c r="H330" s="46">
        <v>4262</v>
      </c>
      <c r="I330" s="38"/>
      <c r="J330" s="39"/>
      <c r="K330" s="40" t="s">
        <v>165</v>
      </c>
      <c r="L330" s="309">
        <f t="shared" ref="L330:S330" si="244">L462+L1210</f>
        <v>56250</v>
      </c>
      <c r="M330" s="309">
        <f t="shared" si="244"/>
        <v>7465.6579733227154</v>
      </c>
      <c r="N330" s="339">
        <f t="shared" si="244"/>
        <v>24325</v>
      </c>
      <c r="O330" s="339">
        <f t="shared" si="244"/>
        <v>3228.4823146857784</v>
      </c>
      <c r="P330" s="294">
        <f t="shared" si="244"/>
        <v>22700</v>
      </c>
      <c r="Q330" s="294">
        <f t="shared" si="244"/>
        <v>20700</v>
      </c>
      <c r="R330" s="443">
        <f t="shared" si="244"/>
        <v>19720</v>
      </c>
      <c r="S330" s="294">
        <f t="shared" si="244"/>
        <v>0</v>
      </c>
      <c r="T330" s="294"/>
      <c r="U330" s="292" t="b">
        <f t="shared" si="200"/>
        <v>1</v>
      </c>
      <c r="V330" s="471">
        <v>10000</v>
      </c>
      <c r="W330" s="471">
        <f>W462+W1210</f>
        <v>4000</v>
      </c>
      <c r="X330" s="527">
        <f>X462+X1210</f>
        <v>6000</v>
      </c>
      <c r="Y330" s="527"/>
      <c r="Z330" s="527">
        <f>Z462+Z1210</f>
        <v>0</v>
      </c>
      <c r="AA330" s="527">
        <f>AA462+AA1210</f>
        <v>0</v>
      </c>
      <c r="AB330" s="528">
        <f>AB462+AB1210</f>
        <v>7000</v>
      </c>
      <c r="AC330" s="528">
        <f>AC462+AC1210</f>
        <v>7000</v>
      </c>
      <c r="AD330" s="524">
        <f>O330/M330*100</f>
        <v>43.24444444444444</v>
      </c>
      <c r="AE330" s="524"/>
      <c r="AF330" s="524"/>
      <c r="AG330" s="524"/>
      <c r="AH330" s="527"/>
      <c r="AI330" s="527">
        <v>6000</v>
      </c>
      <c r="AJ330" s="516">
        <f>W330/R330*100</f>
        <v>20.28397565922921</v>
      </c>
      <c r="AK330" s="516">
        <f>AT330/W330*100</f>
        <v>150</v>
      </c>
      <c r="AL330" s="516">
        <f>X330/AT330*100</f>
        <v>100</v>
      </c>
      <c r="AM330" s="294"/>
      <c r="AO330" t="b">
        <f t="shared" ref="AO330:AO393" si="245">__xlfn.ISFORMULA(AT330)</f>
        <v>1</v>
      </c>
      <c r="AP330" s="462">
        <f>AP462+AP1210</f>
        <v>0</v>
      </c>
      <c r="AQ330" s="443">
        <v>0</v>
      </c>
      <c r="AR330" s="462">
        <f>AR462+AR1210</f>
        <v>0</v>
      </c>
      <c r="AS330" s="443">
        <f>AS462+AS1210</f>
        <v>0</v>
      </c>
      <c r="AT330" s="613">
        <f>AT462+AT1210</f>
        <v>6000</v>
      </c>
      <c r="AU330" s="471">
        <f>AU462+AU1210</f>
        <v>12000</v>
      </c>
      <c r="AV330" s="638">
        <v>6000</v>
      </c>
      <c r="AW330" s="638">
        <v>6000</v>
      </c>
      <c r="AX330" s="655">
        <f t="shared" si="190"/>
        <v>30.425963488843816</v>
      </c>
      <c r="AY330" s="655" t="str">
        <f t="shared" si="191"/>
        <v/>
      </c>
      <c r="AZ330" s="655">
        <f t="shared" si="192"/>
        <v>200</v>
      </c>
      <c r="BA330" s="655" t="str">
        <f t="shared" si="193"/>
        <v/>
      </c>
      <c r="BB330" s="655">
        <f t="shared" si="194"/>
        <v>50</v>
      </c>
      <c r="BC330" s="655">
        <f t="shared" si="194"/>
        <v>100</v>
      </c>
    </row>
    <row r="331" spans="1:55" ht="12" customHeight="1">
      <c r="A331" s="36"/>
      <c r="B331" s="36"/>
      <c r="C331" s="36"/>
      <c r="D331" s="36"/>
      <c r="E331" s="36"/>
      <c r="F331" s="36"/>
      <c r="G331" s="36"/>
      <c r="H331" s="46">
        <v>4263</v>
      </c>
      <c r="I331" s="38"/>
      <c r="J331" s="39"/>
      <c r="K331" s="40" t="s">
        <v>166</v>
      </c>
      <c r="L331" s="309">
        <f>L652+L666</f>
        <v>156682</v>
      </c>
      <c r="M331" s="309">
        <f>M652+M666</f>
        <v>20795.275068020437</v>
      </c>
      <c r="N331" s="339">
        <f t="shared" ref="N331:S331" si="246">N666</f>
        <v>315000</v>
      </c>
      <c r="O331" s="339">
        <f t="shared" si="246"/>
        <v>41807.684650607203</v>
      </c>
      <c r="P331" s="294">
        <f t="shared" si="246"/>
        <v>46500</v>
      </c>
      <c r="Q331" s="294">
        <f t="shared" si="246"/>
        <v>5000</v>
      </c>
      <c r="R331" s="443">
        <f t="shared" si="246"/>
        <v>0</v>
      </c>
      <c r="S331" s="294">
        <f t="shared" si="246"/>
        <v>0</v>
      </c>
      <c r="T331" s="294"/>
      <c r="U331" s="292" t="b">
        <f t="shared" si="200"/>
        <v>1</v>
      </c>
      <c r="V331" s="471">
        <v>50000</v>
      </c>
      <c r="W331" s="471">
        <f>W666</f>
        <v>50000</v>
      </c>
      <c r="X331" s="527">
        <f>X666</f>
        <v>50000</v>
      </c>
      <c r="Y331" s="527"/>
      <c r="Z331" s="527" t="b">
        <f>Z666</f>
        <v>0</v>
      </c>
      <c r="AA331" s="527">
        <f>AA666</f>
        <v>0</v>
      </c>
      <c r="AB331" s="528">
        <f>AB652+AB666</f>
        <v>47000</v>
      </c>
      <c r="AC331" s="528">
        <f>AC652+AC666</f>
        <v>47000</v>
      </c>
      <c r="AD331" s="524">
        <f>O331/M331*100</f>
        <v>201.04415312543878</v>
      </c>
      <c r="AE331" s="524">
        <f>P331/O331*100</f>
        <v>111.22357142857145</v>
      </c>
      <c r="AF331" s="524">
        <f>Q331/P331*100</f>
        <v>10.75268817204301</v>
      </c>
      <c r="AG331" s="524">
        <f>AB331/Q331*100</f>
        <v>940</v>
      </c>
      <c r="AH331" s="527"/>
      <c r="AI331" s="527">
        <v>50000</v>
      </c>
      <c r="AJ331" s="516"/>
      <c r="AK331" s="516">
        <f>AT331/W331*100</f>
        <v>28.000000000000004</v>
      </c>
      <c r="AL331" s="516">
        <f>X331/AT331*100</f>
        <v>357.14285714285717</v>
      </c>
      <c r="AM331" s="294"/>
      <c r="AO331" t="b">
        <f t="shared" si="245"/>
        <v>1</v>
      </c>
      <c r="AP331" s="462">
        <f>AP666</f>
        <v>12477.1</v>
      </c>
      <c r="AQ331" s="443">
        <v>12477.1</v>
      </c>
      <c r="AR331" s="462">
        <f>AR666</f>
        <v>12477.1</v>
      </c>
      <c r="AS331" s="443">
        <f>AS666</f>
        <v>620.5</v>
      </c>
      <c r="AT331" s="613">
        <f>AT666</f>
        <v>14000</v>
      </c>
      <c r="AU331" s="471">
        <f>AU666</f>
        <v>14000</v>
      </c>
      <c r="AV331" s="638">
        <v>50000</v>
      </c>
      <c r="AW331" s="638">
        <v>50000</v>
      </c>
      <c r="AX331" s="655" t="str">
        <f t="shared" ref="AX331:AX394" si="247">IF(AND(ISNUMBER(AT331), ISNUMBER(R331), R331&lt;&gt;0), (AT331/R331)*100, "")</f>
        <v/>
      </c>
      <c r="AY331" s="655">
        <f t="shared" ref="AY331:AY394" si="248">IF(AND(ISNUMBER(AT331), ISNUMBER(AQ331), AQ331&lt;&gt;0), (AT331/AQ331)*100, "")</f>
        <v>112.20556058699538</v>
      </c>
      <c r="AZ331" s="655">
        <f t="shared" ref="AZ331:AZ394" si="249">IF(AND(ISNUMBER(AU331), ISNUMBER(AT331), AT331&lt;&gt;0), (AU331/AT331)*100, "")</f>
        <v>100</v>
      </c>
      <c r="BA331" s="655">
        <f t="shared" ref="BA331:BA394" si="250">IF(AND(ISNUMBER(AU331), ISNUMBER(AQ331), AQ331&lt;&gt;0), (AU331/AQ331)*100, "")</f>
        <v>112.20556058699538</v>
      </c>
      <c r="BB331" s="655">
        <f t="shared" ref="BB331:BC394" si="251">IF(AND(ISNUMBER(AV331), ISNUMBER(AU331), AU331&lt;&gt;0), (AV331/AU331)*100, "")</f>
        <v>357.14285714285717</v>
      </c>
      <c r="BC331" s="655">
        <f t="shared" si="251"/>
        <v>100</v>
      </c>
    </row>
    <row r="332" spans="1:55" ht="12" customHeight="1">
      <c r="A332" s="36"/>
      <c r="B332" s="36"/>
      <c r="C332" s="36"/>
      <c r="D332" s="36"/>
      <c r="E332" s="36"/>
      <c r="F332" s="36"/>
      <c r="G332" s="36"/>
      <c r="H332" s="46"/>
      <c r="I332" s="38"/>
      <c r="J332" s="39"/>
      <c r="K332" s="40"/>
      <c r="L332" s="309"/>
      <c r="M332" s="309"/>
      <c r="N332" s="339"/>
      <c r="O332" s="339"/>
      <c r="P332" s="294"/>
      <c r="Q332" s="294"/>
      <c r="R332" s="443"/>
      <c r="S332" s="294"/>
      <c r="T332" s="294"/>
      <c r="U332" s="292" t="b">
        <f t="shared" si="200"/>
        <v>0</v>
      </c>
      <c r="V332" s="471"/>
      <c r="W332" s="471"/>
      <c r="X332" s="527"/>
      <c r="Y332" s="527"/>
      <c r="Z332" s="527"/>
      <c r="AA332" s="527"/>
      <c r="AB332" s="528"/>
      <c r="AC332" s="528"/>
      <c r="AD332" s="524"/>
      <c r="AE332" s="524"/>
      <c r="AF332" s="524"/>
      <c r="AG332" s="524"/>
      <c r="AH332" s="527"/>
      <c r="AI332" s="527"/>
      <c r="AJ332" s="516"/>
      <c r="AK332" s="516"/>
      <c r="AL332" s="516"/>
      <c r="AM332" s="294"/>
      <c r="AO332" t="b">
        <f t="shared" si="245"/>
        <v>0</v>
      </c>
      <c r="AQ332" s="443"/>
      <c r="AS332" s="443"/>
      <c r="AT332" s="613"/>
      <c r="AU332" s="471"/>
      <c r="AV332" s="638"/>
      <c r="AW332" s="638"/>
      <c r="AX332" s="655" t="str">
        <f t="shared" si="247"/>
        <v/>
      </c>
      <c r="AY332" s="655" t="str">
        <f t="shared" si="248"/>
        <v/>
      </c>
      <c r="AZ332" s="655" t="str">
        <f t="shared" si="249"/>
        <v/>
      </c>
      <c r="BA332" s="655" t="str">
        <f t="shared" si="250"/>
        <v/>
      </c>
      <c r="BB332" s="655" t="str">
        <f t="shared" si="251"/>
        <v/>
      </c>
      <c r="BC332" s="655" t="str">
        <f t="shared" si="251"/>
        <v/>
      </c>
    </row>
    <row r="333" spans="1:55" ht="12" customHeight="1">
      <c r="A333" s="47"/>
      <c r="B333" s="47"/>
      <c r="C333" s="47"/>
      <c r="D333" s="47"/>
      <c r="E333" s="47"/>
      <c r="F333" s="47"/>
      <c r="G333" s="47"/>
      <c r="H333" s="48">
        <v>45</v>
      </c>
      <c r="I333" s="49"/>
      <c r="J333" s="50"/>
      <c r="K333" s="51" t="s">
        <v>167</v>
      </c>
      <c r="L333" s="315">
        <f t="shared" ref="L333:AA333" si="252">L335</f>
        <v>2476635</v>
      </c>
      <c r="M333" s="315">
        <f t="shared" si="252"/>
        <v>328705.95261795737</v>
      </c>
      <c r="N333" s="337">
        <f t="shared" si="252"/>
        <v>622963</v>
      </c>
      <c r="O333" s="337">
        <f t="shared" si="252"/>
        <v>82681.398898400686</v>
      </c>
      <c r="P333" s="292">
        <f t="shared" si="252"/>
        <v>0</v>
      </c>
      <c r="Q333" s="292">
        <f t="shared" si="252"/>
        <v>23360</v>
      </c>
      <c r="R333" s="441">
        <f t="shared" si="252"/>
        <v>25870</v>
      </c>
      <c r="S333" s="292">
        <f t="shared" si="252"/>
        <v>0</v>
      </c>
      <c r="T333" s="292"/>
      <c r="U333" s="292" t="b">
        <f t="shared" si="200"/>
        <v>1</v>
      </c>
      <c r="V333" s="469">
        <v>30000</v>
      </c>
      <c r="W333" s="469">
        <f>W335</f>
        <v>0</v>
      </c>
      <c r="X333" s="522">
        <f>X335</f>
        <v>300000</v>
      </c>
      <c r="Y333" s="522"/>
      <c r="Z333" s="522">
        <f t="shared" si="252"/>
        <v>0</v>
      </c>
      <c r="AA333" s="522">
        <f t="shared" si="252"/>
        <v>0</v>
      </c>
      <c r="AB333" s="523">
        <f>AB335</f>
        <v>0</v>
      </c>
      <c r="AC333" s="523">
        <f>AC335</f>
        <v>0</v>
      </c>
      <c r="AD333" s="524">
        <f>O333/M333*100</f>
        <v>25.153605597918144</v>
      </c>
      <c r="AE333" s="524">
        <f>P333/O333*100</f>
        <v>0</v>
      </c>
      <c r="AF333" s="524"/>
      <c r="AG333" s="524"/>
      <c r="AH333" s="522"/>
      <c r="AI333" s="522">
        <v>300000</v>
      </c>
      <c r="AJ333" s="516">
        <f>W333/R333*100</f>
        <v>0</v>
      </c>
      <c r="AK333" s="516"/>
      <c r="AL333" s="516">
        <f>X333/AT333*100</f>
        <v>200</v>
      </c>
      <c r="AM333" s="292"/>
      <c r="AO333" t="b">
        <f t="shared" si="245"/>
        <v>1</v>
      </c>
      <c r="AP333" s="440">
        <f>AP335</f>
        <v>0</v>
      </c>
      <c r="AQ333" s="441">
        <v>0</v>
      </c>
      <c r="AR333" s="440">
        <f>AR335</f>
        <v>0</v>
      </c>
      <c r="AS333" s="441">
        <f>AS335</f>
        <v>0</v>
      </c>
      <c r="AT333" s="612">
        <f>AT335</f>
        <v>150000</v>
      </c>
      <c r="AU333" s="469">
        <f>AU335</f>
        <v>150000</v>
      </c>
      <c r="AV333" s="636">
        <v>300000</v>
      </c>
      <c r="AW333" s="636">
        <v>300000</v>
      </c>
      <c r="AX333" s="655">
        <f t="shared" si="247"/>
        <v>579.82218786238889</v>
      </c>
      <c r="AY333" s="655" t="str">
        <f t="shared" si="248"/>
        <v/>
      </c>
      <c r="AZ333" s="655">
        <f t="shared" si="249"/>
        <v>100</v>
      </c>
      <c r="BA333" s="655" t="str">
        <f t="shared" si="250"/>
        <v/>
      </c>
      <c r="BB333" s="655">
        <f t="shared" si="251"/>
        <v>200</v>
      </c>
      <c r="BC333" s="655">
        <f t="shared" si="251"/>
        <v>100</v>
      </c>
    </row>
    <row r="334" spans="1:55" ht="12" customHeight="1">
      <c r="A334" s="36"/>
      <c r="B334" s="36"/>
      <c r="C334" s="36"/>
      <c r="D334" s="36"/>
      <c r="E334" s="36"/>
      <c r="F334" s="36"/>
      <c r="G334" s="36"/>
      <c r="H334" s="46"/>
      <c r="I334" s="38"/>
      <c r="J334" s="39"/>
      <c r="K334" s="40"/>
      <c r="L334" s="309"/>
      <c r="M334" s="309"/>
      <c r="N334" s="339"/>
      <c r="O334" s="339"/>
      <c r="P334" s="294"/>
      <c r="Q334" s="294"/>
      <c r="R334" s="443"/>
      <c r="S334" s="294"/>
      <c r="T334" s="294"/>
      <c r="U334" s="292" t="b">
        <f t="shared" si="200"/>
        <v>0</v>
      </c>
      <c r="V334" s="471"/>
      <c r="W334" s="471"/>
      <c r="X334" s="527"/>
      <c r="Y334" s="527"/>
      <c r="Z334" s="527"/>
      <c r="AA334" s="527"/>
      <c r="AB334" s="528"/>
      <c r="AC334" s="528"/>
      <c r="AD334" s="524"/>
      <c r="AE334" s="524"/>
      <c r="AF334" s="524"/>
      <c r="AG334" s="524"/>
      <c r="AH334" s="527"/>
      <c r="AI334" s="527"/>
      <c r="AJ334" s="516"/>
      <c r="AK334" s="516"/>
      <c r="AL334" s="516"/>
      <c r="AM334" s="294"/>
      <c r="AO334" t="b">
        <f t="shared" si="245"/>
        <v>0</v>
      </c>
      <c r="AQ334" s="443"/>
      <c r="AS334" s="443"/>
      <c r="AT334" s="613"/>
      <c r="AU334" s="471"/>
      <c r="AV334" s="638"/>
      <c r="AW334" s="638"/>
      <c r="AX334" s="655" t="str">
        <f t="shared" si="247"/>
        <v/>
      </c>
      <c r="AY334" s="655" t="str">
        <f t="shared" si="248"/>
        <v/>
      </c>
      <c r="AZ334" s="655" t="str">
        <f t="shared" si="249"/>
        <v/>
      </c>
      <c r="BA334" s="655" t="str">
        <f t="shared" si="250"/>
        <v/>
      </c>
      <c r="BB334" s="655" t="str">
        <f t="shared" si="251"/>
        <v/>
      </c>
      <c r="BC334" s="655" t="str">
        <f t="shared" si="251"/>
        <v/>
      </c>
    </row>
    <row r="335" spans="1:55" ht="12" customHeight="1">
      <c r="A335" s="56"/>
      <c r="B335" s="56"/>
      <c r="C335" s="56"/>
      <c r="D335" s="56"/>
      <c r="E335" s="56"/>
      <c r="F335" s="56"/>
      <c r="G335" s="56"/>
      <c r="H335" s="57">
        <v>451</v>
      </c>
      <c r="I335" s="58"/>
      <c r="J335" s="59"/>
      <c r="K335" s="60" t="s">
        <v>168</v>
      </c>
      <c r="L335" s="315">
        <f t="shared" ref="L335:AC335" si="253">L336</f>
        <v>2476635</v>
      </c>
      <c r="M335" s="315">
        <f t="shared" si="253"/>
        <v>328705.95261795737</v>
      </c>
      <c r="N335" s="337">
        <f t="shared" si="253"/>
        <v>622963</v>
      </c>
      <c r="O335" s="337">
        <f t="shared" si="253"/>
        <v>82681.398898400686</v>
      </c>
      <c r="P335" s="292">
        <f t="shared" si="253"/>
        <v>0</v>
      </c>
      <c r="Q335" s="292">
        <f t="shared" si="253"/>
        <v>23360</v>
      </c>
      <c r="R335" s="441">
        <f t="shared" si="253"/>
        <v>25870</v>
      </c>
      <c r="S335" s="292">
        <f t="shared" si="253"/>
        <v>0</v>
      </c>
      <c r="T335" s="292"/>
      <c r="U335" s="292" t="b">
        <f t="shared" si="200"/>
        <v>1</v>
      </c>
      <c r="V335" s="469">
        <v>30000</v>
      </c>
      <c r="W335" s="469">
        <f t="shared" si="253"/>
        <v>0</v>
      </c>
      <c r="X335" s="522">
        <f t="shared" si="253"/>
        <v>300000</v>
      </c>
      <c r="Y335" s="522"/>
      <c r="Z335" s="522">
        <f t="shared" si="253"/>
        <v>0</v>
      </c>
      <c r="AA335" s="522">
        <f t="shared" si="253"/>
        <v>0</v>
      </c>
      <c r="AB335" s="523">
        <f t="shared" si="253"/>
        <v>0</v>
      </c>
      <c r="AC335" s="523">
        <f t="shared" si="253"/>
        <v>0</v>
      </c>
      <c r="AD335" s="524">
        <f>O335/M335*100</f>
        <v>25.153605597918144</v>
      </c>
      <c r="AE335" s="524">
        <f>P335/O335*100</f>
        <v>0</v>
      </c>
      <c r="AF335" s="524"/>
      <c r="AG335" s="524"/>
      <c r="AH335" s="522"/>
      <c r="AI335" s="522">
        <v>300000</v>
      </c>
      <c r="AJ335" s="516">
        <f>W335/R335*100</f>
        <v>0</v>
      </c>
      <c r="AK335" s="516"/>
      <c r="AL335" s="516">
        <f>X335/AT335*100</f>
        <v>200</v>
      </c>
      <c r="AM335" s="292"/>
      <c r="AO335" t="b">
        <f t="shared" si="245"/>
        <v>1</v>
      </c>
      <c r="AP335" s="440">
        <f t="shared" ref="AP335:AU335" si="254">AP336</f>
        <v>0</v>
      </c>
      <c r="AQ335" s="441">
        <v>0</v>
      </c>
      <c r="AR335" s="440">
        <f>AR336</f>
        <v>0</v>
      </c>
      <c r="AS335" s="441">
        <f t="shared" si="254"/>
        <v>0</v>
      </c>
      <c r="AT335" s="612">
        <f>AT336</f>
        <v>150000</v>
      </c>
      <c r="AU335" s="469">
        <f t="shared" si="254"/>
        <v>150000</v>
      </c>
      <c r="AV335" s="636">
        <v>300000</v>
      </c>
      <c r="AW335" s="636">
        <v>300000</v>
      </c>
      <c r="AX335" s="655">
        <f t="shared" si="247"/>
        <v>579.82218786238889</v>
      </c>
      <c r="AY335" s="655" t="str">
        <f t="shared" si="248"/>
        <v/>
      </c>
      <c r="AZ335" s="655">
        <f t="shared" si="249"/>
        <v>100</v>
      </c>
      <c r="BA335" s="655" t="str">
        <f t="shared" si="250"/>
        <v/>
      </c>
      <c r="BB335" s="655">
        <f t="shared" si="251"/>
        <v>200</v>
      </c>
      <c r="BC335" s="655">
        <f t="shared" si="251"/>
        <v>100</v>
      </c>
    </row>
    <row r="336" spans="1:55" ht="12" customHeight="1">
      <c r="A336" s="36"/>
      <c r="B336" s="36"/>
      <c r="C336" s="36"/>
      <c r="D336" s="36"/>
      <c r="E336" s="36"/>
      <c r="F336" s="36"/>
      <c r="G336" s="36"/>
      <c r="H336" s="46">
        <v>4511</v>
      </c>
      <c r="I336" s="38"/>
      <c r="J336" s="39"/>
      <c r="K336" s="123" t="s">
        <v>168</v>
      </c>
      <c r="L336" s="322">
        <f t="shared" ref="L336:AA336" si="255">L1122+L1217</f>
        <v>2476635</v>
      </c>
      <c r="M336" s="322">
        <f t="shared" si="255"/>
        <v>328705.95261795737</v>
      </c>
      <c r="N336" s="346">
        <f t="shared" si="255"/>
        <v>622963</v>
      </c>
      <c r="O336" s="346">
        <f t="shared" si="255"/>
        <v>82681.398898400686</v>
      </c>
      <c r="P336" s="301">
        <f t="shared" si="255"/>
        <v>0</v>
      </c>
      <c r="Q336" s="301">
        <f t="shared" si="255"/>
        <v>23360</v>
      </c>
      <c r="R336" s="458">
        <f t="shared" si="255"/>
        <v>25870</v>
      </c>
      <c r="S336" s="301">
        <f t="shared" si="255"/>
        <v>0</v>
      </c>
      <c r="T336" s="301"/>
      <c r="U336" s="304" t="b">
        <f t="shared" si="200"/>
        <v>1</v>
      </c>
      <c r="V336" s="492">
        <v>30000</v>
      </c>
      <c r="W336" s="492">
        <f>W1122+W1217</f>
        <v>0</v>
      </c>
      <c r="X336" s="533">
        <f>X1122+X1217+X1218+X1219</f>
        <v>300000</v>
      </c>
      <c r="Y336" s="533"/>
      <c r="Z336" s="533">
        <f t="shared" si="255"/>
        <v>0</v>
      </c>
      <c r="AA336" s="533">
        <f t="shared" si="255"/>
        <v>0</v>
      </c>
      <c r="AB336" s="534">
        <f>AB1122+AB1217</f>
        <v>0</v>
      </c>
      <c r="AC336" s="534">
        <f>AC1122+AC1217</f>
        <v>0</v>
      </c>
      <c r="AD336" s="535">
        <f>O336/M336*100</f>
        <v>25.153605597918144</v>
      </c>
      <c r="AE336" s="535">
        <f>P336/O336*100</f>
        <v>0</v>
      </c>
      <c r="AF336" s="535"/>
      <c r="AG336" s="535"/>
      <c r="AH336" s="533"/>
      <c r="AI336" s="533">
        <v>300000</v>
      </c>
      <c r="AJ336" s="518">
        <f>W336/R336*100</f>
        <v>0</v>
      </c>
      <c r="AK336" s="518"/>
      <c r="AL336" s="518">
        <f>X336/AT336*100</f>
        <v>200</v>
      </c>
      <c r="AM336" s="301"/>
      <c r="AO336" t="b">
        <f t="shared" si="245"/>
        <v>1</v>
      </c>
      <c r="AP336" s="501">
        <f>AP1122+AP1217+AP1218+AP1219</f>
        <v>0</v>
      </c>
      <c r="AQ336" s="458">
        <v>0</v>
      </c>
      <c r="AR336" s="501">
        <f>AR1122+AR1217+AR1218+AR1219</f>
        <v>0</v>
      </c>
      <c r="AS336" s="458">
        <f>AS1122+AS1217+AS1218+AS1219</f>
        <v>0</v>
      </c>
      <c r="AT336" s="614">
        <f>AT1122+AT1217+AT1218+AT1219</f>
        <v>150000</v>
      </c>
      <c r="AU336" s="492">
        <f>AU1122+AU1217+AU1218+AU1219</f>
        <v>150000</v>
      </c>
      <c r="AV336" s="641">
        <v>300000</v>
      </c>
      <c r="AW336" s="641">
        <v>300000</v>
      </c>
      <c r="AX336" s="655">
        <f t="shared" si="247"/>
        <v>579.82218786238889</v>
      </c>
      <c r="AY336" s="655" t="str">
        <f t="shared" si="248"/>
        <v/>
      </c>
      <c r="AZ336" s="655">
        <f t="shared" si="249"/>
        <v>100</v>
      </c>
      <c r="BA336" s="655" t="str">
        <f t="shared" si="250"/>
        <v/>
      </c>
      <c r="BB336" s="655">
        <f t="shared" si="251"/>
        <v>200</v>
      </c>
      <c r="BC336" s="655">
        <f t="shared" si="251"/>
        <v>100</v>
      </c>
    </row>
    <row r="337" spans="1:55" ht="12" customHeight="1">
      <c r="A337" s="80"/>
      <c r="B337" s="80"/>
      <c r="C337" s="80"/>
      <c r="D337" s="80"/>
      <c r="E337" s="80"/>
      <c r="F337" s="80"/>
      <c r="G337" s="80"/>
      <c r="H337" s="81"/>
      <c r="I337" s="82"/>
      <c r="J337" s="81"/>
      <c r="K337" s="495"/>
      <c r="L337" s="436"/>
      <c r="M337" s="436"/>
      <c r="N337" s="436"/>
      <c r="O337" s="436"/>
      <c r="P337" s="436"/>
      <c r="Q337" s="436"/>
      <c r="R337" s="436"/>
      <c r="S337" s="436"/>
      <c r="T337" s="436"/>
      <c r="U337" s="436"/>
      <c r="V337" s="436"/>
      <c r="W337" s="436"/>
      <c r="X337" s="537"/>
      <c r="Y337" s="537"/>
      <c r="Z337" s="537"/>
      <c r="AA337" s="537"/>
      <c r="AB337" s="538"/>
      <c r="AC337" s="538"/>
      <c r="AD337" s="538"/>
      <c r="AE337" s="538"/>
      <c r="AF337" s="538"/>
      <c r="AG337" s="538"/>
      <c r="AH337" s="537"/>
      <c r="AI337" s="537"/>
      <c r="AJ337" s="519"/>
      <c r="AK337" s="519"/>
      <c r="AL337" s="519"/>
      <c r="AM337" s="436"/>
      <c r="AN337" s="500"/>
      <c r="AO337" t="b">
        <f t="shared" si="245"/>
        <v>0</v>
      </c>
      <c r="AQ337" s="436"/>
      <c r="AS337" s="436"/>
      <c r="AT337" s="609"/>
      <c r="AU337" s="436"/>
      <c r="AV337" s="642"/>
      <c r="AW337" s="642"/>
      <c r="AX337" s="655" t="str">
        <f t="shared" si="247"/>
        <v/>
      </c>
      <c r="AY337" s="655" t="str">
        <f t="shared" si="248"/>
        <v/>
      </c>
      <c r="AZ337" s="655" t="str">
        <f t="shared" si="249"/>
        <v/>
      </c>
      <c r="BA337" s="655" t="str">
        <f t="shared" si="250"/>
        <v/>
      </c>
      <c r="BB337" s="655" t="str">
        <f t="shared" si="251"/>
        <v/>
      </c>
      <c r="BC337" s="655" t="str">
        <f t="shared" si="251"/>
        <v/>
      </c>
    </row>
    <row r="338" spans="1:55" ht="12" customHeight="1">
      <c r="A338" s="80"/>
      <c r="B338" s="80"/>
      <c r="C338" s="80"/>
      <c r="D338" s="80"/>
      <c r="E338" s="80"/>
      <c r="F338" s="80"/>
      <c r="G338" s="80"/>
      <c r="H338" s="81"/>
      <c r="I338" s="82"/>
      <c r="J338" s="81"/>
      <c r="K338" s="495"/>
      <c r="L338" s="436"/>
      <c r="M338" s="436"/>
      <c r="N338" s="436"/>
      <c r="O338" s="436"/>
      <c r="P338" s="436"/>
      <c r="Q338" s="436"/>
      <c r="R338" s="436"/>
      <c r="S338" s="436"/>
      <c r="T338" s="436"/>
      <c r="U338" s="436"/>
      <c r="V338" s="436"/>
      <c r="W338" s="436"/>
      <c r="X338" s="537"/>
      <c r="Y338" s="537"/>
      <c r="Z338" s="537"/>
      <c r="AA338" s="537"/>
      <c r="AB338" s="538"/>
      <c r="AC338" s="538"/>
      <c r="AD338" s="538"/>
      <c r="AE338" s="538"/>
      <c r="AF338" s="538"/>
      <c r="AG338" s="538"/>
      <c r="AH338" s="537"/>
      <c r="AI338" s="537"/>
      <c r="AJ338" s="519"/>
      <c r="AK338" s="519"/>
      <c r="AL338" s="519"/>
      <c r="AM338" s="436"/>
      <c r="AN338" s="500"/>
      <c r="AO338" t="b">
        <f t="shared" si="245"/>
        <v>0</v>
      </c>
      <c r="AQ338" s="436"/>
      <c r="AS338" s="436"/>
      <c r="AT338" s="609"/>
      <c r="AU338" s="436"/>
      <c r="AV338" s="642"/>
      <c r="AW338" s="642"/>
      <c r="AX338" s="655" t="str">
        <f t="shared" si="247"/>
        <v/>
      </c>
      <c r="AY338" s="655" t="str">
        <f t="shared" si="248"/>
        <v/>
      </c>
      <c r="AZ338" s="655" t="str">
        <f t="shared" si="249"/>
        <v/>
      </c>
      <c r="BA338" s="655" t="str">
        <f t="shared" si="250"/>
        <v/>
      </c>
      <c r="BB338" s="655" t="str">
        <f t="shared" si="251"/>
        <v/>
      </c>
      <c r="BC338" s="655" t="str">
        <f t="shared" si="251"/>
        <v/>
      </c>
    </row>
    <row r="339" spans="1:55" ht="12" customHeight="1">
      <c r="A339" s="80"/>
      <c r="B339" s="80"/>
      <c r="C339" s="80"/>
      <c r="D339" s="80"/>
      <c r="E339" s="80"/>
      <c r="F339" s="80"/>
      <c r="G339" s="80"/>
      <c r="H339" s="81"/>
      <c r="I339" s="82"/>
      <c r="J339" s="81"/>
      <c r="K339" s="495"/>
      <c r="L339" s="436"/>
      <c r="M339" s="436"/>
      <c r="N339" s="436"/>
      <c r="O339" s="436"/>
      <c r="P339" s="436"/>
      <c r="Q339" s="436"/>
      <c r="R339" s="436"/>
      <c r="S339" s="436"/>
      <c r="T339" s="436"/>
      <c r="U339" s="436"/>
      <c r="V339" s="436"/>
      <c r="W339" s="436"/>
      <c r="X339" s="537"/>
      <c r="Y339" s="537"/>
      <c r="Z339" s="537"/>
      <c r="AA339" s="537"/>
      <c r="AB339" s="538"/>
      <c r="AC339" s="538"/>
      <c r="AD339" s="538"/>
      <c r="AE339" s="538"/>
      <c r="AF339" s="538"/>
      <c r="AG339" s="538"/>
      <c r="AH339" s="537"/>
      <c r="AI339" s="537"/>
      <c r="AJ339" s="519"/>
      <c r="AK339" s="519"/>
      <c r="AL339" s="519"/>
      <c r="AM339" s="436"/>
      <c r="AN339" s="500"/>
      <c r="AO339" t="b">
        <f t="shared" si="245"/>
        <v>0</v>
      </c>
      <c r="AQ339" s="436"/>
      <c r="AS339" s="436"/>
      <c r="AT339" s="609"/>
      <c r="AU339" s="436"/>
      <c r="AV339" s="642"/>
      <c r="AW339" s="642"/>
      <c r="AX339" s="655" t="str">
        <f t="shared" si="247"/>
        <v/>
      </c>
      <c r="AY339" s="655" t="str">
        <f t="shared" si="248"/>
        <v/>
      </c>
      <c r="AZ339" s="655" t="str">
        <f t="shared" si="249"/>
        <v/>
      </c>
      <c r="BA339" s="655" t="str">
        <f t="shared" si="250"/>
        <v/>
      </c>
      <c r="BB339" s="655" t="str">
        <f t="shared" si="251"/>
        <v/>
      </c>
      <c r="BC339" s="655" t="str">
        <f t="shared" si="251"/>
        <v/>
      </c>
    </row>
    <row r="340" spans="1:55" ht="12" customHeight="1">
      <c r="A340" s="80"/>
      <c r="B340" s="80"/>
      <c r="C340" s="80"/>
      <c r="D340" s="80"/>
      <c r="E340" s="80"/>
      <c r="F340" s="80"/>
      <c r="G340" s="80"/>
      <c r="H340" s="81"/>
      <c r="I340" s="82"/>
      <c r="J340" s="81"/>
      <c r="K340" s="495"/>
      <c r="L340" s="436"/>
      <c r="M340" s="436"/>
      <c r="N340" s="436"/>
      <c r="O340" s="436"/>
      <c r="P340" s="436"/>
      <c r="Q340" s="436"/>
      <c r="R340" s="436"/>
      <c r="S340" s="436"/>
      <c r="T340" s="436"/>
      <c r="U340" s="436"/>
      <c r="V340" s="436"/>
      <c r="W340" s="436"/>
      <c r="X340" s="537"/>
      <c r="Y340" s="537"/>
      <c r="Z340" s="537"/>
      <c r="AA340" s="537"/>
      <c r="AB340" s="538"/>
      <c r="AC340" s="538"/>
      <c r="AD340" s="538"/>
      <c r="AE340" s="538"/>
      <c r="AF340" s="538"/>
      <c r="AG340" s="538"/>
      <c r="AH340" s="537"/>
      <c r="AI340" s="537"/>
      <c r="AJ340" s="519"/>
      <c r="AK340" s="519"/>
      <c r="AL340" s="519"/>
      <c r="AM340" s="436"/>
      <c r="AN340" s="500"/>
      <c r="AO340" t="b">
        <f t="shared" si="245"/>
        <v>0</v>
      </c>
      <c r="AQ340" s="436"/>
      <c r="AS340" s="436"/>
      <c r="AT340" s="609"/>
      <c r="AU340" s="436"/>
      <c r="AV340" s="642"/>
      <c r="AW340" s="642"/>
      <c r="AX340" s="655" t="str">
        <f t="shared" si="247"/>
        <v/>
      </c>
      <c r="AY340" s="655" t="str">
        <f t="shared" si="248"/>
        <v/>
      </c>
      <c r="AZ340" s="655" t="str">
        <f t="shared" si="249"/>
        <v/>
      </c>
      <c r="BA340" s="655" t="str">
        <f t="shared" si="250"/>
        <v/>
      </c>
      <c r="BB340" s="655" t="str">
        <f t="shared" si="251"/>
        <v/>
      </c>
      <c r="BC340" s="655" t="str">
        <f t="shared" si="251"/>
        <v/>
      </c>
    </row>
    <row r="341" spans="1:55" ht="12" customHeight="1">
      <c r="A341" s="80"/>
      <c r="B341" s="80"/>
      <c r="C341" s="80"/>
      <c r="D341" s="80"/>
      <c r="E341" s="80"/>
      <c r="F341" s="80"/>
      <c r="G341" s="80"/>
      <c r="H341" s="81"/>
      <c r="I341" s="82"/>
      <c r="J341" s="81"/>
      <c r="K341" s="495"/>
      <c r="L341" s="436"/>
      <c r="M341" s="436"/>
      <c r="N341" s="436"/>
      <c r="O341" s="436"/>
      <c r="P341" s="436"/>
      <c r="Q341" s="436"/>
      <c r="R341" s="436"/>
      <c r="S341" s="436"/>
      <c r="T341" s="436"/>
      <c r="U341" s="436"/>
      <c r="V341" s="436"/>
      <c r="W341" s="436"/>
      <c r="X341" s="537"/>
      <c r="Y341" s="537"/>
      <c r="Z341" s="537"/>
      <c r="AA341" s="537"/>
      <c r="AB341" s="538"/>
      <c r="AC341" s="538"/>
      <c r="AD341" s="538"/>
      <c r="AE341" s="538"/>
      <c r="AF341" s="538"/>
      <c r="AG341" s="538"/>
      <c r="AH341" s="537"/>
      <c r="AI341" s="537"/>
      <c r="AJ341" s="519"/>
      <c r="AK341" s="519"/>
      <c r="AL341" s="519"/>
      <c r="AM341" s="436"/>
      <c r="AN341" s="500"/>
      <c r="AO341" t="b">
        <f t="shared" si="245"/>
        <v>0</v>
      </c>
      <c r="AQ341" s="436"/>
      <c r="AS341" s="436"/>
      <c r="AT341" s="609"/>
      <c r="AU341" s="436"/>
      <c r="AV341" s="642"/>
      <c r="AW341" s="642"/>
      <c r="AX341" s="655" t="str">
        <f t="shared" si="247"/>
        <v/>
      </c>
      <c r="AY341" s="655" t="str">
        <f t="shared" si="248"/>
        <v/>
      </c>
      <c r="AZ341" s="655" t="str">
        <f t="shared" si="249"/>
        <v/>
      </c>
      <c r="BA341" s="655" t="str">
        <f t="shared" si="250"/>
        <v/>
      </c>
      <c r="BB341" s="655" t="str">
        <f t="shared" si="251"/>
        <v/>
      </c>
      <c r="BC341" s="655" t="str">
        <f t="shared" si="251"/>
        <v/>
      </c>
    </row>
    <row r="342" spans="1:55" ht="12" customHeight="1">
      <c r="A342" s="1"/>
      <c r="B342" s="1"/>
      <c r="C342" s="1"/>
      <c r="D342" s="1"/>
      <c r="E342" s="1"/>
      <c r="F342" s="1"/>
      <c r="G342" s="1"/>
      <c r="H342" s="2" t="s">
        <v>169</v>
      </c>
      <c r="I342" s="74"/>
      <c r="J342" s="73"/>
      <c r="K342" s="494"/>
      <c r="L342" s="431"/>
      <c r="M342" s="431"/>
      <c r="N342" s="431"/>
      <c r="O342" s="431"/>
      <c r="P342" s="431"/>
      <c r="Q342" s="431"/>
      <c r="R342" s="431"/>
      <c r="S342" s="431"/>
      <c r="T342" s="431"/>
      <c r="U342" s="431"/>
      <c r="V342" s="431"/>
      <c r="W342" s="431"/>
      <c r="X342" s="507"/>
      <c r="Y342" s="507"/>
      <c r="Z342" s="507"/>
      <c r="AA342" s="507"/>
      <c r="AB342" s="508"/>
      <c r="AC342" s="508"/>
      <c r="AD342" s="508"/>
      <c r="AE342" s="508"/>
      <c r="AF342" s="508"/>
      <c r="AG342" s="508"/>
      <c r="AH342" s="507"/>
      <c r="AI342" s="507"/>
      <c r="AJ342" s="519"/>
      <c r="AK342" s="519"/>
      <c r="AL342" s="519"/>
      <c r="AM342" s="431"/>
      <c r="AN342" s="500"/>
      <c r="AO342" t="b">
        <f t="shared" si="245"/>
        <v>0</v>
      </c>
      <c r="AQ342" s="431"/>
      <c r="AS342" s="431"/>
      <c r="AT342" s="607"/>
      <c r="AU342" s="431"/>
      <c r="AV342" s="629"/>
      <c r="AW342" s="629"/>
      <c r="AX342" s="655" t="str">
        <f t="shared" si="247"/>
        <v/>
      </c>
      <c r="AY342" s="655" t="str">
        <f t="shared" si="248"/>
        <v/>
      </c>
      <c r="AZ342" s="655" t="str">
        <f t="shared" si="249"/>
        <v/>
      </c>
      <c r="BA342" s="655" t="str">
        <f t="shared" si="250"/>
        <v/>
      </c>
      <c r="BB342" s="655" t="str">
        <f t="shared" si="251"/>
        <v/>
      </c>
      <c r="BC342" s="655" t="str">
        <f t="shared" si="251"/>
        <v/>
      </c>
    </row>
    <row r="343" spans="1:55" ht="12" customHeight="1">
      <c r="A343" s="1"/>
      <c r="B343" s="1"/>
      <c r="C343" s="1"/>
      <c r="D343" s="1"/>
      <c r="E343" s="1"/>
      <c r="F343" s="1"/>
      <c r="G343" s="1"/>
      <c r="H343" s="2"/>
      <c r="I343" s="74"/>
      <c r="J343" s="73"/>
      <c r="K343" s="494"/>
      <c r="L343" s="431"/>
      <c r="M343" s="431"/>
      <c r="N343" s="431"/>
      <c r="O343" s="431"/>
      <c r="P343" s="431"/>
      <c r="Q343" s="431"/>
      <c r="R343" s="431"/>
      <c r="S343" s="431"/>
      <c r="T343" s="431"/>
      <c r="U343" s="431"/>
      <c r="V343" s="431"/>
      <c r="W343" s="431"/>
      <c r="X343" s="507"/>
      <c r="Y343" s="507"/>
      <c r="Z343" s="507"/>
      <c r="AA343" s="507"/>
      <c r="AB343" s="508"/>
      <c r="AC343" s="508"/>
      <c r="AD343" s="508"/>
      <c r="AE343" s="508"/>
      <c r="AF343" s="508"/>
      <c r="AG343" s="508"/>
      <c r="AH343" s="507"/>
      <c r="AI343" s="507"/>
      <c r="AJ343" s="519"/>
      <c r="AK343" s="519"/>
      <c r="AL343" s="519"/>
      <c r="AM343" s="431"/>
      <c r="AN343" s="500"/>
      <c r="AO343" t="b">
        <f t="shared" si="245"/>
        <v>0</v>
      </c>
      <c r="AQ343" s="431"/>
      <c r="AS343" s="431"/>
      <c r="AT343" s="607"/>
      <c r="AU343" s="431"/>
      <c r="AV343" s="629"/>
      <c r="AW343" s="629"/>
      <c r="AX343" s="655" t="str">
        <f t="shared" si="247"/>
        <v/>
      </c>
      <c r="AY343" s="655" t="str">
        <f t="shared" si="248"/>
        <v/>
      </c>
      <c r="AZ343" s="655" t="str">
        <f t="shared" si="249"/>
        <v/>
      </c>
      <c r="BA343" s="655" t="str">
        <f t="shared" si="250"/>
        <v/>
      </c>
      <c r="BB343" s="655" t="str">
        <f t="shared" si="251"/>
        <v/>
      </c>
      <c r="BC343" s="655" t="str">
        <f t="shared" si="251"/>
        <v/>
      </c>
    </row>
    <row r="344" spans="1:55" ht="12" customHeight="1">
      <c r="A344" s="9"/>
      <c r="B344" s="10"/>
      <c r="C344" s="10"/>
      <c r="D344" s="10"/>
      <c r="E344" s="10"/>
      <c r="F344" s="10"/>
      <c r="G344" s="10"/>
      <c r="H344" s="83"/>
      <c r="I344" s="84"/>
      <c r="J344" s="85"/>
      <c r="K344" s="16"/>
      <c r="L344" s="318" t="s">
        <v>555</v>
      </c>
      <c r="M344" s="318" t="s">
        <v>555</v>
      </c>
      <c r="N344" s="342" t="s">
        <v>555</v>
      </c>
      <c r="O344" s="342" t="s">
        <v>555</v>
      </c>
      <c r="P344" s="297" t="s">
        <v>629</v>
      </c>
      <c r="Q344" s="297" t="s">
        <v>824</v>
      </c>
      <c r="R344" s="439" t="s">
        <v>827</v>
      </c>
      <c r="S344" s="288" t="s">
        <v>829</v>
      </c>
      <c r="T344" s="288"/>
      <c r="U344" s="288"/>
      <c r="V344" s="465" t="s">
        <v>850</v>
      </c>
      <c r="W344" s="465" t="s">
        <v>853</v>
      </c>
      <c r="X344" s="511" t="s">
        <v>854</v>
      </c>
      <c r="Y344" s="511" t="s">
        <v>854</v>
      </c>
      <c r="Z344" s="511" t="s">
        <v>854</v>
      </c>
      <c r="AA344" s="511" t="s">
        <v>854</v>
      </c>
      <c r="AB344" s="511" t="s">
        <v>854</v>
      </c>
      <c r="AC344" s="511" t="s">
        <v>854</v>
      </c>
      <c r="AD344" s="511" t="s">
        <v>854</v>
      </c>
      <c r="AE344" s="511" t="s">
        <v>854</v>
      </c>
      <c r="AF344" s="511" t="s">
        <v>854</v>
      </c>
      <c r="AG344" s="511" t="s">
        <v>854</v>
      </c>
      <c r="AH344" s="511" t="s">
        <v>854</v>
      </c>
      <c r="AI344" s="511" t="s">
        <v>854</v>
      </c>
      <c r="AJ344" s="574"/>
      <c r="AK344" s="574"/>
      <c r="AL344" s="574"/>
      <c r="AM344" s="288"/>
      <c r="AQ344" s="439" t="s">
        <v>783</v>
      </c>
      <c r="AS344" s="439" t="s">
        <v>872</v>
      </c>
      <c r="AT344" s="656">
        <v>2025</v>
      </c>
      <c r="AU344" s="465">
        <v>2025</v>
      </c>
      <c r="AV344" s="630" t="s">
        <v>854</v>
      </c>
      <c r="AW344" s="630" t="s">
        <v>883</v>
      </c>
      <c r="AX344" s="655" t="s">
        <v>885</v>
      </c>
      <c r="AY344" s="655" t="s">
        <v>885</v>
      </c>
      <c r="AZ344" s="655" t="s">
        <v>885</v>
      </c>
      <c r="BA344" s="655" t="s">
        <v>885</v>
      </c>
      <c r="BB344" s="655" t="s">
        <v>885</v>
      </c>
      <c r="BC344" s="655" t="s">
        <v>885</v>
      </c>
    </row>
    <row r="345" spans="1:55" ht="12" customHeight="1">
      <c r="A345" s="86"/>
      <c r="B345" s="15"/>
      <c r="C345" s="15"/>
      <c r="D345" s="15"/>
      <c r="E345" s="15"/>
      <c r="F345" s="15"/>
      <c r="G345" s="15"/>
      <c r="H345" s="87" t="s">
        <v>170</v>
      </c>
      <c r="I345" s="88" t="s">
        <v>171</v>
      </c>
      <c r="J345" s="89" t="s">
        <v>172</v>
      </c>
      <c r="K345" s="90" t="s">
        <v>173</v>
      </c>
      <c r="L345" s="319" t="s">
        <v>717</v>
      </c>
      <c r="M345" s="319" t="s">
        <v>717</v>
      </c>
      <c r="N345" s="343" t="s">
        <v>740</v>
      </c>
      <c r="O345" s="343" t="s">
        <v>740</v>
      </c>
      <c r="P345" s="298" t="s">
        <v>761</v>
      </c>
      <c r="Q345" s="298" t="s">
        <v>761</v>
      </c>
      <c r="R345" s="439" t="s">
        <v>872</v>
      </c>
      <c r="S345" s="289" t="s">
        <v>830</v>
      </c>
      <c r="T345" s="289"/>
      <c r="U345" s="289"/>
      <c r="V345" s="466" t="s">
        <v>797</v>
      </c>
      <c r="W345" s="466" t="s">
        <v>797</v>
      </c>
      <c r="X345" s="512"/>
      <c r="Y345" s="512"/>
      <c r="Z345" s="512"/>
      <c r="AA345" s="512"/>
      <c r="AB345" s="513"/>
      <c r="AC345" s="513"/>
      <c r="AD345" s="513"/>
      <c r="AE345" s="513"/>
      <c r="AF345" s="513"/>
      <c r="AG345" s="513"/>
      <c r="AH345" s="512"/>
      <c r="AI345" s="512"/>
      <c r="AJ345" s="512"/>
      <c r="AK345" s="512"/>
      <c r="AL345" s="512"/>
      <c r="AM345" s="289"/>
      <c r="AQ345" s="439" t="s">
        <v>872</v>
      </c>
      <c r="AS345" s="439" t="s">
        <v>873</v>
      </c>
      <c r="AT345" s="611" t="s">
        <v>629</v>
      </c>
      <c r="AU345" s="466" t="s">
        <v>882</v>
      </c>
      <c r="AV345" s="631"/>
      <c r="AW345" s="631"/>
      <c r="AX345" s="655" t="s">
        <v>855</v>
      </c>
      <c r="AY345" s="655" t="s">
        <v>884</v>
      </c>
      <c r="AZ345" s="655" t="s">
        <v>856</v>
      </c>
      <c r="BA345" s="655" t="s">
        <v>781</v>
      </c>
      <c r="BB345" s="655" t="s">
        <v>741</v>
      </c>
      <c r="BC345" s="655" t="s">
        <v>741</v>
      </c>
    </row>
    <row r="346" spans="1:55" ht="12" customHeight="1">
      <c r="A346" s="86"/>
      <c r="B346" s="15"/>
      <c r="C346" s="15"/>
      <c r="D346" s="15"/>
      <c r="E346" s="15"/>
      <c r="F346" s="15"/>
      <c r="G346" s="15"/>
      <c r="H346" s="87"/>
      <c r="I346" s="88"/>
      <c r="J346" s="89"/>
      <c r="K346" s="90"/>
      <c r="L346" s="319" t="s">
        <v>826</v>
      </c>
      <c r="M346" s="319" t="s">
        <v>797</v>
      </c>
      <c r="N346" s="343" t="s">
        <v>826</v>
      </c>
      <c r="O346" s="343" t="s">
        <v>797</v>
      </c>
      <c r="P346" s="298" t="s">
        <v>797</v>
      </c>
      <c r="Q346" s="298" t="s">
        <v>797</v>
      </c>
      <c r="R346" s="438" t="s">
        <v>886</v>
      </c>
      <c r="S346" s="289" t="s">
        <v>887</v>
      </c>
      <c r="T346" s="289" t="s">
        <v>888</v>
      </c>
      <c r="U346" s="289" t="s">
        <v>889</v>
      </c>
      <c r="V346" s="466" t="s">
        <v>890</v>
      </c>
      <c r="W346" s="465" t="s">
        <v>891</v>
      </c>
      <c r="X346" s="512" t="s">
        <v>892</v>
      </c>
      <c r="Y346" s="512" t="s">
        <v>893</v>
      </c>
      <c r="Z346" s="512" t="s">
        <v>894</v>
      </c>
      <c r="AA346" s="512" t="s">
        <v>895</v>
      </c>
      <c r="AB346" s="515" t="s">
        <v>896</v>
      </c>
      <c r="AC346" s="515" t="s">
        <v>897</v>
      </c>
      <c r="AD346" s="515" t="s">
        <v>898</v>
      </c>
      <c r="AE346" s="515" t="s">
        <v>899</v>
      </c>
      <c r="AF346" s="515" t="s">
        <v>900</v>
      </c>
      <c r="AG346" s="515" t="s">
        <v>901</v>
      </c>
      <c r="AH346" s="512" t="s">
        <v>902</v>
      </c>
      <c r="AI346" s="512" t="s">
        <v>903</v>
      </c>
      <c r="AJ346" s="516" t="s">
        <v>904</v>
      </c>
      <c r="AK346" s="516" t="s">
        <v>905</v>
      </c>
      <c r="AL346" s="516" t="s">
        <v>906</v>
      </c>
      <c r="AM346" s="426" t="s">
        <v>907</v>
      </c>
      <c r="AN346" s="450" t="s">
        <v>908</v>
      </c>
      <c r="AO346" t="s">
        <v>857</v>
      </c>
      <c r="AQ346" s="438">
        <v>2</v>
      </c>
      <c r="AS346" s="438"/>
      <c r="AT346" s="611">
        <v>3</v>
      </c>
      <c r="AU346" s="466">
        <v>4</v>
      </c>
      <c r="AV346" s="631">
        <v>5</v>
      </c>
      <c r="AW346" s="631">
        <v>6</v>
      </c>
      <c r="AX346" s="655">
        <v>7</v>
      </c>
      <c r="AY346" s="655">
        <v>8</v>
      </c>
      <c r="AZ346" s="655">
        <v>9</v>
      </c>
      <c r="BA346" s="655">
        <v>10</v>
      </c>
      <c r="BB346" s="655">
        <v>11</v>
      </c>
      <c r="BC346" s="655">
        <v>12</v>
      </c>
    </row>
    <row r="347" spans="1:55" ht="12" customHeight="1">
      <c r="A347" s="20"/>
      <c r="B347" s="20"/>
      <c r="C347" s="20"/>
      <c r="D347" s="20"/>
      <c r="E347" s="20"/>
      <c r="F347" s="20"/>
      <c r="G347" s="20"/>
      <c r="H347" s="21"/>
      <c r="I347" s="22"/>
      <c r="J347" s="21"/>
      <c r="K347" s="94"/>
      <c r="L347" s="313">
        <v>1</v>
      </c>
      <c r="M347" s="313">
        <v>2</v>
      </c>
      <c r="N347" s="335">
        <v>3</v>
      </c>
      <c r="O347" s="335">
        <v>4</v>
      </c>
      <c r="P347" s="290">
        <v>5</v>
      </c>
      <c r="Q347" s="290">
        <v>6</v>
      </c>
      <c r="R347" s="439"/>
      <c r="S347" s="290"/>
      <c r="T347" s="290"/>
      <c r="U347" s="290"/>
      <c r="V347" s="474"/>
      <c r="W347" s="474"/>
      <c r="X347" s="539"/>
      <c r="Y347" s="539"/>
      <c r="Z347" s="539"/>
      <c r="AA347" s="514"/>
      <c r="AB347" s="515"/>
      <c r="AC347" s="515"/>
      <c r="AD347" s="515"/>
      <c r="AE347" s="515"/>
      <c r="AF347" s="515"/>
      <c r="AG347" s="515"/>
      <c r="AH347" s="514"/>
      <c r="AI347" s="539"/>
      <c r="AJ347" s="516"/>
      <c r="AK347" s="516"/>
      <c r="AL347" s="516"/>
      <c r="AM347" s="290"/>
      <c r="AQ347" s="439"/>
      <c r="AS347" s="439"/>
      <c r="AT347" s="616"/>
      <c r="AU347" s="474"/>
      <c r="AV347" s="632"/>
      <c r="AW347" s="632"/>
      <c r="AX347" s="655" t="str">
        <f t="shared" si="247"/>
        <v/>
      </c>
      <c r="AY347" s="655" t="str">
        <f t="shared" si="248"/>
        <v/>
      </c>
      <c r="AZ347" s="655" t="str">
        <f t="shared" si="249"/>
        <v/>
      </c>
      <c r="BA347" s="655" t="str">
        <f t="shared" si="250"/>
        <v/>
      </c>
      <c r="BB347" s="655" t="str">
        <f t="shared" si="251"/>
        <v/>
      </c>
      <c r="BC347" s="655" t="str">
        <f t="shared" si="251"/>
        <v/>
      </c>
    </row>
    <row r="348" spans="1:55" ht="12" customHeight="1">
      <c r="A348" s="20"/>
      <c r="B348" s="20"/>
      <c r="C348" s="20"/>
      <c r="D348" s="20"/>
      <c r="E348" s="20"/>
      <c r="F348" s="20"/>
      <c r="G348" s="20"/>
      <c r="H348" s="21" t="s">
        <v>469</v>
      </c>
      <c r="I348" s="92"/>
      <c r="J348" s="94"/>
      <c r="K348" s="18" t="s">
        <v>174</v>
      </c>
      <c r="L348" s="316"/>
      <c r="M348" s="316"/>
      <c r="N348" s="338"/>
      <c r="O348" s="338"/>
      <c r="P348" s="293"/>
      <c r="Q348" s="293"/>
      <c r="R348" s="442"/>
      <c r="S348" s="293"/>
      <c r="T348" s="293"/>
      <c r="U348" s="293"/>
      <c r="V348" s="475"/>
      <c r="W348" s="475"/>
      <c r="X348" s="540"/>
      <c r="Y348" s="540"/>
      <c r="Z348" s="540"/>
      <c r="AA348" s="525"/>
      <c r="AB348" s="526"/>
      <c r="AC348" s="526"/>
      <c r="AD348" s="526"/>
      <c r="AE348" s="526"/>
      <c r="AF348" s="526"/>
      <c r="AG348" s="526"/>
      <c r="AH348" s="525"/>
      <c r="AI348" s="540"/>
      <c r="AJ348" s="516"/>
      <c r="AK348" s="516"/>
      <c r="AL348" s="516"/>
      <c r="AM348" s="293"/>
      <c r="AO348" t="b">
        <f t="shared" si="245"/>
        <v>0</v>
      </c>
      <c r="AQ348" s="442"/>
      <c r="AS348" s="442"/>
      <c r="AT348" s="617"/>
      <c r="AU348" s="475"/>
      <c r="AV348" s="637"/>
      <c r="AW348" s="637"/>
      <c r="AX348" s="655" t="str">
        <f t="shared" si="247"/>
        <v/>
      </c>
      <c r="AY348" s="655" t="str">
        <f t="shared" si="248"/>
        <v/>
      </c>
      <c r="AZ348" s="655" t="str">
        <f t="shared" si="249"/>
        <v/>
      </c>
      <c r="BA348" s="655" t="str">
        <f t="shared" si="250"/>
        <v/>
      </c>
      <c r="BB348" s="655" t="str">
        <f t="shared" si="251"/>
        <v/>
      </c>
      <c r="BC348" s="655" t="str">
        <f t="shared" si="251"/>
        <v/>
      </c>
    </row>
    <row r="349" spans="1:55" ht="12" customHeight="1">
      <c r="A349" s="20"/>
      <c r="B349" s="20"/>
      <c r="C349" s="20"/>
      <c r="D349" s="20"/>
      <c r="E349" s="20"/>
      <c r="F349" s="20"/>
      <c r="G349" s="20"/>
      <c r="H349" s="21"/>
      <c r="I349" s="92"/>
      <c r="J349" s="94"/>
      <c r="K349" s="93" t="s">
        <v>175</v>
      </c>
      <c r="L349" s="315">
        <f t="shared" ref="L349:S349" si="256">L352+L981+L1062+L1124</f>
        <v>24995631</v>
      </c>
      <c r="M349" s="315">
        <f t="shared" si="256"/>
        <v>3317490.3444156875</v>
      </c>
      <c r="N349" s="337">
        <f t="shared" si="256"/>
        <v>24086719</v>
      </c>
      <c r="O349" s="337">
        <f t="shared" si="256"/>
        <v>3196856.9911739333</v>
      </c>
      <c r="P349" s="292">
        <f t="shared" si="256"/>
        <v>5173379.5089256093</v>
      </c>
      <c r="Q349" s="292">
        <f t="shared" si="256"/>
        <v>4545820</v>
      </c>
      <c r="R349" s="441">
        <f t="shared" si="256"/>
        <v>4313713</v>
      </c>
      <c r="S349" s="292" t="e">
        <f t="shared" si="256"/>
        <v>#REF!</v>
      </c>
      <c r="T349" s="292"/>
      <c r="U349" s="292"/>
      <c r="V349" s="469">
        <f>V352+V981+V1062+V1124</f>
        <v>5943630</v>
      </c>
      <c r="W349" s="469">
        <f>W352+W981+W1062+W1124</f>
        <v>5310459.93</v>
      </c>
      <c r="X349" s="522">
        <f>X352+X981+X1062+X1124</f>
        <v>6723250.2999999998</v>
      </c>
      <c r="Y349" s="522">
        <f>Y352+Y981+Y1062+Y1124</f>
        <v>0</v>
      </c>
      <c r="Z349" s="541" t="b">
        <f t="shared" ref="Z349:Z412" si="257">__xlfn.ISFORMULA(R349)</f>
        <v>1</v>
      </c>
      <c r="AA349" s="522"/>
      <c r="AB349" s="523">
        <f>AB352+AB981+AB1062+AB1124</f>
        <v>4224500</v>
      </c>
      <c r="AC349" s="523">
        <f>AC352+AC981+AC1062+AC1124</f>
        <v>4224500</v>
      </c>
      <c r="AD349" s="524">
        <f>O349/M349*100</f>
        <v>96.363716523099583</v>
      </c>
      <c r="AE349" s="524">
        <f>P349/O349*100</f>
        <v>161.82705461046814</v>
      </c>
      <c r="AF349" s="524">
        <f>Q349/P349*100</f>
        <v>87.869447662927428</v>
      </c>
      <c r="AG349" s="524">
        <f>AB349/Q349*100</f>
        <v>92.93152830512426</v>
      </c>
      <c r="AH349" s="522"/>
      <c r="AI349" s="522">
        <v>6723250.2999999998</v>
      </c>
      <c r="AJ349" s="516">
        <f>W349/R349*100</f>
        <v>123.10647300828774</v>
      </c>
      <c r="AK349" s="516">
        <f>AT349/W349*100</f>
        <v>131.65055554802012</v>
      </c>
      <c r="AL349" s="516">
        <f>X349/AT349*100</f>
        <v>96.166641158591091</v>
      </c>
      <c r="AM349" s="292"/>
      <c r="AO349" t="b">
        <f t="shared" si="245"/>
        <v>1</v>
      </c>
      <c r="AP349" s="440">
        <f>AP352+AP981+AP1062+AP1124</f>
        <v>3712912.7699999996</v>
      </c>
      <c r="AQ349" s="441">
        <v>4744450.16</v>
      </c>
      <c r="AR349" s="440">
        <f>AR352+AR981+AR1062+AR1124</f>
        <v>3772348.7699999996</v>
      </c>
      <c r="AS349" s="441">
        <f>AS352+AS981+AS1062+AS1124</f>
        <v>1639490.82</v>
      </c>
      <c r="AT349" s="612">
        <f>AT352+AT981+AT1062+AT1124</f>
        <v>6991250</v>
      </c>
      <c r="AU349" s="469">
        <f>AU352+AU981+AU1062+AU1124</f>
        <v>6942421</v>
      </c>
      <c r="AV349" s="636">
        <v>6723250.2999999998</v>
      </c>
      <c r="AW349" s="636">
        <v>6723250.2999999998</v>
      </c>
      <c r="AX349" s="655">
        <f t="shared" si="247"/>
        <v>162.07035563098427</v>
      </c>
      <c r="AY349" s="655">
        <f t="shared" si="248"/>
        <v>147.35637985919954</v>
      </c>
      <c r="AZ349" s="655">
        <f t="shared" si="249"/>
        <v>99.301569819417125</v>
      </c>
      <c r="BA349" s="655">
        <f t="shared" si="250"/>
        <v>146.32719842924854</v>
      </c>
      <c r="BB349" s="655">
        <f t="shared" si="251"/>
        <v>96.843022052393536</v>
      </c>
      <c r="BC349" s="655">
        <f t="shared" si="251"/>
        <v>100</v>
      </c>
    </row>
    <row r="350" spans="1:55" ht="12" customHeight="1">
      <c r="A350" s="20"/>
      <c r="B350" s="20"/>
      <c r="C350" s="20"/>
      <c r="D350" s="20"/>
      <c r="E350" s="20"/>
      <c r="F350" s="20"/>
      <c r="G350" s="20"/>
      <c r="H350" s="21"/>
      <c r="I350" s="92"/>
      <c r="J350" s="94"/>
      <c r="K350" s="14"/>
      <c r="L350" s="315"/>
      <c r="M350" s="315"/>
      <c r="N350" s="337"/>
      <c r="O350" s="337"/>
      <c r="P350" s="292"/>
      <c r="Q350" s="292"/>
      <c r="R350" s="441"/>
      <c r="S350" s="292"/>
      <c r="T350" s="292"/>
      <c r="U350" s="292"/>
      <c r="V350" s="476"/>
      <c r="W350" s="476"/>
      <c r="X350" s="541"/>
      <c r="Y350" s="541"/>
      <c r="Z350" s="541" t="b">
        <f t="shared" si="257"/>
        <v>0</v>
      </c>
      <c r="AA350" s="522"/>
      <c r="AB350" s="523"/>
      <c r="AC350" s="523"/>
      <c r="AD350" s="524"/>
      <c r="AE350" s="524"/>
      <c r="AF350" s="524"/>
      <c r="AG350" s="524"/>
      <c r="AH350" s="522"/>
      <c r="AI350" s="541"/>
      <c r="AJ350" s="516"/>
      <c r="AK350" s="516"/>
      <c r="AL350" s="516"/>
      <c r="AM350" s="292"/>
      <c r="AO350" t="b">
        <f t="shared" si="245"/>
        <v>0</v>
      </c>
      <c r="AQ350" s="441"/>
      <c r="AS350" s="441"/>
      <c r="AT350" s="616"/>
      <c r="AU350" s="476"/>
      <c r="AV350" s="636"/>
      <c r="AW350" s="636"/>
      <c r="AX350" s="655" t="str">
        <f t="shared" si="247"/>
        <v/>
      </c>
      <c r="AY350" s="655" t="str">
        <f t="shared" si="248"/>
        <v/>
      </c>
      <c r="AZ350" s="655" t="str">
        <f t="shared" si="249"/>
        <v/>
      </c>
      <c r="BA350" s="655" t="str">
        <f t="shared" si="250"/>
        <v/>
      </c>
      <c r="BB350" s="655" t="str">
        <f t="shared" si="251"/>
        <v/>
      </c>
      <c r="BC350" s="655" t="str">
        <f t="shared" si="251"/>
        <v/>
      </c>
    </row>
    <row r="351" spans="1:55" ht="12" customHeight="1">
      <c r="A351" s="95"/>
      <c r="B351" s="96"/>
      <c r="C351" s="96"/>
      <c r="D351" s="96"/>
      <c r="E351" s="96"/>
      <c r="F351" s="96"/>
      <c r="G351" s="96"/>
      <c r="H351" s="97" t="s">
        <v>531</v>
      </c>
      <c r="I351" s="98"/>
      <c r="J351" s="99" t="s">
        <v>176</v>
      </c>
      <c r="K351" s="100"/>
      <c r="L351" s="316"/>
      <c r="M351" s="316"/>
      <c r="N351" s="338"/>
      <c r="O351" s="338"/>
      <c r="P351" s="293"/>
      <c r="Q351" s="293"/>
      <c r="R351" s="442"/>
      <c r="S351" s="293"/>
      <c r="T351" s="293"/>
      <c r="U351" s="293"/>
      <c r="V351" s="475"/>
      <c r="W351" s="475"/>
      <c r="X351" s="540"/>
      <c r="Y351" s="540"/>
      <c r="Z351" s="541" t="b">
        <f t="shared" si="257"/>
        <v>0</v>
      </c>
      <c r="AA351" s="525"/>
      <c r="AB351" s="526"/>
      <c r="AC351" s="526"/>
      <c r="AD351" s="524"/>
      <c r="AE351" s="524"/>
      <c r="AF351" s="524"/>
      <c r="AG351" s="524"/>
      <c r="AH351" s="525"/>
      <c r="AI351" s="540"/>
      <c r="AJ351" s="516"/>
      <c r="AK351" s="516"/>
      <c r="AL351" s="516"/>
      <c r="AM351" s="293"/>
      <c r="AO351" t="b">
        <f t="shared" si="245"/>
        <v>0</v>
      </c>
      <c r="AQ351" s="442"/>
      <c r="AS351" s="442"/>
      <c r="AT351" s="617"/>
      <c r="AU351" s="475"/>
      <c r="AV351" s="637"/>
      <c r="AW351" s="637"/>
      <c r="AX351" s="655" t="str">
        <f t="shared" si="247"/>
        <v/>
      </c>
      <c r="AY351" s="655" t="str">
        <f t="shared" si="248"/>
        <v/>
      </c>
      <c r="AZ351" s="655" t="str">
        <f t="shared" si="249"/>
        <v/>
      </c>
      <c r="BA351" s="655" t="str">
        <f t="shared" si="250"/>
        <v/>
      </c>
      <c r="BB351" s="655" t="str">
        <f t="shared" si="251"/>
        <v/>
      </c>
      <c r="BC351" s="655" t="str">
        <f t="shared" si="251"/>
        <v/>
      </c>
    </row>
    <row r="352" spans="1:55" ht="12" customHeight="1">
      <c r="A352" s="101"/>
      <c r="B352" s="102"/>
      <c r="C352" s="102"/>
      <c r="D352" s="102"/>
      <c r="E352" s="102"/>
      <c r="F352" s="102"/>
      <c r="G352" s="102"/>
      <c r="H352" s="209" t="s">
        <v>470</v>
      </c>
      <c r="I352" s="103"/>
      <c r="J352" s="104" t="s">
        <v>471</v>
      </c>
      <c r="K352" s="105"/>
      <c r="L352" s="320">
        <f t="shared" ref="L352:S352" si="258">L353+L471+L487+L523+L533+L598+L613+L654+L768+L788+L821+L873+L905+L930+L972</f>
        <v>18118172</v>
      </c>
      <c r="M352" s="320">
        <f t="shared" si="258"/>
        <v>2404694.671179242</v>
      </c>
      <c r="N352" s="344">
        <f t="shared" si="258"/>
        <v>18694580</v>
      </c>
      <c r="O352" s="344">
        <f t="shared" si="258"/>
        <v>2481197.1597318999</v>
      </c>
      <c r="P352" s="299">
        <f t="shared" si="258"/>
        <v>4318179.5089256093</v>
      </c>
      <c r="Q352" s="299">
        <f t="shared" si="258"/>
        <v>3694960</v>
      </c>
      <c r="R352" s="447">
        <f t="shared" si="258"/>
        <v>3495619</v>
      </c>
      <c r="S352" s="299" t="e">
        <f t="shared" si="258"/>
        <v>#REF!</v>
      </c>
      <c r="T352" s="299"/>
      <c r="U352" s="299"/>
      <c r="V352" s="477">
        <f>V353+V471+V487+V523+V533+V598+V613+V654+V768+V788+V821+V873+V905+V930+V972</f>
        <v>4816790</v>
      </c>
      <c r="W352" s="477">
        <f>W353+W471+W487+W523+W533+W598+W613+W654+W768+W788+W821+W873+W905+W930+W972</f>
        <v>4201390</v>
      </c>
      <c r="X352" s="542">
        <f>X353+X471+X487+X523+X533+X598+X613+X654+X768+X788+X821+X873+X905+X930+X972</f>
        <v>5249248</v>
      </c>
      <c r="Y352" s="542">
        <f>Y353+Y471+Y487+Y523+Y533+Y598+Y613+Y654+Y768+Y788+Y821+Y873+Y905+Y930+Y972</f>
        <v>0</v>
      </c>
      <c r="Z352" s="541" t="b">
        <f t="shared" si="257"/>
        <v>1</v>
      </c>
      <c r="AA352" s="542"/>
      <c r="AB352" s="543">
        <f>AB353+AB471+AB487+AB523+AB533+AB598+AB613+AB654+AB768+AB788+AB821+AB873+AB905+AB930+AB972</f>
        <v>3341000</v>
      </c>
      <c r="AC352" s="543">
        <f>AC353+AC471+AC487+AC523+AC533+AC598+AC613+AC654+AC768+AC788+AC821+AC873+AC905+AC930+AC972</f>
        <v>3341000</v>
      </c>
      <c r="AD352" s="524">
        <f>O352/M352*100</f>
        <v>103.18138054987006</v>
      </c>
      <c r="AE352" s="524">
        <f t="shared" ref="AE352:AF354" si="259">P352/O352*100</f>
        <v>174.03612977665185</v>
      </c>
      <c r="AF352" s="524">
        <f t="shared" si="259"/>
        <v>85.567540496234017</v>
      </c>
      <c r="AG352" s="524">
        <f>AB352/Q352*100</f>
        <v>90.420464632905365</v>
      </c>
      <c r="AH352" s="542"/>
      <c r="AI352" s="542">
        <v>5249248</v>
      </c>
      <c r="AJ352" s="516">
        <f>W352/R352*100</f>
        <v>120.19015802351458</v>
      </c>
      <c r="AK352" s="516">
        <f>AT352/W352*100</f>
        <v>130.98664965642322</v>
      </c>
      <c r="AL352" s="516">
        <f>X352/AT352*100</f>
        <v>95.384335830035283</v>
      </c>
      <c r="AM352" s="299"/>
      <c r="AO352" t="b">
        <f t="shared" si="245"/>
        <v>1</v>
      </c>
      <c r="AP352" s="503">
        <f>AP353+AP471+AP487+AP523+AP533+AP598+AP613+AP654+AP768+AP788+AP821+AP873+AP905+AP930+AP972</f>
        <v>3712912.7699999996</v>
      </c>
      <c r="AQ352" s="447">
        <v>3712912.77</v>
      </c>
      <c r="AR352" s="503">
        <f>AR353+AR471+AR487+AR523+AR533+AR598+AR613+AR654+AR768+AR788+AR821+AR873+AR905+AR930+AR972</f>
        <v>3712912.7699999996</v>
      </c>
      <c r="AS352" s="447">
        <f>AS353+AS471+AS487+AS523+AS533+AS598+AS613+AS654+AS768+AS788+AS821+AS873+AS905+AS930+AS972</f>
        <v>1639490.82</v>
      </c>
      <c r="AT352" s="611">
        <f>AT353+AT471+AT487+AT523+AT533+AT598+AT613+AT654+AT768+AT788+AT821+AT873+AT905+AT930+AT972</f>
        <v>5503260</v>
      </c>
      <c r="AU352" s="477">
        <f>AU353+AU471+AU487+AU523+AU533+AU598+AU613+AU654+AU768+AU788+AU821+AU873+AU905+AU930+AU972</f>
        <v>5454431</v>
      </c>
      <c r="AV352" s="643">
        <v>5249248</v>
      </c>
      <c r="AW352" s="643">
        <v>5249248</v>
      </c>
      <c r="AX352" s="655">
        <f t="shared" si="247"/>
        <v>157.43306121176249</v>
      </c>
      <c r="AY352" s="655">
        <f t="shared" si="248"/>
        <v>148.21947998525158</v>
      </c>
      <c r="AZ352" s="655">
        <f t="shared" si="249"/>
        <v>99.112725911550598</v>
      </c>
      <c r="BA352" s="655">
        <f t="shared" si="250"/>
        <v>146.90436694530803</v>
      </c>
      <c r="BB352" s="655">
        <f t="shared" si="251"/>
        <v>96.238232732250168</v>
      </c>
      <c r="BC352" s="655">
        <f t="shared" si="251"/>
        <v>100</v>
      </c>
    </row>
    <row r="353" spans="1:55" ht="12" customHeight="1">
      <c r="A353" s="210" t="s">
        <v>472</v>
      </c>
      <c r="B353" s="106"/>
      <c r="C353" s="106"/>
      <c r="D353" s="106"/>
      <c r="E353" s="106"/>
      <c r="F353" s="106"/>
      <c r="G353" s="106"/>
      <c r="H353" s="107"/>
      <c r="I353" s="49" t="s">
        <v>473</v>
      </c>
      <c r="J353" s="108"/>
      <c r="K353" s="109"/>
      <c r="L353" s="315">
        <f t="shared" ref="L353:S353" si="260">L354+L405+L450</f>
        <v>4400948</v>
      </c>
      <c r="M353" s="315">
        <f t="shared" si="260"/>
        <v>584106.17824673164</v>
      </c>
      <c r="N353" s="337">
        <f t="shared" si="260"/>
        <v>3719219</v>
      </c>
      <c r="O353" s="337">
        <f t="shared" si="260"/>
        <v>493625.19078903709</v>
      </c>
      <c r="P353" s="292">
        <f t="shared" si="260"/>
        <v>689960</v>
      </c>
      <c r="Q353" s="292">
        <f t="shared" si="260"/>
        <v>709840</v>
      </c>
      <c r="R353" s="441">
        <f t="shared" si="260"/>
        <v>640018</v>
      </c>
      <c r="S353" s="292">
        <f t="shared" si="260"/>
        <v>582866.17999999993</v>
      </c>
      <c r="T353" s="292"/>
      <c r="U353" s="292"/>
      <c r="V353" s="469">
        <f>V354+V405+V450</f>
        <v>814660</v>
      </c>
      <c r="W353" s="469">
        <f>W354+W405+W450</f>
        <v>862490</v>
      </c>
      <c r="X353" s="522">
        <f>X354+X405+X450</f>
        <v>793248</v>
      </c>
      <c r="Y353" s="522">
        <f>Y354+Y405+Y450</f>
        <v>0</v>
      </c>
      <c r="Z353" s="541" t="b">
        <f t="shared" si="257"/>
        <v>1</v>
      </c>
      <c r="AA353" s="522"/>
      <c r="AB353" s="523">
        <f>AB354+AB405+AB450</f>
        <v>702000</v>
      </c>
      <c r="AC353" s="523">
        <f>AC354+AC405+AC450</f>
        <v>702000</v>
      </c>
      <c r="AD353" s="524">
        <f>O353/M353*100</f>
        <v>84.509496590280094</v>
      </c>
      <c r="AE353" s="524">
        <f t="shared" si="259"/>
        <v>139.77406600686865</v>
      </c>
      <c r="AF353" s="524">
        <f t="shared" si="259"/>
        <v>102.88132645370747</v>
      </c>
      <c r="AG353" s="524">
        <f>AB353/Q353*100</f>
        <v>98.895525752282211</v>
      </c>
      <c r="AH353" s="522"/>
      <c r="AI353" s="522">
        <v>793248</v>
      </c>
      <c r="AJ353" s="516">
        <f>W353/R353*100</f>
        <v>134.76027236733967</v>
      </c>
      <c r="AK353" s="516">
        <f>AT353/W353*100</f>
        <v>122.28083803870189</v>
      </c>
      <c r="AL353" s="516">
        <f>X353/AT353*100</f>
        <v>75.213623347808777</v>
      </c>
      <c r="AM353" s="292"/>
      <c r="AO353" t="b">
        <f t="shared" si="245"/>
        <v>1</v>
      </c>
      <c r="AP353" s="440">
        <f t="shared" ref="AP353:AU353" si="261">AP354+AP405+AP450</f>
        <v>773670.66</v>
      </c>
      <c r="AQ353" s="441">
        <v>773670.66</v>
      </c>
      <c r="AR353" s="440">
        <f>AR354+AR405+AR450</f>
        <v>773670.66</v>
      </c>
      <c r="AS353" s="441">
        <f t="shared" si="261"/>
        <v>517988.47</v>
      </c>
      <c r="AT353" s="612">
        <f t="shared" si="261"/>
        <v>1054660</v>
      </c>
      <c r="AU353" s="469">
        <f t="shared" si="261"/>
        <v>1232681</v>
      </c>
      <c r="AV353" s="636">
        <v>793248</v>
      </c>
      <c r="AW353" s="636">
        <v>793248</v>
      </c>
      <c r="AX353" s="655">
        <f t="shared" si="247"/>
        <v>164.78599039402019</v>
      </c>
      <c r="AY353" s="655">
        <f t="shared" si="248"/>
        <v>136.31898616912784</v>
      </c>
      <c r="AZ353" s="655">
        <f t="shared" si="249"/>
        <v>116.87946826465401</v>
      </c>
      <c r="BA353" s="655">
        <f t="shared" si="250"/>
        <v>159.32890617824384</v>
      </c>
      <c r="BB353" s="655">
        <f t="shared" si="251"/>
        <v>64.351442100592124</v>
      </c>
      <c r="BC353" s="655">
        <f t="shared" si="251"/>
        <v>100</v>
      </c>
    </row>
    <row r="354" spans="1:55" ht="12" customHeight="1">
      <c r="A354" s="211" t="s">
        <v>474</v>
      </c>
      <c r="B354" s="110"/>
      <c r="C354" s="110"/>
      <c r="D354" s="110"/>
      <c r="E354" s="110"/>
      <c r="F354" s="110"/>
      <c r="G354" s="110"/>
      <c r="H354" s="111"/>
      <c r="I354" s="43" t="s">
        <v>177</v>
      </c>
      <c r="J354" s="112"/>
      <c r="K354" s="113"/>
      <c r="L354" s="315">
        <f t="shared" ref="L354:S354" si="262">L356</f>
        <v>3155879</v>
      </c>
      <c r="M354" s="315">
        <f t="shared" si="262"/>
        <v>418857.12389674166</v>
      </c>
      <c r="N354" s="337">
        <f t="shared" si="262"/>
        <v>2968814</v>
      </c>
      <c r="O354" s="337">
        <f t="shared" si="262"/>
        <v>394029.3317406596</v>
      </c>
      <c r="P354" s="292">
        <f t="shared" si="262"/>
        <v>498120</v>
      </c>
      <c r="Q354" s="292">
        <f t="shared" si="262"/>
        <v>503600</v>
      </c>
      <c r="R354" s="441">
        <f t="shared" si="262"/>
        <v>469073</v>
      </c>
      <c r="S354" s="292">
        <f t="shared" si="262"/>
        <v>376024.35</v>
      </c>
      <c r="T354" s="292"/>
      <c r="U354" s="292"/>
      <c r="V354" s="469">
        <f>V356</f>
        <v>582700</v>
      </c>
      <c r="W354" s="469">
        <f>W356</f>
        <v>601100</v>
      </c>
      <c r="X354" s="522">
        <f>X356</f>
        <v>458000</v>
      </c>
      <c r="Y354" s="522">
        <f>Y356</f>
        <v>0</v>
      </c>
      <c r="Z354" s="541" t="b">
        <f t="shared" si="257"/>
        <v>1</v>
      </c>
      <c r="AA354" s="522"/>
      <c r="AB354" s="523">
        <f>AB356</f>
        <v>508250</v>
      </c>
      <c r="AC354" s="523">
        <f>AC356</f>
        <v>508250</v>
      </c>
      <c r="AD354" s="524">
        <f>O354/M354*100</f>
        <v>94.072491372451211</v>
      </c>
      <c r="AE354" s="524">
        <f t="shared" si="259"/>
        <v>126.41698469489837</v>
      </c>
      <c r="AF354" s="524">
        <f t="shared" si="259"/>
        <v>101.10013651328997</v>
      </c>
      <c r="AG354" s="524">
        <f>AB354/Q354*100</f>
        <v>100.92335186656076</v>
      </c>
      <c r="AH354" s="522"/>
      <c r="AI354" s="522">
        <v>458000</v>
      </c>
      <c r="AJ354" s="516">
        <f>W354/R354*100</f>
        <v>128.14636527789918</v>
      </c>
      <c r="AK354" s="516">
        <f>AT354/W354*100</f>
        <v>114.37364831142904</v>
      </c>
      <c r="AL354" s="516">
        <f>X354/AT354*100</f>
        <v>66.618181818181824</v>
      </c>
      <c r="AM354" s="292"/>
      <c r="AO354" t="b">
        <f t="shared" si="245"/>
        <v>1</v>
      </c>
      <c r="AP354" s="440">
        <f t="shared" ref="AP354:AU354" si="263">AP356</f>
        <v>549545.38</v>
      </c>
      <c r="AQ354" s="441">
        <v>549545.38</v>
      </c>
      <c r="AR354" s="440">
        <f>AR356</f>
        <v>549545.38</v>
      </c>
      <c r="AS354" s="441">
        <f t="shared" si="263"/>
        <v>315872.87</v>
      </c>
      <c r="AT354" s="612">
        <f t="shared" si="263"/>
        <v>687500</v>
      </c>
      <c r="AU354" s="469">
        <f t="shared" si="263"/>
        <v>757000</v>
      </c>
      <c r="AV354" s="636">
        <v>458000</v>
      </c>
      <c r="AW354" s="636">
        <v>458000</v>
      </c>
      <c r="AX354" s="655">
        <f t="shared" si="247"/>
        <v>146.56567314682363</v>
      </c>
      <c r="AY354" s="655">
        <f t="shared" si="248"/>
        <v>125.10340820261285</v>
      </c>
      <c r="AZ354" s="655">
        <f t="shared" si="249"/>
        <v>110.10909090909091</v>
      </c>
      <c r="BA354" s="655">
        <f t="shared" si="250"/>
        <v>137.7502254681861</v>
      </c>
      <c r="BB354" s="655">
        <f t="shared" si="251"/>
        <v>60.501981505944514</v>
      </c>
      <c r="BC354" s="655">
        <f t="shared" si="251"/>
        <v>100</v>
      </c>
    </row>
    <row r="355" spans="1:55" ht="12" customHeight="1">
      <c r="A355" s="20"/>
      <c r="B355" s="20"/>
      <c r="C355" s="20"/>
      <c r="D355" s="20"/>
      <c r="E355" s="20"/>
      <c r="F355" s="20"/>
      <c r="G355" s="20"/>
      <c r="H355" s="21"/>
      <c r="I355" s="22"/>
      <c r="J355" s="21"/>
      <c r="K355" s="19"/>
      <c r="L355" s="313"/>
      <c r="M355" s="313"/>
      <c r="N355" s="335"/>
      <c r="O355" s="335"/>
      <c r="P355" s="290"/>
      <c r="Q355" s="290"/>
      <c r="R355" s="439"/>
      <c r="S355" s="290"/>
      <c r="T355" s="290"/>
      <c r="U355" s="290"/>
      <c r="V355" s="474"/>
      <c r="W355" s="474"/>
      <c r="X355" s="539"/>
      <c r="Y355" s="539"/>
      <c r="Z355" s="541" t="b">
        <f t="shared" si="257"/>
        <v>0</v>
      </c>
      <c r="AA355" s="514"/>
      <c r="AB355" s="515"/>
      <c r="AC355" s="515"/>
      <c r="AD355" s="524"/>
      <c r="AE355" s="524"/>
      <c r="AF355" s="524"/>
      <c r="AG355" s="524"/>
      <c r="AH355" s="514"/>
      <c r="AI355" s="539"/>
      <c r="AJ355" s="516"/>
      <c r="AK355" s="516"/>
      <c r="AL355" s="516"/>
      <c r="AM355" s="290"/>
      <c r="AO355" t="b">
        <f t="shared" si="245"/>
        <v>0</v>
      </c>
      <c r="AQ355" s="439"/>
      <c r="AS355" s="439"/>
      <c r="AT355" s="616"/>
      <c r="AU355" s="474"/>
      <c r="AV355" s="632"/>
      <c r="AW355" s="632"/>
      <c r="AX355" s="655" t="str">
        <f t="shared" si="247"/>
        <v/>
      </c>
      <c r="AY355" s="655" t="str">
        <f t="shared" si="248"/>
        <v/>
      </c>
      <c r="AZ355" s="655" t="str">
        <f t="shared" si="249"/>
        <v/>
      </c>
      <c r="BA355" s="655" t="str">
        <f t="shared" si="250"/>
        <v/>
      </c>
      <c r="BB355" s="655" t="str">
        <f t="shared" si="251"/>
        <v/>
      </c>
      <c r="BC355" s="655" t="str">
        <f t="shared" si="251"/>
        <v/>
      </c>
    </row>
    <row r="356" spans="1:55" ht="12" customHeight="1">
      <c r="A356" s="52"/>
      <c r="B356" s="52"/>
      <c r="C356" s="52"/>
      <c r="D356" s="52"/>
      <c r="E356" s="52"/>
      <c r="F356" s="52"/>
      <c r="G356" s="52"/>
      <c r="H356" s="94"/>
      <c r="I356" s="114"/>
      <c r="J356" s="94">
        <v>3</v>
      </c>
      <c r="K356" s="21" t="s">
        <v>94</v>
      </c>
      <c r="L356" s="315">
        <f t="shared" ref="L356:S356" si="264">L357+L374</f>
        <v>3155879</v>
      </c>
      <c r="M356" s="315">
        <f t="shared" si="264"/>
        <v>418857.12389674166</v>
      </c>
      <c r="N356" s="337">
        <f t="shared" si="264"/>
        <v>2968814</v>
      </c>
      <c r="O356" s="337">
        <f t="shared" si="264"/>
        <v>394029.3317406596</v>
      </c>
      <c r="P356" s="292">
        <f t="shared" si="264"/>
        <v>498120</v>
      </c>
      <c r="Q356" s="292">
        <f t="shared" si="264"/>
        <v>503600</v>
      </c>
      <c r="R356" s="441">
        <f t="shared" si="264"/>
        <v>469073</v>
      </c>
      <c r="S356" s="292">
        <f t="shared" si="264"/>
        <v>376024.35</v>
      </c>
      <c r="T356" s="292"/>
      <c r="U356" s="292"/>
      <c r="V356" s="469">
        <f>V357+V374</f>
        <v>582700</v>
      </c>
      <c r="W356" s="469">
        <f>W357+W374</f>
        <v>601100</v>
      </c>
      <c r="X356" s="522">
        <f>X357+X374</f>
        <v>458000</v>
      </c>
      <c r="Y356" s="522">
        <f>Y357+Y374</f>
        <v>0</v>
      </c>
      <c r="Z356" s="541" t="b">
        <f t="shared" si="257"/>
        <v>1</v>
      </c>
      <c r="AA356" s="522"/>
      <c r="AB356" s="523">
        <f>AB357+AB374</f>
        <v>508250</v>
      </c>
      <c r="AC356" s="523">
        <f>AC357+AC374</f>
        <v>508250</v>
      </c>
      <c r="AD356" s="524">
        <f>O356/M356*100</f>
        <v>94.072491372451211</v>
      </c>
      <c r="AE356" s="524">
        <f>P356/O356*100</f>
        <v>126.41698469489837</v>
      </c>
      <c r="AF356" s="524">
        <f>Q356/P356*100</f>
        <v>101.10013651328997</v>
      </c>
      <c r="AG356" s="524">
        <f>AB356/Q356*100</f>
        <v>100.92335186656076</v>
      </c>
      <c r="AH356" s="522"/>
      <c r="AI356" s="522">
        <v>458000</v>
      </c>
      <c r="AJ356" s="516">
        <f>W356/R356*100</f>
        <v>128.14636527789918</v>
      </c>
      <c r="AK356" s="516">
        <f>AT356/W356*100</f>
        <v>114.37364831142904</v>
      </c>
      <c r="AL356" s="516">
        <f>X356/AT356*100</f>
        <v>66.618181818181824</v>
      </c>
      <c r="AM356" s="292"/>
      <c r="AO356" t="b">
        <f t="shared" si="245"/>
        <v>1</v>
      </c>
      <c r="AP356" s="440">
        <f t="shared" ref="AP356:AU356" si="265">AP357+AP374</f>
        <v>549545.38</v>
      </c>
      <c r="AQ356" s="441">
        <v>549545.38</v>
      </c>
      <c r="AR356" s="440">
        <f>AR357+AR374</f>
        <v>549545.38</v>
      </c>
      <c r="AS356" s="441">
        <f t="shared" si="265"/>
        <v>315872.87</v>
      </c>
      <c r="AT356" s="612">
        <f t="shared" si="265"/>
        <v>687500</v>
      </c>
      <c r="AU356" s="469">
        <f t="shared" si="265"/>
        <v>757000</v>
      </c>
      <c r="AV356" s="636">
        <v>458000</v>
      </c>
      <c r="AW356" s="636">
        <v>458000</v>
      </c>
      <c r="AX356" s="655">
        <f t="shared" si="247"/>
        <v>146.56567314682363</v>
      </c>
      <c r="AY356" s="655">
        <f t="shared" si="248"/>
        <v>125.10340820261285</v>
      </c>
      <c r="AZ356" s="655">
        <f t="shared" si="249"/>
        <v>110.10909090909091</v>
      </c>
      <c r="BA356" s="655">
        <f t="shared" si="250"/>
        <v>137.7502254681861</v>
      </c>
      <c r="BB356" s="655">
        <f t="shared" si="251"/>
        <v>60.501981505944514</v>
      </c>
      <c r="BC356" s="655">
        <f t="shared" si="251"/>
        <v>100</v>
      </c>
    </row>
    <row r="357" spans="1:55" ht="12" customHeight="1">
      <c r="A357" s="355"/>
      <c r="B357" s="355"/>
      <c r="C357" s="355"/>
      <c r="D357" s="355"/>
      <c r="E357" s="355"/>
      <c r="F357" s="355"/>
      <c r="G357" s="355"/>
      <c r="H357" s="356"/>
      <c r="I357" s="357"/>
      <c r="J357" s="356">
        <v>31</v>
      </c>
      <c r="K357" s="358" t="s">
        <v>95</v>
      </c>
      <c r="L357" s="315">
        <f t="shared" ref="L357:S357" si="266">L359+L364+L368</f>
        <v>2323207</v>
      </c>
      <c r="M357" s="315">
        <f t="shared" si="266"/>
        <v>308342.55756851815</v>
      </c>
      <c r="N357" s="337">
        <f t="shared" si="266"/>
        <v>2133436</v>
      </c>
      <c r="O357" s="337">
        <f t="shared" si="266"/>
        <v>283155.61749286612</v>
      </c>
      <c r="P357" s="292">
        <f t="shared" si="266"/>
        <v>338520</v>
      </c>
      <c r="Q357" s="292">
        <f t="shared" si="266"/>
        <v>326900</v>
      </c>
      <c r="R357" s="441">
        <f t="shared" si="266"/>
        <v>317015</v>
      </c>
      <c r="S357" s="292">
        <f t="shared" si="266"/>
        <v>246893</v>
      </c>
      <c r="T357" s="292"/>
      <c r="U357" s="292"/>
      <c r="V357" s="469">
        <f>V359+V364+V368</f>
        <v>401000</v>
      </c>
      <c r="W357" s="469">
        <f>W359+W364+W368</f>
        <v>399000</v>
      </c>
      <c r="X357" s="522">
        <f>X359+X364+X368</f>
        <v>172000</v>
      </c>
      <c r="Y357" s="522">
        <f>Y359+Y364+Y368</f>
        <v>0</v>
      </c>
      <c r="Z357" s="541" t="b">
        <f t="shared" si="257"/>
        <v>1</v>
      </c>
      <c r="AA357" s="522"/>
      <c r="AB357" s="523">
        <f>AB359+AB364+AB368</f>
        <v>344350</v>
      </c>
      <c r="AC357" s="523">
        <f>AC359+AC364+AC368</f>
        <v>344350</v>
      </c>
      <c r="AD357" s="524">
        <f>O357/M357*100</f>
        <v>91.831507050383365</v>
      </c>
      <c r="AE357" s="524">
        <f>P357/O357*100</f>
        <v>119.55263434197229</v>
      </c>
      <c r="AF357" s="524">
        <f>Q357/P357*100</f>
        <v>96.567411083540108</v>
      </c>
      <c r="AG357" s="524">
        <f>AB357/Q357*100</f>
        <v>105.33802386050779</v>
      </c>
      <c r="AH357" s="522"/>
      <c r="AI357" s="522">
        <v>172000</v>
      </c>
      <c r="AJ357" s="516">
        <f>W357/R357*100</f>
        <v>125.86155229247828</v>
      </c>
      <c r="AK357" s="516">
        <f>AT357/W357*100</f>
        <v>114.28571428571428</v>
      </c>
      <c r="AL357" s="516">
        <f>X357/AT357*100</f>
        <v>37.719298245614034</v>
      </c>
      <c r="AM357" s="292"/>
      <c r="AO357" t="b">
        <f t="shared" si="245"/>
        <v>1</v>
      </c>
      <c r="AP357" s="440">
        <f t="shared" ref="AP357:AU357" si="267">AP359+AP364+AP368</f>
        <v>356259.09</v>
      </c>
      <c r="AQ357" s="441">
        <v>356259.09</v>
      </c>
      <c r="AR357" s="440">
        <f>AR359+AR364+AR368</f>
        <v>356259.09</v>
      </c>
      <c r="AS357" s="441">
        <f t="shared" si="267"/>
        <v>225758.65</v>
      </c>
      <c r="AT357" s="612">
        <f t="shared" si="267"/>
        <v>456000</v>
      </c>
      <c r="AU357" s="469">
        <f t="shared" si="267"/>
        <v>517000</v>
      </c>
      <c r="AV357" s="636">
        <v>172000</v>
      </c>
      <c r="AW357" s="636">
        <v>172000</v>
      </c>
      <c r="AX357" s="655">
        <f t="shared" si="247"/>
        <v>143.8417740485466</v>
      </c>
      <c r="AY357" s="655">
        <f t="shared" si="248"/>
        <v>127.99673406228034</v>
      </c>
      <c r="AZ357" s="655">
        <f t="shared" si="249"/>
        <v>113.37719298245614</v>
      </c>
      <c r="BA357" s="655">
        <f t="shared" si="250"/>
        <v>145.11910418903275</v>
      </c>
      <c r="BB357" s="655">
        <f t="shared" si="251"/>
        <v>33.268858800773693</v>
      </c>
      <c r="BC357" s="655">
        <f t="shared" si="251"/>
        <v>100</v>
      </c>
    </row>
    <row r="358" spans="1:55" ht="12" customHeight="1">
      <c r="A358" s="20"/>
      <c r="B358" s="20"/>
      <c r="C358" s="20"/>
      <c r="D358" s="20"/>
      <c r="E358" s="20"/>
      <c r="F358" s="20"/>
      <c r="G358" s="20"/>
      <c r="H358" s="21"/>
      <c r="I358" s="22"/>
      <c r="J358" s="21"/>
      <c r="K358" s="19"/>
      <c r="L358" s="313">
        <v>1</v>
      </c>
      <c r="M358" s="313">
        <v>2</v>
      </c>
      <c r="N358" s="335">
        <v>3</v>
      </c>
      <c r="O358" s="335">
        <v>4</v>
      </c>
      <c r="P358" s="290">
        <v>5</v>
      </c>
      <c r="Q358" s="290">
        <v>6</v>
      </c>
      <c r="R358" s="439"/>
      <c r="S358" s="290"/>
      <c r="T358" s="290"/>
      <c r="U358" s="290"/>
      <c r="V358" s="474">
        <v>5</v>
      </c>
      <c r="W358" s="474"/>
      <c r="X358" s="539"/>
      <c r="Y358" s="539"/>
      <c r="Z358" s="541" t="b">
        <f t="shared" si="257"/>
        <v>0</v>
      </c>
      <c r="AA358" s="514"/>
      <c r="AB358" s="515">
        <v>7</v>
      </c>
      <c r="AC358" s="515">
        <v>8</v>
      </c>
      <c r="AD358" s="515">
        <v>9</v>
      </c>
      <c r="AE358" s="515">
        <v>10</v>
      </c>
      <c r="AF358" s="515">
        <v>11</v>
      </c>
      <c r="AG358" s="515">
        <v>12</v>
      </c>
      <c r="AH358" s="514"/>
      <c r="AI358" s="539"/>
      <c r="AJ358" s="516"/>
      <c r="AK358" s="516"/>
      <c r="AL358" s="516"/>
      <c r="AM358" s="290"/>
      <c r="AO358" t="b">
        <f t="shared" si="245"/>
        <v>0</v>
      </c>
      <c r="AQ358" s="439"/>
      <c r="AS358" s="439"/>
      <c r="AT358" s="616"/>
      <c r="AU358" s="474"/>
      <c r="AV358" s="632"/>
      <c r="AW358" s="632"/>
      <c r="AX358" s="655" t="str">
        <f t="shared" si="247"/>
        <v/>
      </c>
      <c r="AY358" s="655" t="str">
        <f t="shared" si="248"/>
        <v/>
      </c>
      <c r="AZ358" s="655" t="str">
        <f t="shared" si="249"/>
        <v/>
      </c>
      <c r="BA358" s="655" t="str">
        <f t="shared" si="250"/>
        <v/>
      </c>
      <c r="BB358" s="655" t="str">
        <f t="shared" si="251"/>
        <v/>
      </c>
      <c r="BC358" s="655" t="str">
        <f t="shared" si="251"/>
        <v/>
      </c>
    </row>
    <row r="359" spans="1:55" ht="12" customHeight="1">
      <c r="A359" s="56"/>
      <c r="B359" s="56"/>
      <c r="C359" s="56"/>
      <c r="D359" s="56"/>
      <c r="E359" s="56"/>
      <c r="F359" s="56"/>
      <c r="G359" s="56"/>
      <c r="H359" s="116"/>
      <c r="I359" s="117"/>
      <c r="J359" s="116">
        <v>311</v>
      </c>
      <c r="K359" s="60" t="s">
        <v>178</v>
      </c>
      <c r="L359" s="315">
        <f t="shared" ref="L359:S359" si="268">L360+L361+L362</f>
        <v>1918087</v>
      </c>
      <c r="M359" s="315">
        <f t="shared" si="268"/>
        <v>254573.89342358481</v>
      </c>
      <c r="N359" s="337">
        <f t="shared" si="268"/>
        <v>1772906</v>
      </c>
      <c r="O359" s="337">
        <f t="shared" si="268"/>
        <v>235305.06337514101</v>
      </c>
      <c r="P359" s="292">
        <f t="shared" si="268"/>
        <v>277700</v>
      </c>
      <c r="Q359" s="292">
        <f t="shared" si="268"/>
        <v>267700</v>
      </c>
      <c r="R359" s="441">
        <f t="shared" si="268"/>
        <v>262448</v>
      </c>
      <c r="S359" s="292">
        <f t="shared" si="268"/>
        <v>210994</v>
      </c>
      <c r="T359" s="292"/>
      <c r="U359" s="292"/>
      <c r="V359" s="469">
        <f>V360+V361+V362</f>
        <v>327000</v>
      </c>
      <c r="W359" s="469">
        <f>W360+W361+W362</f>
        <v>325000</v>
      </c>
      <c r="X359" s="522">
        <f>X360+X361+X362</f>
        <v>47000</v>
      </c>
      <c r="Y359" s="522">
        <f>Y360+Y361+Y362</f>
        <v>0</v>
      </c>
      <c r="Z359" s="541" t="b">
        <f t="shared" si="257"/>
        <v>1</v>
      </c>
      <c r="AA359" s="522"/>
      <c r="AB359" s="523">
        <f>AB360+AB361+AB362</f>
        <v>282700</v>
      </c>
      <c r="AC359" s="523">
        <f>AC360+AC361+AC362</f>
        <v>282700</v>
      </c>
      <c r="AD359" s="524">
        <f>O359/M359*100</f>
        <v>92.430948126961923</v>
      </c>
      <c r="AE359" s="524">
        <f t="shared" ref="AE359:AF361" si="269">P359/O359*100</f>
        <v>118.01700992607618</v>
      </c>
      <c r="AF359" s="524">
        <f t="shared" si="269"/>
        <v>96.398991717680943</v>
      </c>
      <c r="AG359" s="524">
        <f>AB359/Q359*100</f>
        <v>105.6032872618603</v>
      </c>
      <c r="AH359" s="522"/>
      <c r="AI359" s="522">
        <v>47000</v>
      </c>
      <c r="AJ359" s="516">
        <f>W359/R359*100</f>
        <v>123.83405474608304</v>
      </c>
      <c r="AK359" s="516">
        <f>AT359/W359*100</f>
        <v>112.30769230769231</v>
      </c>
      <c r="AL359" s="516">
        <f>X359/AT359*100</f>
        <v>12.876712328767123</v>
      </c>
      <c r="AM359" s="292"/>
      <c r="AO359" t="b">
        <f t="shared" si="245"/>
        <v>1</v>
      </c>
      <c r="AP359" s="440">
        <f t="shared" ref="AP359:AU359" si="270">AP360+AP361+AP362</f>
        <v>293403.28000000003</v>
      </c>
      <c r="AQ359" s="441">
        <v>293403.28000000003</v>
      </c>
      <c r="AR359" s="440">
        <f>AR360+AR361+AR362</f>
        <v>293403.28000000003</v>
      </c>
      <c r="AS359" s="441">
        <f t="shared" si="270"/>
        <v>187260.59</v>
      </c>
      <c r="AT359" s="612">
        <f t="shared" si="270"/>
        <v>365000</v>
      </c>
      <c r="AU359" s="469">
        <f t="shared" si="270"/>
        <v>425000</v>
      </c>
      <c r="AV359" s="636">
        <v>47000</v>
      </c>
      <c r="AW359" s="636">
        <v>47000</v>
      </c>
      <c r="AX359" s="655">
        <f t="shared" si="247"/>
        <v>139.07516917637017</v>
      </c>
      <c r="AY359" s="655">
        <f t="shared" si="248"/>
        <v>124.40215392275095</v>
      </c>
      <c r="AZ359" s="655">
        <f t="shared" si="249"/>
        <v>116.43835616438356</v>
      </c>
      <c r="BA359" s="655">
        <f t="shared" si="250"/>
        <v>144.85182306073742</v>
      </c>
      <c r="BB359" s="655">
        <f t="shared" si="251"/>
        <v>11.058823529411764</v>
      </c>
      <c r="BC359" s="655">
        <f t="shared" si="251"/>
        <v>100</v>
      </c>
    </row>
    <row r="360" spans="1:55" ht="12" customHeight="1">
      <c r="A360" s="36"/>
      <c r="B360" s="36"/>
      <c r="C360" s="36"/>
      <c r="D360" s="36"/>
      <c r="E360" s="36"/>
      <c r="F360" s="36"/>
      <c r="G360" s="36"/>
      <c r="H360" s="204">
        <v>1</v>
      </c>
      <c r="I360" s="118">
        <v>111</v>
      </c>
      <c r="J360" s="71">
        <v>3111</v>
      </c>
      <c r="K360" s="40" t="s">
        <v>97</v>
      </c>
      <c r="L360" s="309">
        <v>1894636</v>
      </c>
      <c r="M360" s="309">
        <f>1894636/7.5345</f>
        <v>251461.41084345343</v>
      </c>
      <c r="N360" s="339">
        <v>1772906</v>
      </c>
      <c r="O360" s="339">
        <f>N360/7.5345</f>
        <v>235305.06337514101</v>
      </c>
      <c r="P360" s="294">
        <v>275000</v>
      </c>
      <c r="Q360" s="269">
        <v>265000</v>
      </c>
      <c r="R360" s="443">
        <v>262448</v>
      </c>
      <c r="S360" s="294">
        <v>210994</v>
      </c>
      <c r="T360" s="294"/>
      <c r="U360" s="294"/>
      <c r="V360" s="478">
        <v>322000</v>
      </c>
      <c r="W360" s="478">
        <v>325000</v>
      </c>
      <c r="X360" s="590">
        <v>42000</v>
      </c>
      <c r="Y360" s="590"/>
      <c r="Z360" s="591" t="b">
        <f t="shared" si="257"/>
        <v>0</v>
      </c>
      <c r="AA360" s="592"/>
      <c r="AB360" s="593">
        <v>280000</v>
      </c>
      <c r="AC360" s="593">
        <v>280000</v>
      </c>
      <c r="AD360" s="594">
        <f>O360/M360*100</f>
        <v>93.575019159353033</v>
      </c>
      <c r="AE360" s="594">
        <f t="shared" si="269"/>
        <v>116.86956330454068</v>
      </c>
      <c r="AF360" s="594">
        <f t="shared" si="269"/>
        <v>96.36363636363636</v>
      </c>
      <c r="AG360" s="594">
        <f>AB360/Q360*100</f>
        <v>105.66037735849056</v>
      </c>
      <c r="AH360" s="592"/>
      <c r="AI360" s="590">
        <v>42000</v>
      </c>
      <c r="AJ360" s="516">
        <f>W360/R360*100</f>
        <v>123.83405474608304</v>
      </c>
      <c r="AK360" s="516">
        <f>AT360/W360*100</f>
        <v>110.76923076923077</v>
      </c>
      <c r="AL360" s="516">
        <f>X360/AT360*100</f>
        <v>11.666666666666666</v>
      </c>
      <c r="AM360" s="294"/>
      <c r="AO360" t="b">
        <f t="shared" si="245"/>
        <v>0</v>
      </c>
      <c r="AP360" s="493">
        <v>293403.28000000003</v>
      </c>
      <c r="AQ360" s="443">
        <v>293403.28000000003</v>
      </c>
      <c r="AR360" s="493">
        <v>293403.28000000003</v>
      </c>
      <c r="AS360" s="443">
        <f>__xlfn.XLOOKUP(K360,[1]Izvršenje_proračuna_po_pozicija!$C$25:$C$149,[1]Izvršenje_proračuna_po_pozicija!$E$25:$E$149,0)</f>
        <v>187260.59</v>
      </c>
      <c r="AT360" s="617">
        <v>360000</v>
      </c>
      <c r="AU360" s="478">
        <v>420000</v>
      </c>
      <c r="AV360" s="653">
        <v>42000</v>
      </c>
      <c r="AW360" s="653">
        <v>42000</v>
      </c>
      <c r="AX360" s="655">
        <f t="shared" si="247"/>
        <v>137.17002987258428</v>
      </c>
      <c r="AY360" s="655">
        <f t="shared" si="248"/>
        <v>122.69801482791875</v>
      </c>
      <c r="AZ360" s="655">
        <f t="shared" si="249"/>
        <v>116.66666666666667</v>
      </c>
      <c r="BA360" s="655">
        <f t="shared" si="250"/>
        <v>143.1476839659052</v>
      </c>
      <c r="BB360" s="655">
        <f t="shared" si="251"/>
        <v>10</v>
      </c>
      <c r="BC360" s="655">
        <f t="shared" si="251"/>
        <v>100</v>
      </c>
    </row>
    <row r="361" spans="1:55" ht="12" customHeight="1">
      <c r="A361" s="36"/>
      <c r="B361" s="36"/>
      <c r="C361" s="36"/>
      <c r="D361" s="36"/>
      <c r="E361" s="36"/>
      <c r="F361" s="36"/>
      <c r="G361" s="36"/>
      <c r="H361" s="204" t="s">
        <v>179</v>
      </c>
      <c r="I361" s="118">
        <v>111</v>
      </c>
      <c r="J361" s="71">
        <v>3113</v>
      </c>
      <c r="K361" s="40" t="s">
        <v>98</v>
      </c>
      <c r="L361" s="309">
        <v>23451</v>
      </c>
      <c r="M361" s="309">
        <f>23451/7.5345</f>
        <v>3112.4825801313955</v>
      </c>
      <c r="N361" s="339">
        <v>0</v>
      </c>
      <c r="O361" s="339">
        <f>N361/7.5345</f>
        <v>0</v>
      </c>
      <c r="P361" s="294">
        <v>2700</v>
      </c>
      <c r="Q361" s="294">
        <v>2700</v>
      </c>
      <c r="R361" s="443">
        <v>0</v>
      </c>
      <c r="S361" s="294">
        <f>__xlfn.XLOOKUP(H361,[2]Izvršenje_proračuna_po_pozicija!$B$2:$B$153,[2]Izvršenje_proračuna_po_pozicija!$E$2:$E$153,0)</f>
        <v>0</v>
      </c>
      <c r="T361" s="294"/>
      <c r="U361" s="294"/>
      <c r="V361" s="478">
        <v>5000</v>
      </c>
      <c r="W361" s="478"/>
      <c r="X361" s="544">
        <v>5000</v>
      </c>
      <c r="Y361" s="544"/>
      <c r="Z361" s="541" t="b">
        <f t="shared" si="257"/>
        <v>0</v>
      </c>
      <c r="AA361" s="527"/>
      <c r="AB361" s="528">
        <v>2700</v>
      </c>
      <c r="AC361" s="528">
        <v>2700</v>
      </c>
      <c r="AD361" s="524">
        <f>O361/M361*100</f>
        <v>0</v>
      </c>
      <c r="AE361" s="524" t="e">
        <f t="shared" si="269"/>
        <v>#DIV/0!</v>
      </c>
      <c r="AF361" s="524">
        <f t="shared" si="269"/>
        <v>100</v>
      </c>
      <c r="AG361" s="524">
        <f>AB361/Q361*100</f>
        <v>100</v>
      </c>
      <c r="AH361" s="527"/>
      <c r="AI361" s="544">
        <v>5000</v>
      </c>
      <c r="AJ361" s="516"/>
      <c r="AK361" s="516"/>
      <c r="AL361" s="516">
        <f>X361/AT361*100</f>
        <v>100</v>
      </c>
      <c r="AM361" s="294"/>
      <c r="AO361" t="b">
        <f t="shared" si="245"/>
        <v>0</v>
      </c>
      <c r="AQ361" s="443"/>
      <c r="AS361" s="443">
        <f>__xlfn.XLOOKUP(K361,[1]Izvršenje_proračuna_po_pozicija!$C$25:$C$149,[1]Izvršenje_proračuna_po_pozicija!$E$25:$E$149,0)</f>
        <v>0</v>
      </c>
      <c r="AT361" s="617">
        <v>5000</v>
      </c>
      <c r="AU361" s="478">
        <v>5000</v>
      </c>
      <c r="AV361" s="638">
        <v>5000</v>
      </c>
      <c r="AW361" s="638">
        <v>5000</v>
      </c>
      <c r="AX361" s="655" t="str">
        <f t="shared" si="247"/>
        <v/>
      </c>
      <c r="AY361" s="655" t="str">
        <f t="shared" si="248"/>
        <v/>
      </c>
      <c r="AZ361" s="655">
        <f t="shared" si="249"/>
        <v>100</v>
      </c>
      <c r="BA361" s="655" t="str">
        <f t="shared" si="250"/>
        <v/>
      </c>
      <c r="BB361" s="655">
        <f t="shared" si="251"/>
        <v>100</v>
      </c>
      <c r="BC361" s="655">
        <f t="shared" si="251"/>
        <v>100</v>
      </c>
    </row>
    <row r="362" spans="1:55" ht="12" customHeight="1">
      <c r="A362" s="36"/>
      <c r="B362" s="36"/>
      <c r="C362" s="36"/>
      <c r="D362" s="36"/>
      <c r="E362" s="36"/>
      <c r="F362" s="36"/>
      <c r="G362" s="36"/>
      <c r="H362" s="204" t="s">
        <v>682</v>
      </c>
      <c r="I362" s="118">
        <v>111</v>
      </c>
      <c r="J362" s="71">
        <v>3111</v>
      </c>
      <c r="K362" s="40" t="s">
        <v>683</v>
      </c>
      <c r="L362" s="316"/>
      <c r="M362" s="316"/>
      <c r="N362" s="338"/>
      <c r="O362" s="338"/>
      <c r="P362" s="293"/>
      <c r="Q362" s="293"/>
      <c r="R362" s="442"/>
      <c r="S362" s="294">
        <f>__xlfn.XLOOKUP(H362,[2]Izvršenje_proračuna_po_pozicija!$B$2:$B$153,[2]Izvršenje_proračuna_po_pozicija!$E$2:$E$153,0)</f>
        <v>0</v>
      </c>
      <c r="T362" s="294"/>
      <c r="U362" s="294"/>
      <c r="V362" s="475"/>
      <c r="W362" s="475"/>
      <c r="X362" s="540"/>
      <c r="Y362" s="540"/>
      <c r="Z362" s="541" t="b">
        <f t="shared" si="257"/>
        <v>0</v>
      </c>
      <c r="AA362" s="525"/>
      <c r="AB362" s="526"/>
      <c r="AC362" s="526"/>
      <c r="AD362" s="524"/>
      <c r="AE362" s="524"/>
      <c r="AF362" s="524"/>
      <c r="AG362" s="524"/>
      <c r="AH362" s="525"/>
      <c r="AI362" s="540"/>
      <c r="AJ362" s="516"/>
      <c r="AK362" s="516"/>
      <c r="AL362" s="516"/>
      <c r="AM362" s="293"/>
      <c r="AO362" t="b">
        <f t="shared" si="245"/>
        <v>0</v>
      </c>
      <c r="AQ362" s="442"/>
      <c r="AS362" s="442">
        <f>__xlfn.XLOOKUP(K362,[1]Izvršenje_proračuna_po_pozicija!$C$25:$C$149,[1]Izvršenje_proračuna_po_pozicija!$E$25:$E$149,0)</f>
        <v>0</v>
      </c>
      <c r="AT362" s="617"/>
      <c r="AU362" s="475"/>
      <c r="AV362" s="637"/>
      <c r="AW362" s="637"/>
      <c r="AX362" s="655" t="str">
        <f t="shared" si="247"/>
        <v/>
      </c>
      <c r="AY362" s="655" t="str">
        <f t="shared" si="248"/>
        <v/>
      </c>
      <c r="AZ362" s="655" t="str">
        <f t="shared" si="249"/>
        <v/>
      </c>
      <c r="BA362" s="655" t="str">
        <f t="shared" si="250"/>
        <v/>
      </c>
      <c r="BB362" s="655" t="str">
        <f t="shared" si="251"/>
        <v/>
      </c>
      <c r="BC362" s="655" t="str">
        <f t="shared" si="251"/>
        <v/>
      </c>
    </row>
    <row r="363" spans="1:55" ht="12" customHeight="1">
      <c r="A363" s="36"/>
      <c r="B363" s="36"/>
      <c r="C363" s="36"/>
      <c r="D363" s="36"/>
      <c r="E363" s="36"/>
      <c r="F363" s="36"/>
      <c r="G363" s="36"/>
      <c r="H363" s="204"/>
      <c r="I363" s="118"/>
      <c r="J363" s="71"/>
      <c r="K363" s="40"/>
      <c r="L363" s="316"/>
      <c r="M363" s="316"/>
      <c r="N363" s="338"/>
      <c r="O363" s="338"/>
      <c r="P363" s="293"/>
      <c r="Q363" s="293"/>
      <c r="R363" s="442"/>
      <c r="S363" s="294">
        <f>__xlfn.XLOOKUP(H363,[2]Izvršenje_proračuna_po_pozicija!$B$2:$B$153,[2]Izvršenje_proračuna_po_pozicija!$E$2:$E$153,0)</f>
        <v>0</v>
      </c>
      <c r="T363" s="294"/>
      <c r="U363" s="294"/>
      <c r="V363" s="475"/>
      <c r="W363" s="475"/>
      <c r="X363" s="540"/>
      <c r="Y363" s="540"/>
      <c r="Z363" s="541" t="b">
        <f t="shared" si="257"/>
        <v>0</v>
      </c>
      <c r="AA363" s="525"/>
      <c r="AB363" s="526"/>
      <c r="AC363" s="526"/>
      <c r="AD363" s="524"/>
      <c r="AE363" s="524"/>
      <c r="AF363" s="524"/>
      <c r="AG363" s="524"/>
      <c r="AH363" s="525"/>
      <c r="AI363" s="540"/>
      <c r="AJ363" s="516"/>
      <c r="AK363" s="516"/>
      <c r="AL363" s="516"/>
      <c r="AM363" s="293"/>
      <c r="AO363" t="b">
        <f t="shared" si="245"/>
        <v>0</v>
      </c>
      <c r="AQ363" s="442"/>
      <c r="AS363" s="442">
        <f>__xlfn.XLOOKUP(K363,[1]Izvršenje_proračuna_po_pozicija!$C$25:$C$149,[1]Izvršenje_proračuna_po_pozicija!$E$25:$E$149,0)</f>
        <v>0</v>
      </c>
      <c r="AT363" s="617"/>
      <c r="AU363" s="475"/>
      <c r="AV363" s="637"/>
      <c r="AW363" s="637"/>
      <c r="AX363" s="655" t="str">
        <f t="shared" si="247"/>
        <v/>
      </c>
      <c r="AY363" s="655" t="str">
        <f t="shared" si="248"/>
        <v/>
      </c>
      <c r="AZ363" s="655" t="str">
        <f t="shared" si="249"/>
        <v/>
      </c>
      <c r="BA363" s="655" t="str">
        <f t="shared" si="250"/>
        <v/>
      </c>
      <c r="BB363" s="655" t="str">
        <f t="shared" si="251"/>
        <v/>
      </c>
      <c r="BC363" s="655" t="str">
        <f t="shared" si="251"/>
        <v/>
      </c>
    </row>
    <row r="364" spans="1:55" ht="12" customHeight="1">
      <c r="A364" s="56"/>
      <c r="B364" s="56"/>
      <c r="C364" s="56"/>
      <c r="D364" s="56"/>
      <c r="E364" s="56"/>
      <c r="F364" s="56"/>
      <c r="G364" s="56"/>
      <c r="H364" s="377"/>
      <c r="I364" s="119"/>
      <c r="J364" s="116">
        <v>312</v>
      </c>
      <c r="K364" s="60" t="s">
        <v>180</v>
      </c>
      <c r="L364" s="315">
        <f t="shared" ref="L364:S364" si="271">L365+L366</f>
        <v>89154</v>
      </c>
      <c r="M364" s="315">
        <f t="shared" si="271"/>
        <v>11832.769261397571</v>
      </c>
      <c r="N364" s="337">
        <f t="shared" si="271"/>
        <v>68000</v>
      </c>
      <c r="O364" s="337">
        <f t="shared" si="271"/>
        <v>9025.1509721945713</v>
      </c>
      <c r="P364" s="292">
        <f t="shared" si="271"/>
        <v>15000</v>
      </c>
      <c r="Q364" s="292">
        <f t="shared" si="271"/>
        <v>15000</v>
      </c>
      <c r="R364" s="441">
        <f t="shared" si="271"/>
        <v>11263</v>
      </c>
      <c r="S364" s="292">
        <f t="shared" si="271"/>
        <v>1085</v>
      </c>
      <c r="T364" s="292"/>
      <c r="U364" s="292"/>
      <c r="V364" s="469">
        <f>V365+V366</f>
        <v>20000</v>
      </c>
      <c r="W364" s="469">
        <f>W365+W366</f>
        <v>20000</v>
      </c>
      <c r="X364" s="522">
        <f>X365+X366</f>
        <v>35000</v>
      </c>
      <c r="Y364" s="522">
        <f>Y365+Y366</f>
        <v>0</v>
      </c>
      <c r="Z364" s="541" t="b">
        <f t="shared" si="257"/>
        <v>1</v>
      </c>
      <c r="AA364" s="522"/>
      <c r="AB364" s="523">
        <f>AB365+AB366</f>
        <v>15000</v>
      </c>
      <c r="AC364" s="523">
        <f>AC365+AC366</f>
        <v>15000</v>
      </c>
      <c r="AD364" s="524">
        <f>O364/M364*100</f>
        <v>76.272517217399098</v>
      </c>
      <c r="AE364" s="524">
        <f>P364/O364*100</f>
        <v>166.20220588235296</v>
      </c>
      <c r="AF364" s="524">
        <f>Q364/P364*100</f>
        <v>100</v>
      </c>
      <c r="AG364" s="524">
        <f>AB364/Q364*100</f>
        <v>100</v>
      </c>
      <c r="AH364" s="522"/>
      <c r="AI364" s="522">
        <v>35000</v>
      </c>
      <c r="AJ364" s="516">
        <f>W364/R364*100</f>
        <v>177.57258279321672</v>
      </c>
      <c r="AK364" s="516">
        <f>AT364/W364*100</f>
        <v>125</v>
      </c>
      <c r="AL364" s="516">
        <f>X364/AT364*100</f>
        <v>140</v>
      </c>
      <c r="AM364" s="292"/>
      <c r="AO364" t="b">
        <f t="shared" si="245"/>
        <v>1</v>
      </c>
      <c r="AP364" s="440">
        <f t="shared" ref="AP364:AU364" si="272">AP365+AP366</f>
        <v>14444.33</v>
      </c>
      <c r="AQ364" s="441">
        <v>14444.33</v>
      </c>
      <c r="AR364" s="440">
        <f>AR365+AR366</f>
        <v>14444.33</v>
      </c>
      <c r="AS364" s="441">
        <f t="shared" si="272"/>
        <v>7600</v>
      </c>
      <c r="AT364" s="612">
        <f t="shared" si="272"/>
        <v>25000</v>
      </c>
      <c r="AU364" s="469">
        <f t="shared" si="272"/>
        <v>25000</v>
      </c>
      <c r="AV364" s="636">
        <v>35000</v>
      </c>
      <c r="AW364" s="636">
        <v>35000</v>
      </c>
      <c r="AX364" s="655">
        <f t="shared" si="247"/>
        <v>221.96572849152091</v>
      </c>
      <c r="AY364" s="655">
        <f t="shared" si="248"/>
        <v>173.07829438956324</v>
      </c>
      <c r="AZ364" s="655">
        <f t="shared" si="249"/>
        <v>100</v>
      </c>
      <c r="BA364" s="655">
        <f t="shared" si="250"/>
        <v>173.07829438956324</v>
      </c>
      <c r="BB364" s="655">
        <f t="shared" si="251"/>
        <v>140</v>
      </c>
      <c r="BC364" s="655">
        <f t="shared" si="251"/>
        <v>100</v>
      </c>
    </row>
    <row r="365" spans="1:55" ht="12" customHeight="1">
      <c r="A365" s="36"/>
      <c r="B365" s="36"/>
      <c r="C365" s="36"/>
      <c r="D365" s="36"/>
      <c r="E365" s="36"/>
      <c r="F365" s="36"/>
      <c r="G365" s="36"/>
      <c r="H365" s="204">
        <v>4</v>
      </c>
      <c r="I365" s="118">
        <v>111</v>
      </c>
      <c r="J365" s="71">
        <v>3121</v>
      </c>
      <c r="K365" s="40" t="s">
        <v>99</v>
      </c>
      <c r="L365" s="309">
        <v>89154</v>
      </c>
      <c r="M365" s="309">
        <f>89154/7.5345</f>
        <v>11832.769261397571</v>
      </c>
      <c r="N365" s="339">
        <v>68000</v>
      </c>
      <c r="O365" s="339">
        <f>N365/7.5345</f>
        <v>9025.1509721945713</v>
      </c>
      <c r="P365" s="294">
        <v>15000</v>
      </c>
      <c r="Q365" s="294">
        <v>15000</v>
      </c>
      <c r="R365" s="443">
        <v>11263</v>
      </c>
      <c r="S365" s="294">
        <v>1085</v>
      </c>
      <c r="T365" s="294"/>
      <c r="U365" s="294"/>
      <c r="V365" s="478">
        <v>20000</v>
      </c>
      <c r="W365" s="478">
        <v>20000</v>
      </c>
      <c r="X365" s="544">
        <v>35000</v>
      </c>
      <c r="Y365" s="544"/>
      <c r="Z365" s="541" t="b">
        <f t="shared" si="257"/>
        <v>0</v>
      </c>
      <c r="AA365" s="527"/>
      <c r="AB365" s="528">
        <v>15000</v>
      </c>
      <c r="AC365" s="528">
        <v>15000</v>
      </c>
      <c r="AD365" s="524">
        <f>O365/M365*100</f>
        <v>76.272517217399098</v>
      </c>
      <c r="AE365" s="524">
        <f>P365/O365*100</f>
        <v>166.20220588235296</v>
      </c>
      <c r="AF365" s="524">
        <f>Q365/P365*100</f>
        <v>100</v>
      </c>
      <c r="AG365" s="524">
        <f>AB365/Q365*100</f>
        <v>100</v>
      </c>
      <c r="AH365" s="527"/>
      <c r="AI365" s="544">
        <v>35000</v>
      </c>
      <c r="AJ365" s="516">
        <f>W365/R365*100</f>
        <v>177.57258279321672</v>
      </c>
      <c r="AK365" s="516">
        <f>AT365/W365*100</f>
        <v>125</v>
      </c>
      <c r="AL365" s="516">
        <f>X365/AT365*100</f>
        <v>140</v>
      </c>
      <c r="AM365" s="294"/>
      <c r="AO365" t="b">
        <f t="shared" si="245"/>
        <v>0</v>
      </c>
      <c r="AP365" s="493">
        <v>14444.33</v>
      </c>
      <c r="AQ365" s="443">
        <v>14444.33</v>
      </c>
      <c r="AR365" s="493">
        <v>14444.33</v>
      </c>
      <c r="AS365" s="443">
        <f>__xlfn.XLOOKUP(K365,[1]Izvršenje_proračuna_po_pozicija!$C$25:$C$149,[1]Izvršenje_proračuna_po_pozicija!$E$25:$E$149,0)</f>
        <v>7600</v>
      </c>
      <c r="AT365" s="617">
        <v>25000</v>
      </c>
      <c r="AU365" s="478">
        <v>25000</v>
      </c>
      <c r="AV365" s="638">
        <v>35000</v>
      </c>
      <c r="AW365" s="638">
        <v>35000</v>
      </c>
      <c r="AX365" s="655">
        <f t="shared" si="247"/>
        <v>221.96572849152091</v>
      </c>
      <c r="AY365" s="655">
        <f t="shared" si="248"/>
        <v>173.07829438956324</v>
      </c>
      <c r="AZ365" s="655">
        <f t="shared" si="249"/>
        <v>100</v>
      </c>
      <c r="BA365" s="655">
        <f t="shared" si="250"/>
        <v>173.07829438956324</v>
      </c>
      <c r="BB365" s="655">
        <f t="shared" si="251"/>
        <v>140</v>
      </c>
      <c r="BC365" s="655">
        <f t="shared" si="251"/>
        <v>100</v>
      </c>
    </row>
    <row r="366" spans="1:55" ht="12" customHeight="1">
      <c r="A366" s="36"/>
      <c r="B366" s="36"/>
      <c r="C366" s="36"/>
      <c r="D366" s="36"/>
      <c r="E366" s="36"/>
      <c r="F366" s="36"/>
      <c r="G366" s="36"/>
      <c r="H366" s="204" t="s">
        <v>684</v>
      </c>
      <c r="I366" s="118">
        <v>111</v>
      </c>
      <c r="J366" s="71">
        <v>3121</v>
      </c>
      <c r="K366" s="40" t="s">
        <v>685</v>
      </c>
      <c r="L366" s="316"/>
      <c r="M366" s="316"/>
      <c r="N366" s="338"/>
      <c r="O366" s="338"/>
      <c r="P366" s="293"/>
      <c r="Q366" s="293"/>
      <c r="R366" s="442"/>
      <c r="S366" s="294">
        <f>__xlfn.XLOOKUP(H366,[2]Izvršenje_proračuna_po_pozicija!$B$2:$B$153,[2]Izvršenje_proračuna_po_pozicija!$E$2:$E$153,0)</f>
        <v>0</v>
      </c>
      <c r="T366" s="294"/>
      <c r="U366" s="294"/>
      <c r="V366" s="475"/>
      <c r="W366" s="475"/>
      <c r="X366" s="540"/>
      <c r="Y366" s="540"/>
      <c r="Z366" s="541" t="b">
        <f t="shared" si="257"/>
        <v>0</v>
      </c>
      <c r="AA366" s="525"/>
      <c r="AB366" s="526"/>
      <c r="AC366" s="526"/>
      <c r="AD366" s="524"/>
      <c r="AE366" s="524"/>
      <c r="AF366" s="524"/>
      <c r="AG366" s="524"/>
      <c r="AH366" s="525"/>
      <c r="AI366" s="540"/>
      <c r="AJ366" s="516"/>
      <c r="AK366" s="516"/>
      <c r="AL366" s="516"/>
      <c r="AM366" s="293"/>
      <c r="AO366" t="b">
        <f t="shared" si="245"/>
        <v>0</v>
      </c>
      <c r="AQ366" s="442"/>
      <c r="AS366" s="442">
        <f>__xlfn.XLOOKUP(K366,[1]Izvršenje_proračuna_po_pozicija!$C$25:$C$149,[1]Izvršenje_proračuna_po_pozicija!$E$25:$E$149,0)</f>
        <v>0</v>
      </c>
      <c r="AT366" s="617"/>
      <c r="AU366" s="475"/>
      <c r="AV366" s="637"/>
      <c r="AW366" s="637"/>
      <c r="AX366" s="655" t="str">
        <f t="shared" si="247"/>
        <v/>
      </c>
      <c r="AY366" s="655" t="str">
        <f t="shared" si="248"/>
        <v/>
      </c>
      <c r="AZ366" s="655" t="str">
        <f t="shared" si="249"/>
        <v/>
      </c>
      <c r="BA366" s="655" t="str">
        <f t="shared" si="250"/>
        <v/>
      </c>
      <c r="BB366" s="655" t="str">
        <f t="shared" si="251"/>
        <v/>
      </c>
      <c r="BC366" s="655" t="str">
        <f t="shared" si="251"/>
        <v/>
      </c>
    </row>
    <row r="367" spans="1:55" ht="12" customHeight="1">
      <c r="A367" s="36"/>
      <c r="B367" s="36"/>
      <c r="C367" s="36"/>
      <c r="D367" s="36"/>
      <c r="E367" s="36"/>
      <c r="F367" s="36"/>
      <c r="G367" s="36"/>
      <c r="H367" s="204"/>
      <c r="I367" s="118"/>
      <c r="J367" s="71"/>
      <c r="K367" s="40"/>
      <c r="L367" s="316"/>
      <c r="M367" s="316"/>
      <c r="N367" s="338"/>
      <c r="O367" s="338"/>
      <c r="P367" s="293"/>
      <c r="Q367" s="293"/>
      <c r="R367" s="442"/>
      <c r="S367" s="294">
        <f>__xlfn.XLOOKUP(H367,[2]Izvršenje_proračuna_po_pozicija!$B$2:$B$153,[2]Izvršenje_proračuna_po_pozicija!$E$2:$E$153,0)</f>
        <v>0</v>
      </c>
      <c r="T367" s="294"/>
      <c r="U367" s="294"/>
      <c r="V367" s="475"/>
      <c r="W367" s="475"/>
      <c r="X367" s="540"/>
      <c r="Y367" s="540"/>
      <c r="Z367" s="541" t="b">
        <f t="shared" si="257"/>
        <v>0</v>
      </c>
      <c r="AA367" s="525"/>
      <c r="AB367" s="526"/>
      <c r="AC367" s="526"/>
      <c r="AD367" s="524"/>
      <c r="AE367" s="524"/>
      <c r="AF367" s="524"/>
      <c r="AG367" s="524"/>
      <c r="AH367" s="525"/>
      <c r="AI367" s="540"/>
      <c r="AJ367" s="516"/>
      <c r="AK367" s="516"/>
      <c r="AL367" s="516"/>
      <c r="AM367" s="293"/>
      <c r="AO367" t="b">
        <f t="shared" si="245"/>
        <v>0</v>
      </c>
      <c r="AQ367" s="442"/>
      <c r="AS367" s="442">
        <f>__xlfn.XLOOKUP(K367,[1]Izvršenje_proračuna_po_pozicija!$C$25:$C$149,[1]Izvršenje_proračuna_po_pozicija!$E$25:$E$149,0)</f>
        <v>0</v>
      </c>
      <c r="AT367" s="617"/>
      <c r="AU367" s="475"/>
      <c r="AV367" s="637"/>
      <c r="AW367" s="637"/>
      <c r="AX367" s="655" t="str">
        <f t="shared" si="247"/>
        <v/>
      </c>
      <c r="AY367" s="655" t="str">
        <f t="shared" si="248"/>
        <v/>
      </c>
      <c r="AZ367" s="655" t="str">
        <f t="shared" si="249"/>
        <v/>
      </c>
      <c r="BA367" s="655" t="str">
        <f t="shared" si="250"/>
        <v/>
      </c>
      <c r="BB367" s="655" t="str">
        <f t="shared" si="251"/>
        <v/>
      </c>
      <c r="BC367" s="655" t="str">
        <f t="shared" si="251"/>
        <v/>
      </c>
    </row>
    <row r="368" spans="1:55" ht="12" customHeight="1">
      <c r="A368" s="56"/>
      <c r="B368" s="56"/>
      <c r="C368" s="56"/>
      <c r="D368" s="56"/>
      <c r="E368" s="56"/>
      <c r="F368" s="56"/>
      <c r="G368" s="56"/>
      <c r="H368" s="377"/>
      <c r="I368" s="119"/>
      <c r="J368" s="116">
        <v>313</v>
      </c>
      <c r="K368" s="60" t="s">
        <v>181</v>
      </c>
      <c r="L368" s="315">
        <f t="shared" ref="L368:S368" si="273">L369+L370+L371+L372</f>
        <v>315966</v>
      </c>
      <c r="M368" s="315">
        <f t="shared" si="273"/>
        <v>41935.894883535737</v>
      </c>
      <c r="N368" s="337">
        <f t="shared" si="273"/>
        <v>292530</v>
      </c>
      <c r="O368" s="337">
        <f t="shared" si="273"/>
        <v>38825.403145530559</v>
      </c>
      <c r="P368" s="292">
        <f t="shared" si="273"/>
        <v>45820</v>
      </c>
      <c r="Q368" s="292">
        <f t="shared" si="273"/>
        <v>44200</v>
      </c>
      <c r="R368" s="441">
        <f t="shared" si="273"/>
        <v>43304</v>
      </c>
      <c r="S368" s="292">
        <f t="shared" si="273"/>
        <v>34814</v>
      </c>
      <c r="T368" s="292"/>
      <c r="U368" s="292"/>
      <c r="V368" s="469">
        <f>V369+V370+V371+V372</f>
        <v>54000</v>
      </c>
      <c r="W368" s="469">
        <f>W369+W370+W371+W372</f>
        <v>54000</v>
      </c>
      <c r="X368" s="522">
        <f>X369+X370+X371+X372</f>
        <v>90000</v>
      </c>
      <c r="Y368" s="522">
        <f>Y369+Y370+Y371+Y372</f>
        <v>0</v>
      </c>
      <c r="Z368" s="541" t="b">
        <f t="shared" si="257"/>
        <v>1</v>
      </c>
      <c r="AA368" s="522"/>
      <c r="AB368" s="523">
        <f>AB369+AB370+AB371+AB372</f>
        <v>46650</v>
      </c>
      <c r="AC368" s="523">
        <f>AC369+AC370+AC371+AC372</f>
        <v>46650</v>
      </c>
      <c r="AD368" s="524">
        <f>O368/M368*100</f>
        <v>92.582746244849119</v>
      </c>
      <c r="AE368" s="524">
        <f>P368/O368*100</f>
        <v>118.01551635729668</v>
      </c>
      <c r="AF368" s="524">
        <f>Q368/P368*100</f>
        <v>96.464426014840683</v>
      </c>
      <c r="AG368" s="524">
        <f>AB368/Q368*100</f>
        <v>105.54298642533936</v>
      </c>
      <c r="AH368" s="522"/>
      <c r="AI368" s="522">
        <v>90000</v>
      </c>
      <c r="AJ368" s="516">
        <f>W368/R368*100</f>
        <v>124.69979678551636</v>
      </c>
      <c r="AK368" s="516">
        <f>AT368/W368*100</f>
        <v>122.22222222222223</v>
      </c>
      <c r="AL368" s="516">
        <f>X368/AT368*100</f>
        <v>136.36363636363635</v>
      </c>
      <c r="AM368" s="292"/>
      <c r="AO368" t="b">
        <f t="shared" si="245"/>
        <v>1</v>
      </c>
      <c r="AP368" s="440">
        <f t="shared" ref="AP368:AU368" si="274">AP369+AP370+AP371+AP372</f>
        <v>48411.48</v>
      </c>
      <c r="AQ368" s="441">
        <v>48411.48</v>
      </c>
      <c r="AR368" s="440">
        <f>AR369+AR370+AR371+AR372</f>
        <v>48411.48</v>
      </c>
      <c r="AS368" s="441">
        <f t="shared" si="274"/>
        <v>30898.06</v>
      </c>
      <c r="AT368" s="612">
        <f t="shared" si="274"/>
        <v>66000</v>
      </c>
      <c r="AU368" s="469">
        <f t="shared" si="274"/>
        <v>67000</v>
      </c>
      <c r="AV368" s="636">
        <v>90000</v>
      </c>
      <c r="AW368" s="636">
        <v>90000</v>
      </c>
      <c r="AX368" s="655">
        <f t="shared" si="247"/>
        <v>152.41086273785331</v>
      </c>
      <c r="AY368" s="655">
        <f t="shared" si="248"/>
        <v>136.33129993133858</v>
      </c>
      <c r="AZ368" s="655">
        <f t="shared" si="249"/>
        <v>101.51515151515152</v>
      </c>
      <c r="BA368" s="655">
        <f t="shared" si="250"/>
        <v>138.39692568787402</v>
      </c>
      <c r="BB368" s="655">
        <f t="shared" si="251"/>
        <v>134.32835820895522</v>
      </c>
      <c r="BC368" s="655">
        <f t="shared" si="251"/>
        <v>100</v>
      </c>
    </row>
    <row r="369" spans="1:55" ht="12" customHeight="1">
      <c r="A369" s="36"/>
      <c r="B369" s="36"/>
      <c r="C369" s="36"/>
      <c r="D369" s="36"/>
      <c r="E369" s="36"/>
      <c r="F369" s="36"/>
      <c r="G369" s="36"/>
      <c r="H369" s="204">
        <v>6</v>
      </c>
      <c r="I369" s="118">
        <v>111</v>
      </c>
      <c r="J369" s="71">
        <v>3132</v>
      </c>
      <c r="K369" s="40" t="s">
        <v>182</v>
      </c>
      <c r="L369" s="309">
        <v>315966</v>
      </c>
      <c r="M369" s="309">
        <f>315966/7.5345</f>
        <v>41935.894883535737</v>
      </c>
      <c r="N369" s="339">
        <v>292530</v>
      </c>
      <c r="O369" s="339">
        <f>N369/7.5345</f>
        <v>38825.403145530559</v>
      </c>
      <c r="P369" s="294">
        <v>45820</v>
      </c>
      <c r="Q369" s="269">
        <v>44200</v>
      </c>
      <c r="R369" s="443">
        <v>43304</v>
      </c>
      <c r="S369" s="294">
        <v>34814</v>
      </c>
      <c r="T369" s="294"/>
      <c r="U369" s="294"/>
      <c r="V369" s="478">
        <v>54000</v>
      </c>
      <c r="W369" s="478">
        <v>54000</v>
      </c>
      <c r="X369" s="544">
        <v>90000</v>
      </c>
      <c r="Y369" s="544"/>
      <c r="Z369" s="541" t="b">
        <f t="shared" si="257"/>
        <v>0</v>
      </c>
      <c r="AA369" s="527"/>
      <c r="AB369" s="528">
        <v>46650</v>
      </c>
      <c r="AC369" s="528">
        <v>46650</v>
      </c>
      <c r="AD369" s="524">
        <f>O369/M369*100</f>
        <v>92.582746244849119</v>
      </c>
      <c r="AE369" s="524">
        <f>P369/O369*100</f>
        <v>118.01551635729668</v>
      </c>
      <c r="AF369" s="524">
        <f>Q369/P369*100</f>
        <v>96.464426014840683</v>
      </c>
      <c r="AG369" s="524">
        <f>AB369/Q369*100</f>
        <v>105.54298642533936</v>
      </c>
      <c r="AH369" s="527"/>
      <c r="AI369" s="544">
        <v>90000</v>
      </c>
      <c r="AJ369" s="516">
        <f>W369/R369*100</f>
        <v>124.69979678551636</v>
      </c>
      <c r="AK369" s="516">
        <f>AT369/W369*100</f>
        <v>122.22222222222223</v>
      </c>
      <c r="AL369" s="516">
        <f>X369/AT369*100</f>
        <v>136.36363636363635</v>
      </c>
      <c r="AM369" s="294"/>
      <c r="AO369" t="b">
        <f t="shared" si="245"/>
        <v>0</v>
      </c>
      <c r="AP369" s="493">
        <v>48411.48</v>
      </c>
      <c r="AQ369" s="443">
        <v>48411.48</v>
      </c>
      <c r="AR369" s="493">
        <v>48411.48</v>
      </c>
      <c r="AS369" s="443">
        <f>__xlfn.XLOOKUP(K369,[1]Izvršenje_proračuna_po_pozicija!$C$25:$C$149,[1]Izvršenje_proračuna_po_pozicija!$E$25:$E$149,0)</f>
        <v>30898.06</v>
      </c>
      <c r="AT369" s="617">
        <v>66000</v>
      </c>
      <c r="AU369" s="478">
        <v>67000</v>
      </c>
      <c r="AV369" s="638">
        <v>90000</v>
      </c>
      <c r="AW369" s="638">
        <v>90000</v>
      </c>
      <c r="AX369" s="655">
        <f t="shared" si="247"/>
        <v>152.41086273785331</v>
      </c>
      <c r="AY369" s="655">
        <f t="shared" si="248"/>
        <v>136.33129993133858</v>
      </c>
      <c r="AZ369" s="655">
        <f t="shared" si="249"/>
        <v>101.51515151515152</v>
      </c>
      <c r="BA369" s="655">
        <f t="shared" si="250"/>
        <v>138.39692568787402</v>
      </c>
      <c r="BB369" s="655">
        <f t="shared" si="251"/>
        <v>134.32835820895522</v>
      </c>
      <c r="BC369" s="655">
        <f t="shared" si="251"/>
        <v>100</v>
      </c>
    </row>
    <row r="370" spans="1:55" ht="12" customHeight="1">
      <c r="A370" s="36"/>
      <c r="B370" s="36"/>
      <c r="C370" s="36"/>
      <c r="D370" s="36"/>
      <c r="E370" s="36"/>
      <c r="F370" s="36"/>
      <c r="G370" s="36"/>
      <c r="H370" s="204">
        <v>7</v>
      </c>
      <c r="I370" s="118">
        <v>111</v>
      </c>
      <c r="J370" s="71">
        <v>3133</v>
      </c>
      <c r="K370" s="40" t="s">
        <v>102</v>
      </c>
      <c r="L370" s="309"/>
      <c r="M370" s="309"/>
      <c r="N370" s="339"/>
      <c r="O370" s="339"/>
      <c r="P370" s="294"/>
      <c r="Q370" s="294"/>
      <c r="R370" s="443"/>
      <c r="S370" s="294">
        <f>__xlfn.XLOOKUP(H370,[2]Izvršenje_proračuna_po_pozicija!$B$2:$B$153,[2]Izvršenje_proračuna_po_pozicija!$E$2:$E$153,0)</f>
        <v>0</v>
      </c>
      <c r="T370" s="294"/>
      <c r="U370" s="294"/>
      <c r="V370" s="478"/>
      <c r="W370" s="478"/>
      <c r="X370" s="544"/>
      <c r="Y370" s="544"/>
      <c r="Z370" s="541" t="b">
        <f t="shared" si="257"/>
        <v>0</v>
      </c>
      <c r="AA370" s="527"/>
      <c r="AB370" s="528">
        <v>0</v>
      </c>
      <c r="AC370" s="528">
        <v>0</v>
      </c>
      <c r="AD370" s="524"/>
      <c r="AE370" s="524"/>
      <c r="AF370" s="524"/>
      <c r="AG370" s="524"/>
      <c r="AH370" s="527"/>
      <c r="AI370" s="544"/>
      <c r="AJ370" s="516"/>
      <c r="AK370" s="516"/>
      <c r="AL370" s="516"/>
      <c r="AM370" s="294"/>
      <c r="AO370" t="b">
        <f t="shared" si="245"/>
        <v>0</v>
      </c>
      <c r="AQ370" s="443"/>
      <c r="AS370" s="443">
        <f>__xlfn.XLOOKUP(K370,[1]Izvršenje_proračuna_po_pozicija!$C$25:$C$149,[1]Izvršenje_proračuna_po_pozicija!$E$25:$E$149,0)</f>
        <v>0</v>
      </c>
      <c r="AT370" s="617"/>
      <c r="AU370" s="478"/>
      <c r="AV370" s="638"/>
      <c r="AW370" s="638"/>
      <c r="AX370" s="655" t="str">
        <f t="shared" si="247"/>
        <v/>
      </c>
      <c r="AY370" s="655" t="str">
        <f t="shared" si="248"/>
        <v/>
      </c>
      <c r="AZ370" s="655" t="str">
        <f t="shared" si="249"/>
        <v/>
      </c>
      <c r="BA370" s="655" t="str">
        <f t="shared" si="250"/>
        <v/>
      </c>
      <c r="BB370" s="655" t="str">
        <f t="shared" si="251"/>
        <v/>
      </c>
      <c r="BC370" s="655" t="str">
        <f t="shared" si="251"/>
        <v/>
      </c>
    </row>
    <row r="371" spans="1:55" s="198" customFormat="1" ht="12" customHeight="1">
      <c r="A371" s="36"/>
      <c r="B371" s="36"/>
      <c r="C371" s="36"/>
      <c r="D371" s="36"/>
      <c r="E371" s="36"/>
      <c r="F371" s="36"/>
      <c r="G371" s="36"/>
      <c r="H371" s="204" t="s">
        <v>686</v>
      </c>
      <c r="I371" s="118">
        <v>111</v>
      </c>
      <c r="J371" s="71">
        <v>3132</v>
      </c>
      <c r="K371" s="40" t="s">
        <v>687</v>
      </c>
      <c r="L371" s="309"/>
      <c r="M371" s="309"/>
      <c r="N371" s="339"/>
      <c r="O371" s="339"/>
      <c r="P371" s="294"/>
      <c r="Q371" s="294"/>
      <c r="R371" s="443"/>
      <c r="S371" s="294">
        <f>__xlfn.XLOOKUP(H371,[2]Izvršenje_proračuna_po_pozicija!$B$2:$B$153,[2]Izvršenje_proračuna_po_pozicija!$E$2:$E$153,0)</f>
        <v>0</v>
      </c>
      <c r="T371" s="294"/>
      <c r="U371" s="294"/>
      <c r="V371" s="478"/>
      <c r="W371" s="478"/>
      <c r="X371" s="544"/>
      <c r="Y371" s="544"/>
      <c r="Z371" s="541" t="b">
        <f t="shared" si="257"/>
        <v>0</v>
      </c>
      <c r="AA371" s="527"/>
      <c r="AB371" s="528"/>
      <c r="AC371" s="528"/>
      <c r="AD371" s="524"/>
      <c r="AE371" s="524"/>
      <c r="AF371" s="524"/>
      <c r="AG371" s="524"/>
      <c r="AH371" s="527"/>
      <c r="AI371" s="544"/>
      <c r="AJ371" s="516"/>
      <c r="AK371" s="516"/>
      <c r="AL371" s="516"/>
      <c r="AM371" s="294"/>
      <c r="AO371" t="b">
        <f t="shared" si="245"/>
        <v>0</v>
      </c>
      <c r="AQ371" s="443"/>
      <c r="AS371" s="443">
        <f>__xlfn.XLOOKUP(K371,[1]Izvršenje_proračuna_po_pozicija!$C$25:$C$149,[1]Izvršenje_proračuna_po_pozicija!$E$25:$E$149,0)</f>
        <v>0</v>
      </c>
      <c r="AT371" s="617"/>
      <c r="AU371" s="478"/>
      <c r="AV371" s="638"/>
      <c r="AW371" s="638"/>
      <c r="AX371" s="655" t="str">
        <f t="shared" si="247"/>
        <v/>
      </c>
      <c r="AY371" s="655" t="str">
        <f t="shared" si="248"/>
        <v/>
      </c>
      <c r="AZ371" s="655" t="str">
        <f t="shared" si="249"/>
        <v/>
      </c>
      <c r="BA371" s="655" t="str">
        <f t="shared" si="250"/>
        <v/>
      </c>
      <c r="BB371" s="655" t="str">
        <f t="shared" si="251"/>
        <v/>
      </c>
      <c r="BC371" s="655" t="str">
        <f t="shared" si="251"/>
        <v/>
      </c>
    </row>
    <row r="372" spans="1:55" s="198" customFormat="1" ht="12" customHeight="1">
      <c r="A372" s="124"/>
      <c r="B372" s="124"/>
      <c r="C372" s="124"/>
      <c r="D372" s="124"/>
      <c r="E372" s="124"/>
      <c r="F372" s="124"/>
      <c r="G372" s="124"/>
      <c r="H372" s="378" t="s">
        <v>688</v>
      </c>
      <c r="I372" s="159">
        <v>111</v>
      </c>
      <c r="J372" s="261">
        <v>3133</v>
      </c>
      <c r="K372" s="71" t="s">
        <v>689</v>
      </c>
      <c r="L372" s="321"/>
      <c r="M372" s="321"/>
      <c r="N372" s="345"/>
      <c r="O372" s="345"/>
      <c r="P372" s="300"/>
      <c r="Q372" s="300"/>
      <c r="R372" s="457"/>
      <c r="S372" s="294">
        <f>__xlfn.XLOOKUP(H372,[2]Izvršenje_proračuna_po_pozicija!$B$2:$B$153,[2]Izvršenje_proračuna_po_pozicija!$E$2:$E$153,0)</f>
        <v>0</v>
      </c>
      <c r="T372" s="294"/>
      <c r="U372" s="294"/>
      <c r="V372" s="479"/>
      <c r="W372" s="479"/>
      <c r="X372" s="545"/>
      <c r="Y372" s="545"/>
      <c r="Z372" s="541" t="b">
        <f t="shared" si="257"/>
        <v>0</v>
      </c>
      <c r="AA372" s="546"/>
      <c r="AB372" s="547"/>
      <c r="AC372" s="547"/>
      <c r="AD372" s="524"/>
      <c r="AE372" s="524"/>
      <c r="AF372" s="524"/>
      <c r="AG372" s="524"/>
      <c r="AH372" s="546"/>
      <c r="AI372" s="545"/>
      <c r="AJ372" s="516"/>
      <c r="AK372" s="516"/>
      <c r="AL372" s="516"/>
      <c r="AM372" s="300"/>
      <c r="AO372" t="b">
        <f t="shared" si="245"/>
        <v>0</v>
      </c>
      <c r="AQ372" s="457"/>
      <c r="AS372" s="457">
        <f>__xlfn.XLOOKUP(K372,[1]Izvršenje_proračuna_po_pozicija!$C$25:$C$149,[1]Izvršenje_proračuna_po_pozicija!$E$25:$E$149,0)</f>
        <v>0</v>
      </c>
      <c r="AT372" s="617"/>
      <c r="AU372" s="479"/>
      <c r="AV372" s="644"/>
      <c r="AW372" s="644"/>
      <c r="AX372" s="655" t="str">
        <f t="shared" si="247"/>
        <v/>
      </c>
      <c r="AY372" s="655" t="str">
        <f t="shared" si="248"/>
        <v/>
      </c>
      <c r="AZ372" s="655" t="str">
        <f t="shared" si="249"/>
        <v/>
      </c>
      <c r="BA372" s="655" t="str">
        <f t="shared" si="250"/>
        <v/>
      </c>
      <c r="BB372" s="655" t="str">
        <f t="shared" si="251"/>
        <v/>
      </c>
      <c r="BC372" s="655" t="str">
        <f t="shared" si="251"/>
        <v/>
      </c>
    </row>
    <row r="373" spans="1:55" ht="12" customHeight="1">
      <c r="A373" s="124"/>
      <c r="B373" s="124"/>
      <c r="C373" s="124"/>
      <c r="D373" s="124"/>
      <c r="E373" s="124"/>
      <c r="F373" s="124"/>
      <c r="G373" s="124"/>
      <c r="H373" s="378"/>
      <c r="I373" s="159"/>
      <c r="J373" s="261"/>
      <c r="K373" s="71"/>
      <c r="L373" s="321"/>
      <c r="M373" s="321"/>
      <c r="N373" s="345"/>
      <c r="O373" s="345"/>
      <c r="P373" s="300"/>
      <c r="Q373" s="300"/>
      <c r="R373" s="457"/>
      <c r="S373" s="294">
        <f>__xlfn.XLOOKUP(H373,[2]Izvršenje_proračuna_po_pozicija!$B$2:$B$153,[2]Izvršenje_proračuna_po_pozicija!$E$2:$E$153,0)</f>
        <v>0</v>
      </c>
      <c r="T373" s="294"/>
      <c r="U373" s="294"/>
      <c r="V373" s="479"/>
      <c r="W373" s="479"/>
      <c r="X373" s="545"/>
      <c r="Y373" s="545"/>
      <c r="Z373" s="541" t="b">
        <f t="shared" si="257"/>
        <v>0</v>
      </c>
      <c r="AA373" s="546"/>
      <c r="AB373" s="547"/>
      <c r="AC373" s="547"/>
      <c r="AD373" s="524"/>
      <c r="AE373" s="524"/>
      <c r="AF373" s="524"/>
      <c r="AG373" s="524"/>
      <c r="AH373" s="546"/>
      <c r="AI373" s="545"/>
      <c r="AJ373" s="516"/>
      <c r="AK373" s="516"/>
      <c r="AL373" s="516"/>
      <c r="AM373" s="300"/>
      <c r="AO373" t="b">
        <f t="shared" si="245"/>
        <v>0</v>
      </c>
      <c r="AQ373" s="457"/>
      <c r="AS373" s="457">
        <f>__xlfn.XLOOKUP(K373,[1]Izvršenje_proračuna_po_pozicija!$C$25:$C$149,[1]Izvršenje_proračuna_po_pozicija!$E$25:$E$149,0)</f>
        <v>0</v>
      </c>
      <c r="AT373" s="617"/>
      <c r="AU373" s="479"/>
      <c r="AV373" s="644"/>
      <c r="AW373" s="644"/>
      <c r="AX373" s="655" t="str">
        <f t="shared" si="247"/>
        <v/>
      </c>
      <c r="AY373" s="655" t="str">
        <f t="shared" si="248"/>
        <v/>
      </c>
      <c r="AZ373" s="655" t="str">
        <f t="shared" si="249"/>
        <v/>
      </c>
      <c r="BA373" s="655" t="str">
        <f t="shared" si="250"/>
        <v/>
      </c>
      <c r="BB373" s="655" t="str">
        <f t="shared" si="251"/>
        <v/>
      </c>
      <c r="BC373" s="655" t="str">
        <f t="shared" si="251"/>
        <v/>
      </c>
    </row>
    <row r="374" spans="1:55" ht="12" customHeight="1">
      <c r="A374" s="355"/>
      <c r="B374" s="355"/>
      <c r="C374" s="355"/>
      <c r="D374" s="355"/>
      <c r="E374" s="355"/>
      <c r="F374" s="355"/>
      <c r="G374" s="355"/>
      <c r="H374" s="379"/>
      <c r="I374" s="359"/>
      <c r="J374" s="356">
        <v>32</v>
      </c>
      <c r="K374" s="358" t="s">
        <v>103</v>
      </c>
      <c r="L374" s="315">
        <f t="shared" ref="L374:S374" si="275">L376+L382+L389+L398+L401</f>
        <v>832672</v>
      </c>
      <c r="M374" s="315">
        <f t="shared" si="275"/>
        <v>110514.56632822349</v>
      </c>
      <c r="N374" s="337">
        <f t="shared" si="275"/>
        <v>835378</v>
      </c>
      <c r="O374" s="337">
        <f t="shared" si="275"/>
        <v>110873.71424779347</v>
      </c>
      <c r="P374" s="292">
        <f t="shared" si="275"/>
        <v>159600</v>
      </c>
      <c r="Q374" s="292">
        <f t="shared" si="275"/>
        <v>176700</v>
      </c>
      <c r="R374" s="441">
        <f t="shared" si="275"/>
        <v>152058</v>
      </c>
      <c r="S374" s="292">
        <f t="shared" si="275"/>
        <v>129131.35</v>
      </c>
      <c r="T374" s="292"/>
      <c r="U374" s="292"/>
      <c r="V374" s="469">
        <f>V376+V382+V389+V398+V401</f>
        <v>181700</v>
      </c>
      <c r="W374" s="469">
        <f>W376+W382+W389+W398+W401</f>
        <v>202100</v>
      </c>
      <c r="X374" s="522">
        <f>X376+X382+X389+X398+X401</f>
        <v>286000</v>
      </c>
      <c r="Y374" s="522">
        <f>Y376+Y382+Y389+Y398+Y401</f>
        <v>0</v>
      </c>
      <c r="Z374" s="541" t="b">
        <f t="shared" si="257"/>
        <v>1</v>
      </c>
      <c r="AA374" s="522"/>
      <c r="AB374" s="523">
        <f>AB376+AB382+AB389+AB398+AB401</f>
        <v>163900</v>
      </c>
      <c r="AC374" s="523">
        <f>AC376+AC382+AC389+AC398+AC401</f>
        <v>163900</v>
      </c>
      <c r="AD374" s="524">
        <f>O374/M374*100</f>
        <v>100.3249779024634</v>
      </c>
      <c r="AE374" s="524">
        <f>P374/O374*100</f>
        <v>143.9475542808166</v>
      </c>
      <c r="AF374" s="524">
        <f>Q374/P374*100</f>
        <v>110.71428571428572</v>
      </c>
      <c r="AG374" s="524">
        <f>AB374/Q374*100</f>
        <v>92.756083757781553</v>
      </c>
      <c r="AH374" s="522"/>
      <c r="AI374" s="522">
        <v>286000</v>
      </c>
      <c r="AJ374" s="516">
        <f>W374/R374*100</f>
        <v>132.90981073011613</v>
      </c>
      <c r="AK374" s="516">
        <f>AT374/W374*100</f>
        <v>114.54725383473527</v>
      </c>
      <c r="AL374" s="516">
        <f>X374/AT374*100</f>
        <v>123.54211663066954</v>
      </c>
      <c r="AM374" s="292"/>
      <c r="AO374" t="b">
        <f t="shared" si="245"/>
        <v>1</v>
      </c>
      <c r="AP374" s="440">
        <f t="shared" ref="AP374:AU374" si="276">AP376+AP382+AP389+AP398+AP401</f>
        <v>193286.28999999998</v>
      </c>
      <c r="AQ374" s="441">
        <v>193286.29</v>
      </c>
      <c r="AR374" s="440">
        <f>AR376+AR382+AR389+AR398+AR401</f>
        <v>193286.28999999998</v>
      </c>
      <c r="AS374" s="441">
        <f t="shared" si="276"/>
        <v>90114.22</v>
      </c>
      <c r="AT374" s="612">
        <f t="shared" si="276"/>
        <v>231500</v>
      </c>
      <c r="AU374" s="469">
        <f t="shared" si="276"/>
        <v>240000</v>
      </c>
      <c r="AV374" s="636">
        <v>286000</v>
      </c>
      <c r="AW374" s="636">
        <v>286000</v>
      </c>
      <c r="AX374" s="655">
        <f t="shared" si="247"/>
        <v>152.24453826829236</v>
      </c>
      <c r="AY374" s="655">
        <f t="shared" si="248"/>
        <v>119.77052278255225</v>
      </c>
      <c r="AZ374" s="655">
        <f t="shared" si="249"/>
        <v>103.67170626349893</v>
      </c>
      <c r="BA374" s="655">
        <f t="shared" si="250"/>
        <v>124.16814456938461</v>
      </c>
      <c r="BB374" s="655">
        <f t="shared" si="251"/>
        <v>119.16666666666667</v>
      </c>
      <c r="BC374" s="655">
        <f t="shared" si="251"/>
        <v>100</v>
      </c>
    </row>
    <row r="375" spans="1:55" ht="12" customHeight="1">
      <c r="A375" s="20"/>
      <c r="B375" s="20"/>
      <c r="C375" s="20"/>
      <c r="D375" s="20"/>
      <c r="E375" s="20"/>
      <c r="F375" s="20"/>
      <c r="G375" s="20"/>
      <c r="H375" s="375"/>
      <c r="I375" s="22"/>
      <c r="J375" s="21"/>
      <c r="K375" s="19"/>
      <c r="L375" s="313"/>
      <c r="M375" s="313"/>
      <c r="N375" s="335"/>
      <c r="O375" s="335"/>
      <c r="P375" s="290"/>
      <c r="Q375" s="290"/>
      <c r="R375" s="439"/>
      <c r="S375" s="294">
        <f>__xlfn.XLOOKUP(H375,[2]Izvršenje_proračuna_po_pozicija!$B$2:$B$153,[2]Izvršenje_proračuna_po_pozicija!$E$2:$E$153,0)</f>
        <v>0</v>
      </c>
      <c r="T375" s="294"/>
      <c r="U375" s="294"/>
      <c r="V375" s="474"/>
      <c r="W375" s="474"/>
      <c r="X375" s="539"/>
      <c r="Y375" s="539"/>
      <c r="Z375" s="541" t="b">
        <f t="shared" si="257"/>
        <v>0</v>
      </c>
      <c r="AA375" s="514"/>
      <c r="AB375" s="515"/>
      <c r="AC375" s="515"/>
      <c r="AD375" s="524"/>
      <c r="AE375" s="524"/>
      <c r="AF375" s="524"/>
      <c r="AG375" s="524"/>
      <c r="AH375" s="514"/>
      <c r="AI375" s="539"/>
      <c r="AJ375" s="516"/>
      <c r="AK375" s="516"/>
      <c r="AL375" s="516"/>
      <c r="AM375" s="290"/>
      <c r="AO375" t="b">
        <f t="shared" si="245"/>
        <v>0</v>
      </c>
      <c r="AQ375" s="439"/>
      <c r="AS375" s="439">
        <f>__xlfn.XLOOKUP(K375,[1]Izvršenje_proračuna_po_pozicija!$C$25:$C$149,[1]Izvršenje_proračuna_po_pozicija!$E$25:$E$149,0)</f>
        <v>0</v>
      </c>
      <c r="AT375" s="616"/>
      <c r="AU375" s="474"/>
      <c r="AV375" s="632"/>
      <c r="AW375" s="632"/>
      <c r="AX375" s="655" t="str">
        <f t="shared" si="247"/>
        <v/>
      </c>
      <c r="AY375" s="655" t="str">
        <f t="shared" si="248"/>
        <v/>
      </c>
      <c r="AZ375" s="655" t="str">
        <f t="shared" si="249"/>
        <v/>
      </c>
      <c r="BA375" s="655" t="str">
        <f t="shared" si="250"/>
        <v/>
      </c>
      <c r="BB375" s="655" t="str">
        <f t="shared" si="251"/>
        <v/>
      </c>
      <c r="BC375" s="655" t="str">
        <f t="shared" si="251"/>
        <v/>
      </c>
    </row>
    <row r="376" spans="1:55" ht="12" customHeight="1">
      <c r="A376" s="56"/>
      <c r="B376" s="56"/>
      <c r="C376" s="56"/>
      <c r="D376" s="56"/>
      <c r="E376" s="56"/>
      <c r="F376" s="56"/>
      <c r="G376" s="56"/>
      <c r="H376" s="377"/>
      <c r="I376" s="119"/>
      <c r="J376" s="116">
        <v>321</v>
      </c>
      <c r="K376" s="60" t="s">
        <v>183</v>
      </c>
      <c r="L376" s="315">
        <f t="shared" ref="L376:S376" si="277">L377+L378+L379+L380</f>
        <v>59045</v>
      </c>
      <c r="M376" s="315">
        <f t="shared" si="277"/>
        <v>7836.6182228415955</v>
      </c>
      <c r="N376" s="337">
        <f t="shared" si="277"/>
        <v>92141</v>
      </c>
      <c r="O376" s="337">
        <f t="shared" si="277"/>
        <v>12229.212290132058</v>
      </c>
      <c r="P376" s="292">
        <f t="shared" si="277"/>
        <v>16600</v>
      </c>
      <c r="Q376" s="292">
        <f t="shared" si="277"/>
        <v>19300</v>
      </c>
      <c r="R376" s="441">
        <f t="shared" si="277"/>
        <v>16211</v>
      </c>
      <c r="S376" s="292">
        <f t="shared" si="277"/>
        <v>19220.52</v>
      </c>
      <c r="T376" s="292"/>
      <c r="U376" s="292"/>
      <c r="V376" s="469">
        <f>V377+V378+V379+V380</f>
        <v>21300</v>
      </c>
      <c r="W376" s="469">
        <f>W377+W378+W379+W380</f>
        <v>25000</v>
      </c>
      <c r="X376" s="522">
        <f>X377+X378+X379+X380</f>
        <v>41000</v>
      </c>
      <c r="Y376" s="522">
        <f>Y377+Y378+Y379+Y380</f>
        <v>0</v>
      </c>
      <c r="Z376" s="541" t="b">
        <f t="shared" si="257"/>
        <v>1</v>
      </c>
      <c r="AA376" s="522"/>
      <c r="AB376" s="523">
        <f>AB377+AB378+AB379+AB380</f>
        <v>16800</v>
      </c>
      <c r="AC376" s="523">
        <f>AC377+AC378+AC379+AC380</f>
        <v>16800</v>
      </c>
      <c r="AD376" s="524">
        <f>O376/M376*100</f>
        <v>156.0521636040308</v>
      </c>
      <c r="AE376" s="524">
        <f t="shared" ref="AE376:AF380" si="278">P376/O376*100</f>
        <v>135.74054980953105</v>
      </c>
      <c r="AF376" s="524">
        <f t="shared" si="278"/>
        <v>116.26506024096386</v>
      </c>
      <c r="AG376" s="524">
        <f>AB376/Q376*100</f>
        <v>87.046632124352328</v>
      </c>
      <c r="AH376" s="522"/>
      <c r="AI376" s="522">
        <v>41000</v>
      </c>
      <c r="AJ376" s="516">
        <f>W376/R376*100</f>
        <v>154.21627290111653</v>
      </c>
      <c r="AK376" s="516">
        <f>AT376/W376*100</f>
        <v>118</v>
      </c>
      <c r="AL376" s="516">
        <f>X376/AT376*100</f>
        <v>138.98305084745763</v>
      </c>
      <c r="AM376" s="292"/>
      <c r="AO376" t="b">
        <f t="shared" si="245"/>
        <v>1</v>
      </c>
      <c r="AP376" s="440">
        <f t="shared" ref="AP376:AU376" si="279">AP377+AP378+AP379+AP380</f>
        <v>26059.260000000002</v>
      </c>
      <c r="AQ376" s="441">
        <v>26059.26</v>
      </c>
      <c r="AR376" s="440">
        <f>AR377+AR378+AR379+AR380</f>
        <v>26059.260000000002</v>
      </c>
      <c r="AS376" s="441">
        <f t="shared" si="279"/>
        <v>9310.98</v>
      </c>
      <c r="AT376" s="612">
        <f t="shared" si="279"/>
        <v>29500</v>
      </c>
      <c r="AU376" s="469">
        <f t="shared" si="279"/>
        <v>32500</v>
      </c>
      <c r="AV376" s="636">
        <v>41000</v>
      </c>
      <c r="AW376" s="636">
        <v>41000</v>
      </c>
      <c r="AX376" s="655">
        <f t="shared" si="247"/>
        <v>181.97520202331751</v>
      </c>
      <c r="AY376" s="655">
        <f t="shared" si="248"/>
        <v>113.20352151212276</v>
      </c>
      <c r="AZ376" s="655">
        <f t="shared" si="249"/>
        <v>110.16949152542372</v>
      </c>
      <c r="BA376" s="655">
        <f t="shared" si="250"/>
        <v>124.71574403877932</v>
      </c>
      <c r="BB376" s="655">
        <f t="shared" si="251"/>
        <v>126.15384615384615</v>
      </c>
      <c r="BC376" s="655">
        <f t="shared" si="251"/>
        <v>100</v>
      </c>
    </row>
    <row r="377" spans="1:55" ht="12" customHeight="1">
      <c r="A377" s="36"/>
      <c r="B377" s="36"/>
      <c r="C377" s="36"/>
      <c r="D377" s="36"/>
      <c r="E377" s="36"/>
      <c r="F377" s="36"/>
      <c r="G377" s="36"/>
      <c r="H377" s="204">
        <v>8</v>
      </c>
      <c r="I377" s="118">
        <v>111</v>
      </c>
      <c r="J377" s="71">
        <v>3211</v>
      </c>
      <c r="K377" s="40" t="s">
        <v>105</v>
      </c>
      <c r="L377" s="309">
        <v>27917</v>
      </c>
      <c r="M377" s="309">
        <f>27917/7.5345</f>
        <v>3705.2226425111153</v>
      </c>
      <c r="N377" s="339">
        <v>58424</v>
      </c>
      <c r="O377" s="339">
        <f>N377/7.5345</f>
        <v>7754.1973588161118</v>
      </c>
      <c r="P377" s="294">
        <v>9300</v>
      </c>
      <c r="Q377" s="269">
        <v>12000</v>
      </c>
      <c r="R377" s="443">
        <v>8430</v>
      </c>
      <c r="S377" s="294">
        <v>9495</v>
      </c>
      <c r="T377" s="294"/>
      <c r="U377" s="294"/>
      <c r="V377" s="478">
        <v>12000</v>
      </c>
      <c r="W377" s="478">
        <v>12000</v>
      </c>
      <c r="X377" s="544">
        <v>18000</v>
      </c>
      <c r="Y377" s="544"/>
      <c r="Z377" s="541" t="b">
        <f t="shared" si="257"/>
        <v>0</v>
      </c>
      <c r="AA377" s="527"/>
      <c r="AB377" s="528">
        <v>9500</v>
      </c>
      <c r="AC377" s="528">
        <v>9500</v>
      </c>
      <c r="AD377" s="524">
        <f>O377/M377*100</f>
        <v>209.27750116416522</v>
      </c>
      <c r="AE377" s="524">
        <f t="shared" si="278"/>
        <v>119.93504381760923</v>
      </c>
      <c r="AF377" s="524">
        <f t="shared" si="278"/>
        <v>129.03225806451613</v>
      </c>
      <c r="AG377" s="524">
        <f>AB377/Q377*100</f>
        <v>79.166666666666657</v>
      </c>
      <c r="AH377" s="527"/>
      <c r="AI377" s="544">
        <v>18000</v>
      </c>
      <c r="AJ377" s="516">
        <f>W377/R377*100</f>
        <v>142.34875444839858</v>
      </c>
      <c r="AK377" s="516">
        <f>AT377/W377*100</f>
        <v>116.66666666666667</v>
      </c>
      <c r="AL377" s="516">
        <f>X377/AT377*100</f>
        <v>128.57142857142858</v>
      </c>
      <c r="AM377" s="294"/>
      <c r="AO377" t="b">
        <f t="shared" si="245"/>
        <v>0</v>
      </c>
      <c r="AP377" s="493">
        <v>11957.54</v>
      </c>
      <c r="AQ377" s="443">
        <v>11957.54</v>
      </c>
      <c r="AR377" s="493">
        <v>11957.54</v>
      </c>
      <c r="AS377" s="443">
        <f>__xlfn.XLOOKUP(K377,[1]Izvršenje_proračuna_po_pozicija!$C$25:$C$149,[1]Izvršenje_proračuna_po_pozicija!$E$25:$E$149,0)</f>
        <v>6300.44</v>
      </c>
      <c r="AT377" s="617">
        <v>14000</v>
      </c>
      <c r="AU377" s="478">
        <v>15000</v>
      </c>
      <c r="AV377" s="638">
        <v>18000</v>
      </c>
      <c r="AW377" s="638">
        <v>18000</v>
      </c>
      <c r="AX377" s="655">
        <f t="shared" si="247"/>
        <v>166.07354685646501</v>
      </c>
      <c r="AY377" s="655">
        <f t="shared" si="248"/>
        <v>117.08093805247566</v>
      </c>
      <c r="AZ377" s="655">
        <f t="shared" si="249"/>
        <v>107.14285714285714</v>
      </c>
      <c r="BA377" s="655">
        <f t="shared" si="250"/>
        <v>125.44386219908108</v>
      </c>
      <c r="BB377" s="655">
        <f t="shared" si="251"/>
        <v>120</v>
      </c>
      <c r="BC377" s="655">
        <f t="shared" si="251"/>
        <v>100</v>
      </c>
    </row>
    <row r="378" spans="1:55" ht="12" customHeight="1">
      <c r="A378" s="36"/>
      <c r="B378" s="36"/>
      <c r="C378" s="36"/>
      <c r="D378" s="36"/>
      <c r="E378" s="36"/>
      <c r="F378" s="36"/>
      <c r="G378" s="36"/>
      <c r="H378" s="204">
        <v>9</v>
      </c>
      <c r="I378" s="118">
        <v>111</v>
      </c>
      <c r="J378" s="71">
        <v>3212</v>
      </c>
      <c r="K378" s="40" t="s">
        <v>184</v>
      </c>
      <c r="L378" s="309">
        <v>22600</v>
      </c>
      <c r="M378" s="309">
        <f>22600/7.5345</f>
        <v>2999.5354701705487</v>
      </c>
      <c r="N378" s="339">
        <v>22728</v>
      </c>
      <c r="O378" s="339">
        <f>N378/7.5345</f>
        <v>3016.523989647621</v>
      </c>
      <c r="P378" s="294">
        <v>4000</v>
      </c>
      <c r="Q378" s="294">
        <v>4000</v>
      </c>
      <c r="R378" s="443">
        <v>5010</v>
      </c>
      <c r="S378" s="294">
        <v>4176</v>
      </c>
      <c r="T378" s="294"/>
      <c r="U378" s="294"/>
      <c r="V378" s="478">
        <v>6000</v>
      </c>
      <c r="W378" s="478">
        <v>6000</v>
      </c>
      <c r="X378" s="544">
        <v>10000</v>
      </c>
      <c r="Y378" s="544"/>
      <c r="Z378" s="541" t="b">
        <f t="shared" si="257"/>
        <v>0</v>
      </c>
      <c r="AA378" s="527"/>
      <c r="AB378" s="528">
        <v>4000</v>
      </c>
      <c r="AC378" s="528">
        <v>4000</v>
      </c>
      <c r="AD378" s="524">
        <f>O378/M378*100</f>
        <v>100.56637168141593</v>
      </c>
      <c r="AE378" s="524">
        <f t="shared" si="278"/>
        <v>132.60295670538542</v>
      </c>
      <c r="AF378" s="524">
        <f t="shared" si="278"/>
        <v>100</v>
      </c>
      <c r="AG378" s="524">
        <f>AB378/Q378*100</f>
        <v>100</v>
      </c>
      <c r="AH378" s="527"/>
      <c r="AI378" s="544">
        <v>10000</v>
      </c>
      <c r="AJ378" s="516">
        <f>W378/R378*100</f>
        <v>119.76047904191616</v>
      </c>
      <c r="AK378" s="516">
        <f>AT378/W378*100</f>
        <v>116.66666666666667</v>
      </c>
      <c r="AL378" s="516">
        <f>X378/AT378*100</f>
        <v>142.85714285714286</v>
      </c>
      <c r="AM378" s="294"/>
      <c r="AO378" t="b">
        <f t="shared" si="245"/>
        <v>0</v>
      </c>
      <c r="AP378" s="493">
        <v>7585.7</v>
      </c>
      <c r="AQ378" s="443">
        <v>7585.7</v>
      </c>
      <c r="AR378" s="493">
        <v>7585.7</v>
      </c>
      <c r="AS378" s="443">
        <f>__xlfn.XLOOKUP(K378,[1]Izvršenje_proračuna_po_pozicija!$C$25:$C$149,[1]Izvršenje_proračuna_po_pozicija!$E$25:$E$149,0)</f>
        <v>2637</v>
      </c>
      <c r="AT378" s="617">
        <v>7000</v>
      </c>
      <c r="AU378" s="478">
        <v>9000</v>
      </c>
      <c r="AV378" s="638">
        <v>10000</v>
      </c>
      <c r="AW378" s="638">
        <v>10000</v>
      </c>
      <c r="AX378" s="655">
        <f t="shared" si="247"/>
        <v>139.72055888223554</v>
      </c>
      <c r="AY378" s="655">
        <f t="shared" si="248"/>
        <v>92.27889318058979</v>
      </c>
      <c r="AZ378" s="655">
        <f t="shared" si="249"/>
        <v>128.57142857142858</v>
      </c>
      <c r="BA378" s="655">
        <f t="shared" si="250"/>
        <v>118.64429123218687</v>
      </c>
      <c r="BB378" s="655">
        <f t="shared" si="251"/>
        <v>111.11111111111111</v>
      </c>
      <c r="BC378" s="655">
        <f t="shared" si="251"/>
        <v>100</v>
      </c>
    </row>
    <row r="379" spans="1:55" ht="12" customHeight="1">
      <c r="A379" s="36"/>
      <c r="B379" s="36"/>
      <c r="C379" s="36"/>
      <c r="D379" s="36"/>
      <c r="E379" s="36"/>
      <c r="F379" s="36"/>
      <c r="G379" s="36"/>
      <c r="H379" s="380">
        <v>10</v>
      </c>
      <c r="I379" s="121">
        <v>111</v>
      </c>
      <c r="J379" s="122">
        <v>3213</v>
      </c>
      <c r="K379" s="123" t="s">
        <v>107</v>
      </c>
      <c r="L379" s="322">
        <v>3350</v>
      </c>
      <c r="M379" s="322">
        <f>3350/7.5345</f>
        <v>444.62140818899724</v>
      </c>
      <c r="N379" s="346">
        <v>2790</v>
      </c>
      <c r="O379" s="339">
        <f>N379/7.5345</f>
        <v>370.29663547680667</v>
      </c>
      <c r="P379" s="301">
        <v>1300</v>
      </c>
      <c r="Q379" s="301">
        <v>1300</v>
      </c>
      <c r="R379" s="458">
        <v>1485</v>
      </c>
      <c r="S379" s="294">
        <v>3776</v>
      </c>
      <c r="T379" s="301"/>
      <c r="U379" s="301"/>
      <c r="V379" s="480">
        <v>1300</v>
      </c>
      <c r="W379" s="480">
        <v>5000</v>
      </c>
      <c r="X379" s="548">
        <v>10000</v>
      </c>
      <c r="Y379" s="548"/>
      <c r="Z379" s="541" t="b">
        <f t="shared" si="257"/>
        <v>0</v>
      </c>
      <c r="AA379" s="533"/>
      <c r="AB379" s="534">
        <v>1300</v>
      </c>
      <c r="AC379" s="534">
        <v>1300</v>
      </c>
      <c r="AD379" s="524">
        <f>O379/M379*100</f>
        <v>83.28358208955224</v>
      </c>
      <c r="AE379" s="524">
        <f t="shared" si="278"/>
        <v>351.06989247311827</v>
      </c>
      <c r="AF379" s="524">
        <f t="shared" si="278"/>
        <v>100</v>
      </c>
      <c r="AG379" s="524">
        <f>AB379/Q379*100</f>
        <v>100</v>
      </c>
      <c r="AH379" s="533"/>
      <c r="AI379" s="548">
        <v>10000</v>
      </c>
      <c r="AJ379" s="516">
        <f>W379/R379*100</f>
        <v>336.70033670033672</v>
      </c>
      <c r="AK379" s="516">
        <f>AT379/W379*100</f>
        <v>120</v>
      </c>
      <c r="AL379" s="516">
        <f>X379/AT379*100</f>
        <v>166.66666666666669</v>
      </c>
      <c r="AM379" s="301"/>
      <c r="AO379" t="b">
        <f t="shared" si="245"/>
        <v>0</v>
      </c>
      <c r="AP379" s="493">
        <v>4081.5</v>
      </c>
      <c r="AQ379" s="458">
        <v>4081.5</v>
      </c>
      <c r="AR379" s="493">
        <v>4081.5</v>
      </c>
      <c r="AS379" s="458">
        <v>266.54000000000002</v>
      </c>
      <c r="AT379" s="618">
        <v>6000</v>
      </c>
      <c r="AU379" s="480">
        <v>6000</v>
      </c>
      <c r="AV379" s="641">
        <v>10000</v>
      </c>
      <c r="AW379" s="641">
        <v>10000</v>
      </c>
      <c r="AX379" s="655">
        <f t="shared" si="247"/>
        <v>404.04040404040404</v>
      </c>
      <c r="AY379" s="655">
        <f t="shared" si="248"/>
        <v>147.00477765527381</v>
      </c>
      <c r="AZ379" s="655">
        <f t="shared" si="249"/>
        <v>100</v>
      </c>
      <c r="BA379" s="655">
        <f t="shared" si="250"/>
        <v>147.00477765527381</v>
      </c>
      <c r="BB379" s="655">
        <f t="shared" si="251"/>
        <v>166.66666666666669</v>
      </c>
      <c r="BC379" s="655">
        <f t="shared" si="251"/>
        <v>100</v>
      </c>
    </row>
    <row r="380" spans="1:55" ht="12" customHeight="1">
      <c r="A380" s="124"/>
      <c r="B380" s="124"/>
      <c r="C380" s="124"/>
      <c r="D380" s="124"/>
      <c r="E380" s="124"/>
      <c r="F380" s="124"/>
      <c r="G380" s="124"/>
      <c r="H380" s="380" t="s">
        <v>185</v>
      </c>
      <c r="I380" s="121">
        <v>111</v>
      </c>
      <c r="J380" s="122">
        <v>3214</v>
      </c>
      <c r="K380" s="123" t="s">
        <v>186</v>
      </c>
      <c r="L380" s="322">
        <v>5178</v>
      </c>
      <c r="M380" s="322">
        <f>5178/7.5345</f>
        <v>687.23870197093368</v>
      </c>
      <c r="N380" s="346">
        <v>8199</v>
      </c>
      <c r="O380" s="339">
        <f>N380/7.5345</f>
        <v>1088.194306191519</v>
      </c>
      <c r="P380" s="301">
        <v>2000</v>
      </c>
      <c r="Q380" s="301">
        <v>2000</v>
      </c>
      <c r="R380" s="458">
        <v>1286</v>
      </c>
      <c r="S380" s="294">
        <f>__xlfn.XLOOKUP(H380,[2]Izvršenje_proračuna_po_pozicija!$B$2:$B$153,[2]Izvršenje_proračuna_po_pozicija!$E$2:$E$153,0)</f>
        <v>1773.52</v>
      </c>
      <c r="T380" s="301"/>
      <c r="U380" s="301"/>
      <c r="V380" s="480">
        <v>2000</v>
      </c>
      <c r="W380" s="480">
        <v>2000</v>
      </c>
      <c r="X380" s="548">
        <v>3000</v>
      </c>
      <c r="Y380" s="548"/>
      <c r="Z380" s="541" t="b">
        <f t="shared" si="257"/>
        <v>0</v>
      </c>
      <c r="AA380" s="533"/>
      <c r="AB380" s="534">
        <v>2000</v>
      </c>
      <c r="AC380" s="534">
        <v>2000</v>
      </c>
      <c r="AD380" s="524">
        <f>O380/M380*100</f>
        <v>158.34298957126305</v>
      </c>
      <c r="AE380" s="524">
        <f t="shared" si="278"/>
        <v>183.79070618368095</v>
      </c>
      <c r="AF380" s="524">
        <f t="shared" si="278"/>
        <v>100</v>
      </c>
      <c r="AG380" s="524">
        <f>AB380/Q380*100</f>
        <v>100</v>
      </c>
      <c r="AH380" s="533"/>
      <c r="AI380" s="548">
        <v>3000</v>
      </c>
      <c r="AJ380" s="516">
        <f>W380/R380*100</f>
        <v>155.52099533437013</v>
      </c>
      <c r="AK380" s="516">
        <f>AT380/W380*100</f>
        <v>125</v>
      </c>
      <c r="AL380" s="516">
        <f>X380/AT380*100</f>
        <v>120</v>
      </c>
      <c r="AM380" s="301"/>
      <c r="AO380" t="b">
        <f t="shared" si="245"/>
        <v>0</v>
      </c>
      <c r="AP380" s="493">
        <v>2434.52</v>
      </c>
      <c r="AQ380" s="458">
        <v>2434.52</v>
      </c>
      <c r="AR380" s="493">
        <v>2434.52</v>
      </c>
      <c r="AS380" s="458">
        <v>107</v>
      </c>
      <c r="AT380" s="618">
        <v>2500</v>
      </c>
      <c r="AU380" s="480">
        <v>2500</v>
      </c>
      <c r="AV380" s="641">
        <v>3000</v>
      </c>
      <c r="AW380" s="641">
        <v>3000</v>
      </c>
      <c r="AX380" s="655">
        <f t="shared" si="247"/>
        <v>194.40124416796266</v>
      </c>
      <c r="AY380" s="655">
        <f t="shared" si="248"/>
        <v>102.68964724052381</v>
      </c>
      <c r="AZ380" s="655">
        <f t="shared" si="249"/>
        <v>100</v>
      </c>
      <c r="BA380" s="655">
        <f t="shared" si="250"/>
        <v>102.68964724052381</v>
      </c>
      <c r="BB380" s="655">
        <f t="shared" si="251"/>
        <v>120</v>
      </c>
      <c r="BC380" s="655">
        <f t="shared" si="251"/>
        <v>100</v>
      </c>
    </row>
    <row r="381" spans="1:55" ht="12" customHeight="1">
      <c r="A381" s="124"/>
      <c r="B381" s="124"/>
      <c r="C381" s="124"/>
      <c r="D381" s="124"/>
      <c r="E381" s="124"/>
      <c r="F381" s="124"/>
      <c r="G381" s="124"/>
      <c r="H381" s="204"/>
      <c r="I381" s="132"/>
      <c r="J381" s="71"/>
      <c r="K381" s="40"/>
      <c r="L381" s="309"/>
      <c r="M381" s="309"/>
      <c r="N381" s="339"/>
      <c r="O381" s="339"/>
      <c r="P381" s="294"/>
      <c r="Q381" s="294"/>
      <c r="R381" s="443"/>
      <c r="S381" s="294">
        <f>__xlfn.XLOOKUP(H381,[2]Izvršenje_proračuna_po_pozicija!$B$2:$B$153,[2]Izvršenje_proračuna_po_pozicija!$E$2:$E$153,0)</f>
        <v>0</v>
      </c>
      <c r="T381" s="294"/>
      <c r="U381" s="294"/>
      <c r="V381" s="478"/>
      <c r="W381" s="478"/>
      <c r="X381" s="544"/>
      <c r="Y381" s="544"/>
      <c r="Z381" s="541" t="b">
        <f t="shared" si="257"/>
        <v>0</v>
      </c>
      <c r="AA381" s="527"/>
      <c r="AB381" s="528"/>
      <c r="AC381" s="528"/>
      <c r="AD381" s="524"/>
      <c r="AE381" s="524"/>
      <c r="AF381" s="524"/>
      <c r="AG381" s="524"/>
      <c r="AH381" s="527"/>
      <c r="AI381" s="544"/>
      <c r="AJ381" s="516"/>
      <c r="AK381" s="516"/>
      <c r="AL381" s="516"/>
      <c r="AM381" s="294"/>
      <c r="AO381" t="b">
        <f t="shared" si="245"/>
        <v>0</v>
      </c>
      <c r="AQ381" s="443"/>
      <c r="AS381" s="443">
        <f>__xlfn.XLOOKUP(K381,[1]Izvršenje_proračuna_po_pozicija!$C$25:$C$149,[1]Izvršenje_proračuna_po_pozicija!$E$25:$E$149,0)</f>
        <v>0</v>
      </c>
      <c r="AT381" s="617"/>
      <c r="AU381" s="478"/>
      <c r="AV381" s="638"/>
      <c r="AW381" s="638"/>
      <c r="AX381" s="655" t="str">
        <f t="shared" si="247"/>
        <v/>
      </c>
      <c r="AY381" s="655" t="str">
        <f t="shared" si="248"/>
        <v/>
      </c>
      <c r="AZ381" s="655" t="str">
        <f t="shared" si="249"/>
        <v/>
      </c>
      <c r="BA381" s="655" t="str">
        <f t="shared" si="250"/>
        <v/>
      </c>
      <c r="BB381" s="655" t="str">
        <f t="shared" si="251"/>
        <v/>
      </c>
      <c r="BC381" s="655" t="str">
        <f t="shared" si="251"/>
        <v/>
      </c>
    </row>
    <row r="382" spans="1:55" ht="12" customHeight="1">
      <c r="A382" s="56"/>
      <c r="B382" s="56"/>
      <c r="C382" s="56"/>
      <c r="D382" s="56"/>
      <c r="E382" s="56"/>
      <c r="F382" s="56"/>
      <c r="G382" s="56"/>
      <c r="H382" s="381"/>
      <c r="I382" s="125"/>
      <c r="J382" s="126">
        <v>322</v>
      </c>
      <c r="K382" s="127" t="s">
        <v>187</v>
      </c>
      <c r="L382" s="320">
        <f t="shared" ref="L382:S382" si="280">L383+L384+L385+L386+L387</f>
        <v>110945</v>
      </c>
      <c r="M382" s="320">
        <f t="shared" si="280"/>
        <v>14724.931979560686</v>
      </c>
      <c r="N382" s="344">
        <f t="shared" si="280"/>
        <v>77168</v>
      </c>
      <c r="O382" s="344">
        <f t="shared" si="280"/>
        <v>10241.953679739861</v>
      </c>
      <c r="P382" s="299">
        <f t="shared" si="280"/>
        <v>17500</v>
      </c>
      <c r="Q382" s="299">
        <f t="shared" si="280"/>
        <v>28900</v>
      </c>
      <c r="R382" s="447">
        <f t="shared" si="280"/>
        <v>34501</v>
      </c>
      <c r="S382" s="299">
        <f t="shared" si="280"/>
        <v>19127.53</v>
      </c>
      <c r="T382" s="299"/>
      <c r="U382" s="299"/>
      <c r="V382" s="477">
        <f>V383+V384+V385+V386+V387</f>
        <v>28900</v>
      </c>
      <c r="W382" s="477">
        <f>W383+W384+W385+W386+W387</f>
        <v>32600</v>
      </c>
      <c r="X382" s="542">
        <f>X383+X384+X385+X386+X387</f>
        <v>48000</v>
      </c>
      <c r="Y382" s="542">
        <f>Y383+Y384+Y385+Y386+Y387</f>
        <v>0</v>
      </c>
      <c r="Z382" s="541" t="b">
        <f t="shared" si="257"/>
        <v>1</v>
      </c>
      <c r="AA382" s="542"/>
      <c r="AB382" s="543">
        <f>AB383+AB384+AB385+AB386+AB387</f>
        <v>18100</v>
      </c>
      <c r="AC382" s="543">
        <f>AC383+AC384+AC385+AC386+AC387</f>
        <v>18100</v>
      </c>
      <c r="AD382" s="524">
        <f>O382/M382*100</f>
        <v>69.555185001577343</v>
      </c>
      <c r="AE382" s="524">
        <f t="shared" ref="AE382:AF385" si="281">P382/O382*100</f>
        <v>170.86583817126274</v>
      </c>
      <c r="AF382" s="524">
        <f t="shared" si="281"/>
        <v>165.14285714285714</v>
      </c>
      <c r="AG382" s="524">
        <f>AB382/Q382*100</f>
        <v>62.629757785467135</v>
      </c>
      <c r="AH382" s="542"/>
      <c r="AI382" s="542">
        <v>48000</v>
      </c>
      <c r="AJ382" s="516">
        <f>W382/R382*100</f>
        <v>94.490014782180225</v>
      </c>
      <c r="AK382" s="516">
        <f t="shared" ref="AK382:AK387" si="282">AT382/W382*100</f>
        <v>113.49693251533743</v>
      </c>
      <c r="AL382" s="516">
        <f t="shared" ref="AL382:AL387" si="283">X382/AT382*100</f>
        <v>129.72972972972974</v>
      </c>
      <c r="AM382" s="299"/>
      <c r="AO382" t="b">
        <f t="shared" si="245"/>
        <v>1</v>
      </c>
      <c r="AP382" s="503">
        <f t="shared" ref="AP382:AU382" si="284">AP383+AP384+AP385+AP386+AP387</f>
        <v>24877.949999999997</v>
      </c>
      <c r="AQ382" s="447">
        <v>24877.95</v>
      </c>
      <c r="AR382" s="503">
        <f>AR383+AR384+AR385+AR386+AR387</f>
        <v>24877.949999999997</v>
      </c>
      <c r="AS382" s="447">
        <f t="shared" si="284"/>
        <v>7057.02</v>
      </c>
      <c r="AT382" s="611">
        <f t="shared" si="284"/>
        <v>37000</v>
      </c>
      <c r="AU382" s="477">
        <f t="shared" si="284"/>
        <v>38000</v>
      </c>
      <c r="AV382" s="643">
        <v>48000</v>
      </c>
      <c r="AW382" s="643">
        <v>48000</v>
      </c>
      <c r="AX382" s="655">
        <f t="shared" si="247"/>
        <v>107.24326831106346</v>
      </c>
      <c r="AY382" s="655">
        <f t="shared" si="248"/>
        <v>148.72608072610484</v>
      </c>
      <c r="AZ382" s="655">
        <f t="shared" si="249"/>
        <v>102.70270270270269</v>
      </c>
      <c r="BA382" s="655">
        <f t="shared" si="250"/>
        <v>152.74570452951309</v>
      </c>
      <c r="BB382" s="655">
        <f t="shared" si="251"/>
        <v>126.31578947368421</v>
      </c>
      <c r="BC382" s="655">
        <f t="shared" si="251"/>
        <v>100</v>
      </c>
    </row>
    <row r="383" spans="1:55" ht="12" customHeight="1">
      <c r="A383" s="36"/>
      <c r="B383" s="36"/>
      <c r="C383" s="36"/>
      <c r="D383" s="36"/>
      <c r="E383" s="36"/>
      <c r="F383" s="36"/>
      <c r="G383" s="36"/>
      <c r="H383" s="204">
        <v>11</v>
      </c>
      <c r="I383" s="118">
        <v>111</v>
      </c>
      <c r="J383" s="71">
        <v>3221</v>
      </c>
      <c r="K383" s="40" t="s">
        <v>188</v>
      </c>
      <c r="L383" s="309">
        <v>49054</v>
      </c>
      <c r="M383" s="309">
        <f>49054/7.5345</f>
        <v>6510.5846439710658</v>
      </c>
      <c r="N383" s="339">
        <v>57689</v>
      </c>
      <c r="O383" s="339">
        <f>N383/7.5345</f>
        <v>7656.6460946313618</v>
      </c>
      <c r="P383" s="294">
        <v>8800</v>
      </c>
      <c r="Q383" s="269">
        <v>12500</v>
      </c>
      <c r="R383" s="443">
        <v>13194</v>
      </c>
      <c r="S383" s="294">
        <v>4610</v>
      </c>
      <c r="T383" s="294"/>
      <c r="U383" s="294"/>
      <c r="V383" s="478">
        <v>12500</v>
      </c>
      <c r="W383" s="478">
        <v>12500</v>
      </c>
      <c r="X383" s="544">
        <v>16000</v>
      </c>
      <c r="Y383" s="544"/>
      <c r="Z383" s="541" t="b">
        <f t="shared" si="257"/>
        <v>0</v>
      </c>
      <c r="AA383" s="527"/>
      <c r="AB383" s="528">
        <v>9000</v>
      </c>
      <c r="AC383" s="528">
        <v>9000</v>
      </c>
      <c r="AD383" s="524">
        <f>O383/M383*100</f>
        <v>117.60304970033025</v>
      </c>
      <c r="AE383" s="524">
        <f t="shared" si="281"/>
        <v>114.93282948222365</v>
      </c>
      <c r="AF383" s="524">
        <f t="shared" si="281"/>
        <v>142.04545454545453</v>
      </c>
      <c r="AG383" s="524">
        <f>AB383/Q383*100</f>
        <v>72</v>
      </c>
      <c r="AH383" s="527"/>
      <c r="AI383" s="544">
        <v>16000</v>
      </c>
      <c r="AJ383" s="516">
        <f>W383/R383*100</f>
        <v>94.740033348491735</v>
      </c>
      <c r="AK383" s="516">
        <f t="shared" si="282"/>
        <v>120</v>
      </c>
      <c r="AL383" s="516">
        <f t="shared" si="283"/>
        <v>106.66666666666667</v>
      </c>
      <c r="AM383" s="294"/>
      <c r="AO383" t="b">
        <f t="shared" si="245"/>
        <v>0</v>
      </c>
      <c r="AP383" s="493">
        <v>6949.6</v>
      </c>
      <c r="AQ383" s="443">
        <v>6949.6</v>
      </c>
      <c r="AR383" s="493">
        <v>6949.6</v>
      </c>
      <c r="AS383" s="443">
        <v>3325.27</v>
      </c>
      <c r="AT383" s="617">
        <v>15000</v>
      </c>
      <c r="AU383" s="478">
        <v>15000</v>
      </c>
      <c r="AV383" s="638">
        <v>16000</v>
      </c>
      <c r="AW383" s="638">
        <v>16000</v>
      </c>
      <c r="AX383" s="655">
        <f t="shared" si="247"/>
        <v>113.68804001819008</v>
      </c>
      <c r="AY383" s="655">
        <f t="shared" si="248"/>
        <v>215.83976056175894</v>
      </c>
      <c r="AZ383" s="655">
        <f t="shared" si="249"/>
        <v>100</v>
      </c>
      <c r="BA383" s="655">
        <f t="shared" si="250"/>
        <v>215.83976056175894</v>
      </c>
      <c r="BB383" s="655">
        <f t="shared" si="251"/>
        <v>106.66666666666667</v>
      </c>
      <c r="BC383" s="655">
        <f t="shared" si="251"/>
        <v>100</v>
      </c>
    </row>
    <row r="384" spans="1:55" ht="12" customHeight="1">
      <c r="A384" s="36"/>
      <c r="B384" s="36"/>
      <c r="C384" s="36"/>
      <c r="D384" s="36"/>
      <c r="E384" s="36"/>
      <c r="F384" s="36"/>
      <c r="G384" s="36"/>
      <c r="H384" s="204">
        <v>12</v>
      </c>
      <c r="I384" s="118">
        <v>111</v>
      </c>
      <c r="J384" s="71">
        <v>3223</v>
      </c>
      <c r="K384" s="40" t="s">
        <v>110</v>
      </c>
      <c r="L384" s="309">
        <v>50529</v>
      </c>
      <c r="M384" s="309">
        <f>50529/7.5345</f>
        <v>6706.3507863826399</v>
      </c>
      <c r="N384" s="339">
        <v>13869</v>
      </c>
      <c r="O384" s="339">
        <f>N384/7.5345</f>
        <v>1840.7326299024487</v>
      </c>
      <c r="P384" s="294">
        <v>5500</v>
      </c>
      <c r="Q384" s="269">
        <v>12000</v>
      </c>
      <c r="R384" s="443">
        <v>18066</v>
      </c>
      <c r="S384" s="294">
        <v>10412</v>
      </c>
      <c r="T384" s="294"/>
      <c r="U384" s="294"/>
      <c r="V384" s="478">
        <v>12000</v>
      </c>
      <c r="W384" s="478">
        <v>13500</v>
      </c>
      <c r="X384" s="544">
        <v>22000</v>
      </c>
      <c r="Y384" s="544"/>
      <c r="Z384" s="541" t="b">
        <f t="shared" si="257"/>
        <v>0</v>
      </c>
      <c r="AA384" s="527"/>
      <c r="AB384" s="528">
        <v>5600</v>
      </c>
      <c r="AC384" s="528">
        <v>5600</v>
      </c>
      <c r="AD384" s="524">
        <f>O384/M384*100</f>
        <v>27.447604346019116</v>
      </c>
      <c r="AE384" s="524">
        <f t="shared" si="281"/>
        <v>298.79407311269739</v>
      </c>
      <c r="AF384" s="524">
        <f t="shared" si="281"/>
        <v>218.18181818181816</v>
      </c>
      <c r="AG384" s="524">
        <f>AB384/Q384*100</f>
        <v>46.666666666666664</v>
      </c>
      <c r="AH384" s="527"/>
      <c r="AI384" s="544">
        <v>22000</v>
      </c>
      <c r="AJ384" s="516">
        <f>W384/R384*100</f>
        <v>74.726004649618076</v>
      </c>
      <c r="AK384" s="516">
        <f t="shared" si="282"/>
        <v>118.5185185185185</v>
      </c>
      <c r="AL384" s="516">
        <f t="shared" si="283"/>
        <v>137.5</v>
      </c>
      <c r="AM384" s="294"/>
      <c r="AO384" t="b">
        <f t="shared" si="245"/>
        <v>0</v>
      </c>
      <c r="AP384" s="493">
        <v>13499.31</v>
      </c>
      <c r="AQ384" s="443">
        <v>13499.31</v>
      </c>
      <c r="AR384" s="493">
        <v>13499.31</v>
      </c>
      <c r="AS384" s="443">
        <f>__xlfn.XLOOKUP(K384,[1]Izvršenje_proračuna_po_pozicija!$C$25:$C$149,[1]Izvršenje_proračuna_po_pozicija!$E$25:$E$149,0)</f>
        <v>0</v>
      </c>
      <c r="AT384" s="617">
        <v>16000</v>
      </c>
      <c r="AU384" s="478">
        <v>16000</v>
      </c>
      <c r="AV384" s="638">
        <v>22000</v>
      </c>
      <c r="AW384" s="638">
        <v>22000</v>
      </c>
      <c r="AX384" s="655">
        <f t="shared" si="247"/>
        <v>88.564153658806603</v>
      </c>
      <c r="AY384" s="655">
        <f t="shared" si="248"/>
        <v>118.52457644131442</v>
      </c>
      <c r="AZ384" s="655">
        <f t="shared" si="249"/>
        <v>100</v>
      </c>
      <c r="BA384" s="655">
        <f t="shared" si="250"/>
        <v>118.52457644131442</v>
      </c>
      <c r="BB384" s="655">
        <f t="shared" si="251"/>
        <v>137.5</v>
      </c>
      <c r="BC384" s="655">
        <f t="shared" si="251"/>
        <v>100</v>
      </c>
    </row>
    <row r="385" spans="1:55" ht="12" customHeight="1">
      <c r="A385" s="36"/>
      <c r="B385" s="36"/>
      <c r="C385" s="36"/>
      <c r="D385" s="36"/>
      <c r="E385" s="36"/>
      <c r="F385" s="36"/>
      <c r="G385" s="36"/>
      <c r="H385" s="204">
        <v>13</v>
      </c>
      <c r="I385" s="118">
        <v>111</v>
      </c>
      <c r="J385" s="71">
        <v>3224</v>
      </c>
      <c r="K385" s="40" t="s">
        <v>189</v>
      </c>
      <c r="L385" s="309">
        <v>7028</v>
      </c>
      <c r="M385" s="309">
        <f>7028/7.5345</f>
        <v>932.7758975379918</v>
      </c>
      <c r="N385" s="339">
        <v>5610</v>
      </c>
      <c r="O385" s="339">
        <f>N385/7.5345</f>
        <v>744.5749552060521</v>
      </c>
      <c r="P385" s="294">
        <v>1300</v>
      </c>
      <c r="Q385" s="269">
        <v>2500</v>
      </c>
      <c r="R385" s="443">
        <v>2847</v>
      </c>
      <c r="S385" s="294">
        <v>725</v>
      </c>
      <c r="T385" s="294"/>
      <c r="U385" s="294"/>
      <c r="V385" s="478">
        <v>2500</v>
      </c>
      <c r="W385" s="478">
        <v>2500</v>
      </c>
      <c r="X385" s="544">
        <v>6000</v>
      </c>
      <c r="Y385" s="544"/>
      <c r="Z385" s="541" t="b">
        <f t="shared" si="257"/>
        <v>0</v>
      </c>
      <c r="AA385" s="527"/>
      <c r="AB385" s="528">
        <v>1500</v>
      </c>
      <c r="AC385" s="528">
        <v>1500</v>
      </c>
      <c r="AD385" s="524">
        <f>O385/M385*100</f>
        <v>79.823562891291971</v>
      </c>
      <c r="AE385" s="524">
        <f t="shared" si="281"/>
        <v>174.596256684492</v>
      </c>
      <c r="AF385" s="524">
        <f t="shared" si="281"/>
        <v>192.30769230769232</v>
      </c>
      <c r="AG385" s="524">
        <f>AB385/Q385*100</f>
        <v>60</v>
      </c>
      <c r="AH385" s="527"/>
      <c r="AI385" s="544">
        <v>6000</v>
      </c>
      <c r="AJ385" s="516">
        <f>W385/R385*100</f>
        <v>87.811731647348097</v>
      </c>
      <c r="AK385" s="516">
        <f t="shared" si="282"/>
        <v>140</v>
      </c>
      <c r="AL385" s="516">
        <f t="shared" si="283"/>
        <v>171.42857142857142</v>
      </c>
      <c r="AM385" s="294"/>
      <c r="AO385" t="b">
        <f t="shared" si="245"/>
        <v>0</v>
      </c>
      <c r="AP385" s="493">
        <v>725.41</v>
      </c>
      <c r="AQ385" s="443">
        <v>725.41</v>
      </c>
      <c r="AR385" s="493">
        <v>725.41</v>
      </c>
      <c r="AS385" s="443">
        <v>2666.25</v>
      </c>
      <c r="AT385" s="617">
        <v>3500</v>
      </c>
      <c r="AU385" s="478">
        <v>4000</v>
      </c>
      <c r="AV385" s="638">
        <v>6000</v>
      </c>
      <c r="AW385" s="638">
        <v>6000</v>
      </c>
      <c r="AX385" s="655">
        <f t="shared" si="247"/>
        <v>122.93642430628734</v>
      </c>
      <c r="AY385" s="655">
        <f t="shared" si="248"/>
        <v>482.48576666988328</v>
      </c>
      <c r="AZ385" s="655">
        <f t="shared" si="249"/>
        <v>114.28571428571428</v>
      </c>
      <c r="BA385" s="655">
        <f t="shared" si="250"/>
        <v>551.41230476558087</v>
      </c>
      <c r="BB385" s="655">
        <f t="shared" si="251"/>
        <v>150</v>
      </c>
      <c r="BC385" s="655">
        <f t="shared" si="251"/>
        <v>100</v>
      </c>
    </row>
    <row r="386" spans="1:55" ht="12" customHeight="1">
      <c r="A386" s="36"/>
      <c r="B386" s="36"/>
      <c r="C386" s="36"/>
      <c r="D386" s="36"/>
      <c r="E386" s="36"/>
      <c r="F386" s="36"/>
      <c r="G386" s="36"/>
      <c r="H386" s="204">
        <v>14</v>
      </c>
      <c r="I386" s="118">
        <v>111</v>
      </c>
      <c r="J386" s="71">
        <v>3225</v>
      </c>
      <c r="K386" s="40" t="s">
        <v>190</v>
      </c>
      <c r="L386" s="309">
        <v>4334</v>
      </c>
      <c r="M386" s="309">
        <f>4334/7.5345</f>
        <v>575.22065166898926</v>
      </c>
      <c r="N386" s="339">
        <v>0</v>
      </c>
      <c r="O386" s="339">
        <f>N386/7.5345</f>
        <v>0</v>
      </c>
      <c r="P386" s="294">
        <v>600</v>
      </c>
      <c r="Q386" s="294">
        <v>600</v>
      </c>
      <c r="R386" s="443">
        <v>394</v>
      </c>
      <c r="S386" s="294">
        <v>756</v>
      </c>
      <c r="T386" s="294"/>
      <c r="U386" s="294"/>
      <c r="V386" s="478">
        <v>600</v>
      </c>
      <c r="W386" s="478">
        <v>1100</v>
      </c>
      <c r="X386" s="544">
        <v>2000</v>
      </c>
      <c r="Y386" s="544"/>
      <c r="Z386" s="541" t="b">
        <f t="shared" si="257"/>
        <v>0</v>
      </c>
      <c r="AA386" s="527"/>
      <c r="AB386" s="528">
        <v>1000</v>
      </c>
      <c r="AC386" s="528">
        <v>1000</v>
      </c>
      <c r="AD386" s="524">
        <f>O386/M386*100</f>
        <v>0</v>
      </c>
      <c r="AE386" s="524"/>
      <c r="AF386" s="524">
        <f>Q386/P386*100</f>
        <v>100</v>
      </c>
      <c r="AG386" s="524">
        <f>AB386/Q386*100</f>
        <v>166.66666666666669</v>
      </c>
      <c r="AH386" s="527"/>
      <c r="AI386" s="544">
        <v>2000</v>
      </c>
      <c r="AJ386" s="516">
        <f>W386/R386*100</f>
        <v>279.18781725888329</v>
      </c>
      <c r="AK386" s="516">
        <f t="shared" si="282"/>
        <v>136.36363636363635</v>
      </c>
      <c r="AL386" s="516">
        <f t="shared" si="283"/>
        <v>133.33333333333331</v>
      </c>
      <c r="AM386" s="294"/>
      <c r="AO386" t="b">
        <f t="shared" si="245"/>
        <v>0</v>
      </c>
      <c r="AP386" s="493">
        <v>864.6</v>
      </c>
      <c r="AQ386" s="443">
        <v>864.6</v>
      </c>
      <c r="AR386" s="493">
        <v>864.6</v>
      </c>
      <c r="AS386" s="443">
        <f>__xlfn.XLOOKUP(K386,[1]Izvršenje_proračuna_po_pozicija!$C$25:$C$149,[1]Izvršenje_proračuna_po_pozicija!$E$25:$E$149,0)</f>
        <v>1065.5</v>
      </c>
      <c r="AT386" s="617">
        <v>1500</v>
      </c>
      <c r="AU386" s="478">
        <v>2000</v>
      </c>
      <c r="AV386" s="638">
        <v>2000</v>
      </c>
      <c r="AW386" s="638">
        <v>2000</v>
      </c>
      <c r="AX386" s="655">
        <f t="shared" si="247"/>
        <v>380.71065989847716</v>
      </c>
      <c r="AY386" s="655">
        <f t="shared" si="248"/>
        <v>173.49063150589868</v>
      </c>
      <c r="AZ386" s="655">
        <f t="shared" si="249"/>
        <v>133.33333333333331</v>
      </c>
      <c r="BA386" s="655">
        <f t="shared" si="250"/>
        <v>231.32084200786491</v>
      </c>
      <c r="BB386" s="655">
        <f t="shared" si="251"/>
        <v>100</v>
      </c>
      <c r="BC386" s="655">
        <f t="shared" si="251"/>
        <v>100</v>
      </c>
    </row>
    <row r="387" spans="1:55" ht="12" customHeight="1">
      <c r="A387" s="36"/>
      <c r="B387" s="36"/>
      <c r="C387" s="36"/>
      <c r="D387" s="36"/>
      <c r="E387" s="36"/>
      <c r="F387" s="36"/>
      <c r="G387" s="36"/>
      <c r="H387" s="204" t="s">
        <v>619</v>
      </c>
      <c r="I387" s="118">
        <v>111</v>
      </c>
      <c r="J387" s="71">
        <v>3227</v>
      </c>
      <c r="K387" s="40" t="s">
        <v>620</v>
      </c>
      <c r="L387" s="309">
        <v>0</v>
      </c>
      <c r="M387" s="309">
        <v>0</v>
      </c>
      <c r="N387" s="339">
        <v>0</v>
      </c>
      <c r="O387" s="339">
        <f>N387/7.5345</f>
        <v>0</v>
      </c>
      <c r="P387" s="294">
        <v>1300</v>
      </c>
      <c r="Q387" s="294">
        <v>1300</v>
      </c>
      <c r="R387" s="443">
        <v>0</v>
      </c>
      <c r="S387" s="294">
        <f>__xlfn.XLOOKUP(H387,[2]Izvršenje_proračuna_po_pozicija!$B$2:$B$153,[2]Izvršenje_proračuna_po_pozicija!$E$2:$E$153,0)</f>
        <v>2624.53</v>
      </c>
      <c r="T387" s="294"/>
      <c r="U387" s="294"/>
      <c r="V387" s="478">
        <v>1300</v>
      </c>
      <c r="W387" s="478">
        <v>3000</v>
      </c>
      <c r="X387" s="544">
        <v>2000</v>
      </c>
      <c r="Y387" s="544"/>
      <c r="Z387" s="541" t="b">
        <f t="shared" si="257"/>
        <v>0</v>
      </c>
      <c r="AA387" s="527"/>
      <c r="AB387" s="528">
        <v>1000</v>
      </c>
      <c r="AC387" s="528">
        <v>1000</v>
      </c>
      <c r="AD387" s="524"/>
      <c r="AE387" s="524"/>
      <c r="AF387" s="524"/>
      <c r="AG387" s="524"/>
      <c r="AH387" s="527"/>
      <c r="AI387" s="544">
        <v>2000</v>
      </c>
      <c r="AJ387" s="516"/>
      <c r="AK387" s="516">
        <f t="shared" si="282"/>
        <v>33.333333333333329</v>
      </c>
      <c r="AL387" s="516">
        <f t="shared" si="283"/>
        <v>200</v>
      </c>
      <c r="AM387" s="294"/>
      <c r="AO387" t="b">
        <f t="shared" si="245"/>
        <v>0</v>
      </c>
      <c r="AP387" s="493">
        <v>2839.03</v>
      </c>
      <c r="AQ387" s="443">
        <v>2839.03</v>
      </c>
      <c r="AR387" s="493">
        <v>2839.03</v>
      </c>
      <c r="AS387" s="443">
        <f>__xlfn.XLOOKUP(K387,[1]Izvršenje_proračuna_po_pozicija!$C$25:$C$149,[1]Izvršenje_proračuna_po_pozicija!$E$25:$E$149,0)</f>
        <v>0</v>
      </c>
      <c r="AT387" s="617">
        <v>1000</v>
      </c>
      <c r="AU387" s="478">
        <v>1000</v>
      </c>
      <c r="AV387" s="638">
        <v>2000</v>
      </c>
      <c r="AW387" s="638">
        <v>2000</v>
      </c>
      <c r="AX387" s="655" t="str">
        <f t="shared" si="247"/>
        <v/>
      </c>
      <c r="AY387" s="655">
        <f t="shared" si="248"/>
        <v>35.22329809829413</v>
      </c>
      <c r="AZ387" s="655">
        <f t="shared" si="249"/>
        <v>100</v>
      </c>
      <c r="BA387" s="655">
        <f t="shared" si="250"/>
        <v>35.22329809829413</v>
      </c>
      <c r="BB387" s="655">
        <f t="shared" si="251"/>
        <v>200</v>
      </c>
      <c r="BC387" s="655">
        <f t="shared" si="251"/>
        <v>100</v>
      </c>
    </row>
    <row r="388" spans="1:55" ht="12" customHeight="1">
      <c r="A388" s="25"/>
      <c r="B388" s="25"/>
      <c r="C388" s="25"/>
      <c r="D388" s="25"/>
      <c r="E388" s="25"/>
      <c r="F388" s="25"/>
      <c r="G388" s="25"/>
      <c r="H388" s="382"/>
      <c r="I388" s="114"/>
      <c r="J388" s="94"/>
      <c r="K388" s="26"/>
      <c r="L388" s="317"/>
      <c r="M388" s="317"/>
      <c r="N388" s="341"/>
      <c r="O388" s="341"/>
      <c r="P388" s="296"/>
      <c r="Q388" s="296"/>
      <c r="R388" s="445"/>
      <c r="S388" s="294">
        <f>__xlfn.XLOOKUP(H388,[2]Izvršenje_proračuna_po_pozicija!$B$2:$B$153,[2]Izvršenje_proračuna_po_pozicija!$E$2:$E$153,0)</f>
        <v>0</v>
      </c>
      <c r="T388" s="294"/>
      <c r="U388" s="294"/>
      <c r="V388" s="481"/>
      <c r="W388" s="481"/>
      <c r="X388" s="549"/>
      <c r="Y388" s="549"/>
      <c r="Z388" s="541" t="b">
        <f t="shared" si="257"/>
        <v>0</v>
      </c>
      <c r="AA388" s="531"/>
      <c r="AB388" s="532"/>
      <c r="AC388" s="532"/>
      <c r="AD388" s="524"/>
      <c r="AE388" s="524"/>
      <c r="AF388" s="524"/>
      <c r="AG388" s="524"/>
      <c r="AH388" s="531"/>
      <c r="AI388" s="549"/>
      <c r="AJ388" s="516"/>
      <c r="AK388" s="516"/>
      <c r="AL388" s="516"/>
      <c r="AM388" s="296"/>
      <c r="AO388" t="b">
        <f t="shared" si="245"/>
        <v>0</v>
      </c>
      <c r="AQ388" s="445"/>
      <c r="AS388" s="445">
        <f>__xlfn.XLOOKUP(K388,[1]Izvršenje_proračuna_po_pozicija!$C$25:$C$149,[1]Izvršenje_proračuna_po_pozicija!$E$25:$E$149,0)</f>
        <v>0</v>
      </c>
      <c r="AT388" s="616"/>
      <c r="AU388" s="481"/>
      <c r="AV388" s="640"/>
      <c r="AW388" s="640"/>
      <c r="AX388" s="655" t="str">
        <f t="shared" si="247"/>
        <v/>
      </c>
      <c r="AY388" s="655" t="str">
        <f t="shared" si="248"/>
        <v/>
      </c>
      <c r="AZ388" s="655" t="str">
        <f t="shared" si="249"/>
        <v/>
      </c>
      <c r="BA388" s="655" t="str">
        <f t="shared" si="250"/>
        <v/>
      </c>
      <c r="BB388" s="655" t="str">
        <f t="shared" si="251"/>
        <v/>
      </c>
      <c r="BC388" s="655" t="str">
        <f t="shared" si="251"/>
        <v/>
      </c>
    </row>
    <row r="389" spans="1:55" ht="12" customHeight="1">
      <c r="A389" s="56"/>
      <c r="B389" s="56"/>
      <c r="C389" s="56"/>
      <c r="D389" s="56"/>
      <c r="E389" s="56"/>
      <c r="F389" s="56"/>
      <c r="G389" s="56"/>
      <c r="H389" s="377"/>
      <c r="I389" s="119"/>
      <c r="J389" s="116">
        <v>323</v>
      </c>
      <c r="K389" s="60" t="s">
        <v>191</v>
      </c>
      <c r="L389" s="315">
        <f t="shared" ref="L389:S389" si="285">L390+L391+L392+L393+L394+L395+L396</f>
        <v>603644</v>
      </c>
      <c r="M389" s="315">
        <f t="shared" si="285"/>
        <v>80117.326962638515</v>
      </c>
      <c r="N389" s="337">
        <f t="shared" si="285"/>
        <v>616248</v>
      </c>
      <c r="O389" s="337">
        <f t="shared" si="285"/>
        <v>81790.165239896465</v>
      </c>
      <c r="P389" s="292">
        <f t="shared" si="285"/>
        <v>114000</v>
      </c>
      <c r="Q389" s="292">
        <f t="shared" si="285"/>
        <v>117000</v>
      </c>
      <c r="R389" s="441">
        <f t="shared" si="285"/>
        <v>92501</v>
      </c>
      <c r="S389" s="292">
        <f t="shared" si="285"/>
        <v>86972.3</v>
      </c>
      <c r="T389" s="292"/>
      <c r="U389" s="292"/>
      <c r="V389" s="469">
        <f>V390+V391+V392+V393+V394+V395+V396</f>
        <v>120000</v>
      </c>
      <c r="W389" s="469">
        <f>W390+W391+W392+W393+W394+W395+W396</f>
        <v>133000</v>
      </c>
      <c r="X389" s="522">
        <f>X390+X391+X392+X393+X394+X395+X396</f>
        <v>182000</v>
      </c>
      <c r="Y389" s="522">
        <f>Y390+Y391+Y392+Y393+Y394+Y395+Y396</f>
        <v>0</v>
      </c>
      <c r="Z389" s="541" t="b">
        <f t="shared" si="257"/>
        <v>1</v>
      </c>
      <c r="AA389" s="522"/>
      <c r="AB389" s="523">
        <f>AB390+AB391+AB392+AB393+AB394+AB395+AB396</f>
        <v>117000</v>
      </c>
      <c r="AC389" s="523">
        <f>AC390+AC391+AC392+AC393+AC394+AC395+AC396</f>
        <v>117000</v>
      </c>
      <c r="AD389" s="524">
        <f t="shared" ref="AD389:AD396" si="286">O389/M389*100</f>
        <v>102.08798563391667</v>
      </c>
      <c r="AE389" s="524">
        <f t="shared" ref="AE389:AF395" si="287">P389/O389*100</f>
        <v>139.38106087159716</v>
      </c>
      <c r="AF389" s="524">
        <f t="shared" si="287"/>
        <v>102.63157894736842</v>
      </c>
      <c r="AG389" s="524">
        <f t="shared" ref="AG389:AG396" si="288">AB389/Q389*100</f>
        <v>100</v>
      </c>
      <c r="AH389" s="522"/>
      <c r="AI389" s="522">
        <v>182000</v>
      </c>
      <c r="AJ389" s="516">
        <f t="shared" ref="AJ389:AJ396" si="289">W389/R389*100</f>
        <v>143.78222938130398</v>
      </c>
      <c r="AK389" s="516">
        <f t="shared" ref="AK389:AK396" si="290">AT389/W389*100</f>
        <v>114.28571428571428</v>
      </c>
      <c r="AL389" s="516">
        <f t="shared" ref="AL389:AL396" si="291">X389/AT389*100</f>
        <v>119.73684210526316</v>
      </c>
      <c r="AM389" s="292"/>
      <c r="AO389" t="b">
        <f t="shared" si="245"/>
        <v>1</v>
      </c>
      <c r="AP389" s="440">
        <f t="shared" ref="AP389:AU389" si="292">AP390+AP391+AP392+AP393+AP394+AP395+AP396</f>
        <v>138084.97</v>
      </c>
      <c r="AQ389" s="441">
        <v>138084.97</v>
      </c>
      <c r="AR389" s="440">
        <f>AR390+AR391+AR392+AR393+AR394+AR395+AR396</f>
        <v>138084.97</v>
      </c>
      <c r="AS389" s="441">
        <f t="shared" si="292"/>
        <v>71178.62</v>
      </c>
      <c r="AT389" s="612">
        <f t="shared" si="292"/>
        <v>152000</v>
      </c>
      <c r="AU389" s="469">
        <f t="shared" si="292"/>
        <v>156500</v>
      </c>
      <c r="AV389" s="636">
        <v>182000</v>
      </c>
      <c r="AW389" s="636">
        <v>182000</v>
      </c>
      <c r="AX389" s="655">
        <f t="shared" si="247"/>
        <v>164.3225478643474</v>
      </c>
      <c r="AY389" s="655">
        <f t="shared" si="248"/>
        <v>110.07715032273244</v>
      </c>
      <c r="AZ389" s="655">
        <f t="shared" si="249"/>
        <v>102.96052631578947</v>
      </c>
      <c r="BA389" s="655">
        <f t="shared" si="250"/>
        <v>113.33601332570808</v>
      </c>
      <c r="BB389" s="655">
        <f t="shared" si="251"/>
        <v>116.29392971246007</v>
      </c>
      <c r="BC389" s="655">
        <f t="shared" si="251"/>
        <v>100</v>
      </c>
    </row>
    <row r="390" spans="1:55" ht="12" customHeight="1">
      <c r="A390" s="36"/>
      <c r="B390" s="36"/>
      <c r="C390" s="36"/>
      <c r="D390" s="36"/>
      <c r="E390" s="36"/>
      <c r="F390" s="36"/>
      <c r="G390" s="36"/>
      <c r="H390" s="204">
        <v>15</v>
      </c>
      <c r="I390" s="118">
        <v>111</v>
      </c>
      <c r="J390" s="71">
        <v>3231</v>
      </c>
      <c r="K390" s="40" t="s">
        <v>114</v>
      </c>
      <c r="L390" s="309">
        <v>86697</v>
      </c>
      <c r="M390" s="309">
        <f>86697/7.5345</f>
        <v>11506.669321122834</v>
      </c>
      <c r="N390" s="339">
        <v>99301</v>
      </c>
      <c r="O390" s="339">
        <f>N390/7.5345</f>
        <v>13179.50759838078</v>
      </c>
      <c r="P390" s="294">
        <v>15000</v>
      </c>
      <c r="Q390" s="294">
        <v>15000</v>
      </c>
      <c r="R390" s="443">
        <v>10549</v>
      </c>
      <c r="S390" s="294">
        <v>21508</v>
      </c>
      <c r="T390" s="294"/>
      <c r="U390" s="294"/>
      <c r="V390" s="478">
        <v>15000</v>
      </c>
      <c r="W390" s="478">
        <v>24000</v>
      </c>
      <c r="X390" s="544">
        <v>35000</v>
      </c>
      <c r="Y390" s="544"/>
      <c r="Z390" s="541" t="b">
        <f t="shared" si="257"/>
        <v>0</v>
      </c>
      <c r="AA390" s="527"/>
      <c r="AB390" s="528">
        <v>16000</v>
      </c>
      <c r="AC390" s="528">
        <v>16000</v>
      </c>
      <c r="AD390" s="524">
        <f t="shared" si="286"/>
        <v>114.53798862705744</v>
      </c>
      <c r="AE390" s="524">
        <f t="shared" si="287"/>
        <v>113.81305324216274</v>
      </c>
      <c r="AF390" s="524">
        <f t="shared" si="287"/>
        <v>100</v>
      </c>
      <c r="AG390" s="524">
        <f t="shared" si="288"/>
        <v>106.66666666666667</v>
      </c>
      <c r="AH390" s="527"/>
      <c r="AI390" s="544">
        <v>35000</v>
      </c>
      <c r="AJ390" s="516">
        <f t="shared" si="289"/>
        <v>227.50971656081146</v>
      </c>
      <c r="AK390" s="516">
        <f t="shared" si="290"/>
        <v>125</v>
      </c>
      <c r="AL390" s="516">
        <f t="shared" si="291"/>
        <v>116.66666666666667</v>
      </c>
      <c r="AM390" s="294"/>
      <c r="AO390" t="b">
        <f t="shared" si="245"/>
        <v>0</v>
      </c>
      <c r="AP390" s="493">
        <v>23675.89</v>
      </c>
      <c r="AQ390" s="443">
        <v>23675.89</v>
      </c>
      <c r="AR390" s="493">
        <v>23675.89</v>
      </c>
      <c r="AS390" s="443">
        <v>11333.02</v>
      </c>
      <c r="AT390" s="617">
        <v>30000</v>
      </c>
      <c r="AU390" s="478">
        <v>30000</v>
      </c>
      <c r="AV390" s="638">
        <v>35000</v>
      </c>
      <c r="AW390" s="638">
        <v>35000</v>
      </c>
      <c r="AX390" s="655">
        <f t="shared" si="247"/>
        <v>284.38714570101433</v>
      </c>
      <c r="AY390" s="655">
        <f t="shared" si="248"/>
        <v>126.71118171270437</v>
      </c>
      <c r="AZ390" s="655">
        <f t="shared" si="249"/>
        <v>100</v>
      </c>
      <c r="BA390" s="655">
        <f t="shared" si="250"/>
        <v>126.71118171270437</v>
      </c>
      <c r="BB390" s="655">
        <f t="shared" si="251"/>
        <v>116.66666666666667</v>
      </c>
      <c r="BC390" s="655">
        <f t="shared" si="251"/>
        <v>100</v>
      </c>
    </row>
    <row r="391" spans="1:55" ht="12" customHeight="1">
      <c r="A391" s="36"/>
      <c r="B391" s="36"/>
      <c r="C391" s="36"/>
      <c r="D391" s="36"/>
      <c r="E391" s="36"/>
      <c r="F391" s="36"/>
      <c r="G391" s="36"/>
      <c r="H391" s="204">
        <v>16</v>
      </c>
      <c r="I391" s="118">
        <v>111</v>
      </c>
      <c r="J391" s="71">
        <v>3232</v>
      </c>
      <c r="K391" s="40" t="s">
        <v>192</v>
      </c>
      <c r="L391" s="309">
        <v>21412</v>
      </c>
      <c r="M391" s="309">
        <f>21412/7.5345</f>
        <v>2841.8607737739731</v>
      </c>
      <c r="N391" s="339">
        <v>36290</v>
      </c>
      <c r="O391" s="339">
        <f t="shared" ref="O391:O396" si="293">N391/7.5345</f>
        <v>4816.5107173667793</v>
      </c>
      <c r="P391" s="294">
        <v>7000</v>
      </c>
      <c r="Q391" s="294">
        <v>7000</v>
      </c>
      <c r="R391" s="443">
        <v>4786</v>
      </c>
      <c r="S391" s="294">
        <v>9826</v>
      </c>
      <c r="T391" s="294"/>
      <c r="U391" s="294"/>
      <c r="V391" s="478">
        <v>7000</v>
      </c>
      <c r="W391" s="478">
        <v>11000</v>
      </c>
      <c r="X391" s="544">
        <v>18000</v>
      </c>
      <c r="Y391" s="544"/>
      <c r="Z391" s="541" t="b">
        <f t="shared" si="257"/>
        <v>0</v>
      </c>
      <c r="AA391" s="527"/>
      <c r="AB391" s="528">
        <v>7000</v>
      </c>
      <c r="AC391" s="528">
        <v>7000</v>
      </c>
      <c r="AD391" s="524">
        <f t="shared" si="286"/>
        <v>169.48440127031569</v>
      </c>
      <c r="AE391" s="524">
        <f t="shared" si="287"/>
        <v>145.33342518600165</v>
      </c>
      <c r="AF391" s="524">
        <f t="shared" si="287"/>
        <v>100</v>
      </c>
      <c r="AG391" s="524">
        <f t="shared" si="288"/>
        <v>100</v>
      </c>
      <c r="AH391" s="527"/>
      <c r="AI391" s="544">
        <v>18000</v>
      </c>
      <c r="AJ391" s="516">
        <f t="shared" si="289"/>
        <v>229.83702465524445</v>
      </c>
      <c r="AK391" s="516">
        <f t="shared" si="290"/>
        <v>136.36363636363635</v>
      </c>
      <c r="AL391" s="516">
        <f t="shared" si="291"/>
        <v>120</v>
      </c>
      <c r="AM391" s="294"/>
      <c r="AO391" t="b">
        <f t="shared" si="245"/>
        <v>0</v>
      </c>
      <c r="AP391" s="493">
        <v>14231.91</v>
      </c>
      <c r="AQ391" s="443">
        <v>14231.91</v>
      </c>
      <c r="AR391" s="493">
        <v>14231.91</v>
      </c>
      <c r="AS391" s="443">
        <v>12170</v>
      </c>
      <c r="AT391" s="617">
        <v>15000</v>
      </c>
      <c r="AU391" s="478">
        <v>20000</v>
      </c>
      <c r="AV391" s="638">
        <v>18000</v>
      </c>
      <c r="AW391" s="638">
        <v>18000</v>
      </c>
      <c r="AX391" s="655">
        <f t="shared" si="247"/>
        <v>313.41412452987879</v>
      </c>
      <c r="AY391" s="655">
        <f t="shared" si="248"/>
        <v>105.39695655748244</v>
      </c>
      <c r="AZ391" s="655">
        <f t="shared" si="249"/>
        <v>133.33333333333331</v>
      </c>
      <c r="BA391" s="655">
        <f t="shared" si="250"/>
        <v>140.52927540997661</v>
      </c>
      <c r="BB391" s="655">
        <f t="shared" si="251"/>
        <v>90</v>
      </c>
      <c r="BC391" s="655">
        <f t="shared" si="251"/>
        <v>100</v>
      </c>
    </row>
    <row r="392" spans="1:55" ht="12" customHeight="1">
      <c r="A392" s="36"/>
      <c r="B392" s="36"/>
      <c r="C392" s="36"/>
      <c r="D392" s="36"/>
      <c r="E392" s="36"/>
      <c r="F392" s="36"/>
      <c r="G392" s="36"/>
      <c r="H392" s="204">
        <v>18</v>
      </c>
      <c r="I392" s="118">
        <v>111</v>
      </c>
      <c r="J392" s="71">
        <v>3234</v>
      </c>
      <c r="K392" s="40" t="s">
        <v>117</v>
      </c>
      <c r="L392" s="309">
        <v>11418</v>
      </c>
      <c r="M392" s="309">
        <f>11418/7.5345</f>
        <v>1515.4290264782003</v>
      </c>
      <c r="N392" s="339">
        <v>11418</v>
      </c>
      <c r="O392" s="339">
        <f t="shared" si="293"/>
        <v>1515.4290264782003</v>
      </c>
      <c r="P392" s="294">
        <v>2000</v>
      </c>
      <c r="Q392" s="294">
        <v>2000</v>
      </c>
      <c r="R392" s="443">
        <v>2265</v>
      </c>
      <c r="S392" s="294">
        <v>225</v>
      </c>
      <c r="T392" s="294"/>
      <c r="U392" s="294"/>
      <c r="V392" s="478">
        <v>2000</v>
      </c>
      <c r="W392" s="478">
        <v>2000</v>
      </c>
      <c r="X392" s="544">
        <v>4000</v>
      </c>
      <c r="Y392" s="544"/>
      <c r="Z392" s="541" t="b">
        <f t="shared" si="257"/>
        <v>0</v>
      </c>
      <c r="AA392" s="527"/>
      <c r="AB392" s="528">
        <v>2000</v>
      </c>
      <c r="AC392" s="528">
        <v>2000</v>
      </c>
      <c r="AD392" s="524">
        <f t="shared" si="286"/>
        <v>100</v>
      </c>
      <c r="AE392" s="524">
        <f t="shared" si="287"/>
        <v>131.97582764056753</v>
      </c>
      <c r="AF392" s="524">
        <f t="shared" si="287"/>
        <v>100</v>
      </c>
      <c r="AG392" s="524">
        <f t="shared" si="288"/>
        <v>100</v>
      </c>
      <c r="AH392" s="527"/>
      <c r="AI392" s="544">
        <v>4000</v>
      </c>
      <c r="AJ392" s="516">
        <f t="shared" si="289"/>
        <v>88.300220750551873</v>
      </c>
      <c r="AK392" s="516">
        <f t="shared" si="290"/>
        <v>125</v>
      </c>
      <c r="AL392" s="516">
        <f t="shared" si="291"/>
        <v>160</v>
      </c>
      <c r="AM392" s="294"/>
      <c r="AO392" t="b">
        <f t="shared" si="245"/>
        <v>0</v>
      </c>
      <c r="AP392" s="493">
        <v>6867.53</v>
      </c>
      <c r="AQ392" s="443">
        <v>6867.53</v>
      </c>
      <c r="AR392" s="493">
        <v>6867.53</v>
      </c>
      <c r="AS392" s="443">
        <f>__xlfn.XLOOKUP(K392,[1]Izvršenje_proračuna_po_pozicija!$C$25:$C$149,[1]Izvršenje_proračuna_po_pozicija!$E$25:$E$149,0)</f>
        <v>904.09</v>
      </c>
      <c r="AT392" s="617">
        <v>2500</v>
      </c>
      <c r="AU392" s="478">
        <v>2500</v>
      </c>
      <c r="AV392" s="638">
        <v>4000</v>
      </c>
      <c r="AW392" s="638">
        <v>4000</v>
      </c>
      <c r="AX392" s="655">
        <f t="shared" si="247"/>
        <v>110.37527593818986</v>
      </c>
      <c r="AY392" s="655">
        <f t="shared" si="248"/>
        <v>36.403190084353476</v>
      </c>
      <c r="AZ392" s="655">
        <f t="shared" si="249"/>
        <v>100</v>
      </c>
      <c r="BA392" s="655">
        <f t="shared" si="250"/>
        <v>36.403190084353476</v>
      </c>
      <c r="BB392" s="655">
        <f t="shared" si="251"/>
        <v>160</v>
      </c>
      <c r="BC392" s="655">
        <f t="shared" si="251"/>
        <v>100</v>
      </c>
    </row>
    <row r="393" spans="1:55" ht="12" customHeight="1">
      <c r="A393" s="36"/>
      <c r="B393" s="36"/>
      <c r="C393" s="36"/>
      <c r="D393" s="36"/>
      <c r="E393" s="36"/>
      <c r="F393" s="36"/>
      <c r="G393" s="36"/>
      <c r="H393" s="204" t="s">
        <v>441</v>
      </c>
      <c r="I393" s="118">
        <v>111</v>
      </c>
      <c r="J393" s="71">
        <v>3236</v>
      </c>
      <c r="K393" s="40" t="s">
        <v>442</v>
      </c>
      <c r="L393" s="309">
        <v>18055</v>
      </c>
      <c r="M393" s="309">
        <f>18055/7.5345</f>
        <v>2396.3103059260734</v>
      </c>
      <c r="N393" s="339">
        <v>30840</v>
      </c>
      <c r="O393" s="339">
        <f t="shared" si="293"/>
        <v>4093.1714115070672</v>
      </c>
      <c r="P393" s="294">
        <v>4000</v>
      </c>
      <c r="Q393" s="294">
        <v>4000</v>
      </c>
      <c r="R393" s="443">
        <v>4346</v>
      </c>
      <c r="S393" s="294">
        <f>__xlfn.XLOOKUP(H393,[2]Izvršenje_proračuna_po_pozicija!$B$2:$B$153,[2]Izvršenje_proračuna_po_pozicija!$E$2:$E$153,0)</f>
        <v>3667.3</v>
      </c>
      <c r="T393" s="294"/>
      <c r="U393" s="294"/>
      <c r="V393" s="478">
        <v>4000</v>
      </c>
      <c r="W393" s="478">
        <v>4000</v>
      </c>
      <c r="X393" s="544">
        <v>5000</v>
      </c>
      <c r="Y393" s="544"/>
      <c r="Z393" s="541" t="b">
        <f t="shared" si="257"/>
        <v>0</v>
      </c>
      <c r="AA393" s="527"/>
      <c r="AB393" s="528">
        <v>4000</v>
      </c>
      <c r="AC393" s="528">
        <v>4000</v>
      </c>
      <c r="AD393" s="524">
        <f t="shared" si="286"/>
        <v>170.81140958183326</v>
      </c>
      <c r="AE393" s="524">
        <f t="shared" si="287"/>
        <v>97.723735408560316</v>
      </c>
      <c r="AF393" s="524">
        <f t="shared" si="287"/>
        <v>100</v>
      </c>
      <c r="AG393" s="524">
        <f t="shared" si="288"/>
        <v>100</v>
      </c>
      <c r="AH393" s="527"/>
      <c r="AI393" s="544">
        <v>5000</v>
      </c>
      <c r="AJ393" s="516">
        <f t="shared" si="289"/>
        <v>92.038656235618959</v>
      </c>
      <c r="AK393" s="516">
        <f t="shared" si="290"/>
        <v>112.5</v>
      </c>
      <c r="AL393" s="516">
        <f t="shared" si="291"/>
        <v>111.11111111111111</v>
      </c>
      <c r="AM393" s="294"/>
      <c r="AO393" t="b">
        <f t="shared" si="245"/>
        <v>0</v>
      </c>
      <c r="AP393" s="493">
        <v>3667.3</v>
      </c>
      <c r="AQ393" s="443">
        <v>3667.3</v>
      </c>
      <c r="AR393" s="493">
        <v>3667.3</v>
      </c>
      <c r="AS393" s="443">
        <f>__xlfn.XLOOKUP(K393,[1]Izvršenje_proračuna_po_pozicija!$C$25:$C$149,[1]Izvršenje_proračuna_po_pozicija!$E$25:$E$149,0)</f>
        <v>0</v>
      </c>
      <c r="AT393" s="617">
        <v>4500</v>
      </c>
      <c r="AU393" s="478">
        <v>4000</v>
      </c>
      <c r="AV393" s="638">
        <v>5000</v>
      </c>
      <c r="AW393" s="638">
        <v>5000</v>
      </c>
      <c r="AX393" s="655">
        <f t="shared" si="247"/>
        <v>103.54348826507133</v>
      </c>
      <c r="AY393" s="655">
        <f t="shared" si="248"/>
        <v>122.70607804106564</v>
      </c>
      <c r="AZ393" s="655">
        <f t="shared" si="249"/>
        <v>88.888888888888886</v>
      </c>
      <c r="BA393" s="655">
        <f t="shared" si="250"/>
        <v>109.07206936983611</v>
      </c>
      <c r="BB393" s="655">
        <f t="shared" si="251"/>
        <v>125</v>
      </c>
      <c r="BC393" s="655">
        <f t="shared" si="251"/>
        <v>100</v>
      </c>
    </row>
    <row r="394" spans="1:55" ht="12" customHeight="1">
      <c r="A394" s="36"/>
      <c r="B394" s="36"/>
      <c r="C394" s="36"/>
      <c r="D394" s="36"/>
      <c r="E394" s="36"/>
      <c r="F394" s="36"/>
      <c r="G394" s="36"/>
      <c r="H394" s="204">
        <v>19</v>
      </c>
      <c r="I394" s="118">
        <v>111</v>
      </c>
      <c r="J394" s="71">
        <v>3237</v>
      </c>
      <c r="K394" s="40" t="s">
        <v>120</v>
      </c>
      <c r="L394" s="309">
        <v>192784</v>
      </c>
      <c r="M394" s="309">
        <f>192784/7.5345</f>
        <v>25586.833897405268</v>
      </c>
      <c r="N394" s="339">
        <v>227648</v>
      </c>
      <c r="O394" s="339">
        <f t="shared" si="293"/>
        <v>30214.081889972789</v>
      </c>
      <c r="P394" s="294">
        <v>40000</v>
      </c>
      <c r="Q394" s="269">
        <v>37000</v>
      </c>
      <c r="R394" s="443">
        <v>24866</v>
      </c>
      <c r="S394" s="294">
        <v>12401</v>
      </c>
      <c r="T394" s="294"/>
      <c r="U394" s="294"/>
      <c r="V394" s="478">
        <v>40000</v>
      </c>
      <c r="W394" s="478">
        <v>40000</v>
      </c>
      <c r="X394" s="544">
        <v>50000</v>
      </c>
      <c r="Y394" s="544"/>
      <c r="Z394" s="541" t="b">
        <f t="shared" si="257"/>
        <v>0</v>
      </c>
      <c r="AA394" s="527"/>
      <c r="AB394" s="528">
        <v>40000</v>
      </c>
      <c r="AC394" s="528">
        <v>40000</v>
      </c>
      <c r="AD394" s="524">
        <f t="shared" si="286"/>
        <v>118.08448833928126</v>
      </c>
      <c r="AE394" s="524">
        <f t="shared" si="287"/>
        <v>132.38859994377285</v>
      </c>
      <c r="AF394" s="524">
        <f t="shared" si="287"/>
        <v>92.5</v>
      </c>
      <c r="AG394" s="524">
        <f t="shared" si="288"/>
        <v>108.10810810810811</v>
      </c>
      <c r="AH394" s="527"/>
      <c r="AI394" s="544">
        <v>50000</v>
      </c>
      <c r="AJ394" s="516">
        <f t="shared" si="289"/>
        <v>160.86222150727903</v>
      </c>
      <c r="AK394" s="516">
        <f t="shared" si="290"/>
        <v>100</v>
      </c>
      <c r="AL394" s="516">
        <f t="shared" si="291"/>
        <v>125</v>
      </c>
      <c r="AM394" s="294"/>
      <c r="AO394" t="b">
        <f t="shared" ref="AO394:AO457" si="294">__xlfn.ISFORMULA(AT394)</f>
        <v>0</v>
      </c>
      <c r="AP394" s="493">
        <v>43897.17</v>
      </c>
      <c r="AQ394" s="443">
        <v>43897.17</v>
      </c>
      <c r="AR394" s="493">
        <v>43897.17</v>
      </c>
      <c r="AS394" s="443">
        <f>__xlfn.XLOOKUP(K394,[1]Izvršenje_proračuna_po_pozicija!$C$25:$C$149,[1]Izvršenje_proračuna_po_pozicija!$E$25:$E$149,0)</f>
        <v>29703.68</v>
      </c>
      <c r="AT394" s="617">
        <v>40000</v>
      </c>
      <c r="AU394" s="478">
        <v>45000</v>
      </c>
      <c r="AV394" s="638">
        <v>50000</v>
      </c>
      <c r="AW394" s="638">
        <v>50000</v>
      </c>
      <c r="AX394" s="655">
        <f t="shared" si="247"/>
        <v>160.86222150727903</v>
      </c>
      <c r="AY394" s="655">
        <f t="shared" si="248"/>
        <v>91.12204727548496</v>
      </c>
      <c r="AZ394" s="655">
        <f t="shared" si="249"/>
        <v>112.5</v>
      </c>
      <c r="BA394" s="655">
        <f t="shared" si="250"/>
        <v>102.51230318492057</v>
      </c>
      <c r="BB394" s="655">
        <f t="shared" si="251"/>
        <v>111.11111111111111</v>
      </c>
      <c r="BC394" s="655">
        <f t="shared" si="251"/>
        <v>100</v>
      </c>
    </row>
    <row r="395" spans="1:55" ht="12" customHeight="1">
      <c r="A395" s="36"/>
      <c r="B395" s="36"/>
      <c r="C395" s="36"/>
      <c r="D395" s="36"/>
      <c r="E395" s="36"/>
      <c r="F395" s="36"/>
      <c r="G395" s="36"/>
      <c r="H395" s="204">
        <v>20</v>
      </c>
      <c r="I395" s="118">
        <v>111</v>
      </c>
      <c r="J395" s="71">
        <v>3238</v>
      </c>
      <c r="K395" s="40" t="s">
        <v>121</v>
      </c>
      <c r="L395" s="309">
        <v>168695</v>
      </c>
      <c r="M395" s="309">
        <f>168695/7.5345</f>
        <v>22389.674165505341</v>
      </c>
      <c r="N395" s="339">
        <v>199770</v>
      </c>
      <c r="O395" s="339">
        <f t="shared" si="293"/>
        <v>26514.035436989845</v>
      </c>
      <c r="P395" s="294">
        <v>29000</v>
      </c>
      <c r="Q395" s="269">
        <v>35000</v>
      </c>
      <c r="R395" s="443">
        <v>37724</v>
      </c>
      <c r="S395" s="294">
        <v>29970</v>
      </c>
      <c r="T395" s="294"/>
      <c r="U395" s="294"/>
      <c r="V395" s="478">
        <v>35000</v>
      </c>
      <c r="W395" s="478">
        <v>35000</v>
      </c>
      <c r="X395" s="544">
        <v>45000</v>
      </c>
      <c r="Y395" s="544"/>
      <c r="Z395" s="541" t="b">
        <f t="shared" si="257"/>
        <v>0</v>
      </c>
      <c r="AA395" s="527"/>
      <c r="AB395" s="528">
        <v>30000</v>
      </c>
      <c r="AC395" s="528">
        <v>30000</v>
      </c>
      <c r="AD395" s="524">
        <f t="shared" si="286"/>
        <v>118.42081863718545</v>
      </c>
      <c r="AE395" s="524">
        <f t="shared" si="287"/>
        <v>109.3760324373029</v>
      </c>
      <c r="AF395" s="524">
        <f t="shared" si="287"/>
        <v>120.68965517241379</v>
      </c>
      <c r="AG395" s="524">
        <f t="shared" si="288"/>
        <v>85.714285714285708</v>
      </c>
      <c r="AH395" s="527"/>
      <c r="AI395" s="544">
        <v>45000</v>
      </c>
      <c r="AJ395" s="516">
        <f t="shared" si="289"/>
        <v>92.779132647651366</v>
      </c>
      <c r="AK395" s="516">
        <f t="shared" si="290"/>
        <v>114.28571428571428</v>
      </c>
      <c r="AL395" s="516">
        <f t="shared" si="291"/>
        <v>112.5</v>
      </c>
      <c r="AM395" s="294"/>
      <c r="AO395" t="b">
        <f t="shared" si="294"/>
        <v>0</v>
      </c>
      <c r="AP395" s="493">
        <v>36370.17</v>
      </c>
      <c r="AQ395" s="443">
        <v>36370.17</v>
      </c>
      <c r="AR395" s="493">
        <v>36370.17</v>
      </c>
      <c r="AS395" s="443">
        <v>15817.83</v>
      </c>
      <c r="AT395" s="617">
        <v>40000</v>
      </c>
      <c r="AU395" s="478">
        <v>40000</v>
      </c>
      <c r="AV395" s="638">
        <v>45000</v>
      </c>
      <c r="AW395" s="638">
        <v>45000</v>
      </c>
      <c r="AX395" s="655">
        <f t="shared" ref="AX395:AX458" si="295">IF(AND(ISNUMBER(AT395), ISNUMBER(R395), R395&lt;&gt;0), (AT395/R395)*100, "")</f>
        <v>106.0332944544587</v>
      </c>
      <c r="AY395" s="655">
        <f t="shared" ref="AY395:AY458" si="296">IF(AND(ISNUMBER(AT395), ISNUMBER(AQ395), AQ395&lt;&gt;0), (AT395/AQ395)*100, "")</f>
        <v>109.98023930050368</v>
      </c>
      <c r="AZ395" s="655">
        <f t="shared" ref="AZ395:AZ458" si="297">IF(AND(ISNUMBER(AU395), ISNUMBER(AT395), AT395&lt;&gt;0), (AU395/AT395)*100, "")</f>
        <v>100</v>
      </c>
      <c r="BA395" s="655">
        <f t="shared" ref="BA395:BA458" si="298">IF(AND(ISNUMBER(AU395), ISNUMBER(AQ395), AQ395&lt;&gt;0), (AU395/AQ395)*100, "")</f>
        <v>109.98023930050368</v>
      </c>
      <c r="BB395" s="655">
        <f t="shared" ref="BB395:BC458" si="299">IF(AND(ISNUMBER(AV395), ISNUMBER(AU395), AU395&lt;&gt;0), (AV395/AU395)*100, "")</f>
        <v>112.5</v>
      </c>
      <c r="BC395" s="655">
        <f t="shared" si="299"/>
        <v>100</v>
      </c>
    </row>
    <row r="396" spans="1:55" ht="12" customHeight="1">
      <c r="A396" s="36"/>
      <c r="B396" s="36"/>
      <c r="C396" s="36"/>
      <c r="D396" s="36"/>
      <c r="E396" s="36"/>
      <c r="F396" s="36"/>
      <c r="G396" s="36"/>
      <c r="H396" s="204">
        <v>21</v>
      </c>
      <c r="I396" s="118">
        <v>111</v>
      </c>
      <c r="J396" s="71">
        <v>3239</v>
      </c>
      <c r="K396" s="40" t="s">
        <v>122</v>
      </c>
      <c r="L396" s="309">
        <v>104583</v>
      </c>
      <c r="M396" s="309">
        <f>104583/7.5345</f>
        <v>13880.549472426836</v>
      </c>
      <c r="N396" s="339">
        <v>10981</v>
      </c>
      <c r="O396" s="339">
        <f t="shared" si="293"/>
        <v>1457.4291592010086</v>
      </c>
      <c r="P396" s="294">
        <v>17000</v>
      </c>
      <c r="Q396" s="294">
        <v>17000</v>
      </c>
      <c r="R396" s="443">
        <v>7965</v>
      </c>
      <c r="S396" s="294">
        <v>9375</v>
      </c>
      <c r="T396" s="294"/>
      <c r="U396" s="294"/>
      <c r="V396" s="478">
        <v>17000</v>
      </c>
      <c r="W396" s="478">
        <v>17000</v>
      </c>
      <c r="X396" s="544">
        <v>25000</v>
      </c>
      <c r="Y396" s="544"/>
      <c r="Z396" s="541" t="b">
        <f t="shared" si="257"/>
        <v>0</v>
      </c>
      <c r="AA396" s="527"/>
      <c r="AB396" s="528">
        <v>18000</v>
      </c>
      <c r="AC396" s="528">
        <v>18000</v>
      </c>
      <c r="AD396" s="524">
        <f t="shared" si="286"/>
        <v>10.499794421655526</v>
      </c>
      <c r="AE396" s="524"/>
      <c r="AF396" s="524">
        <f>Q396/P396*100</f>
        <v>100</v>
      </c>
      <c r="AG396" s="524">
        <f t="shared" si="288"/>
        <v>105.88235294117648</v>
      </c>
      <c r="AH396" s="527"/>
      <c r="AI396" s="544">
        <v>25000</v>
      </c>
      <c r="AJ396" s="516">
        <f t="shared" si="289"/>
        <v>213.43377275580667</v>
      </c>
      <c r="AK396" s="516">
        <f t="shared" si="290"/>
        <v>117.64705882352942</v>
      </c>
      <c r="AL396" s="516">
        <f t="shared" si="291"/>
        <v>125</v>
      </c>
      <c r="AM396" s="294"/>
      <c r="AO396" t="b">
        <f t="shared" si="294"/>
        <v>0</v>
      </c>
      <c r="AP396" s="493">
        <v>9375</v>
      </c>
      <c r="AQ396" s="443">
        <v>9375</v>
      </c>
      <c r="AR396" s="493">
        <v>9375</v>
      </c>
      <c r="AS396" s="443">
        <f>__xlfn.XLOOKUP(K396,[1]Izvršenje_proračuna_po_pozicija!$C$25:$C$149,[1]Izvršenje_proračuna_po_pozicija!$E$25:$E$149,0)</f>
        <v>1250</v>
      </c>
      <c r="AT396" s="617">
        <v>20000</v>
      </c>
      <c r="AU396" s="478">
        <v>15000</v>
      </c>
      <c r="AV396" s="638">
        <v>25000</v>
      </c>
      <c r="AW396" s="638">
        <v>25000</v>
      </c>
      <c r="AX396" s="655">
        <f t="shared" si="295"/>
        <v>251.09855618330195</v>
      </c>
      <c r="AY396" s="655">
        <f t="shared" si="296"/>
        <v>213.33333333333334</v>
      </c>
      <c r="AZ396" s="655">
        <f t="shared" si="297"/>
        <v>75</v>
      </c>
      <c r="BA396" s="655">
        <f t="shared" si="298"/>
        <v>160</v>
      </c>
      <c r="BB396" s="655">
        <f t="shared" si="299"/>
        <v>166.66666666666669</v>
      </c>
      <c r="BC396" s="655">
        <f t="shared" si="299"/>
        <v>100</v>
      </c>
    </row>
    <row r="397" spans="1:55" ht="12" customHeight="1">
      <c r="A397" s="20"/>
      <c r="B397" s="20"/>
      <c r="C397" s="20"/>
      <c r="D397" s="20"/>
      <c r="E397" s="20"/>
      <c r="F397" s="20"/>
      <c r="G397" s="20"/>
      <c r="H397" s="375"/>
      <c r="I397" s="22"/>
      <c r="J397" s="21"/>
      <c r="K397" s="19"/>
      <c r="L397" s="313">
        <v>1</v>
      </c>
      <c r="M397" s="313">
        <v>2</v>
      </c>
      <c r="N397" s="335">
        <v>3</v>
      </c>
      <c r="O397" s="335">
        <v>4</v>
      </c>
      <c r="P397" s="290">
        <v>5</v>
      </c>
      <c r="Q397" s="290">
        <v>6</v>
      </c>
      <c r="R397" s="439"/>
      <c r="S397" s="294">
        <f>__xlfn.XLOOKUP(H397,[2]Izvršenje_proračuna_po_pozicija!$B$2:$B$153,[2]Izvršenje_proračuna_po_pozicija!$E$2:$E$153,0)</f>
        <v>0</v>
      </c>
      <c r="T397" s="294"/>
      <c r="U397" s="294"/>
      <c r="V397" s="474">
        <v>5</v>
      </c>
      <c r="W397" s="474"/>
      <c r="X397" s="539"/>
      <c r="Y397" s="539"/>
      <c r="Z397" s="541" t="b">
        <f t="shared" si="257"/>
        <v>0</v>
      </c>
      <c r="AA397" s="514"/>
      <c r="AB397" s="515">
        <v>7</v>
      </c>
      <c r="AC397" s="515">
        <v>8</v>
      </c>
      <c r="AD397" s="515">
        <v>9</v>
      </c>
      <c r="AE397" s="515">
        <v>10</v>
      </c>
      <c r="AF397" s="515">
        <v>11</v>
      </c>
      <c r="AG397" s="515">
        <v>12</v>
      </c>
      <c r="AH397" s="514"/>
      <c r="AI397" s="539"/>
      <c r="AJ397" s="516"/>
      <c r="AK397" s="516"/>
      <c r="AL397" s="516"/>
      <c r="AM397" s="290"/>
      <c r="AO397" t="b">
        <f t="shared" si="294"/>
        <v>0</v>
      </c>
      <c r="AQ397" s="439"/>
      <c r="AS397" s="439">
        <f>__xlfn.XLOOKUP(K397,[1]Izvršenje_proračuna_po_pozicija!$C$25:$C$149,[1]Izvršenje_proračuna_po_pozicija!$E$25:$E$149,0)</f>
        <v>0</v>
      </c>
      <c r="AT397" s="616"/>
      <c r="AU397" s="474"/>
      <c r="AV397" s="632"/>
      <c r="AW397" s="632"/>
      <c r="AX397" s="655" t="str">
        <f t="shared" si="295"/>
        <v/>
      </c>
      <c r="AY397" s="655" t="str">
        <f t="shared" si="296"/>
        <v/>
      </c>
      <c r="AZ397" s="655" t="str">
        <f t="shared" si="297"/>
        <v/>
      </c>
      <c r="BA397" s="655" t="str">
        <f t="shared" si="298"/>
        <v/>
      </c>
      <c r="BB397" s="655" t="str">
        <f t="shared" si="299"/>
        <v/>
      </c>
      <c r="BC397" s="655" t="str">
        <f t="shared" si="299"/>
        <v/>
      </c>
    </row>
    <row r="398" spans="1:55" ht="12" customHeight="1">
      <c r="A398" s="56"/>
      <c r="B398" s="56"/>
      <c r="C398" s="56"/>
      <c r="D398" s="56"/>
      <c r="E398" s="56"/>
      <c r="F398" s="56"/>
      <c r="G398" s="56"/>
      <c r="H398" s="377"/>
      <c r="I398" s="119"/>
      <c r="J398" s="116">
        <v>324</v>
      </c>
      <c r="K398" s="60" t="s">
        <v>519</v>
      </c>
      <c r="L398" s="315">
        <f t="shared" ref="L398:AC398" si="300">L399</f>
        <v>0</v>
      </c>
      <c r="M398" s="315">
        <f t="shared" si="300"/>
        <v>0</v>
      </c>
      <c r="N398" s="337">
        <f t="shared" si="300"/>
        <v>0</v>
      </c>
      <c r="O398" s="337">
        <f t="shared" si="300"/>
        <v>0</v>
      </c>
      <c r="P398" s="292">
        <f t="shared" si="300"/>
        <v>0</v>
      </c>
      <c r="Q398" s="292">
        <f t="shared" si="300"/>
        <v>0</v>
      </c>
      <c r="R398" s="441">
        <f t="shared" si="300"/>
        <v>0</v>
      </c>
      <c r="S398" s="292">
        <f t="shared" si="300"/>
        <v>0</v>
      </c>
      <c r="T398" s="292"/>
      <c r="U398" s="292"/>
      <c r="V398" s="469">
        <f t="shared" si="300"/>
        <v>0</v>
      </c>
      <c r="W398" s="469">
        <f t="shared" si="300"/>
        <v>0</v>
      </c>
      <c r="X398" s="522">
        <f t="shared" si="300"/>
        <v>0</v>
      </c>
      <c r="Y398" s="522">
        <f t="shared" si="300"/>
        <v>0</v>
      </c>
      <c r="Z398" s="541" t="b">
        <f t="shared" si="257"/>
        <v>1</v>
      </c>
      <c r="AA398" s="522"/>
      <c r="AB398" s="523">
        <f t="shared" si="300"/>
        <v>0</v>
      </c>
      <c r="AC398" s="523">
        <f t="shared" si="300"/>
        <v>0</v>
      </c>
      <c r="AD398" s="524"/>
      <c r="AE398" s="524"/>
      <c r="AF398" s="524"/>
      <c r="AG398" s="524"/>
      <c r="AH398" s="522"/>
      <c r="AI398" s="522">
        <v>0</v>
      </c>
      <c r="AJ398" s="516"/>
      <c r="AK398" s="516"/>
      <c r="AL398" s="516"/>
      <c r="AM398" s="292"/>
      <c r="AO398" t="b">
        <f t="shared" si="294"/>
        <v>1</v>
      </c>
      <c r="AP398" s="440">
        <f>AP399</f>
        <v>0</v>
      </c>
      <c r="AQ398" s="441">
        <v>0</v>
      </c>
      <c r="AR398" s="440">
        <f>AR399</f>
        <v>0</v>
      </c>
      <c r="AS398" s="441">
        <f>__xlfn.XLOOKUP(K398,[1]Izvršenje_proračuna_po_pozicija!$C$25:$C$149,[1]Izvršenje_proračuna_po_pozicija!$E$25:$E$149,0)</f>
        <v>0</v>
      </c>
      <c r="AT398" s="612">
        <f>AT399</f>
        <v>0</v>
      </c>
      <c r="AU398" s="469">
        <f>__xlfn.XLOOKUP(L398,[1]Izvršenje_proračuna_po_pozicija!$C$25:$C$149,[1]Izvršenje_proračuna_po_pozicija!$E$25:$E$149,0)</f>
        <v>0</v>
      </c>
      <c r="AV398" s="636">
        <v>0</v>
      </c>
      <c r="AW398" s="636">
        <v>0</v>
      </c>
      <c r="AX398" s="655" t="str">
        <f t="shared" si="295"/>
        <v/>
      </c>
      <c r="AY398" s="655" t="str">
        <f t="shared" si="296"/>
        <v/>
      </c>
      <c r="AZ398" s="655" t="str">
        <f t="shared" si="297"/>
        <v/>
      </c>
      <c r="BA398" s="655" t="str">
        <f t="shared" si="298"/>
        <v/>
      </c>
      <c r="BB398" s="655" t="str">
        <f t="shared" si="299"/>
        <v/>
      </c>
      <c r="BC398" s="655" t="str">
        <f t="shared" si="299"/>
        <v/>
      </c>
    </row>
    <row r="399" spans="1:55" ht="12" customHeight="1">
      <c r="A399" s="36"/>
      <c r="B399" s="36"/>
      <c r="C399" s="36"/>
      <c r="D399" s="36"/>
      <c r="E399" s="36"/>
      <c r="F399" s="36"/>
      <c r="G399" s="36"/>
      <c r="H399" s="204" t="s">
        <v>517</v>
      </c>
      <c r="I399" s="118">
        <v>111</v>
      </c>
      <c r="J399" s="71">
        <v>3241</v>
      </c>
      <c r="K399" s="40" t="s">
        <v>518</v>
      </c>
      <c r="L399" s="309">
        <v>0</v>
      </c>
      <c r="M399" s="309">
        <v>0</v>
      </c>
      <c r="N399" s="339">
        <v>0</v>
      </c>
      <c r="O399" s="339">
        <v>0</v>
      </c>
      <c r="P399" s="294">
        <v>0</v>
      </c>
      <c r="Q399" s="294">
        <v>0</v>
      </c>
      <c r="R399" s="443">
        <v>0</v>
      </c>
      <c r="S399" s="294">
        <f>__xlfn.XLOOKUP(H399,[2]Izvršenje_proračuna_po_pozicija!$B$2:$B$153,[2]Izvršenje_proračuna_po_pozicija!$E$2:$E$153,0)</f>
        <v>0</v>
      </c>
      <c r="T399" s="294"/>
      <c r="U399" s="294"/>
      <c r="V399" s="478">
        <v>0</v>
      </c>
      <c r="W399" s="478"/>
      <c r="X399" s="544"/>
      <c r="Y399" s="544"/>
      <c r="Z399" s="541" t="b">
        <f t="shared" si="257"/>
        <v>0</v>
      </c>
      <c r="AA399" s="527"/>
      <c r="AB399" s="528">
        <v>0</v>
      </c>
      <c r="AC399" s="528">
        <v>0</v>
      </c>
      <c r="AD399" s="524"/>
      <c r="AE399" s="524"/>
      <c r="AF399" s="524"/>
      <c r="AG399" s="524"/>
      <c r="AH399" s="527"/>
      <c r="AI399" s="544"/>
      <c r="AJ399" s="516"/>
      <c r="AK399" s="516"/>
      <c r="AL399" s="516"/>
      <c r="AM399" s="294"/>
      <c r="AO399" t="b">
        <f t="shared" si="294"/>
        <v>0</v>
      </c>
      <c r="AQ399" s="443"/>
      <c r="AS399" s="443">
        <f>__xlfn.XLOOKUP(K399,[1]Izvršenje_proračuna_po_pozicija!$C$25:$C$149,[1]Izvršenje_proračuna_po_pozicija!$E$25:$E$149,0)</f>
        <v>0</v>
      </c>
      <c r="AT399" s="617"/>
      <c r="AU399" s="478"/>
      <c r="AV399" s="638"/>
      <c r="AW399" s="638"/>
      <c r="AX399" s="655" t="str">
        <f t="shared" si="295"/>
        <v/>
      </c>
      <c r="AY399" s="655" t="str">
        <f t="shared" si="296"/>
        <v/>
      </c>
      <c r="AZ399" s="655" t="str">
        <f t="shared" si="297"/>
        <v/>
      </c>
      <c r="BA399" s="655" t="str">
        <f t="shared" si="298"/>
        <v/>
      </c>
      <c r="BB399" s="655" t="str">
        <f t="shared" si="299"/>
        <v/>
      </c>
      <c r="BC399" s="655" t="str">
        <f t="shared" si="299"/>
        <v/>
      </c>
    </row>
    <row r="400" spans="1:55" ht="12" customHeight="1">
      <c r="A400" s="20"/>
      <c r="B400" s="20"/>
      <c r="C400" s="20"/>
      <c r="D400" s="20"/>
      <c r="E400" s="20"/>
      <c r="F400" s="20"/>
      <c r="G400" s="20"/>
      <c r="H400" s="375"/>
      <c r="I400" s="22"/>
      <c r="J400" s="21"/>
      <c r="K400" s="55"/>
      <c r="L400" s="313"/>
      <c r="M400" s="313"/>
      <c r="N400" s="335"/>
      <c r="O400" s="335"/>
      <c r="P400" s="290"/>
      <c r="Q400" s="290"/>
      <c r="R400" s="439"/>
      <c r="S400" s="294">
        <f>__xlfn.XLOOKUP(H400,[2]Izvršenje_proračuna_po_pozicija!$B$2:$B$153,[2]Izvršenje_proračuna_po_pozicija!$E$2:$E$153,0)</f>
        <v>0</v>
      </c>
      <c r="T400" s="294"/>
      <c r="U400" s="294"/>
      <c r="V400" s="474"/>
      <c r="W400" s="474"/>
      <c r="X400" s="539"/>
      <c r="Y400" s="539"/>
      <c r="Z400" s="541" t="b">
        <f t="shared" si="257"/>
        <v>0</v>
      </c>
      <c r="AA400" s="514"/>
      <c r="AB400" s="515"/>
      <c r="AC400" s="515"/>
      <c r="AD400" s="524"/>
      <c r="AE400" s="524"/>
      <c r="AF400" s="524"/>
      <c r="AG400" s="524"/>
      <c r="AH400" s="514"/>
      <c r="AI400" s="539"/>
      <c r="AJ400" s="516"/>
      <c r="AK400" s="516"/>
      <c r="AL400" s="516"/>
      <c r="AM400" s="290"/>
      <c r="AO400" t="b">
        <f t="shared" si="294"/>
        <v>0</v>
      </c>
      <c r="AQ400" s="439"/>
      <c r="AS400" s="439">
        <f>__xlfn.XLOOKUP(K400,[1]Izvršenje_proračuna_po_pozicija!$C$25:$C$149,[1]Izvršenje_proračuna_po_pozicija!$E$25:$E$149,0)</f>
        <v>0</v>
      </c>
      <c r="AT400" s="616"/>
      <c r="AU400" s="474"/>
      <c r="AV400" s="632"/>
      <c r="AW400" s="632"/>
      <c r="AX400" s="655" t="str">
        <f t="shared" si="295"/>
        <v/>
      </c>
      <c r="AY400" s="655" t="str">
        <f t="shared" si="296"/>
        <v/>
      </c>
      <c r="AZ400" s="655" t="str">
        <f t="shared" si="297"/>
        <v/>
      </c>
      <c r="BA400" s="655" t="str">
        <f t="shared" si="298"/>
        <v/>
      </c>
      <c r="BB400" s="655" t="str">
        <f t="shared" si="299"/>
        <v/>
      </c>
      <c r="BC400" s="655" t="str">
        <f t="shared" si="299"/>
        <v/>
      </c>
    </row>
    <row r="401" spans="1:55" ht="12" customHeight="1">
      <c r="A401" s="56"/>
      <c r="B401" s="56"/>
      <c r="C401" s="56"/>
      <c r="D401" s="56"/>
      <c r="E401" s="56"/>
      <c r="F401" s="56"/>
      <c r="G401" s="56"/>
      <c r="H401" s="377"/>
      <c r="I401" s="119"/>
      <c r="J401" s="116">
        <v>329</v>
      </c>
      <c r="K401" s="60" t="s">
        <v>193</v>
      </c>
      <c r="L401" s="315">
        <f t="shared" ref="L401:AC401" si="301">L402</f>
        <v>59038</v>
      </c>
      <c r="M401" s="315">
        <f t="shared" si="301"/>
        <v>7835.6891631826929</v>
      </c>
      <c r="N401" s="337">
        <f t="shared" si="301"/>
        <v>49821</v>
      </c>
      <c r="O401" s="337">
        <f t="shared" si="301"/>
        <v>6612.3830380250838</v>
      </c>
      <c r="P401" s="292">
        <f t="shared" si="301"/>
        <v>11500</v>
      </c>
      <c r="Q401" s="292">
        <f t="shared" si="301"/>
        <v>11500</v>
      </c>
      <c r="R401" s="441">
        <f t="shared" si="301"/>
        <v>8845</v>
      </c>
      <c r="S401" s="292">
        <f t="shared" si="301"/>
        <v>3811</v>
      </c>
      <c r="T401" s="292"/>
      <c r="U401" s="292"/>
      <c r="V401" s="469">
        <f t="shared" si="301"/>
        <v>11500</v>
      </c>
      <c r="W401" s="469">
        <f t="shared" si="301"/>
        <v>11500</v>
      </c>
      <c r="X401" s="522">
        <f t="shared" si="301"/>
        <v>15000</v>
      </c>
      <c r="Y401" s="522">
        <f t="shared" si="301"/>
        <v>0</v>
      </c>
      <c r="Z401" s="541" t="b">
        <f t="shared" si="257"/>
        <v>1</v>
      </c>
      <c r="AA401" s="522"/>
      <c r="AB401" s="523">
        <f t="shared" si="301"/>
        <v>12000</v>
      </c>
      <c r="AC401" s="523">
        <f t="shared" si="301"/>
        <v>12000</v>
      </c>
      <c r="AD401" s="524">
        <f>O401/M401*100</f>
        <v>84.388021274433399</v>
      </c>
      <c r="AE401" s="524">
        <f>P401/O401*100</f>
        <v>173.91611970855664</v>
      </c>
      <c r="AF401" s="524">
        <f>Q401/P401*100</f>
        <v>100</v>
      </c>
      <c r="AG401" s="524">
        <f>AB401/Q401*100</f>
        <v>104.34782608695652</v>
      </c>
      <c r="AH401" s="522"/>
      <c r="AI401" s="522">
        <v>15000</v>
      </c>
      <c r="AJ401" s="516">
        <f>W401/R401*100</f>
        <v>130.01695873374788</v>
      </c>
      <c r="AK401" s="516">
        <f>AT401/W401*100</f>
        <v>113.04347826086956</v>
      </c>
      <c r="AL401" s="516">
        <f>X401/AT401*100</f>
        <v>115.38461538461537</v>
      </c>
      <c r="AM401" s="292"/>
      <c r="AO401" t="b">
        <f t="shared" si="294"/>
        <v>1</v>
      </c>
      <c r="AP401" s="440">
        <f t="shared" ref="AP401:AU401" si="302">AP402</f>
        <v>4264.1099999999997</v>
      </c>
      <c r="AQ401" s="441">
        <v>4264.1099999999997</v>
      </c>
      <c r="AR401" s="440">
        <f>AR402</f>
        <v>4264.1099999999997</v>
      </c>
      <c r="AS401" s="441">
        <f t="shared" si="302"/>
        <v>2567.6</v>
      </c>
      <c r="AT401" s="612">
        <f>AT402</f>
        <v>13000</v>
      </c>
      <c r="AU401" s="469">
        <f t="shared" si="302"/>
        <v>13000</v>
      </c>
      <c r="AV401" s="636">
        <v>15000</v>
      </c>
      <c r="AW401" s="636">
        <v>15000</v>
      </c>
      <c r="AX401" s="655">
        <f t="shared" si="295"/>
        <v>146.97569248162802</v>
      </c>
      <c r="AY401" s="655">
        <f t="shared" si="296"/>
        <v>304.87018393052716</v>
      </c>
      <c r="AZ401" s="655">
        <f t="shared" si="297"/>
        <v>100</v>
      </c>
      <c r="BA401" s="655">
        <f t="shared" si="298"/>
        <v>304.87018393052716</v>
      </c>
      <c r="BB401" s="655">
        <f t="shared" si="299"/>
        <v>115.38461538461537</v>
      </c>
      <c r="BC401" s="655">
        <f t="shared" si="299"/>
        <v>100</v>
      </c>
    </row>
    <row r="402" spans="1:55" ht="12" customHeight="1">
      <c r="A402" s="36"/>
      <c r="B402" s="36"/>
      <c r="C402" s="36"/>
      <c r="D402" s="36"/>
      <c r="E402" s="36"/>
      <c r="F402" s="36"/>
      <c r="G402" s="36"/>
      <c r="H402" s="204">
        <v>24</v>
      </c>
      <c r="I402" s="118">
        <v>111</v>
      </c>
      <c r="J402" s="71">
        <v>3293</v>
      </c>
      <c r="K402" s="40" t="s">
        <v>126</v>
      </c>
      <c r="L402" s="309">
        <v>59038</v>
      </c>
      <c r="M402" s="309">
        <f>59038/7.5345</f>
        <v>7835.6891631826929</v>
      </c>
      <c r="N402" s="339">
        <v>49821</v>
      </c>
      <c r="O402" s="339">
        <f>N402/7.5345</f>
        <v>6612.3830380250838</v>
      </c>
      <c r="P402" s="294">
        <v>11500</v>
      </c>
      <c r="Q402" s="294">
        <v>11500</v>
      </c>
      <c r="R402" s="443">
        <v>8845</v>
      </c>
      <c r="S402" s="294">
        <v>3811</v>
      </c>
      <c r="T402" s="294"/>
      <c r="U402" s="294"/>
      <c r="V402" s="478">
        <v>11500</v>
      </c>
      <c r="W402" s="478">
        <v>11500</v>
      </c>
      <c r="X402" s="544">
        <v>15000</v>
      </c>
      <c r="Y402" s="544"/>
      <c r="Z402" s="541" t="b">
        <f t="shared" si="257"/>
        <v>0</v>
      </c>
      <c r="AA402" s="527"/>
      <c r="AB402" s="528">
        <v>12000</v>
      </c>
      <c r="AC402" s="528">
        <v>12000</v>
      </c>
      <c r="AD402" s="524">
        <f>O402/M402*100</f>
        <v>84.388021274433399</v>
      </c>
      <c r="AE402" s="524">
        <f>P402/O402*100</f>
        <v>173.91611970855664</v>
      </c>
      <c r="AF402" s="524">
        <f>Q402/P402*100</f>
        <v>100</v>
      </c>
      <c r="AG402" s="524">
        <f>AB402/Q402*100</f>
        <v>104.34782608695652</v>
      </c>
      <c r="AH402" s="527"/>
      <c r="AI402" s="544">
        <v>15000</v>
      </c>
      <c r="AJ402" s="516">
        <f>W402/R402*100</f>
        <v>130.01695873374788</v>
      </c>
      <c r="AK402" s="516">
        <f>AT402/W402*100</f>
        <v>113.04347826086956</v>
      </c>
      <c r="AL402" s="516">
        <f>X402/AT402*100</f>
        <v>115.38461538461537</v>
      </c>
      <c r="AM402" s="294"/>
      <c r="AO402" t="b">
        <f t="shared" si="294"/>
        <v>0</v>
      </c>
      <c r="AP402" s="493">
        <v>4264.1099999999997</v>
      </c>
      <c r="AQ402" s="443">
        <v>4264.1099999999997</v>
      </c>
      <c r="AR402" s="493">
        <v>4264.1099999999997</v>
      </c>
      <c r="AS402" s="443">
        <f>__xlfn.XLOOKUP(K402,[1]Izvršenje_proračuna_po_pozicija!$C$25:$C$149,[1]Izvršenje_proračuna_po_pozicija!$E$25:$E$149,0)</f>
        <v>2567.6</v>
      </c>
      <c r="AT402" s="617">
        <v>13000</v>
      </c>
      <c r="AU402" s="478">
        <v>13000</v>
      </c>
      <c r="AV402" s="638">
        <v>15000</v>
      </c>
      <c r="AW402" s="638">
        <v>15000</v>
      </c>
      <c r="AX402" s="655">
        <f t="shared" si="295"/>
        <v>146.97569248162802</v>
      </c>
      <c r="AY402" s="655">
        <f t="shared" si="296"/>
        <v>304.87018393052716</v>
      </c>
      <c r="AZ402" s="655">
        <f t="shared" si="297"/>
        <v>100</v>
      </c>
      <c r="BA402" s="655">
        <f t="shared" si="298"/>
        <v>304.87018393052716</v>
      </c>
      <c r="BB402" s="655">
        <f t="shared" si="299"/>
        <v>115.38461538461537</v>
      </c>
      <c r="BC402" s="655">
        <f t="shared" si="299"/>
        <v>100</v>
      </c>
    </row>
    <row r="403" spans="1:55" ht="12" customHeight="1">
      <c r="A403" s="36"/>
      <c r="B403" s="36"/>
      <c r="C403" s="36"/>
      <c r="D403" s="36"/>
      <c r="E403" s="36"/>
      <c r="F403" s="36"/>
      <c r="G403" s="36"/>
      <c r="H403" s="204"/>
      <c r="I403" s="128"/>
      <c r="J403" s="129"/>
      <c r="K403" s="69" t="s">
        <v>791</v>
      </c>
      <c r="L403" s="309"/>
      <c r="M403" s="309"/>
      <c r="N403" s="339">
        <v>0</v>
      </c>
      <c r="O403" s="339">
        <f>N403/7.5345</f>
        <v>0</v>
      </c>
      <c r="P403" s="294">
        <v>8000</v>
      </c>
      <c r="Q403" s="294">
        <v>8000</v>
      </c>
      <c r="R403" s="443"/>
      <c r="S403" s="294">
        <f>__xlfn.XLOOKUP(H403,[2]Izvršenje_proračuna_po_pozicija!$B$2:$B$153,[2]Izvršenje_proračuna_po_pozicija!$E$2:$E$153,0)</f>
        <v>0</v>
      </c>
      <c r="T403" s="294"/>
      <c r="U403" s="294"/>
      <c r="V403" s="478">
        <v>8000</v>
      </c>
      <c r="W403" s="478">
        <v>8000</v>
      </c>
      <c r="X403" s="544">
        <v>10000</v>
      </c>
      <c r="Y403" s="544"/>
      <c r="Z403" s="541" t="b">
        <f t="shared" si="257"/>
        <v>0</v>
      </c>
      <c r="AA403" s="527"/>
      <c r="AB403" s="528"/>
      <c r="AC403" s="528"/>
      <c r="AD403" s="524"/>
      <c r="AE403" s="524"/>
      <c r="AF403" s="524"/>
      <c r="AG403" s="524"/>
      <c r="AH403" s="527"/>
      <c r="AI403" s="544">
        <v>10000</v>
      </c>
      <c r="AJ403" s="516"/>
      <c r="AK403" s="516">
        <f>AT403/W403*100</f>
        <v>112.5</v>
      </c>
      <c r="AL403" s="516">
        <f>X403/AT403*100</f>
        <v>111.11111111111111</v>
      </c>
      <c r="AM403" s="294"/>
      <c r="AO403" t="b">
        <f t="shared" si="294"/>
        <v>0</v>
      </c>
      <c r="AQ403" s="443"/>
      <c r="AS403" s="443">
        <f>__xlfn.XLOOKUP(K403,[1]Izvršenje_proračuna_po_pozicija!$C$25:$C$149,[1]Izvršenje_proračuna_po_pozicija!$E$25:$E$149,0)</f>
        <v>0</v>
      </c>
      <c r="AT403" s="617">
        <v>9000</v>
      </c>
      <c r="AU403" s="478"/>
      <c r="AV403" s="638">
        <v>10000</v>
      </c>
      <c r="AW403" s="638">
        <v>10000</v>
      </c>
      <c r="AX403" s="655" t="str">
        <f t="shared" si="295"/>
        <v/>
      </c>
      <c r="AY403" s="655" t="str">
        <f t="shared" si="296"/>
        <v/>
      </c>
      <c r="AZ403" s="655" t="str">
        <f t="shared" si="297"/>
        <v/>
      </c>
      <c r="BA403" s="655" t="str">
        <f t="shared" si="298"/>
        <v/>
      </c>
      <c r="BB403" s="655" t="str">
        <f t="shared" si="299"/>
        <v/>
      </c>
      <c r="BC403" s="655">
        <f t="shared" si="299"/>
        <v>100</v>
      </c>
    </row>
    <row r="404" spans="1:55" ht="12" customHeight="1">
      <c r="A404" s="36"/>
      <c r="B404" s="36"/>
      <c r="C404" s="36"/>
      <c r="D404" s="36"/>
      <c r="E404" s="36"/>
      <c r="F404" s="36"/>
      <c r="G404" s="36"/>
      <c r="H404" s="204"/>
      <c r="I404" s="128"/>
      <c r="J404" s="129"/>
      <c r="K404" s="69" t="s">
        <v>792</v>
      </c>
      <c r="L404" s="316"/>
      <c r="M404" s="316"/>
      <c r="N404" s="339">
        <v>0</v>
      </c>
      <c r="O404" s="339">
        <f>N404/7.5345</f>
        <v>0</v>
      </c>
      <c r="P404" s="294">
        <v>3500</v>
      </c>
      <c r="Q404" s="294">
        <v>3500</v>
      </c>
      <c r="R404" s="443"/>
      <c r="S404" s="294">
        <f>__xlfn.XLOOKUP(H404,[2]Izvršenje_proračuna_po_pozicija!$B$2:$B$153,[2]Izvršenje_proračuna_po_pozicija!$E$2:$E$153,0)</f>
        <v>0</v>
      </c>
      <c r="T404" s="294"/>
      <c r="U404" s="294"/>
      <c r="V404" s="478">
        <v>3500</v>
      </c>
      <c r="W404" s="478">
        <v>3500</v>
      </c>
      <c r="X404" s="544">
        <v>5000</v>
      </c>
      <c r="Y404" s="544"/>
      <c r="Z404" s="541" t="b">
        <f t="shared" si="257"/>
        <v>0</v>
      </c>
      <c r="AA404" s="527"/>
      <c r="AB404" s="526"/>
      <c r="AC404" s="526"/>
      <c r="AD404" s="524"/>
      <c r="AE404" s="524"/>
      <c r="AF404" s="524"/>
      <c r="AG404" s="524"/>
      <c r="AH404" s="527"/>
      <c r="AI404" s="544">
        <v>5000</v>
      </c>
      <c r="AJ404" s="516"/>
      <c r="AK404" s="516">
        <f>AT404/W404*100</f>
        <v>114.28571428571428</v>
      </c>
      <c r="AL404" s="516">
        <f>X404/AT404*100</f>
        <v>125</v>
      </c>
      <c r="AM404" s="294"/>
      <c r="AO404" t="b">
        <f t="shared" si="294"/>
        <v>0</v>
      </c>
      <c r="AQ404" s="443"/>
      <c r="AS404" s="443">
        <f>__xlfn.XLOOKUP(K404,[1]Izvršenje_proračuna_po_pozicija!$C$25:$C$149,[1]Izvršenje_proračuna_po_pozicija!$E$25:$E$149,0)</f>
        <v>0</v>
      </c>
      <c r="AT404" s="617">
        <v>4000</v>
      </c>
      <c r="AU404" s="478"/>
      <c r="AV404" s="638">
        <v>5000</v>
      </c>
      <c r="AW404" s="638">
        <v>5000</v>
      </c>
      <c r="AX404" s="655" t="str">
        <f t="shared" si="295"/>
        <v/>
      </c>
      <c r="AY404" s="655" t="str">
        <f t="shared" si="296"/>
        <v/>
      </c>
      <c r="AZ404" s="655" t="str">
        <f t="shared" si="297"/>
        <v/>
      </c>
      <c r="BA404" s="655" t="str">
        <f t="shared" si="298"/>
        <v/>
      </c>
      <c r="BB404" s="655" t="str">
        <f t="shared" si="299"/>
        <v/>
      </c>
      <c r="BC404" s="655">
        <f t="shared" si="299"/>
        <v>100</v>
      </c>
    </row>
    <row r="405" spans="1:55" ht="12" customHeight="1">
      <c r="A405" s="212" t="s">
        <v>475</v>
      </c>
      <c r="B405" s="130"/>
      <c r="C405" s="130"/>
      <c r="D405" s="130"/>
      <c r="E405" s="130"/>
      <c r="F405" s="130"/>
      <c r="G405" s="130"/>
      <c r="H405" s="383"/>
      <c r="I405" s="131" t="s">
        <v>194</v>
      </c>
      <c r="J405" s="112"/>
      <c r="K405" s="113"/>
      <c r="L405" s="315">
        <f t="shared" ref="L405:S405" si="303">L407</f>
        <v>1146157</v>
      </c>
      <c r="M405" s="315">
        <f t="shared" si="303"/>
        <v>152121.17592408252</v>
      </c>
      <c r="N405" s="337">
        <f t="shared" si="303"/>
        <v>707210</v>
      </c>
      <c r="O405" s="337">
        <f t="shared" si="303"/>
        <v>93862.897338907685</v>
      </c>
      <c r="P405" s="292">
        <f t="shared" si="303"/>
        <v>166840</v>
      </c>
      <c r="Q405" s="292">
        <f t="shared" si="303"/>
        <v>189240</v>
      </c>
      <c r="R405" s="441">
        <f t="shared" si="303"/>
        <v>155182</v>
      </c>
      <c r="S405" s="292">
        <f t="shared" si="303"/>
        <v>165608.83000000002</v>
      </c>
      <c r="T405" s="292"/>
      <c r="U405" s="292"/>
      <c r="V405" s="469">
        <f>V407</f>
        <v>212960</v>
      </c>
      <c r="W405" s="469">
        <f>W407</f>
        <v>210390</v>
      </c>
      <c r="X405" s="522">
        <f>X407</f>
        <v>304248</v>
      </c>
      <c r="Y405" s="522">
        <f>Y407</f>
        <v>0</v>
      </c>
      <c r="Z405" s="541" t="b">
        <f t="shared" si="257"/>
        <v>1</v>
      </c>
      <c r="AA405" s="522"/>
      <c r="AB405" s="523">
        <f>AB407</f>
        <v>179750</v>
      </c>
      <c r="AC405" s="523">
        <f>AC407</f>
        <v>179750</v>
      </c>
      <c r="AD405" s="524">
        <f>O405/M405*100</f>
        <v>61.702716120042901</v>
      </c>
      <c r="AE405" s="524">
        <f>P405/O405*100</f>
        <v>177.74861497999183</v>
      </c>
      <c r="AF405" s="524">
        <f>Q405/P405*100</f>
        <v>113.42603692160154</v>
      </c>
      <c r="AG405" s="524">
        <f>AB405/Q405*100</f>
        <v>94.985203973789893</v>
      </c>
      <c r="AH405" s="522"/>
      <c r="AI405" s="522">
        <v>304248</v>
      </c>
      <c r="AJ405" s="516">
        <f>W405/R405*100</f>
        <v>135.57629106468534</v>
      </c>
      <c r="AK405" s="516">
        <f>AT405/W405*100</f>
        <v>161.20538048386331</v>
      </c>
      <c r="AL405" s="516">
        <f>X405/AT405*100</f>
        <v>89.706333294020524</v>
      </c>
      <c r="AM405" s="292"/>
      <c r="AO405" t="b">
        <f t="shared" si="294"/>
        <v>1</v>
      </c>
      <c r="AP405" s="440">
        <f t="shared" ref="AP405:AU405" si="304">AP407</f>
        <v>181665.52000000002</v>
      </c>
      <c r="AQ405" s="441">
        <v>181665.52</v>
      </c>
      <c r="AR405" s="440">
        <f>AR407</f>
        <v>181665.52000000002</v>
      </c>
      <c r="AS405" s="441">
        <f t="shared" si="304"/>
        <v>184343.72</v>
      </c>
      <c r="AT405" s="612">
        <f t="shared" si="304"/>
        <v>339160</v>
      </c>
      <c r="AU405" s="469">
        <f t="shared" si="304"/>
        <v>356681</v>
      </c>
      <c r="AV405" s="636">
        <v>304248</v>
      </c>
      <c r="AW405" s="636">
        <v>304248</v>
      </c>
      <c r="AX405" s="655">
        <f t="shared" si="295"/>
        <v>218.55627585673597</v>
      </c>
      <c r="AY405" s="655">
        <f t="shared" si="296"/>
        <v>186.69475638525134</v>
      </c>
      <c r="AZ405" s="655">
        <f t="shared" si="297"/>
        <v>105.16599834886189</v>
      </c>
      <c r="BA405" s="655">
        <f t="shared" si="298"/>
        <v>196.33940441752515</v>
      </c>
      <c r="BB405" s="655">
        <f t="shared" si="299"/>
        <v>85.299749636229578</v>
      </c>
      <c r="BC405" s="655">
        <f t="shared" si="299"/>
        <v>100</v>
      </c>
    </row>
    <row r="406" spans="1:55" ht="12" customHeight="1">
      <c r="A406" s="25"/>
      <c r="B406" s="25"/>
      <c r="C406" s="25"/>
      <c r="D406" s="25"/>
      <c r="E406" s="25"/>
      <c r="F406" s="25"/>
      <c r="G406" s="25"/>
      <c r="H406" s="382"/>
      <c r="I406" s="114"/>
      <c r="J406" s="94"/>
      <c r="K406" s="26"/>
      <c r="L406" s="317"/>
      <c r="M406" s="317"/>
      <c r="N406" s="341"/>
      <c r="O406" s="341"/>
      <c r="P406" s="296"/>
      <c r="Q406" s="296"/>
      <c r="R406" s="445"/>
      <c r="S406" s="294">
        <f>__xlfn.XLOOKUP(H406,[2]Izvršenje_proračuna_po_pozicija!$B$2:$B$153,[2]Izvršenje_proračuna_po_pozicija!$E$2:$E$153,0)</f>
        <v>0</v>
      </c>
      <c r="T406" s="294"/>
      <c r="U406" s="294"/>
      <c r="V406" s="481"/>
      <c r="W406" s="481"/>
      <c r="X406" s="549"/>
      <c r="Y406" s="549"/>
      <c r="Z406" s="541" t="b">
        <f t="shared" si="257"/>
        <v>0</v>
      </c>
      <c r="AA406" s="531"/>
      <c r="AB406" s="532"/>
      <c r="AC406" s="532"/>
      <c r="AD406" s="524"/>
      <c r="AE406" s="524"/>
      <c r="AF406" s="524"/>
      <c r="AG406" s="524"/>
      <c r="AH406" s="531"/>
      <c r="AI406" s="549"/>
      <c r="AJ406" s="516"/>
      <c r="AK406" s="516"/>
      <c r="AL406" s="516"/>
      <c r="AM406" s="296"/>
      <c r="AO406" t="b">
        <f t="shared" si="294"/>
        <v>0</v>
      </c>
      <c r="AQ406" s="445"/>
      <c r="AS406" s="445">
        <f>__xlfn.XLOOKUP(K406,[1]Izvršenje_proračuna_po_pozicija!$C$25:$C$149,[1]Izvršenje_proračuna_po_pozicija!$E$25:$E$149,0)</f>
        <v>0</v>
      </c>
      <c r="AT406" s="616"/>
      <c r="AU406" s="481"/>
      <c r="AV406" s="640"/>
      <c r="AW406" s="640"/>
      <c r="AX406" s="655" t="str">
        <f t="shared" si="295"/>
        <v/>
      </c>
      <c r="AY406" s="655" t="str">
        <f t="shared" si="296"/>
        <v/>
      </c>
      <c r="AZ406" s="655" t="str">
        <f t="shared" si="297"/>
        <v/>
      </c>
      <c r="BA406" s="655" t="str">
        <f t="shared" si="298"/>
        <v/>
      </c>
      <c r="BB406" s="655" t="str">
        <f t="shared" si="299"/>
        <v/>
      </c>
      <c r="BC406" s="655" t="str">
        <f t="shared" si="299"/>
        <v/>
      </c>
    </row>
    <row r="407" spans="1:55" ht="12" customHeight="1">
      <c r="A407" s="52"/>
      <c r="B407" s="52"/>
      <c r="C407" s="52"/>
      <c r="D407" s="52"/>
      <c r="E407" s="52"/>
      <c r="F407" s="52"/>
      <c r="G407" s="52"/>
      <c r="H407" s="384"/>
      <c r="I407" s="120"/>
      <c r="J407" s="94">
        <v>3</v>
      </c>
      <c r="K407" s="21" t="s">
        <v>94</v>
      </c>
      <c r="L407" s="315">
        <f t="shared" ref="L407:S407" si="305">L408+L439</f>
        <v>1146157</v>
      </c>
      <c r="M407" s="315">
        <f t="shared" si="305"/>
        <v>152121.17592408252</v>
      </c>
      <c r="N407" s="337">
        <f t="shared" si="305"/>
        <v>707210</v>
      </c>
      <c r="O407" s="337">
        <f t="shared" si="305"/>
        <v>93862.897338907685</v>
      </c>
      <c r="P407" s="292">
        <f t="shared" si="305"/>
        <v>166840</v>
      </c>
      <c r="Q407" s="292">
        <f t="shared" si="305"/>
        <v>189240</v>
      </c>
      <c r="R407" s="441">
        <f t="shared" si="305"/>
        <v>155182</v>
      </c>
      <c r="S407" s="292">
        <f t="shared" si="305"/>
        <v>165608.83000000002</v>
      </c>
      <c r="T407" s="292"/>
      <c r="U407" s="292"/>
      <c r="V407" s="469">
        <f>V408+V439</f>
        <v>212960</v>
      </c>
      <c r="W407" s="469">
        <f>W408+W439</f>
        <v>210390</v>
      </c>
      <c r="X407" s="522">
        <f>X408+X439</f>
        <v>304248</v>
      </c>
      <c r="Y407" s="522">
        <f>Y408+Y439</f>
        <v>0</v>
      </c>
      <c r="Z407" s="541" t="b">
        <f t="shared" si="257"/>
        <v>1</v>
      </c>
      <c r="AA407" s="522"/>
      <c r="AB407" s="523">
        <f>AB408+AB439</f>
        <v>179750</v>
      </c>
      <c r="AC407" s="523">
        <f>AC408+AC439</f>
        <v>179750</v>
      </c>
      <c r="AD407" s="524">
        <f>O407/M407*100</f>
        <v>61.702716120042901</v>
      </c>
      <c r="AE407" s="524">
        <f>P407/O407*100</f>
        <v>177.74861497999183</v>
      </c>
      <c r="AF407" s="524">
        <f>Q407/P407*100</f>
        <v>113.42603692160154</v>
      </c>
      <c r="AG407" s="524">
        <f>AB407/Q407*100</f>
        <v>94.985203973789893</v>
      </c>
      <c r="AH407" s="522"/>
      <c r="AI407" s="522">
        <v>304248</v>
      </c>
      <c r="AJ407" s="516">
        <f>W407/R407*100</f>
        <v>135.57629106468534</v>
      </c>
      <c r="AK407" s="516">
        <f>AT407/W407*100</f>
        <v>161.20538048386331</v>
      </c>
      <c r="AL407" s="516">
        <f>X407/AT407*100</f>
        <v>89.706333294020524</v>
      </c>
      <c r="AM407" s="292"/>
      <c r="AO407" t="b">
        <f t="shared" si="294"/>
        <v>1</v>
      </c>
      <c r="AP407" s="440">
        <f t="shared" ref="AP407:AU407" si="306">AP408+AP439</f>
        <v>181665.52000000002</v>
      </c>
      <c r="AQ407" s="441">
        <v>181665.52</v>
      </c>
      <c r="AR407" s="440">
        <f>AR408+AR439</f>
        <v>181665.52000000002</v>
      </c>
      <c r="AS407" s="441">
        <f t="shared" si="306"/>
        <v>184343.72</v>
      </c>
      <c r="AT407" s="612">
        <f t="shared" si="306"/>
        <v>339160</v>
      </c>
      <c r="AU407" s="469">
        <f t="shared" si="306"/>
        <v>356681</v>
      </c>
      <c r="AV407" s="636">
        <v>304248</v>
      </c>
      <c r="AW407" s="636">
        <v>304248</v>
      </c>
      <c r="AX407" s="655">
        <f t="shared" si="295"/>
        <v>218.55627585673597</v>
      </c>
      <c r="AY407" s="655">
        <f t="shared" si="296"/>
        <v>186.69475638525134</v>
      </c>
      <c r="AZ407" s="655">
        <f t="shared" si="297"/>
        <v>105.16599834886189</v>
      </c>
      <c r="BA407" s="655">
        <f t="shared" si="298"/>
        <v>196.33940441752515</v>
      </c>
      <c r="BB407" s="655">
        <f t="shared" si="299"/>
        <v>85.299749636229578</v>
      </c>
      <c r="BC407" s="655">
        <f t="shared" si="299"/>
        <v>100</v>
      </c>
    </row>
    <row r="408" spans="1:55" ht="12" customHeight="1">
      <c r="A408" s="355"/>
      <c r="B408" s="355"/>
      <c r="C408" s="355"/>
      <c r="D408" s="355"/>
      <c r="E408" s="355"/>
      <c r="F408" s="355"/>
      <c r="G408" s="355"/>
      <c r="H408" s="379"/>
      <c r="I408" s="360"/>
      <c r="J408" s="356">
        <v>32</v>
      </c>
      <c r="K408" s="358" t="s">
        <v>103</v>
      </c>
      <c r="L408" s="315">
        <f t="shared" ref="L408:S408" si="307">L410+L418</f>
        <v>1058877</v>
      </c>
      <c r="M408" s="315">
        <f t="shared" si="307"/>
        <v>140537.12920565397</v>
      </c>
      <c r="N408" s="337">
        <f t="shared" si="307"/>
        <v>699537</v>
      </c>
      <c r="O408" s="337">
        <f t="shared" si="307"/>
        <v>92844.515229942263</v>
      </c>
      <c r="P408" s="292">
        <f t="shared" si="307"/>
        <v>147100</v>
      </c>
      <c r="Q408" s="292">
        <f t="shared" si="307"/>
        <v>168500</v>
      </c>
      <c r="R408" s="441">
        <f t="shared" si="307"/>
        <v>154982</v>
      </c>
      <c r="S408" s="292">
        <f t="shared" si="307"/>
        <v>164108.83000000002</v>
      </c>
      <c r="T408" s="292"/>
      <c r="U408" s="292"/>
      <c r="V408" s="469">
        <f>V410+V418</f>
        <v>189800</v>
      </c>
      <c r="W408" s="469">
        <f>W410+W418</f>
        <v>201000</v>
      </c>
      <c r="X408" s="522">
        <f>X410+X418</f>
        <v>295500</v>
      </c>
      <c r="Y408" s="522">
        <f>Y410+Y418</f>
        <v>0</v>
      </c>
      <c r="Z408" s="541" t="b">
        <f t="shared" si="257"/>
        <v>1</v>
      </c>
      <c r="AA408" s="522"/>
      <c r="AB408" s="523">
        <f>AB410+AB418</f>
        <v>158300</v>
      </c>
      <c r="AC408" s="523">
        <f>AC410+AC418</f>
        <v>158300</v>
      </c>
      <c r="AD408" s="524">
        <f>O408/M408*100</f>
        <v>66.064047098954845</v>
      </c>
      <c r="AE408" s="524">
        <f>P408/O408*100</f>
        <v>158.43693042683947</v>
      </c>
      <c r="AF408" s="524">
        <f>Q408/P408*100</f>
        <v>114.54792658055743</v>
      </c>
      <c r="AG408" s="524">
        <f>AB408/Q408*100</f>
        <v>93.946587537091986</v>
      </c>
      <c r="AH408" s="522"/>
      <c r="AI408" s="522">
        <v>295500</v>
      </c>
      <c r="AJ408" s="516">
        <f>W408/R408*100</f>
        <v>129.6924804170807</v>
      </c>
      <c r="AK408" s="516">
        <f>AT408/W408*100</f>
        <v>162.43781094527364</v>
      </c>
      <c r="AL408" s="516">
        <f>X408/AT408*100</f>
        <v>90.505359877488516</v>
      </c>
      <c r="AM408" s="292"/>
      <c r="AO408" t="b">
        <f t="shared" si="294"/>
        <v>1</v>
      </c>
      <c r="AP408" s="440">
        <f t="shared" ref="AP408:AU408" si="308">AP410+AP418</f>
        <v>180165.52000000002</v>
      </c>
      <c r="AQ408" s="441">
        <v>180165.52</v>
      </c>
      <c r="AR408" s="440">
        <f>AR410+AR418</f>
        <v>180165.52000000002</v>
      </c>
      <c r="AS408" s="441">
        <f t="shared" si="308"/>
        <v>184343.72</v>
      </c>
      <c r="AT408" s="612">
        <f t="shared" si="308"/>
        <v>326500</v>
      </c>
      <c r="AU408" s="469">
        <f t="shared" si="308"/>
        <v>339000</v>
      </c>
      <c r="AV408" s="636">
        <v>295500</v>
      </c>
      <c r="AW408" s="636">
        <v>295500</v>
      </c>
      <c r="AX408" s="655">
        <f t="shared" si="295"/>
        <v>210.66962615013355</v>
      </c>
      <c r="AY408" s="655">
        <f t="shared" si="296"/>
        <v>181.22224496673948</v>
      </c>
      <c r="AZ408" s="655">
        <f t="shared" si="297"/>
        <v>103.82848392036755</v>
      </c>
      <c r="BA408" s="655">
        <f t="shared" si="298"/>
        <v>188.16030947542018</v>
      </c>
      <c r="BB408" s="655">
        <f t="shared" si="299"/>
        <v>87.16814159292035</v>
      </c>
      <c r="BC408" s="655">
        <f t="shared" si="299"/>
        <v>100</v>
      </c>
    </row>
    <row r="409" spans="1:55" ht="12" customHeight="1">
      <c r="A409" s="52"/>
      <c r="B409" s="52"/>
      <c r="C409" s="52"/>
      <c r="D409" s="52"/>
      <c r="E409" s="52"/>
      <c r="F409" s="52"/>
      <c r="G409" s="52"/>
      <c r="H409" s="384"/>
      <c r="I409" s="120"/>
      <c r="J409" s="94"/>
      <c r="K409" s="21"/>
      <c r="L409" s="315"/>
      <c r="M409" s="315"/>
      <c r="N409" s="337"/>
      <c r="O409" s="337"/>
      <c r="P409" s="292"/>
      <c r="Q409" s="292"/>
      <c r="R409" s="441"/>
      <c r="S409" s="294">
        <f>__xlfn.XLOOKUP(H409,[2]Izvršenje_proračuna_po_pozicija!$B$2:$B$153,[2]Izvršenje_proračuna_po_pozicija!$E$2:$E$153,0)</f>
        <v>0</v>
      </c>
      <c r="T409" s="294"/>
      <c r="U409" s="294"/>
      <c r="V409" s="476"/>
      <c r="W409" s="476"/>
      <c r="X409" s="541"/>
      <c r="Y409" s="541"/>
      <c r="Z409" s="541" t="b">
        <f t="shared" si="257"/>
        <v>0</v>
      </c>
      <c r="AA409" s="522"/>
      <c r="AB409" s="523"/>
      <c r="AC409" s="523"/>
      <c r="AD409" s="524"/>
      <c r="AE409" s="524"/>
      <c r="AF409" s="524"/>
      <c r="AG409" s="524"/>
      <c r="AH409" s="522"/>
      <c r="AI409" s="541"/>
      <c r="AJ409" s="516"/>
      <c r="AK409" s="516"/>
      <c r="AL409" s="516"/>
      <c r="AM409" s="292"/>
      <c r="AO409" t="b">
        <f t="shared" si="294"/>
        <v>0</v>
      </c>
      <c r="AQ409" s="441"/>
      <c r="AS409" s="441"/>
      <c r="AT409" s="616"/>
      <c r="AU409" s="476"/>
      <c r="AV409" s="636"/>
      <c r="AW409" s="636"/>
      <c r="AX409" s="655" t="str">
        <f t="shared" si="295"/>
        <v/>
      </c>
      <c r="AY409" s="655" t="str">
        <f t="shared" si="296"/>
        <v/>
      </c>
      <c r="AZ409" s="655" t="str">
        <f t="shared" si="297"/>
        <v/>
      </c>
      <c r="BA409" s="655" t="str">
        <f t="shared" si="298"/>
        <v/>
      </c>
      <c r="BB409" s="655" t="str">
        <f t="shared" si="299"/>
        <v/>
      </c>
      <c r="BC409" s="655" t="str">
        <f t="shared" si="299"/>
        <v/>
      </c>
    </row>
    <row r="410" spans="1:55" ht="12" customHeight="1">
      <c r="A410" s="56"/>
      <c r="B410" s="56"/>
      <c r="C410" s="56"/>
      <c r="D410" s="56"/>
      <c r="E410" s="56"/>
      <c r="F410" s="56"/>
      <c r="G410" s="56"/>
      <c r="H410" s="377"/>
      <c r="I410" s="119"/>
      <c r="J410" s="116">
        <v>323</v>
      </c>
      <c r="K410" s="60" t="s">
        <v>191</v>
      </c>
      <c r="L410" s="315">
        <f t="shared" ref="L410:S410" si="309">L411+L412+L413+L414+L415+L416</f>
        <v>328874</v>
      </c>
      <c r="M410" s="315">
        <f t="shared" si="309"/>
        <v>43649.080894551727</v>
      </c>
      <c r="N410" s="337">
        <f t="shared" si="309"/>
        <v>88564</v>
      </c>
      <c r="O410" s="337">
        <f t="shared" si="309"/>
        <v>11754.46280443294</v>
      </c>
      <c r="P410" s="292">
        <f t="shared" si="309"/>
        <v>35500</v>
      </c>
      <c r="Q410" s="292">
        <f t="shared" si="309"/>
        <v>49500</v>
      </c>
      <c r="R410" s="441">
        <f t="shared" si="309"/>
        <v>42871</v>
      </c>
      <c r="S410" s="292">
        <f t="shared" si="309"/>
        <v>37661</v>
      </c>
      <c r="T410" s="292"/>
      <c r="U410" s="292"/>
      <c r="V410" s="469">
        <f>V411+V412+V413+V414+V415+V416</f>
        <v>51500</v>
      </c>
      <c r="W410" s="469">
        <f>W411+W412+W413+W414+W415+W416</f>
        <v>51500</v>
      </c>
      <c r="X410" s="522">
        <f>X411+X412+X413+X414+X415+X416</f>
        <v>67000</v>
      </c>
      <c r="Y410" s="522">
        <f>Y411+Y412+Y413+Y414+Y415+Y416</f>
        <v>0</v>
      </c>
      <c r="Z410" s="541" t="b">
        <f t="shared" si="257"/>
        <v>1</v>
      </c>
      <c r="AA410" s="522"/>
      <c r="AB410" s="523">
        <f>AB411+AB412+AB413+AB414+AB415+AB416</f>
        <v>35500</v>
      </c>
      <c r="AC410" s="523">
        <f>AC411+AC412+AC413+AC414+AC415+AC416</f>
        <v>35500</v>
      </c>
      <c r="AD410" s="524">
        <f>O410/M410*100</f>
        <v>26.929462347281934</v>
      </c>
      <c r="AE410" s="524">
        <f>P410/O410*100</f>
        <v>302.0129510862202</v>
      </c>
      <c r="AF410" s="524">
        <f>Q410/P410*100</f>
        <v>139.43661971830986</v>
      </c>
      <c r="AG410" s="524">
        <f>AB410/Q410*100</f>
        <v>71.717171717171709</v>
      </c>
      <c r="AH410" s="522"/>
      <c r="AI410" s="522">
        <v>67000</v>
      </c>
      <c r="AJ410" s="516">
        <f>W410/R410*100</f>
        <v>120.12782533647454</v>
      </c>
      <c r="AK410" s="516">
        <f>AT410/W410*100</f>
        <v>109.70873786407766</v>
      </c>
      <c r="AL410" s="516">
        <f>X410/AT410*100</f>
        <v>118.58407079646018</v>
      </c>
      <c r="AM410" s="292"/>
      <c r="AO410" t="b">
        <f t="shared" si="294"/>
        <v>1</v>
      </c>
      <c r="AP410" s="440">
        <f t="shared" ref="AP410:AU410" si="310">AP411+AP412+AP413+AP414+AP415+AP416</f>
        <v>38940.82</v>
      </c>
      <c r="AQ410" s="441">
        <v>38940.82</v>
      </c>
      <c r="AR410" s="440">
        <f>AR411+AR412+AR413+AR414+AR415+AR416</f>
        <v>38940.82</v>
      </c>
      <c r="AS410" s="441">
        <f t="shared" si="310"/>
        <v>96274.19</v>
      </c>
      <c r="AT410" s="612">
        <f t="shared" si="310"/>
        <v>56500</v>
      </c>
      <c r="AU410" s="469">
        <f t="shared" si="310"/>
        <v>110500</v>
      </c>
      <c r="AV410" s="636">
        <v>67000</v>
      </c>
      <c r="AW410" s="636">
        <v>67000</v>
      </c>
      <c r="AX410" s="655">
        <f t="shared" si="295"/>
        <v>131.79072100020994</v>
      </c>
      <c r="AY410" s="655">
        <f t="shared" si="296"/>
        <v>145.09196262431044</v>
      </c>
      <c r="AZ410" s="655">
        <f t="shared" si="297"/>
        <v>195.57522123893804</v>
      </c>
      <c r="BA410" s="655">
        <f t="shared" si="298"/>
        <v>283.76392690241244</v>
      </c>
      <c r="BB410" s="655">
        <f t="shared" si="299"/>
        <v>60.633484162895925</v>
      </c>
      <c r="BC410" s="655">
        <f t="shared" si="299"/>
        <v>100</v>
      </c>
    </row>
    <row r="411" spans="1:55" ht="12" customHeight="1">
      <c r="A411" s="36"/>
      <c r="B411" s="36"/>
      <c r="C411" s="36"/>
      <c r="D411" s="36"/>
      <c r="E411" s="36"/>
      <c r="F411" s="36"/>
      <c r="G411" s="36"/>
      <c r="H411" s="204">
        <v>17</v>
      </c>
      <c r="I411" s="118">
        <v>133</v>
      </c>
      <c r="J411" s="71">
        <v>3233</v>
      </c>
      <c r="K411" s="40" t="s">
        <v>116</v>
      </c>
      <c r="L411" s="309">
        <v>38779</v>
      </c>
      <c r="M411" s="309">
        <f>38779/7.5345</f>
        <v>5146.8577875107831</v>
      </c>
      <c r="N411" s="339">
        <v>39189</v>
      </c>
      <c r="O411" s="339">
        <f t="shared" ref="O411:O416" si="311">N411/7.5345</f>
        <v>5201.27413896078</v>
      </c>
      <c r="P411" s="294">
        <v>10500</v>
      </c>
      <c r="Q411" s="294">
        <v>10500</v>
      </c>
      <c r="R411" s="443">
        <v>3957</v>
      </c>
      <c r="S411" s="294">
        <v>8311</v>
      </c>
      <c r="T411" s="294"/>
      <c r="U411" s="294"/>
      <c r="V411" s="478">
        <v>10500</v>
      </c>
      <c r="W411" s="478">
        <v>10500</v>
      </c>
      <c r="X411" s="544">
        <v>15000</v>
      </c>
      <c r="Y411" s="544"/>
      <c r="Z411" s="541" t="b">
        <f t="shared" si="257"/>
        <v>0</v>
      </c>
      <c r="AA411" s="527"/>
      <c r="AB411" s="528">
        <v>10500</v>
      </c>
      <c r="AC411" s="528">
        <v>10500</v>
      </c>
      <c r="AD411" s="524">
        <f>O411/M411*100</f>
        <v>101.05727326645865</v>
      </c>
      <c r="AE411" s="524">
        <f>P411/O411*100</f>
        <v>201.87361249330169</v>
      </c>
      <c r="AF411" s="524">
        <f>Q411/P411*100</f>
        <v>100</v>
      </c>
      <c r="AG411" s="524">
        <f>AB411/Q411*100</f>
        <v>100</v>
      </c>
      <c r="AH411" s="527"/>
      <c r="AI411" s="544">
        <v>15000</v>
      </c>
      <c r="AJ411" s="516">
        <f>W411/R411*100</f>
        <v>265.35253980288098</v>
      </c>
      <c r="AK411" s="516">
        <f>AT411/W411*100</f>
        <v>104.76190476190477</v>
      </c>
      <c r="AL411" s="516">
        <f>X411/AT411*100</f>
        <v>136.36363636363635</v>
      </c>
      <c r="AM411" s="294"/>
      <c r="AO411" t="b">
        <f t="shared" si="294"/>
        <v>0</v>
      </c>
      <c r="AP411" s="493">
        <v>9590.82</v>
      </c>
      <c r="AQ411" s="443">
        <v>9590.82</v>
      </c>
      <c r="AR411" s="493">
        <v>9590.82</v>
      </c>
      <c r="AS411" s="443">
        <v>2044.19</v>
      </c>
      <c r="AT411" s="617">
        <v>11000</v>
      </c>
      <c r="AU411" s="478">
        <v>10000</v>
      </c>
      <c r="AV411" s="638">
        <v>15000</v>
      </c>
      <c r="AW411" s="638">
        <v>15000</v>
      </c>
      <c r="AX411" s="655">
        <f t="shared" si="295"/>
        <v>277.98837503158961</v>
      </c>
      <c r="AY411" s="655">
        <f t="shared" si="296"/>
        <v>114.69300852273321</v>
      </c>
      <c r="AZ411" s="655">
        <f t="shared" si="297"/>
        <v>90.909090909090907</v>
      </c>
      <c r="BA411" s="655">
        <f t="shared" si="298"/>
        <v>104.2663713843029</v>
      </c>
      <c r="BB411" s="655">
        <f t="shared" si="299"/>
        <v>150</v>
      </c>
      <c r="BC411" s="655">
        <f t="shared" si="299"/>
        <v>100</v>
      </c>
    </row>
    <row r="412" spans="1:55" ht="12" customHeight="1">
      <c r="A412" s="36"/>
      <c r="B412" s="36"/>
      <c r="C412" s="36"/>
      <c r="D412" s="36"/>
      <c r="E412" s="36"/>
      <c r="F412" s="36"/>
      <c r="G412" s="36"/>
      <c r="H412" s="204" t="s">
        <v>195</v>
      </c>
      <c r="I412" s="118">
        <v>133</v>
      </c>
      <c r="J412" s="71">
        <v>3235</v>
      </c>
      <c r="K412" s="40" t="s">
        <v>196</v>
      </c>
      <c r="L412" s="309">
        <v>9470</v>
      </c>
      <c r="M412" s="309">
        <f>9470/7.5345</f>
        <v>1256.8849956865085</v>
      </c>
      <c r="N412" s="339">
        <v>2000</v>
      </c>
      <c r="O412" s="339">
        <f t="shared" si="311"/>
        <v>265.44561682925212</v>
      </c>
      <c r="P412" s="294">
        <v>1000</v>
      </c>
      <c r="Q412" s="294">
        <v>1000</v>
      </c>
      <c r="R412" s="443">
        <v>265</v>
      </c>
      <c r="S412" s="294">
        <f>__xlfn.XLOOKUP(H412,[2]Izvršenje_proračuna_po_pozicija!$B$2:$B$153,[2]Izvršenje_proračuna_po_pozicija!$E$2:$E$153,0)</f>
        <v>100</v>
      </c>
      <c r="T412" s="294"/>
      <c r="U412" s="294"/>
      <c r="V412" s="478">
        <v>1000</v>
      </c>
      <c r="W412" s="478">
        <v>1000</v>
      </c>
      <c r="X412" s="544">
        <v>1000</v>
      </c>
      <c r="Y412" s="544"/>
      <c r="Z412" s="541" t="b">
        <f t="shared" si="257"/>
        <v>0</v>
      </c>
      <c r="AA412" s="527"/>
      <c r="AB412" s="528">
        <v>1000</v>
      </c>
      <c r="AC412" s="528">
        <v>1000</v>
      </c>
      <c r="AD412" s="524">
        <f>O412/M412*100</f>
        <v>21.119324181626194</v>
      </c>
      <c r="AE412" s="524"/>
      <c r="AF412" s="524"/>
      <c r="AG412" s="524"/>
      <c r="AH412" s="527"/>
      <c r="AI412" s="544">
        <v>1000</v>
      </c>
      <c r="AJ412" s="516">
        <f>W412/R412*100</f>
        <v>377.35849056603774</v>
      </c>
      <c r="AK412" s="516">
        <f>AT412/W412*100</f>
        <v>50</v>
      </c>
      <c r="AL412" s="516">
        <f>X412/AT412*100</f>
        <v>200</v>
      </c>
      <c r="AM412" s="294"/>
      <c r="AO412" t="b">
        <f t="shared" si="294"/>
        <v>0</v>
      </c>
      <c r="AP412" s="493">
        <v>100</v>
      </c>
      <c r="AQ412" s="443">
        <v>100</v>
      </c>
      <c r="AR412" s="493">
        <v>100</v>
      </c>
      <c r="AS412" s="443">
        <f>__xlfn.XLOOKUP(K412,[1]Izvršenje_proračuna_po_pozicija!$C$25:$C$149,[1]Izvršenje_proračuna_po_pozicija!$E$25:$E$149,0)</f>
        <v>480</v>
      </c>
      <c r="AT412" s="617">
        <v>500</v>
      </c>
      <c r="AU412" s="478">
        <v>500</v>
      </c>
      <c r="AV412" s="638">
        <v>1000</v>
      </c>
      <c r="AW412" s="638">
        <v>1000</v>
      </c>
      <c r="AX412" s="655">
        <f t="shared" si="295"/>
        <v>188.67924528301887</v>
      </c>
      <c r="AY412" s="655">
        <f t="shared" si="296"/>
        <v>500</v>
      </c>
      <c r="AZ412" s="655">
        <f t="shared" si="297"/>
        <v>100</v>
      </c>
      <c r="BA412" s="655">
        <f t="shared" si="298"/>
        <v>500</v>
      </c>
      <c r="BB412" s="655">
        <f t="shared" si="299"/>
        <v>200</v>
      </c>
      <c r="BC412" s="655">
        <f t="shared" si="299"/>
        <v>100</v>
      </c>
    </row>
    <row r="413" spans="1:55" ht="12" customHeight="1">
      <c r="A413" s="36"/>
      <c r="B413" s="36"/>
      <c r="C413" s="36"/>
      <c r="D413" s="36"/>
      <c r="E413" s="36"/>
      <c r="F413" s="36"/>
      <c r="G413" s="36"/>
      <c r="H413" s="204" t="s">
        <v>197</v>
      </c>
      <c r="I413" s="118">
        <v>133</v>
      </c>
      <c r="J413" s="71">
        <v>3235</v>
      </c>
      <c r="K413" s="40" t="s">
        <v>198</v>
      </c>
      <c r="L413" s="309">
        <v>0</v>
      </c>
      <c r="M413" s="309">
        <v>0</v>
      </c>
      <c r="N413" s="339">
        <v>0</v>
      </c>
      <c r="O413" s="339">
        <f t="shared" si="311"/>
        <v>0</v>
      </c>
      <c r="P413" s="294">
        <v>0</v>
      </c>
      <c r="Q413" s="294">
        <v>0</v>
      </c>
      <c r="R413" s="443">
        <v>0</v>
      </c>
      <c r="S413" s="294">
        <f>__xlfn.XLOOKUP(H413,[2]Izvršenje_proračuna_po_pozicija!$B$2:$B$153,[2]Izvršenje_proračuna_po_pozicija!$E$2:$E$153,0)</f>
        <v>0</v>
      </c>
      <c r="T413" s="294"/>
      <c r="U413" s="294"/>
      <c r="V413" s="478">
        <v>0</v>
      </c>
      <c r="W413" s="478"/>
      <c r="X413" s="544"/>
      <c r="Y413" s="544"/>
      <c r="Z413" s="541" t="b">
        <f t="shared" ref="Z413:Z476" si="312">__xlfn.ISFORMULA(R413)</f>
        <v>0</v>
      </c>
      <c r="AA413" s="527"/>
      <c r="AB413" s="528"/>
      <c r="AC413" s="528"/>
      <c r="AD413" s="524"/>
      <c r="AE413" s="524"/>
      <c r="AF413" s="524"/>
      <c r="AG413" s="524"/>
      <c r="AH413" s="527"/>
      <c r="AI413" s="544"/>
      <c r="AJ413" s="516"/>
      <c r="AK413" s="516"/>
      <c r="AL413" s="516"/>
      <c r="AM413" s="294"/>
      <c r="AO413" t="b">
        <f t="shared" si="294"/>
        <v>0</v>
      </c>
      <c r="AP413" s="493"/>
      <c r="AQ413" s="443"/>
      <c r="AR413" s="493"/>
      <c r="AS413" s="443">
        <f>__xlfn.XLOOKUP(K413,[1]Izvršenje_proračuna_po_pozicija!$C$25:$C$149,[1]Izvršenje_proračuna_po_pozicija!$E$25:$E$149,0)</f>
        <v>0</v>
      </c>
      <c r="AT413" s="617"/>
      <c r="AU413" s="478"/>
      <c r="AV413" s="638"/>
      <c r="AW413" s="638"/>
      <c r="AX413" s="655" t="str">
        <f t="shared" si="295"/>
        <v/>
      </c>
      <c r="AY413" s="655" t="str">
        <f t="shared" si="296"/>
        <v/>
      </c>
      <c r="AZ413" s="655" t="str">
        <f t="shared" si="297"/>
        <v/>
      </c>
      <c r="BA413" s="655" t="str">
        <f t="shared" si="298"/>
        <v/>
      </c>
      <c r="BB413" s="655" t="str">
        <f t="shared" si="299"/>
        <v/>
      </c>
      <c r="BC413" s="655" t="str">
        <f t="shared" si="299"/>
        <v/>
      </c>
    </row>
    <row r="414" spans="1:55" ht="12" customHeight="1">
      <c r="A414" s="36"/>
      <c r="B414" s="36"/>
      <c r="C414" s="36"/>
      <c r="D414" s="36"/>
      <c r="E414" s="36"/>
      <c r="F414" s="36"/>
      <c r="G414" s="36"/>
      <c r="H414" s="204" t="s">
        <v>532</v>
      </c>
      <c r="I414" s="132">
        <v>133</v>
      </c>
      <c r="J414" s="71">
        <v>3237</v>
      </c>
      <c r="K414" s="40" t="s">
        <v>551</v>
      </c>
      <c r="L414" s="309">
        <v>280375</v>
      </c>
      <c r="M414" s="309">
        <f>280375/7.5345</f>
        <v>37212.15740925078</v>
      </c>
      <c r="N414" s="339">
        <v>47375</v>
      </c>
      <c r="O414" s="339">
        <f t="shared" si="311"/>
        <v>6287.7430486429093</v>
      </c>
      <c r="P414" s="294">
        <v>20000</v>
      </c>
      <c r="Q414" s="269">
        <v>36000</v>
      </c>
      <c r="R414" s="443">
        <v>37961</v>
      </c>
      <c r="S414" s="294">
        <f>__xlfn.XLOOKUP(H414,[2]Izvršenje_proračuna_po_pozicija!$B$2:$B$153,[2]Izvršenje_proračuna_po_pozicija!$E$2:$E$153,0)</f>
        <v>29250</v>
      </c>
      <c r="T414" s="294"/>
      <c r="U414" s="294"/>
      <c r="V414" s="478">
        <v>36000</v>
      </c>
      <c r="W414" s="478">
        <v>36000</v>
      </c>
      <c r="X414" s="544">
        <v>45000</v>
      </c>
      <c r="Y414" s="544"/>
      <c r="Z414" s="541" t="b">
        <f t="shared" si="312"/>
        <v>0</v>
      </c>
      <c r="AA414" s="527"/>
      <c r="AB414" s="528">
        <v>20000</v>
      </c>
      <c r="AC414" s="528">
        <v>20000</v>
      </c>
      <c r="AD414" s="524">
        <f>O414/M414*100</f>
        <v>16.897012929112794</v>
      </c>
      <c r="AE414" s="524">
        <f>P414/O414*100</f>
        <v>318.07915567282322</v>
      </c>
      <c r="AF414" s="524">
        <f>Q414/P414*100</f>
        <v>180</v>
      </c>
      <c r="AG414" s="524">
        <f>AB414/Q414*100</f>
        <v>55.555555555555557</v>
      </c>
      <c r="AH414" s="527"/>
      <c r="AI414" s="544">
        <v>45000</v>
      </c>
      <c r="AJ414" s="516">
        <f>W414/R414*100</f>
        <v>94.83417191327942</v>
      </c>
      <c r="AK414" s="516">
        <f>AT414/W414*100</f>
        <v>111.11111111111111</v>
      </c>
      <c r="AL414" s="516">
        <f>X414/AT414*100</f>
        <v>112.5</v>
      </c>
      <c r="AM414" s="294"/>
      <c r="AO414" t="b">
        <f t="shared" si="294"/>
        <v>0</v>
      </c>
      <c r="AP414" s="493">
        <v>29250</v>
      </c>
      <c r="AQ414" s="443">
        <v>29250</v>
      </c>
      <c r="AR414" s="493">
        <v>29250</v>
      </c>
      <c r="AS414" s="443">
        <v>93750</v>
      </c>
      <c r="AT414" s="617">
        <v>40000</v>
      </c>
      <c r="AU414" s="478">
        <v>100000</v>
      </c>
      <c r="AV414" s="638">
        <v>45000</v>
      </c>
      <c r="AW414" s="638">
        <v>45000</v>
      </c>
      <c r="AX414" s="655">
        <f t="shared" si="295"/>
        <v>105.37130212586602</v>
      </c>
      <c r="AY414" s="655">
        <f t="shared" si="296"/>
        <v>136.75213675213675</v>
      </c>
      <c r="AZ414" s="655">
        <f t="shared" si="297"/>
        <v>250</v>
      </c>
      <c r="BA414" s="655">
        <f t="shared" si="298"/>
        <v>341.88034188034186</v>
      </c>
      <c r="BB414" s="655">
        <f t="shared" si="299"/>
        <v>45</v>
      </c>
      <c r="BC414" s="655">
        <f t="shared" si="299"/>
        <v>100</v>
      </c>
    </row>
    <row r="415" spans="1:55" s="198" customFormat="1" ht="12" customHeight="1">
      <c r="A415" s="36"/>
      <c r="B415" s="36"/>
      <c r="C415" s="36"/>
      <c r="D415" s="36"/>
      <c r="E415" s="36"/>
      <c r="F415" s="36"/>
      <c r="G415" s="36"/>
      <c r="H415" s="204" t="s">
        <v>559</v>
      </c>
      <c r="I415" s="132">
        <v>133</v>
      </c>
      <c r="J415" s="71">
        <v>3237</v>
      </c>
      <c r="K415" s="40" t="s">
        <v>560</v>
      </c>
      <c r="L415" s="309">
        <v>0</v>
      </c>
      <c r="M415" s="309">
        <v>0</v>
      </c>
      <c r="N415" s="339">
        <v>0</v>
      </c>
      <c r="O415" s="339">
        <f t="shared" si="311"/>
        <v>0</v>
      </c>
      <c r="P415" s="294">
        <v>0</v>
      </c>
      <c r="Q415" s="294">
        <v>0</v>
      </c>
      <c r="R415" s="443">
        <v>0</v>
      </c>
      <c r="S415" s="294">
        <f>__xlfn.XLOOKUP(H415,[2]Izvršenje_proračuna_po_pozicija!$B$2:$B$153,[2]Izvršenje_proračuna_po_pozicija!$E$2:$E$153,0)</f>
        <v>0</v>
      </c>
      <c r="T415" s="294"/>
      <c r="U415" s="294"/>
      <c r="V415" s="478">
        <v>0</v>
      </c>
      <c r="W415" s="478"/>
      <c r="X415" s="544"/>
      <c r="Y415" s="544"/>
      <c r="Z415" s="541" t="b">
        <f t="shared" si="312"/>
        <v>0</v>
      </c>
      <c r="AA415" s="527"/>
      <c r="AB415" s="528">
        <v>0</v>
      </c>
      <c r="AC415" s="528">
        <v>0</v>
      </c>
      <c r="AD415" s="524"/>
      <c r="AE415" s="524"/>
      <c r="AF415" s="524"/>
      <c r="AG415" s="524"/>
      <c r="AH415" s="527"/>
      <c r="AI415" s="544"/>
      <c r="AJ415" s="516"/>
      <c r="AK415" s="516"/>
      <c r="AL415" s="516"/>
      <c r="AM415" s="294"/>
      <c r="AO415" t="b">
        <f t="shared" si="294"/>
        <v>0</v>
      </c>
      <c r="AQ415" s="443"/>
      <c r="AS415" s="443">
        <f>__xlfn.XLOOKUP(K415,[1]Izvršenje_proračuna_po_pozicija!$C$25:$C$149,[1]Izvršenje_proračuna_po_pozicija!$E$25:$E$149,0)</f>
        <v>0</v>
      </c>
      <c r="AT415" s="617"/>
      <c r="AU415" s="478"/>
      <c r="AV415" s="638"/>
      <c r="AW415" s="638"/>
      <c r="AX415" s="655" t="str">
        <f t="shared" si="295"/>
        <v/>
      </c>
      <c r="AY415" s="655" t="str">
        <f t="shared" si="296"/>
        <v/>
      </c>
      <c r="AZ415" s="655" t="str">
        <f t="shared" si="297"/>
        <v/>
      </c>
      <c r="BA415" s="655" t="str">
        <f t="shared" si="298"/>
        <v/>
      </c>
      <c r="BB415" s="655" t="str">
        <f t="shared" si="299"/>
        <v/>
      </c>
      <c r="BC415" s="655" t="str">
        <f t="shared" si="299"/>
        <v/>
      </c>
    </row>
    <row r="416" spans="1:55" s="198" customFormat="1" ht="12" customHeight="1">
      <c r="A416" s="124"/>
      <c r="B416" s="124"/>
      <c r="C416" s="124"/>
      <c r="D416" s="124"/>
      <c r="E416" s="124"/>
      <c r="F416" s="124"/>
      <c r="G416" s="124"/>
      <c r="H416" s="204" t="s">
        <v>660</v>
      </c>
      <c r="I416" s="132">
        <v>133</v>
      </c>
      <c r="J416" s="71">
        <v>3239</v>
      </c>
      <c r="K416" s="71" t="s">
        <v>661</v>
      </c>
      <c r="L416" s="310">
        <v>250</v>
      </c>
      <c r="M416" s="310">
        <f>250/7.5345</f>
        <v>33.180702103656515</v>
      </c>
      <c r="N416" s="340">
        <v>0</v>
      </c>
      <c r="O416" s="339">
        <f t="shared" si="311"/>
        <v>0</v>
      </c>
      <c r="P416" s="295">
        <v>4000</v>
      </c>
      <c r="Q416" s="370">
        <v>2000</v>
      </c>
      <c r="R416" s="444">
        <v>688</v>
      </c>
      <c r="S416" s="294">
        <f>__xlfn.XLOOKUP(H416,[2]Izvršenje_proračuna_po_pozicija!$B$2:$B$153,[2]Izvršenje_proračuna_po_pozicija!$E$2:$E$153,0)</f>
        <v>0</v>
      </c>
      <c r="T416" s="294"/>
      <c r="U416" s="294"/>
      <c r="V416" s="482">
        <v>4000</v>
      </c>
      <c r="W416" s="482">
        <v>4000</v>
      </c>
      <c r="X416" s="550">
        <v>6000</v>
      </c>
      <c r="Y416" s="550"/>
      <c r="Z416" s="541" t="b">
        <f t="shared" si="312"/>
        <v>0</v>
      </c>
      <c r="AA416" s="529"/>
      <c r="AB416" s="530">
        <v>4000</v>
      </c>
      <c r="AC416" s="530">
        <v>4000</v>
      </c>
      <c r="AD416" s="524"/>
      <c r="AE416" s="524"/>
      <c r="AF416" s="524">
        <f>Q416/P416*100</f>
        <v>50</v>
      </c>
      <c r="AG416" s="524">
        <f>AB416/Q416*100</f>
        <v>200</v>
      </c>
      <c r="AH416" s="529"/>
      <c r="AI416" s="550">
        <v>6000</v>
      </c>
      <c r="AJ416" s="516">
        <f>W416/R416*100</f>
        <v>581.39534883720921</v>
      </c>
      <c r="AK416" s="516">
        <f>AT416/W416*100</f>
        <v>125</v>
      </c>
      <c r="AL416" s="516">
        <f>X416/AT416*100</f>
        <v>120</v>
      </c>
      <c r="AM416" s="295"/>
      <c r="AO416" t="b">
        <f t="shared" si="294"/>
        <v>0</v>
      </c>
      <c r="AQ416" s="444"/>
      <c r="AS416" s="444">
        <f>__xlfn.XLOOKUP(K416,[1]Izvršenje_proračuna_po_pozicija!$C$25:$C$149,[1]Izvršenje_proračuna_po_pozicija!$E$25:$E$149,0)</f>
        <v>0</v>
      </c>
      <c r="AT416" s="617">
        <v>5000</v>
      </c>
      <c r="AU416" s="482"/>
      <c r="AV416" s="639">
        <v>6000</v>
      </c>
      <c r="AW416" s="639">
        <v>6000</v>
      </c>
      <c r="AX416" s="655">
        <f t="shared" si="295"/>
        <v>726.74418604651157</v>
      </c>
      <c r="AY416" s="655" t="str">
        <f t="shared" si="296"/>
        <v/>
      </c>
      <c r="AZ416" s="655" t="str">
        <f t="shared" si="297"/>
        <v/>
      </c>
      <c r="BA416" s="655" t="str">
        <f t="shared" si="298"/>
        <v/>
      </c>
      <c r="BB416" s="655" t="str">
        <f t="shared" si="299"/>
        <v/>
      </c>
      <c r="BC416" s="655">
        <f t="shared" si="299"/>
        <v>100</v>
      </c>
    </row>
    <row r="417" spans="1:55" ht="12" customHeight="1">
      <c r="A417" s="124"/>
      <c r="B417" s="124"/>
      <c r="C417" s="124"/>
      <c r="D417" s="124"/>
      <c r="E417" s="124"/>
      <c r="F417" s="124"/>
      <c r="G417" s="124"/>
      <c r="H417" s="386"/>
      <c r="I417" s="268"/>
      <c r="J417" s="267"/>
      <c r="K417" s="134"/>
      <c r="L417" s="323"/>
      <c r="M417" s="323"/>
      <c r="N417" s="347"/>
      <c r="O417" s="347"/>
      <c r="P417" s="302"/>
      <c r="Q417" s="302"/>
      <c r="R417" s="459"/>
      <c r="S417" s="294">
        <f>__xlfn.XLOOKUP(H417,[2]Izvršenje_proračuna_po_pozicija!$B$2:$B$153,[2]Izvršenje_proračuna_po_pozicija!$E$2:$E$153,0)</f>
        <v>0</v>
      </c>
      <c r="T417" s="303"/>
      <c r="U417" s="303"/>
      <c r="V417" s="483"/>
      <c r="W417" s="483"/>
      <c r="X417" s="551"/>
      <c r="Y417" s="551"/>
      <c r="Z417" s="541" t="b">
        <f t="shared" si="312"/>
        <v>0</v>
      </c>
      <c r="AA417" s="552"/>
      <c r="AB417" s="553"/>
      <c r="AC417" s="553"/>
      <c r="AD417" s="524"/>
      <c r="AE417" s="524"/>
      <c r="AF417" s="524"/>
      <c r="AG417" s="524"/>
      <c r="AH417" s="552"/>
      <c r="AI417" s="551"/>
      <c r="AJ417" s="516"/>
      <c r="AK417" s="516"/>
      <c r="AL417" s="516"/>
      <c r="AM417" s="302"/>
      <c r="AO417" t="b">
        <f t="shared" si="294"/>
        <v>0</v>
      </c>
      <c r="AQ417" s="459"/>
      <c r="AS417" s="459">
        <f>__xlfn.XLOOKUP(K417,[1]Izvršenje_proračuna_po_pozicija!$C$25:$C$149,[1]Izvršenje_proračuna_po_pozicija!$E$25:$E$149,0)</f>
        <v>0</v>
      </c>
      <c r="AT417" s="619"/>
      <c r="AU417" s="483"/>
      <c r="AV417" s="645"/>
      <c r="AW417" s="645"/>
      <c r="AX417" s="655" t="str">
        <f t="shared" si="295"/>
        <v/>
      </c>
      <c r="AY417" s="655" t="str">
        <f t="shared" si="296"/>
        <v/>
      </c>
      <c r="AZ417" s="655" t="str">
        <f t="shared" si="297"/>
        <v/>
      </c>
      <c r="BA417" s="655" t="str">
        <f t="shared" si="298"/>
        <v/>
      </c>
      <c r="BB417" s="655" t="str">
        <f t="shared" si="299"/>
        <v/>
      </c>
      <c r="BC417" s="655" t="str">
        <f t="shared" si="299"/>
        <v/>
      </c>
    </row>
    <row r="418" spans="1:55" ht="12" customHeight="1">
      <c r="A418" s="56"/>
      <c r="B418" s="56"/>
      <c r="C418" s="56"/>
      <c r="D418" s="56"/>
      <c r="E418" s="56"/>
      <c r="F418" s="56"/>
      <c r="G418" s="56"/>
      <c r="H418" s="381"/>
      <c r="I418" s="125"/>
      <c r="J418" s="126">
        <v>329</v>
      </c>
      <c r="K418" s="127" t="s">
        <v>199</v>
      </c>
      <c r="L418" s="320">
        <f t="shared" ref="L418:S418" si="313">L419+L420+L421+L422+L423+L424+L425+L426+L427+L428+L429+L430+L431+L432+L433+L434+L436+L437</f>
        <v>730003</v>
      </c>
      <c r="M418" s="320">
        <f t="shared" si="313"/>
        <v>96888.048311102248</v>
      </c>
      <c r="N418" s="344">
        <f t="shared" si="313"/>
        <v>610973</v>
      </c>
      <c r="O418" s="344">
        <f t="shared" si="313"/>
        <v>81090.052425509319</v>
      </c>
      <c r="P418" s="299">
        <f t="shared" si="313"/>
        <v>111600</v>
      </c>
      <c r="Q418" s="299">
        <f t="shared" si="313"/>
        <v>119000</v>
      </c>
      <c r="R418" s="447">
        <f t="shared" si="313"/>
        <v>112111</v>
      </c>
      <c r="S418" s="299">
        <f t="shared" si="313"/>
        <v>126447.83</v>
      </c>
      <c r="T418" s="299"/>
      <c r="U418" s="299"/>
      <c r="V418" s="477">
        <f>V419+V420+V421+V422+V423+V424+V425+V426+V427+V428+V429+V430+V431+V432+V433+V434+V436+V437</f>
        <v>138300</v>
      </c>
      <c r="W418" s="477">
        <f>W419+W420+W421+W422+W423+W424+W425+W426+W427+W428+W429+W430+W431+W432+W433+W434+W436+W437</f>
        <v>149500</v>
      </c>
      <c r="X418" s="542">
        <f>X419+X420+X421+X422+X423+X424+X425+X426+X427+X428+X429+X430+X431+X432+X433+X434+X436+X437</f>
        <v>228500</v>
      </c>
      <c r="Y418" s="542">
        <f>Y419+Y420+Y421+Y422+Y423+Y424+Y425+Y426+Y427+Y428+Y429+Y430+Y431+Y432+Y433+Y434+Y436+Y437</f>
        <v>0</v>
      </c>
      <c r="Z418" s="541" t="b">
        <f t="shared" si="312"/>
        <v>1</v>
      </c>
      <c r="AA418" s="542"/>
      <c r="AB418" s="542">
        <f>AB419+AB420+AB421+AB422+AB423+AB424+AB425+AB426+AB427+AB428+AB429+AB430+AB431+AB432+AB433+AB434+AB436+AB437</f>
        <v>122800</v>
      </c>
      <c r="AC418" s="542">
        <f>AC419+AC420+AC421+AC422+AC423+AC424+AC425+AC426+AC427+AC428+AC429+AC430+AC431+AC432+AC433+AC434+AC436+AC437</f>
        <v>122800</v>
      </c>
      <c r="AD418" s="524">
        <f>O418/M418*100</f>
        <v>83.694587556489495</v>
      </c>
      <c r="AE418" s="524">
        <f t="shared" ref="AE418:AF420" si="314">P418/O418*100</f>
        <v>137.62477228944653</v>
      </c>
      <c r="AF418" s="524">
        <f t="shared" si="314"/>
        <v>106.63082437275986</v>
      </c>
      <c r="AG418" s="524">
        <f>AB418/Q418*100</f>
        <v>103.19327731092439</v>
      </c>
      <c r="AH418" s="542"/>
      <c r="AI418" s="542">
        <v>228500</v>
      </c>
      <c r="AJ418" s="516">
        <f t="shared" ref="AJ418:AJ424" si="315">W418/R418*100</f>
        <v>133.34998349849704</v>
      </c>
      <c r="AK418" s="516">
        <f t="shared" ref="AK418:AK429" si="316">AT418/W418*100</f>
        <v>180.6020066889632</v>
      </c>
      <c r="AL418" s="516">
        <f t="shared" ref="AL418:AL424" si="317">X418/AT418*100</f>
        <v>84.629629629629633</v>
      </c>
      <c r="AM418" s="299"/>
      <c r="AO418" t="b">
        <f t="shared" si="294"/>
        <v>1</v>
      </c>
      <c r="AP418" s="503">
        <f t="shared" ref="AP418:AU418" si="318">AP419+AP420+AP421+AP422+AP423+AP424+AP425+AP426+AP427+AP428+AP429+AP430+AP431+AP432+AP433+AP434+AP436+AP437</f>
        <v>141224.70000000001</v>
      </c>
      <c r="AQ418" s="447">
        <v>141224.70000000001</v>
      </c>
      <c r="AR418" s="503">
        <f>AR419+AR420+AR421+AR422+AR423+AR424+AR425+AR426+AR427+AR428+AR429+AR430+AR431+AR432+AR433+AR434+AR436+AR437</f>
        <v>141224.70000000001</v>
      </c>
      <c r="AS418" s="447">
        <f t="shared" si="318"/>
        <v>88069.53</v>
      </c>
      <c r="AT418" s="611">
        <f t="shared" si="318"/>
        <v>270000</v>
      </c>
      <c r="AU418" s="477">
        <f t="shared" si="318"/>
        <v>228500</v>
      </c>
      <c r="AV418" s="643">
        <v>228500</v>
      </c>
      <c r="AW418" s="643">
        <v>228500</v>
      </c>
      <c r="AX418" s="655">
        <f t="shared" si="295"/>
        <v>240.83274611768695</v>
      </c>
      <c r="AY418" s="655">
        <f t="shared" si="296"/>
        <v>191.18468653146368</v>
      </c>
      <c r="AZ418" s="655">
        <f t="shared" si="297"/>
        <v>84.629629629629633</v>
      </c>
      <c r="BA418" s="655">
        <f t="shared" si="298"/>
        <v>161.79889212014612</v>
      </c>
      <c r="BB418" s="655">
        <f t="shared" si="299"/>
        <v>100</v>
      </c>
      <c r="BC418" s="655">
        <f t="shared" si="299"/>
        <v>100</v>
      </c>
    </row>
    <row r="419" spans="1:55" ht="12" customHeight="1">
      <c r="A419" s="36"/>
      <c r="B419" s="36"/>
      <c r="C419" s="36"/>
      <c r="D419" s="36"/>
      <c r="E419" s="36"/>
      <c r="F419" s="36"/>
      <c r="G419" s="36"/>
      <c r="H419" s="244">
        <v>22</v>
      </c>
      <c r="I419" s="133">
        <v>133</v>
      </c>
      <c r="J419" s="134">
        <v>3291</v>
      </c>
      <c r="K419" s="135" t="s">
        <v>200</v>
      </c>
      <c r="L419" s="324">
        <v>100854</v>
      </c>
      <c r="M419" s="324">
        <f>100854/7.5345</f>
        <v>13385.626119848695</v>
      </c>
      <c r="N419" s="348">
        <v>51825</v>
      </c>
      <c r="O419" s="348">
        <f>N419/7.5345</f>
        <v>6878.3595460879951</v>
      </c>
      <c r="P419" s="303">
        <v>13000</v>
      </c>
      <c r="Q419" s="303">
        <v>13000</v>
      </c>
      <c r="R419" s="460">
        <v>12655</v>
      </c>
      <c r="S419" s="294">
        <v>1149.75</v>
      </c>
      <c r="T419" s="303"/>
      <c r="U419" s="303"/>
      <c r="V419" s="484">
        <v>10000</v>
      </c>
      <c r="W419" s="484">
        <v>10000</v>
      </c>
      <c r="X419" s="554">
        <v>13000</v>
      </c>
      <c r="Y419" s="554"/>
      <c r="Z419" s="541" t="b">
        <f t="shared" si="312"/>
        <v>0</v>
      </c>
      <c r="AA419" s="555"/>
      <c r="AB419" s="556">
        <v>13000</v>
      </c>
      <c r="AC419" s="556">
        <v>13000</v>
      </c>
      <c r="AD419" s="524">
        <f>O419/M419*100</f>
        <v>51.386162175025284</v>
      </c>
      <c r="AE419" s="524">
        <f t="shared" si="314"/>
        <v>188.99855282199712</v>
      </c>
      <c r="AF419" s="524">
        <f t="shared" si="314"/>
        <v>100</v>
      </c>
      <c r="AG419" s="524">
        <f>AB419/Q419*100</f>
        <v>100</v>
      </c>
      <c r="AH419" s="555"/>
      <c r="AI419" s="554">
        <v>13000</v>
      </c>
      <c r="AJ419" s="516">
        <f t="shared" si="315"/>
        <v>79.02015013828526</v>
      </c>
      <c r="AK419" s="516">
        <f t="shared" si="316"/>
        <v>120</v>
      </c>
      <c r="AL419" s="516">
        <f t="shared" si="317"/>
        <v>108.33333333333333</v>
      </c>
      <c r="AM419" s="303"/>
      <c r="AO419" t="b">
        <f t="shared" si="294"/>
        <v>0</v>
      </c>
      <c r="AP419" s="505">
        <v>12042.89</v>
      </c>
      <c r="AQ419" s="460">
        <v>12042.89</v>
      </c>
      <c r="AR419" s="505">
        <v>12042.89</v>
      </c>
      <c r="AS419" s="460">
        <v>458.8</v>
      </c>
      <c r="AT419" s="619">
        <v>12000</v>
      </c>
      <c r="AU419" s="484">
        <v>12000</v>
      </c>
      <c r="AV419" s="646">
        <v>13000</v>
      </c>
      <c r="AW419" s="646">
        <v>13000</v>
      </c>
      <c r="AX419" s="655">
        <f t="shared" si="295"/>
        <v>94.824180165942323</v>
      </c>
      <c r="AY419" s="655">
        <f t="shared" si="296"/>
        <v>99.643856250451506</v>
      </c>
      <c r="AZ419" s="655">
        <f t="shared" si="297"/>
        <v>100</v>
      </c>
      <c r="BA419" s="655">
        <f t="shared" si="298"/>
        <v>99.643856250451506</v>
      </c>
      <c r="BB419" s="655">
        <f t="shared" si="299"/>
        <v>108.33333333333333</v>
      </c>
      <c r="BC419" s="655">
        <f t="shared" si="299"/>
        <v>100</v>
      </c>
    </row>
    <row r="420" spans="1:55" ht="12" customHeight="1">
      <c r="A420" s="36"/>
      <c r="B420" s="36"/>
      <c r="C420" s="36"/>
      <c r="D420" s="36"/>
      <c r="E420" s="36"/>
      <c r="F420" s="36"/>
      <c r="G420" s="36"/>
      <c r="H420" s="204">
        <v>122</v>
      </c>
      <c r="I420" s="118">
        <v>133</v>
      </c>
      <c r="J420" s="71">
        <v>3292</v>
      </c>
      <c r="K420" s="71" t="s">
        <v>125</v>
      </c>
      <c r="L420" s="309">
        <v>37229</v>
      </c>
      <c r="M420" s="309">
        <f>37229/7.5345</f>
        <v>4941.1374344681135</v>
      </c>
      <c r="N420" s="339">
        <v>33163</v>
      </c>
      <c r="O420" s="348">
        <f t="shared" ref="O420:O434" si="319">N420/7.5345</f>
        <v>4401.4864954542436</v>
      </c>
      <c r="P420" s="294">
        <v>5500</v>
      </c>
      <c r="Q420" s="294">
        <v>5500</v>
      </c>
      <c r="R420" s="443">
        <v>2596</v>
      </c>
      <c r="S420" s="294">
        <v>4509</v>
      </c>
      <c r="T420" s="294"/>
      <c r="U420" s="294"/>
      <c r="V420" s="478">
        <v>5500</v>
      </c>
      <c r="W420" s="478">
        <v>5500</v>
      </c>
      <c r="X420" s="544">
        <v>7000</v>
      </c>
      <c r="Y420" s="544"/>
      <c r="Z420" s="541" t="b">
        <f t="shared" si="312"/>
        <v>0</v>
      </c>
      <c r="AA420" s="527"/>
      <c r="AB420" s="528">
        <v>5500</v>
      </c>
      <c r="AC420" s="528">
        <v>5500</v>
      </c>
      <c r="AD420" s="524">
        <f>O420/M420*100</f>
        <v>89.078406618496331</v>
      </c>
      <c r="AE420" s="524">
        <f t="shared" si="314"/>
        <v>124.95778427765885</v>
      </c>
      <c r="AF420" s="524">
        <f t="shared" si="314"/>
        <v>100</v>
      </c>
      <c r="AG420" s="524">
        <f>AB420/Q420*100</f>
        <v>100</v>
      </c>
      <c r="AH420" s="527"/>
      <c r="AI420" s="544">
        <v>7000</v>
      </c>
      <c r="AJ420" s="516">
        <f t="shared" si="315"/>
        <v>211.86440677966104</v>
      </c>
      <c r="AK420" s="516">
        <f t="shared" si="316"/>
        <v>109.09090909090908</v>
      </c>
      <c r="AL420" s="516">
        <f t="shared" si="317"/>
        <v>116.66666666666667</v>
      </c>
      <c r="AM420" s="294"/>
      <c r="AO420" t="b">
        <f t="shared" si="294"/>
        <v>0</v>
      </c>
      <c r="AP420" s="505">
        <v>4509.63</v>
      </c>
      <c r="AQ420" s="443">
        <v>4509.63</v>
      </c>
      <c r="AR420" s="505">
        <v>4509.63</v>
      </c>
      <c r="AS420" s="443">
        <f>__xlfn.XLOOKUP(K420,[1]Izvršenje_proračuna_po_pozicija!$C$25:$C$149,[1]Izvršenje_proračuna_po_pozicija!$E$25:$E$149,0)</f>
        <v>4511.8900000000003</v>
      </c>
      <c r="AT420" s="617">
        <v>6000</v>
      </c>
      <c r="AU420" s="478">
        <v>6000</v>
      </c>
      <c r="AV420" s="638">
        <v>7000</v>
      </c>
      <c r="AW420" s="638">
        <v>7000</v>
      </c>
      <c r="AX420" s="655">
        <f t="shared" si="295"/>
        <v>231.12480739599386</v>
      </c>
      <c r="AY420" s="655">
        <f t="shared" si="296"/>
        <v>133.04860930941118</v>
      </c>
      <c r="AZ420" s="655">
        <f t="shared" si="297"/>
        <v>100</v>
      </c>
      <c r="BA420" s="655">
        <f t="shared" si="298"/>
        <v>133.04860930941118</v>
      </c>
      <c r="BB420" s="655">
        <f t="shared" si="299"/>
        <v>116.66666666666667</v>
      </c>
      <c r="BC420" s="655">
        <f t="shared" si="299"/>
        <v>100</v>
      </c>
    </row>
    <row r="421" spans="1:55" ht="12" customHeight="1">
      <c r="A421" s="36"/>
      <c r="B421" s="36"/>
      <c r="C421" s="36"/>
      <c r="D421" s="36"/>
      <c r="E421" s="36"/>
      <c r="F421" s="36"/>
      <c r="G421" s="36"/>
      <c r="H421" s="204" t="s">
        <v>201</v>
      </c>
      <c r="I421" s="118">
        <v>133</v>
      </c>
      <c r="J421" s="71">
        <v>3294</v>
      </c>
      <c r="K421" s="71" t="s">
        <v>127</v>
      </c>
      <c r="L421" s="309">
        <v>10555</v>
      </c>
      <c r="M421" s="309">
        <f>10555/7.5345</f>
        <v>1400.8892428163779</v>
      </c>
      <c r="N421" s="339">
        <v>555</v>
      </c>
      <c r="O421" s="348">
        <f t="shared" si="319"/>
        <v>73.661158670117459</v>
      </c>
      <c r="P421" s="294">
        <v>1500</v>
      </c>
      <c r="Q421" s="294">
        <v>1500</v>
      </c>
      <c r="R421" s="443">
        <v>43</v>
      </c>
      <c r="S421" s="294">
        <f>__xlfn.XLOOKUP(H421,[2]Izvršenje_proračuna_po_pozicija!$B$2:$B$153,[2]Izvršenje_proračuna_po_pozicija!$E$2:$E$153,0)</f>
        <v>995.43</v>
      </c>
      <c r="T421" s="294"/>
      <c r="U421" s="294"/>
      <c r="V421" s="478">
        <v>1500</v>
      </c>
      <c r="W421" s="478">
        <v>1500</v>
      </c>
      <c r="X421" s="544">
        <v>2000</v>
      </c>
      <c r="Y421" s="544"/>
      <c r="Z421" s="541" t="b">
        <f t="shared" si="312"/>
        <v>0</v>
      </c>
      <c r="AA421" s="527"/>
      <c r="AB421" s="528">
        <v>1500</v>
      </c>
      <c r="AC421" s="528">
        <v>1500</v>
      </c>
      <c r="AD421" s="524">
        <f>O421/M421*100</f>
        <v>5.2581714827096162</v>
      </c>
      <c r="AE421" s="524"/>
      <c r="AF421" s="524">
        <f>Q421/P421*100</f>
        <v>100</v>
      </c>
      <c r="AG421" s="524">
        <f>AB421/Q421*100</f>
        <v>100</v>
      </c>
      <c r="AH421" s="527"/>
      <c r="AI421" s="544">
        <v>2000</v>
      </c>
      <c r="AJ421" s="516">
        <f t="shared" si="315"/>
        <v>3488.3720930232557</v>
      </c>
      <c r="AK421" s="516">
        <f t="shared" si="316"/>
        <v>100</v>
      </c>
      <c r="AL421" s="516">
        <f t="shared" si="317"/>
        <v>133.33333333333331</v>
      </c>
      <c r="AM421" s="294"/>
      <c r="AO421" t="b">
        <f t="shared" si="294"/>
        <v>0</v>
      </c>
      <c r="AP421" s="505">
        <v>1327.24</v>
      </c>
      <c r="AQ421" s="443">
        <v>1327.24</v>
      </c>
      <c r="AR421" s="505">
        <v>1327.24</v>
      </c>
      <c r="AS421" s="443">
        <v>663.61</v>
      </c>
      <c r="AT421" s="617">
        <v>1500</v>
      </c>
      <c r="AU421" s="478">
        <v>1500</v>
      </c>
      <c r="AV421" s="638">
        <v>2000</v>
      </c>
      <c r="AW421" s="638">
        <v>2000</v>
      </c>
      <c r="AX421" s="655">
        <f t="shared" si="295"/>
        <v>3488.3720930232557</v>
      </c>
      <c r="AY421" s="655">
        <f t="shared" si="296"/>
        <v>113.01648533799464</v>
      </c>
      <c r="AZ421" s="655">
        <f t="shared" si="297"/>
        <v>100</v>
      </c>
      <c r="BA421" s="655">
        <f t="shared" si="298"/>
        <v>113.01648533799464</v>
      </c>
      <c r="BB421" s="655">
        <f t="shared" si="299"/>
        <v>133.33333333333331</v>
      </c>
      <c r="BC421" s="655">
        <f t="shared" si="299"/>
        <v>100</v>
      </c>
    </row>
    <row r="422" spans="1:55" ht="12" customHeight="1">
      <c r="A422" s="36"/>
      <c r="B422" s="36"/>
      <c r="C422" s="36"/>
      <c r="D422" s="36"/>
      <c r="E422" s="36"/>
      <c r="F422" s="36"/>
      <c r="G422" s="36"/>
      <c r="H422" s="204" t="s">
        <v>440</v>
      </c>
      <c r="I422" s="118">
        <v>133</v>
      </c>
      <c r="J422" s="71">
        <v>3294</v>
      </c>
      <c r="K422" s="71" t="s">
        <v>630</v>
      </c>
      <c r="L422" s="309">
        <v>23283</v>
      </c>
      <c r="M422" s="309">
        <f>23283/7.5345</f>
        <v>3090.1851483177384</v>
      </c>
      <c r="N422" s="339">
        <v>53730</v>
      </c>
      <c r="O422" s="348">
        <f t="shared" si="319"/>
        <v>7131.1964961178574</v>
      </c>
      <c r="P422" s="294">
        <v>4800</v>
      </c>
      <c r="Q422" s="269">
        <v>14000</v>
      </c>
      <c r="R422" s="443">
        <v>14004</v>
      </c>
      <c r="S422" s="294">
        <f>__xlfn.XLOOKUP(H422,[2]Izvršenje_proračuna_po_pozicija!$B$2:$B$153,[2]Izvršenje_proračuna_po_pozicija!$E$2:$E$153,0)</f>
        <v>7002</v>
      </c>
      <c r="T422" s="294"/>
      <c r="U422" s="294"/>
      <c r="V422" s="478">
        <v>14000</v>
      </c>
      <c r="W422" s="478">
        <v>14000</v>
      </c>
      <c r="X422" s="544">
        <v>15000</v>
      </c>
      <c r="Y422" s="544"/>
      <c r="Z422" s="541" t="b">
        <f t="shared" si="312"/>
        <v>0</v>
      </c>
      <c r="AA422" s="527"/>
      <c r="AB422" s="528">
        <v>4800</v>
      </c>
      <c r="AC422" s="528">
        <v>4800</v>
      </c>
      <c r="AD422" s="524">
        <f>O422/M422*100</f>
        <v>230.76923076923075</v>
      </c>
      <c r="AE422" s="524">
        <f>P422/O422*100</f>
        <v>67.309882747068684</v>
      </c>
      <c r="AF422" s="524">
        <f>Q422/P422*100</f>
        <v>291.66666666666663</v>
      </c>
      <c r="AG422" s="524">
        <f>AB422/Q422*100</f>
        <v>34.285714285714285</v>
      </c>
      <c r="AH422" s="527"/>
      <c r="AI422" s="544">
        <v>15000</v>
      </c>
      <c r="AJ422" s="516">
        <f t="shared" si="315"/>
        <v>99.971436732362179</v>
      </c>
      <c r="AK422" s="516">
        <f t="shared" si="316"/>
        <v>100</v>
      </c>
      <c r="AL422" s="516">
        <f t="shared" si="317"/>
        <v>107.14285714285714</v>
      </c>
      <c r="AM422" s="294"/>
      <c r="AO422" t="b">
        <f t="shared" si="294"/>
        <v>0</v>
      </c>
      <c r="AP422" s="505">
        <v>7002</v>
      </c>
      <c r="AQ422" s="443">
        <v>7002</v>
      </c>
      <c r="AR422" s="505">
        <v>7002</v>
      </c>
      <c r="AS422" s="443">
        <f>__xlfn.XLOOKUP(K422,[1]Izvršenje_proračuna_po_pozicija!$C$25:$C$149,[1]Izvršenje_proračuna_po_pozicija!$E$25:$E$149,0)</f>
        <v>3501</v>
      </c>
      <c r="AT422" s="617">
        <v>14000</v>
      </c>
      <c r="AU422" s="478">
        <v>14000</v>
      </c>
      <c r="AV422" s="638">
        <v>15000</v>
      </c>
      <c r="AW422" s="638">
        <v>15000</v>
      </c>
      <c r="AX422" s="655">
        <f t="shared" si="295"/>
        <v>99.971436732362179</v>
      </c>
      <c r="AY422" s="655">
        <f t="shared" si="296"/>
        <v>199.94287346472436</v>
      </c>
      <c r="AZ422" s="655">
        <f t="shared" si="297"/>
        <v>100</v>
      </c>
      <c r="BA422" s="655">
        <f t="shared" si="298"/>
        <v>199.94287346472436</v>
      </c>
      <c r="BB422" s="655">
        <f t="shared" si="299"/>
        <v>107.14285714285714</v>
      </c>
      <c r="BC422" s="655">
        <f t="shared" si="299"/>
        <v>100</v>
      </c>
    </row>
    <row r="423" spans="1:55" ht="12" customHeight="1">
      <c r="A423" s="36"/>
      <c r="B423" s="36"/>
      <c r="C423" s="36"/>
      <c r="D423" s="36"/>
      <c r="E423" s="36"/>
      <c r="F423" s="36"/>
      <c r="G423" s="36"/>
      <c r="H423" s="204" t="s">
        <v>444</v>
      </c>
      <c r="I423" s="118">
        <v>133</v>
      </c>
      <c r="J423" s="71">
        <v>3295</v>
      </c>
      <c r="K423" s="71" t="s">
        <v>445</v>
      </c>
      <c r="L423" s="309">
        <v>2400</v>
      </c>
      <c r="M423" s="309">
        <f>2400/7.5345</f>
        <v>318.53474019510253</v>
      </c>
      <c r="N423" s="339">
        <v>1200</v>
      </c>
      <c r="O423" s="348">
        <f t="shared" si="319"/>
        <v>159.26737009755126</v>
      </c>
      <c r="P423" s="294">
        <v>4000</v>
      </c>
      <c r="Q423" s="269">
        <v>1000</v>
      </c>
      <c r="R423" s="443">
        <v>2254</v>
      </c>
      <c r="S423" s="294">
        <f>__xlfn.XLOOKUP(H423,[2]Izvršenje_proračuna_po_pozicija!$B$2:$B$153,[2]Izvršenje_proračuna_po_pozicija!$E$2:$E$153,0)</f>
        <v>370.21</v>
      </c>
      <c r="T423" s="294"/>
      <c r="U423" s="294"/>
      <c r="V423" s="478">
        <v>1000</v>
      </c>
      <c r="W423" s="478">
        <v>1000</v>
      </c>
      <c r="X423" s="544">
        <v>1500</v>
      </c>
      <c r="Y423" s="544"/>
      <c r="Z423" s="541" t="b">
        <f t="shared" si="312"/>
        <v>0</v>
      </c>
      <c r="AA423" s="527"/>
      <c r="AB423" s="528">
        <v>4000</v>
      </c>
      <c r="AC423" s="528">
        <v>4000</v>
      </c>
      <c r="AD423" s="524"/>
      <c r="AE423" s="524"/>
      <c r="AF423" s="524"/>
      <c r="AG423" s="524"/>
      <c r="AH423" s="527"/>
      <c r="AI423" s="544">
        <v>1500</v>
      </c>
      <c r="AJ423" s="516">
        <f t="shared" si="315"/>
        <v>44.365572315882872</v>
      </c>
      <c r="AK423" s="516">
        <f t="shared" si="316"/>
        <v>100</v>
      </c>
      <c r="AL423" s="516">
        <f t="shared" si="317"/>
        <v>150</v>
      </c>
      <c r="AM423" s="294"/>
      <c r="AO423" t="b">
        <f t="shared" si="294"/>
        <v>0</v>
      </c>
      <c r="AP423" s="505">
        <v>434.65</v>
      </c>
      <c r="AQ423" s="443">
        <v>434.65</v>
      </c>
      <c r="AR423" s="505">
        <v>434.65</v>
      </c>
      <c r="AS423" s="443">
        <f>__xlfn.XLOOKUP(K423,[1]Izvršenje_proračuna_po_pozicija!$C$25:$C$149,[1]Izvršenje_proračuna_po_pozicija!$E$25:$E$149,0)</f>
        <v>183.56</v>
      </c>
      <c r="AT423" s="617">
        <v>1000</v>
      </c>
      <c r="AU423" s="478">
        <v>1000</v>
      </c>
      <c r="AV423" s="638">
        <v>1500</v>
      </c>
      <c r="AW423" s="638">
        <v>1500</v>
      </c>
      <c r="AX423" s="655">
        <f t="shared" si="295"/>
        <v>44.365572315882872</v>
      </c>
      <c r="AY423" s="655">
        <f t="shared" si="296"/>
        <v>230.07017140227771</v>
      </c>
      <c r="AZ423" s="655">
        <f t="shared" si="297"/>
        <v>100</v>
      </c>
      <c r="BA423" s="655">
        <f t="shared" si="298"/>
        <v>230.07017140227771</v>
      </c>
      <c r="BB423" s="655">
        <f t="shared" si="299"/>
        <v>150</v>
      </c>
      <c r="BC423" s="655">
        <f t="shared" si="299"/>
        <v>100</v>
      </c>
    </row>
    <row r="424" spans="1:55" ht="12" customHeight="1">
      <c r="A424" s="36"/>
      <c r="B424" s="36"/>
      <c r="C424" s="36"/>
      <c r="D424" s="36"/>
      <c r="E424" s="36"/>
      <c r="F424" s="36"/>
      <c r="G424" s="36"/>
      <c r="H424" s="204" t="s">
        <v>657</v>
      </c>
      <c r="I424" s="118">
        <v>133</v>
      </c>
      <c r="J424" s="71">
        <v>3296</v>
      </c>
      <c r="K424" s="71" t="s">
        <v>658</v>
      </c>
      <c r="L424" s="309">
        <v>29746</v>
      </c>
      <c r="M424" s="309">
        <f>29746/7.5345</f>
        <v>3947.9726591014664</v>
      </c>
      <c r="N424" s="339">
        <v>26461</v>
      </c>
      <c r="O424" s="348">
        <f t="shared" si="319"/>
        <v>3511.9782334594197</v>
      </c>
      <c r="P424" s="294">
        <v>4000</v>
      </c>
      <c r="Q424" s="269">
        <v>1000</v>
      </c>
      <c r="R424" s="443">
        <v>298</v>
      </c>
      <c r="S424" s="294">
        <f>__xlfn.XLOOKUP(H424,[2]Izvršenje_proračuna_po_pozicija!$B$2:$B$153,[2]Izvršenje_proračuna_po_pozicija!$E$2:$E$153,0)</f>
        <v>33.18</v>
      </c>
      <c r="T424" s="294"/>
      <c r="U424" s="294"/>
      <c r="V424" s="478">
        <v>4000</v>
      </c>
      <c r="W424" s="478">
        <v>4000</v>
      </c>
      <c r="X424" s="544">
        <v>5000</v>
      </c>
      <c r="Y424" s="544"/>
      <c r="Z424" s="541" t="b">
        <f t="shared" si="312"/>
        <v>0</v>
      </c>
      <c r="AA424" s="527"/>
      <c r="AB424" s="528">
        <v>4000</v>
      </c>
      <c r="AC424" s="528">
        <v>4000</v>
      </c>
      <c r="AD424" s="524">
        <f>O424/M424*100</f>
        <v>88.956498352719692</v>
      </c>
      <c r="AE424" s="524">
        <f>P424/O424*100</f>
        <v>113.8959223007445</v>
      </c>
      <c r="AF424" s="524">
        <f>Q424/P424*100</f>
        <v>25</v>
      </c>
      <c r="AG424" s="524">
        <f>AB424/Q424*100</f>
        <v>400</v>
      </c>
      <c r="AH424" s="527"/>
      <c r="AI424" s="544">
        <v>5000</v>
      </c>
      <c r="AJ424" s="516">
        <f t="shared" si="315"/>
        <v>1342.2818791946308</v>
      </c>
      <c r="AK424" s="516">
        <f t="shared" si="316"/>
        <v>100</v>
      </c>
      <c r="AL424" s="516">
        <f t="shared" si="317"/>
        <v>125</v>
      </c>
      <c r="AM424" s="294"/>
      <c r="AO424" t="b">
        <f t="shared" si="294"/>
        <v>0</v>
      </c>
      <c r="AP424" s="506">
        <v>33.18</v>
      </c>
      <c r="AQ424" s="443">
        <v>33.18</v>
      </c>
      <c r="AR424" s="506">
        <v>33.18</v>
      </c>
      <c r="AS424" s="443">
        <f>__xlfn.XLOOKUP(K424,[1]Izvršenje_proračuna_po_pozicija!$C$25:$C$149,[1]Izvršenje_proračuna_po_pozicija!$E$25:$E$149,0)</f>
        <v>0</v>
      </c>
      <c r="AT424" s="617">
        <v>4000</v>
      </c>
      <c r="AU424" s="478">
        <v>2000</v>
      </c>
      <c r="AV424" s="638">
        <v>5000</v>
      </c>
      <c r="AW424" s="638">
        <v>5000</v>
      </c>
      <c r="AX424" s="655">
        <f t="shared" si="295"/>
        <v>1342.2818791946308</v>
      </c>
      <c r="AY424" s="655">
        <f t="shared" si="296"/>
        <v>12055.455093429777</v>
      </c>
      <c r="AZ424" s="655">
        <f t="shared" si="297"/>
        <v>50</v>
      </c>
      <c r="BA424" s="655">
        <f t="shared" si="298"/>
        <v>6027.7275467148884</v>
      </c>
      <c r="BB424" s="655">
        <f t="shared" si="299"/>
        <v>250</v>
      </c>
      <c r="BC424" s="655">
        <f t="shared" si="299"/>
        <v>100</v>
      </c>
    </row>
    <row r="425" spans="1:55" ht="12" customHeight="1">
      <c r="A425" s="36"/>
      <c r="B425" s="36"/>
      <c r="C425" s="36"/>
      <c r="D425" s="36"/>
      <c r="E425" s="36"/>
      <c r="F425" s="36"/>
      <c r="G425" s="36"/>
      <c r="H425" s="204">
        <v>123</v>
      </c>
      <c r="I425" s="118">
        <v>133</v>
      </c>
      <c r="J425" s="71">
        <v>3299</v>
      </c>
      <c r="K425" s="71" t="s">
        <v>636</v>
      </c>
      <c r="L425" s="309">
        <v>192772</v>
      </c>
      <c r="M425" s="309">
        <f>192772/7.5345</f>
        <v>25585.241223704292</v>
      </c>
      <c r="N425" s="339">
        <v>14394</v>
      </c>
      <c r="O425" s="348">
        <f t="shared" si="319"/>
        <v>1910.4121043201274</v>
      </c>
      <c r="P425" s="294">
        <v>0</v>
      </c>
      <c r="Q425" s="294">
        <v>0</v>
      </c>
      <c r="R425" s="443">
        <v>0</v>
      </c>
      <c r="S425" s="294">
        <f>__xlfn.XLOOKUP(H425,[2]Izvršenje_proračuna_po_pozicija!$B$2:$B$153,[2]Izvršenje_proračuna_po_pozicija!$E$2:$E$153,0)</f>
        <v>0</v>
      </c>
      <c r="T425" s="294"/>
      <c r="U425" s="294"/>
      <c r="V425" s="478">
        <v>0</v>
      </c>
      <c r="W425" s="478">
        <v>0</v>
      </c>
      <c r="X425" s="544"/>
      <c r="Y425" s="544"/>
      <c r="Z425" s="541" t="b">
        <f t="shared" si="312"/>
        <v>0</v>
      </c>
      <c r="AA425" s="527"/>
      <c r="AB425" s="528">
        <v>10000</v>
      </c>
      <c r="AC425" s="528">
        <v>10000</v>
      </c>
      <c r="AD425" s="524">
        <f>O425/M425*100</f>
        <v>7.466852032452846</v>
      </c>
      <c r="AE425" s="524">
        <f>P425/O425*100</f>
        <v>0</v>
      </c>
      <c r="AF425" s="524"/>
      <c r="AG425" s="524"/>
      <c r="AH425" s="527"/>
      <c r="AI425" s="544"/>
      <c r="AJ425" s="516"/>
      <c r="AK425" s="516" t="e">
        <f t="shared" si="316"/>
        <v>#DIV/0!</v>
      </c>
      <c r="AL425" s="516"/>
      <c r="AM425" s="294"/>
      <c r="AO425" t="b">
        <f t="shared" si="294"/>
        <v>0</v>
      </c>
      <c r="AQ425" s="443"/>
      <c r="AS425" s="443">
        <v>11958.77</v>
      </c>
      <c r="AT425" s="617">
        <v>35000</v>
      </c>
      <c r="AU425" s="478">
        <v>30000</v>
      </c>
      <c r="AV425" s="638"/>
      <c r="AW425" s="638"/>
      <c r="AX425" s="655" t="str">
        <f t="shared" si="295"/>
        <v/>
      </c>
      <c r="AY425" s="655" t="str">
        <f t="shared" si="296"/>
        <v/>
      </c>
      <c r="AZ425" s="655">
        <f t="shared" si="297"/>
        <v>85.714285714285708</v>
      </c>
      <c r="BA425" s="655" t="str">
        <f t="shared" si="298"/>
        <v/>
      </c>
      <c r="BB425" s="655" t="str">
        <f t="shared" si="299"/>
        <v/>
      </c>
      <c r="BC425" s="655" t="str">
        <f t="shared" si="299"/>
        <v/>
      </c>
    </row>
    <row r="426" spans="1:55" ht="12" customHeight="1">
      <c r="A426" s="36"/>
      <c r="B426" s="36"/>
      <c r="C426" s="36"/>
      <c r="D426" s="36"/>
      <c r="E426" s="36"/>
      <c r="F426" s="36"/>
      <c r="G426" s="36"/>
      <c r="H426" s="204">
        <v>126</v>
      </c>
      <c r="I426" s="118">
        <v>133</v>
      </c>
      <c r="J426" s="71">
        <v>3299</v>
      </c>
      <c r="K426" s="40" t="s">
        <v>202</v>
      </c>
      <c r="L426" s="309">
        <v>76611</v>
      </c>
      <c r="M426" s="309">
        <f>76611/7.5345</f>
        <v>10168.027075452916</v>
      </c>
      <c r="N426" s="339">
        <v>89940</v>
      </c>
      <c r="O426" s="348">
        <f t="shared" si="319"/>
        <v>11937.089388811466</v>
      </c>
      <c r="P426" s="294">
        <v>12000</v>
      </c>
      <c r="Q426" s="269">
        <v>14000</v>
      </c>
      <c r="R426" s="443">
        <v>16288</v>
      </c>
      <c r="S426" s="294">
        <v>13163</v>
      </c>
      <c r="T426" s="294"/>
      <c r="U426" s="294"/>
      <c r="V426" s="478">
        <v>14000</v>
      </c>
      <c r="W426" s="478">
        <v>14000</v>
      </c>
      <c r="X426" s="544">
        <v>17000</v>
      </c>
      <c r="Y426" s="544"/>
      <c r="Z426" s="541" t="b">
        <f t="shared" si="312"/>
        <v>0</v>
      </c>
      <c r="AA426" s="527"/>
      <c r="AB426" s="528">
        <v>12000</v>
      </c>
      <c r="AC426" s="528">
        <v>12000</v>
      </c>
      <c r="AD426" s="524">
        <f>O426/M426*100</f>
        <v>117.39828484160238</v>
      </c>
      <c r="AE426" s="524">
        <f>P426/O426*100</f>
        <v>100.527018012008</v>
      </c>
      <c r="AF426" s="524">
        <f>Q426/P426*100</f>
        <v>116.66666666666667</v>
      </c>
      <c r="AG426" s="524">
        <f>AB426/Q426*100</f>
        <v>85.714285714285708</v>
      </c>
      <c r="AH426" s="527"/>
      <c r="AI426" s="544">
        <v>17000</v>
      </c>
      <c r="AJ426" s="516">
        <f>W426/R426*100</f>
        <v>85.952848722986246</v>
      </c>
      <c r="AK426" s="516">
        <f t="shared" si="316"/>
        <v>114.28571428571428</v>
      </c>
      <c r="AL426" s="516">
        <f t="shared" ref="AL426:AL433" si="320">X426/AT426*100</f>
        <v>106.25</v>
      </c>
      <c r="AM426" s="294"/>
      <c r="AO426" t="b">
        <f t="shared" si="294"/>
        <v>0</v>
      </c>
      <c r="AP426" s="597">
        <v>14130.64</v>
      </c>
      <c r="AQ426" s="443">
        <v>14130.64</v>
      </c>
      <c r="AR426" s="597">
        <v>14130.64</v>
      </c>
      <c r="AS426" s="443">
        <v>2337.5</v>
      </c>
      <c r="AT426" s="617">
        <v>16000</v>
      </c>
      <c r="AU426" s="478">
        <v>16000</v>
      </c>
      <c r="AV426" s="638">
        <v>17000</v>
      </c>
      <c r="AW426" s="638">
        <v>17000</v>
      </c>
      <c r="AX426" s="655">
        <f t="shared" si="295"/>
        <v>98.231827111984288</v>
      </c>
      <c r="AY426" s="655">
        <f t="shared" si="296"/>
        <v>113.2291247954799</v>
      </c>
      <c r="AZ426" s="655">
        <f t="shared" si="297"/>
        <v>100</v>
      </c>
      <c r="BA426" s="655">
        <f t="shared" si="298"/>
        <v>113.2291247954799</v>
      </c>
      <c r="BB426" s="655">
        <f t="shared" si="299"/>
        <v>106.25</v>
      </c>
      <c r="BC426" s="655">
        <f t="shared" si="299"/>
        <v>100</v>
      </c>
    </row>
    <row r="427" spans="1:55" ht="12" customHeight="1">
      <c r="A427" s="36"/>
      <c r="B427" s="36"/>
      <c r="C427" s="36"/>
      <c r="D427" s="36"/>
      <c r="E427" s="36"/>
      <c r="F427" s="36"/>
      <c r="G427" s="36"/>
      <c r="H427" s="204" t="s">
        <v>203</v>
      </c>
      <c r="I427" s="118">
        <v>133</v>
      </c>
      <c r="J427" s="71">
        <v>3299</v>
      </c>
      <c r="K427" s="40" t="s">
        <v>204</v>
      </c>
      <c r="L427" s="309">
        <v>4813</v>
      </c>
      <c r="M427" s="309">
        <f>4813/7.5345</f>
        <v>638.79487689959512</v>
      </c>
      <c r="N427" s="339">
        <v>1637</v>
      </c>
      <c r="O427" s="348">
        <f t="shared" si="319"/>
        <v>217.26723737474285</v>
      </c>
      <c r="P427" s="294">
        <v>1000</v>
      </c>
      <c r="Q427" s="294">
        <v>1000</v>
      </c>
      <c r="R427" s="443">
        <v>365</v>
      </c>
      <c r="S427" s="294">
        <f>__xlfn.XLOOKUP(H427,[2]Izvršenje_proračuna_po_pozicija!$B$2:$B$153,[2]Izvršenje_proračuna_po_pozicija!$E$2:$E$153,0)</f>
        <v>743.75</v>
      </c>
      <c r="T427" s="294"/>
      <c r="U427" s="294"/>
      <c r="V427" s="478">
        <v>1000</v>
      </c>
      <c r="W427" s="478">
        <v>1000</v>
      </c>
      <c r="X427" s="544">
        <v>1000</v>
      </c>
      <c r="Y427" s="544"/>
      <c r="Z427" s="541" t="b">
        <f t="shared" si="312"/>
        <v>0</v>
      </c>
      <c r="AA427" s="527"/>
      <c r="AB427" s="528">
        <v>1000</v>
      </c>
      <c r="AC427" s="528">
        <v>1000</v>
      </c>
      <c r="AD427" s="524">
        <f>O427/M427*100</f>
        <v>34.012050696031586</v>
      </c>
      <c r="AE427" s="524">
        <f>P427/O427*100</f>
        <v>460.26267562614544</v>
      </c>
      <c r="AF427" s="524">
        <f>Q427/P427*100</f>
        <v>100</v>
      </c>
      <c r="AG427" s="524">
        <f>AB427/Q427*100</f>
        <v>100</v>
      </c>
      <c r="AH427" s="527"/>
      <c r="AI427" s="544">
        <v>1000</v>
      </c>
      <c r="AJ427" s="516">
        <f>W427/R427*100</f>
        <v>273.97260273972603</v>
      </c>
      <c r="AK427" s="516">
        <f t="shared" si="316"/>
        <v>100</v>
      </c>
      <c r="AL427" s="516">
        <f t="shared" si="320"/>
        <v>100</v>
      </c>
      <c r="AM427" s="294"/>
      <c r="AO427" t="b">
        <f t="shared" si="294"/>
        <v>0</v>
      </c>
      <c r="AP427" s="597">
        <v>743.75</v>
      </c>
      <c r="AQ427" s="443">
        <v>743.75</v>
      </c>
      <c r="AR427" s="597">
        <v>743.75</v>
      </c>
      <c r="AS427" s="443">
        <f>__xlfn.XLOOKUP(K427,[1]Izvršenje_proračuna_po_pozicija!$C$25:$C$149,[1]Izvršenje_proračuna_po_pozicija!$E$25:$E$149,0)</f>
        <v>0</v>
      </c>
      <c r="AT427" s="617">
        <v>1000</v>
      </c>
      <c r="AU427" s="478">
        <v>1000</v>
      </c>
      <c r="AV427" s="638">
        <v>1000</v>
      </c>
      <c r="AW427" s="638">
        <v>1000</v>
      </c>
      <c r="AX427" s="655">
        <f t="shared" si="295"/>
        <v>273.97260273972603</v>
      </c>
      <c r="AY427" s="655">
        <f t="shared" si="296"/>
        <v>134.45378151260505</v>
      </c>
      <c r="AZ427" s="655">
        <f t="shared" si="297"/>
        <v>100</v>
      </c>
      <c r="BA427" s="655">
        <f t="shared" si="298"/>
        <v>134.45378151260505</v>
      </c>
      <c r="BB427" s="655">
        <f t="shared" si="299"/>
        <v>100</v>
      </c>
      <c r="BC427" s="655">
        <f t="shared" si="299"/>
        <v>100</v>
      </c>
    </row>
    <row r="428" spans="1:55" ht="12" customHeight="1">
      <c r="A428" s="36"/>
      <c r="B428" s="36"/>
      <c r="C428" s="36"/>
      <c r="D428" s="36"/>
      <c r="E428" s="36"/>
      <c r="F428" s="36"/>
      <c r="G428" s="36"/>
      <c r="H428" s="204" t="s">
        <v>205</v>
      </c>
      <c r="I428" s="118">
        <v>133</v>
      </c>
      <c r="J428" s="71">
        <v>3299</v>
      </c>
      <c r="K428" s="40" t="s">
        <v>206</v>
      </c>
      <c r="L428" s="309">
        <v>5761</v>
      </c>
      <c r="M428" s="309">
        <f>5761/7.5345</f>
        <v>764.61609927666063</v>
      </c>
      <c r="N428" s="339">
        <v>7979</v>
      </c>
      <c r="O428" s="348">
        <f t="shared" si="319"/>
        <v>1058.9952883403012</v>
      </c>
      <c r="P428" s="294">
        <v>1000</v>
      </c>
      <c r="Q428" s="269">
        <v>1500</v>
      </c>
      <c r="R428" s="443">
        <v>1500</v>
      </c>
      <c r="S428" s="294">
        <f>__xlfn.XLOOKUP(H428,[2]Izvršenje_proračuna_po_pozicija!$B$2:$B$153,[2]Izvršenje_proračuna_po_pozicija!$E$2:$E$153,0)</f>
        <v>0</v>
      </c>
      <c r="T428" s="294"/>
      <c r="U428" s="294"/>
      <c r="V428" s="478">
        <v>1500</v>
      </c>
      <c r="W428" s="478">
        <v>2000</v>
      </c>
      <c r="X428" s="544">
        <v>2000</v>
      </c>
      <c r="Y428" s="544"/>
      <c r="Z428" s="541" t="b">
        <f t="shared" si="312"/>
        <v>0</v>
      </c>
      <c r="AA428" s="527"/>
      <c r="AB428" s="528">
        <v>1000</v>
      </c>
      <c r="AC428" s="528">
        <v>1000</v>
      </c>
      <c r="AD428" s="524">
        <f>O428/M428*100</f>
        <v>138.50026037146327</v>
      </c>
      <c r="AE428" s="524">
        <f>P428/O428*100</f>
        <v>94.429126456949504</v>
      </c>
      <c r="AF428" s="524">
        <f>Q428/P428*100</f>
        <v>150</v>
      </c>
      <c r="AG428" s="524">
        <f>AB428/Q428*100</f>
        <v>66.666666666666657</v>
      </c>
      <c r="AH428" s="527"/>
      <c r="AI428" s="544">
        <v>2000</v>
      </c>
      <c r="AJ428" s="516">
        <f>W428/R428*100</f>
        <v>133.33333333333331</v>
      </c>
      <c r="AK428" s="516">
        <f t="shared" si="316"/>
        <v>75</v>
      </c>
      <c r="AL428" s="516">
        <f t="shared" si="320"/>
        <v>133.33333333333331</v>
      </c>
      <c r="AM428" s="294"/>
      <c r="AO428" t="b">
        <f t="shared" si="294"/>
        <v>0</v>
      </c>
      <c r="AQ428" s="443"/>
      <c r="AS428" s="443">
        <f>__xlfn.XLOOKUP(K428,[1]Izvršenje_proračuna_po_pozicija!$C$25:$C$149,[1]Izvršenje_proračuna_po_pozicija!$E$25:$E$149,0)</f>
        <v>0</v>
      </c>
      <c r="AT428" s="617">
        <v>1500</v>
      </c>
      <c r="AU428" s="478">
        <v>2000</v>
      </c>
      <c r="AV428" s="638">
        <v>2000</v>
      </c>
      <c r="AW428" s="638">
        <v>2000</v>
      </c>
      <c r="AX428" s="655">
        <f t="shared" si="295"/>
        <v>100</v>
      </c>
      <c r="AY428" s="655" t="str">
        <f t="shared" si="296"/>
        <v/>
      </c>
      <c r="AZ428" s="655">
        <f t="shared" si="297"/>
        <v>133.33333333333331</v>
      </c>
      <c r="BA428" s="655" t="str">
        <f t="shared" si="298"/>
        <v/>
      </c>
      <c r="BB428" s="655">
        <f t="shared" si="299"/>
        <v>100</v>
      </c>
      <c r="BC428" s="655">
        <f t="shared" si="299"/>
        <v>100</v>
      </c>
    </row>
    <row r="429" spans="1:55" ht="12" customHeight="1">
      <c r="A429" s="36"/>
      <c r="B429" s="36"/>
      <c r="C429" s="36"/>
      <c r="D429" s="36"/>
      <c r="E429" s="36"/>
      <c r="F429" s="36"/>
      <c r="G429" s="36"/>
      <c r="H429" s="204" t="s">
        <v>521</v>
      </c>
      <c r="I429" s="118">
        <v>133</v>
      </c>
      <c r="J429" s="71">
        <v>3299</v>
      </c>
      <c r="K429" s="40" t="s">
        <v>524</v>
      </c>
      <c r="L429" s="309">
        <v>734</v>
      </c>
      <c r="M429" s="309">
        <f>734/7.5345</f>
        <v>97.418541376335511</v>
      </c>
      <c r="N429" s="339">
        <v>33406</v>
      </c>
      <c r="O429" s="348">
        <f t="shared" si="319"/>
        <v>4433.7381378989976</v>
      </c>
      <c r="P429" s="294">
        <v>4000</v>
      </c>
      <c r="Q429" s="294">
        <v>4000</v>
      </c>
      <c r="R429" s="443">
        <v>2805</v>
      </c>
      <c r="S429" s="294">
        <f>__xlfn.XLOOKUP(H429,[2]Izvršenje_proračuna_po_pozicija!$B$2:$B$153,[2]Izvršenje_proračuna_po_pozicija!$E$2:$E$153,0)</f>
        <v>1261.49</v>
      </c>
      <c r="T429" s="294"/>
      <c r="U429" s="294"/>
      <c r="V429" s="478">
        <v>4000</v>
      </c>
      <c r="W429" s="478">
        <v>3500</v>
      </c>
      <c r="X429" s="544">
        <v>4000</v>
      </c>
      <c r="Y429" s="544"/>
      <c r="Z429" s="541" t="b">
        <f t="shared" si="312"/>
        <v>0</v>
      </c>
      <c r="AA429" s="527"/>
      <c r="AB429" s="528">
        <v>4000</v>
      </c>
      <c r="AC429" s="528">
        <v>4000</v>
      </c>
      <c r="AD429" s="524"/>
      <c r="AE429" s="524"/>
      <c r="AF429" s="524"/>
      <c r="AG429" s="524"/>
      <c r="AH429" s="527"/>
      <c r="AI429" s="544">
        <v>4000</v>
      </c>
      <c r="AJ429" s="516">
        <f>W429/R429*100</f>
        <v>124.77718360071302</v>
      </c>
      <c r="AK429" s="516">
        <f t="shared" si="316"/>
        <v>114.28571428571428</v>
      </c>
      <c r="AL429" s="516">
        <f t="shared" si="320"/>
        <v>100</v>
      </c>
      <c r="AM429" s="294"/>
      <c r="AO429" t="b">
        <f t="shared" si="294"/>
        <v>0</v>
      </c>
      <c r="AP429" s="597">
        <v>2164</v>
      </c>
      <c r="AQ429" s="443">
        <v>2164</v>
      </c>
      <c r="AR429" s="597">
        <v>2164</v>
      </c>
      <c r="AS429" s="443">
        <v>3746.51</v>
      </c>
      <c r="AT429" s="617">
        <v>4000</v>
      </c>
      <c r="AU429" s="478">
        <v>5000</v>
      </c>
      <c r="AV429" s="638">
        <v>4000</v>
      </c>
      <c r="AW429" s="638">
        <v>4000</v>
      </c>
      <c r="AX429" s="655">
        <f t="shared" si="295"/>
        <v>142.60249554367201</v>
      </c>
      <c r="AY429" s="655">
        <f t="shared" si="296"/>
        <v>184.84288354898337</v>
      </c>
      <c r="AZ429" s="655">
        <f t="shared" si="297"/>
        <v>125</v>
      </c>
      <c r="BA429" s="655">
        <f t="shared" si="298"/>
        <v>231.05360443622919</v>
      </c>
      <c r="BB429" s="655">
        <f t="shared" si="299"/>
        <v>80</v>
      </c>
      <c r="BC429" s="655">
        <f t="shared" si="299"/>
        <v>100</v>
      </c>
    </row>
    <row r="430" spans="1:55" ht="12" customHeight="1">
      <c r="A430" s="36"/>
      <c r="B430" s="36"/>
      <c r="C430" s="36"/>
      <c r="D430" s="36"/>
      <c r="E430" s="36"/>
      <c r="F430" s="36"/>
      <c r="G430" s="36"/>
      <c r="H430" s="204" t="s">
        <v>522</v>
      </c>
      <c r="I430" s="118">
        <v>133</v>
      </c>
      <c r="J430" s="71">
        <v>3299</v>
      </c>
      <c r="K430" s="40" t="s">
        <v>707</v>
      </c>
      <c r="L430" s="309">
        <v>0</v>
      </c>
      <c r="M430" s="309">
        <v>0</v>
      </c>
      <c r="N430" s="339">
        <v>0</v>
      </c>
      <c r="O430" s="348">
        <f t="shared" si="319"/>
        <v>0</v>
      </c>
      <c r="P430" s="294">
        <v>5000</v>
      </c>
      <c r="Q430" s="269">
        <v>0</v>
      </c>
      <c r="R430" s="443">
        <v>0</v>
      </c>
      <c r="S430" s="294">
        <f>__xlfn.XLOOKUP(H430,[2]Izvršenje_proračuna_po_pozicija!$B$2:$B$153,[2]Izvršenje_proračuna_po_pozicija!$E$2:$E$153,0)</f>
        <v>0</v>
      </c>
      <c r="T430" s="294"/>
      <c r="U430" s="294"/>
      <c r="V430" s="478">
        <v>5000</v>
      </c>
      <c r="W430" s="478">
        <v>0</v>
      </c>
      <c r="X430" s="544">
        <v>5000</v>
      </c>
      <c r="Y430" s="544"/>
      <c r="Z430" s="541" t="b">
        <f t="shared" si="312"/>
        <v>0</v>
      </c>
      <c r="AA430" s="527"/>
      <c r="AB430" s="528">
        <v>5000</v>
      </c>
      <c r="AC430" s="528">
        <v>5000</v>
      </c>
      <c r="AD430" s="524"/>
      <c r="AE430" s="524"/>
      <c r="AF430" s="524"/>
      <c r="AG430" s="524"/>
      <c r="AH430" s="527"/>
      <c r="AI430" s="544">
        <v>5000</v>
      </c>
      <c r="AJ430" s="516"/>
      <c r="AK430" s="516"/>
      <c r="AL430" s="516">
        <f t="shared" si="320"/>
        <v>20</v>
      </c>
      <c r="AM430" s="294"/>
      <c r="AO430" t="b">
        <f t="shared" si="294"/>
        <v>0</v>
      </c>
      <c r="AQ430" s="443"/>
      <c r="AS430" s="443">
        <f>__xlfn.XLOOKUP(K430,[1]Izvršenje_proračuna_po_pozicija!$C$25:$C$149,[1]Izvršenje_proračuna_po_pozicija!$E$25:$E$149,0)</f>
        <v>0</v>
      </c>
      <c r="AT430" s="617">
        <v>25000</v>
      </c>
      <c r="AU430" s="478"/>
      <c r="AV430" s="638">
        <v>5000</v>
      </c>
      <c r="AW430" s="638">
        <v>5000</v>
      </c>
      <c r="AX430" s="655" t="str">
        <f t="shared" si="295"/>
        <v/>
      </c>
      <c r="AY430" s="655" t="str">
        <f t="shared" si="296"/>
        <v/>
      </c>
      <c r="AZ430" s="655" t="str">
        <f t="shared" si="297"/>
        <v/>
      </c>
      <c r="BA430" s="655" t="str">
        <f t="shared" si="298"/>
        <v/>
      </c>
      <c r="BB430" s="655" t="str">
        <f t="shared" si="299"/>
        <v/>
      </c>
      <c r="BC430" s="655">
        <f t="shared" si="299"/>
        <v>100</v>
      </c>
    </row>
    <row r="431" spans="1:55" ht="12" customHeight="1">
      <c r="A431" s="36"/>
      <c r="B431" s="36"/>
      <c r="C431" s="36"/>
      <c r="D431" s="36"/>
      <c r="E431" s="36"/>
      <c r="F431" s="36"/>
      <c r="G431" s="36"/>
      <c r="H431" s="204" t="s">
        <v>576</v>
      </c>
      <c r="I431" s="118">
        <v>133</v>
      </c>
      <c r="J431" s="71">
        <v>3299</v>
      </c>
      <c r="K431" s="40" t="s">
        <v>577</v>
      </c>
      <c r="L431" s="309">
        <v>0</v>
      </c>
      <c r="M431" s="309">
        <v>0</v>
      </c>
      <c r="N431" s="339">
        <v>0</v>
      </c>
      <c r="O431" s="348">
        <f t="shared" si="319"/>
        <v>0</v>
      </c>
      <c r="P431" s="294">
        <v>1000</v>
      </c>
      <c r="Q431" s="269">
        <v>0</v>
      </c>
      <c r="R431" s="443">
        <v>0</v>
      </c>
      <c r="S431" s="294">
        <f>__xlfn.XLOOKUP(H431,[2]Izvršenje_proračuna_po_pozicija!$B$2:$B$153,[2]Izvršenje_proračuna_po_pozicija!$E$2:$E$153,0)</f>
        <v>0</v>
      </c>
      <c r="T431" s="294"/>
      <c r="U431" s="294"/>
      <c r="V431" s="478">
        <v>1000</v>
      </c>
      <c r="W431" s="478">
        <v>0</v>
      </c>
      <c r="X431" s="544">
        <v>1000</v>
      </c>
      <c r="Y431" s="544"/>
      <c r="Z431" s="541" t="b">
        <f t="shared" si="312"/>
        <v>0</v>
      </c>
      <c r="AA431" s="527"/>
      <c r="AB431" s="528">
        <v>1000</v>
      </c>
      <c r="AC431" s="528">
        <v>1000</v>
      </c>
      <c r="AD431" s="524"/>
      <c r="AE431" s="524"/>
      <c r="AF431" s="524"/>
      <c r="AG431" s="524"/>
      <c r="AH431" s="527"/>
      <c r="AI431" s="544">
        <v>1000</v>
      </c>
      <c r="AJ431" s="516"/>
      <c r="AK431" s="516"/>
      <c r="AL431" s="516">
        <f t="shared" si="320"/>
        <v>100</v>
      </c>
      <c r="AM431" s="294"/>
      <c r="AO431" t="b">
        <f t="shared" si="294"/>
        <v>0</v>
      </c>
      <c r="AQ431" s="443"/>
      <c r="AS431" s="443">
        <f>__xlfn.XLOOKUP(K431,[1]Izvršenje_proračuna_po_pozicija!$C$25:$C$149,[1]Izvršenje_proračuna_po_pozicija!$E$25:$E$149,0)</f>
        <v>0</v>
      </c>
      <c r="AT431" s="617">
        <v>1000</v>
      </c>
      <c r="AU431" s="478"/>
      <c r="AV431" s="638">
        <v>1000</v>
      </c>
      <c r="AW431" s="638">
        <v>1000</v>
      </c>
      <c r="AX431" s="655" t="str">
        <f t="shared" si="295"/>
        <v/>
      </c>
      <c r="AY431" s="655" t="str">
        <f t="shared" si="296"/>
        <v/>
      </c>
      <c r="AZ431" s="655" t="str">
        <f t="shared" si="297"/>
        <v/>
      </c>
      <c r="BA431" s="655" t="str">
        <f t="shared" si="298"/>
        <v/>
      </c>
      <c r="BB431" s="655" t="str">
        <f t="shared" si="299"/>
        <v/>
      </c>
      <c r="BC431" s="655">
        <f t="shared" si="299"/>
        <v>100</v>
      </c>
    </row>
    <row r="432" spans="1:55" ht="12" customHeight="1">
      <c r="A432" s="36"/>
      <c r="B432" s="36"/>
      <c r="C432" s="36"/>
      <c r="D432" s="36"/>
      <c r="E432" s="36"/>
      <c r="F432" s="36"/>
      <c r="G432" s="36"/>
      <c r="H432" s="204" t="s">
        <v>578</v>
      </c>
      <c r="I432" s="118">
        <v>133</v>
      </c>
      <c r="J432" s="71">
        <v>3299</v>
      </c>
      <c r="K432" s="40" t="s">
        <v>579</v>
      </c>
      <c r="L432" s="309">
        <v>18516</v>
      </c>
      <c r="M432" s="309">
        <f>18516/7.5345</f>
        <v>2457.4955206052159</v>
      </c>
      <c r="N432" s="339">
        <v>7762</v>
      </c>
      <c r="O432" s="348">
        <f t="shared" si="319"/>
        <v>1030.1944389143273</v>
      </c>
      <c r="P432" s="294">
        <v>2000</v>
      </c>
      <c r="Q432" s="294">
        <v>2000</v>
      </c>
      <c r="R432" s="443">
        <v>0</v>
      </c>
      <c r="S432" s="294">
        <f>__xlfn.XLOOKUP(H432,[2]Izvršenje_proračuna_po_pozicija!$B$2:$B$153,[2]Izvršenje_proračuna_po_pozicija!$E$2:$E$153,0)</f>
        <v>4601.0200000000004</v>
      </c>
      <c r="T432" s="294"/>
      <c r="U432" s="294"/>
      <c r="V432" s="478">
        <v>2000</v>
      </c>
      <c r="W432" s="478">
        <v>5000</v>
      </c>
      <c r="X432" s="544">
        <v>5000</v>
      </c>
      <c r="Y432" s="544"/>
      <c r="Z432" s="541" t="b">
        <f t="shared" si="312"/>
        <v>0</v>
      </c>
      <c r="AA432" s="527"/>
      <c r="AB432" s="528">
        <v>2000</v>
      </c>
      <c r="AC432" s="528">
        <v>2000</v>
      </c>
      <c r="AD432" s="524">
        <f>O432/M432*100</f>
        <v>41.920501188161587</v>
      </c>
      <c r="AE432" s="524">
        <f>P432/O432*100</f>
        <v>194.13810873486216</v>
      </c>
      <c r="AF432" s="524">
        <f>Q432/P432*100</f>
        <v>100</v>
      </c>
      <c r="AG432" s="524">
        <f>AB432/Q432*100</f>
        <v>100</v>
      </c>
      <c r="AH432" s="527"/>
      <c r="AI432" s="544">
        <v>5000</v>
      </c>
      <c r="AJ432" s="516"/>
      <c r="AK432" s="516">
        <f>AT432/W432*100</f>
        <v>100</v>
      </c>
      <c r="AL432" s="516">
        <f t="shared" si="320"/>
        <v>100</v>
      </c>
      <c r="AM432" s="294"/>
      <c r="AO432" t="b">
        <f t="shared" si="294"/>
        <v>0</v>
      </c>
      <c r="AP432" s="493">
        <v>8757.44</v>
      </c>
      <c r="AQ432" s="443">
        <v>8757.44</v>
      </c>
      <c r="AR432" s="493">
        <v>8757.44</v>
      </c>
      <c r="AS432" s="443">
        <f>__xlfn.XLOOKUP(K432,[1]Izvršenje_proračuna_po_pozicija!$C$25:$C$149,[1]Izvršenje_proračuna_po_pozicija!$E$25:$E$149,0)</f>
        <v>48.97</v>
      </c>
      <c r="AT432" s="617">
        <v>5000</v>
      </c>
      <c r="AU432" s="478">
        <v>4000</v>
      </c>
      <c r="AV432" s="638">
        <v>5000</v>
      </c>
      <c r="AW432" s="638">
        <v>5000</v>
      </c>
      <c r="AX432" s="655" t="str">
        <f t="shared" si="295"/>
        <v/>
      </c>
      <c r="AY432" s="655">
        <f t="shared" si="296"/>
        <v>57.094310666130745</v>
      </c>
      <c r="AZ432" s="655">
        <f t="shared" si="297"/>
        <v>80</v>
      </c>
      <c r="BA432" s="655">
        <f t="shared" si="298"/>
        <v>45.675448532904589</v>
      </c>
      <c r="BB432" s="655">
        <f t="shared" si="299"/>
        <v>125</v>
      </c>
      <c r="BC432" s="655">
        <f t="shared" si="299"/>
        <v>100</v>
      </c>
    </row>
    <row r="433" spans="1:55" ht="12" customHeight="1">
      <c r="A433" s="36"/>
      <c r="B433" s="36"/>
      <c r="C433" s="36"/>
      <c r="D433" s="36"/>
      <c r="E433" s="36"/>
      <c r="F433" s="36"/>
      <c r="G433" s="36"/>
      <c r="H433" s="204" t="s">
        <v>727</v>
      </c>
      <c r="I433" s="118">
        <v>133</v>
      </c>
      <c r="J433" s="71">
        <v>3299</v>
      </c>
      <c r="K433" s="40" t="s">
        <v>728</v>
      </c>
      <c r="L433" s="309">
        <v>15967</v>
      </c>
      <c r="M433" s="309">
        <f>15967/7.5345</f>
        <v>2119.1850819563342</v>
      </c>
      <c r="N433" s="339">
        <v>38543</v>
      </c>
      <c r="O433" s="348">
        <f t="shared" si="319"/>
        <v>5115.5352047249316</v>
      </c>
      <c r="P433" s="294">
        <v>5500</v>
      </c>
      <c r="Q433" s="294">
        <v>5500</v>
      </c>
      <c r="R433" s="443">
        <v>6144</v>
      </c>
      <c r="S433" s="294">
        <f>__xlfn.XLOOKUP(H433,[2]Izvršenje_proračuna_po_pozicija!$B$2:$B$153,[2]Izvršenje_proračuna_po_pozicija!$E$2:$E$153,0)</f>
        <v>2750</v>
      </c>
      <c r="T433" s="294"/>
      <c r="U433" s="294"/>
      <c r="V433" s="478">
        <v>5500</v>
      </c>
      <c r="W433" s="478">
        <v>8000</v>
      </c>
      <c r="X433" s="544">
        <v>10000</v>
      </c>
      <c r="Y433" s="544"/>
      <c r="Z433" s="541" t="b">
        <f t="shared" si="312"/>
        <v>0</v>
      </c>
      <c r="AA433" s="527"/>
      <c r="AB433" s="528">
        <v>6000</v>
      </c>
      <c r="AC433" s="528">
        <v>6000</v>
      </c>
      <c r="AD433" s="524">
        <f>O433/M433*100</f>
        <v>241.39162021669694</v>
      </c>
      <c r="AE433" s="524">
        <f>P433/O433*100</f>
        <v>107.5156318916535</v>
      </c>
      <c r="AF433" s="524">
        <f>Q433/P433*100</f>
        <v>100</v>
      </c>
      <c r="AG433" s="524">
        <f>AB433/Q433*100</f>
        <v>109.09090909090908</v>
      </c>
      <c r="AH433" s="527"/>
      <c r="AI433" s="544">
        <v>10000</v>
      </c>
      <c r="AJ433" s="516">
        <f>W433/R433*100</f>
        <v>130.20833333333331</v>
      </c>
      <c r="AK433" s="516">
        <f>AT433/W433*100</f>
        <v>100</v>
      </c>
      <c r="AL433" s="516">
        <f t="shared" si="320"/>
        <v>125</v>
      </c>
      <c r="AM433" s="294"/>
      <c r="AO433" t="b">
        <f t="shared" si="294"/>
        <v>0</v>
      </c>
      <c r="AP433" s="493">
        <v>7750.4</v>
      </c>
      <c r="AQ433" s="443">
        <v>7750.4</v>
      </c>
      <c r="AR433" s="493">
        <v>7750.4</v>
      </c>
      <c r="AS433" s="443">
        <f>__xlfn.XLOOKUP(K433,[1]Izvršenje_proračuna_po_pozicija!$C$25:$C$149,[1]Izvršenje_proračuna_po_pozicija!$E$25:$E$149,0)</f>
        <v>2125</v>
      </c>
      <c r="AT433" s="617">
        <v>8000</v>
      </c>
      <c r="AU433" s="478">
        <v>9000</v>
      </c>
      <c r="AV433" s="638">
        <v>10000</v>
      </c>
      <c r="AW433" s="638">
        <v>10000</v>
      </c>
      <c r="AX433" s="655">
        <f t="shared" si="295"/>
        <v>130.20833333333331</v>
      </c>
      <c r="AY433" s="655">
        <f t="shared" si="296"/>
        <v>103.22047894302231</v>
      </c>
      <c r="AZ433" s="655">
        <f t="shared" si="297"/>
        <v>112.5</v>
      </c>
      <c r="BA433" s="655">
        <f t="shared" si="298"/>
        <v>116.1230388109001</v>
      </c>
      <c r="BB433" s="655">
        <f t="shared" si="299"/>
        <v>111.11111111111111</v>
      </c>
      <c r="BC433" s="655">
        <f t="shared" si="299"/>
        <v>100</v>
      </c>
    </row>
    <row r="434" spans="1:55" ht="12" customHeight="1">
      <c r="A434" s="36"/>
      <c r="B434" s="36"/>
      <c r="C434" s="36"/>
      <c r="D434" s="36"/>
      <c r="E434" s="36"/>
      <c r="F434" s="36"/>
      <c r="G434" s="36"/>
      <c r="H434" s="204" t="s">
        <v>735</v>
      </c>
      <c r="I434" s="118">
        <v>133</v>
      </c>
      <c r="J434" s="71">
        <v>3299</v>
      </c>
      <c r="K434" s="40" t="s">
        <v>736</v>
      </c>
      <c r="L434" s="309">
        <v>0</v>
      </c>
      <c r="M434" s="309">
        <v>0</v>
      </c>
      <c r="N434" s="339">
        <v>0</v>
      </c>
      <c r="O434" s="348">
        <f t="shared" si="319"/>
        <v>0</v>
      </c>
      <c r="P434" s="294">
        <v>0</v>
      </c>
      <c r="Q434" s="294">
        <v>0</v>
      </c>
      <c r="R434" s="443">
        <v>0</v>
      </c>
      <c r="S434" s="294">
        <f>__xlfn.XLOOKUP(H434,[2]Izvršenje_proračuna_po_pozicija!$B$2:$B$153,[2]Izvršenje_proračuna_po_pozicija!$E$2:$E$153,0)</f>
        <v>0</v>
      </c>
      <c r="T434" s="294"/>
      <c r="U434" s="294"/>
      <c r="V434" s="478">
        <v>0</v>
      </c>
      <c r="W434" s="478"/>
      <c r="X434" s="544"/>
      <c r="Y434" s="544"/>
      <c r="Z434" s="541" t="b">
        <f t="shared" si="312"/>
        <v>0</v>
      </c>
      <c r="AA434" s="527"/>
      <c r="AB434" s="528">
        <v>0</v>
      </c>
      <c r="AC434" s="528">
        <v>0</v>
      </c>
      <c r="AD434" s="524"/>
      <c r="AE434" s="524"/>
      <c r="AF434" s="524"/>
      <c r="AG434" s="524"/>
      <c r="AH434" s="527"/>
      <c r="AI434" s="544"/>
      <c r="AJ434" s="516"/>
      <c r="AK434" s="516"/>
      <c r="AL434" s="516"/>
      <c r="AM434" s="294"/>
      <c r="AO434" t="b">
        <f t="shared" si="294"/>
        <v>0</v>
      </c>
      <c r="AQ434" s="443"/>
      <c r="AS434" s="443">
        <f>__xlfn.XLOOKUP(K434,[1]Izvršenje_proračuna_po_pozicija!$C$25:$C$149,[1]Izvršenje_proračuna_po_pozicija!$E$25:$E$149,0)</f>
        <v>0</v>
      </c>
      <c r="AT434" s="617"/>
      <c r="AU434" s="478"/>
      <c r="AV434" s="638"/>
      <c r="AW434" s="638"/>
      <c r="AX434" s="655" t="str">
        <f t="shared" si="295"/>
        <v/>
      </c>
      <c r="AY434" s="655" t="str">
        <f t="shared" si="296"/>
        <v/>
      </c>
      <c r="AZ434" s="655" t="str">
        <f t="shared" si="297"/>
        <v/>
      </c>
      <c r="BA434" s="655" t="str">
        <f t="shared" si="298"/>
        <v/>
      </c>
      <c r="BB434" s="655" t="str">
        <f t="shared" si="299"/>
        <v/>
      </c>
      <c r="BC434" s="655" t="str">
        <f t="shared" si="299"/>
        <v/>
      </c>
    </row>
    <row r="435" spans="1:55" ht="12" customHeight="1">
      <c r="A435" s="20"/>
      <c r="B435" s="20"/>
      <c r="C435" s="20"/>
      <c r="D435" s="20"/>
      <c r="E435" s="20"/>
      <c r="F435" s="20"/>
      <c r="G435" s="20"/>
      <c r="H435" s="375"/>
      <c r="I435" s="22"/>
      <c r="J435" s="21"/>
      <c r="K435" s="19"/>
      <c r="L435" s="313">
        <v>1</v>
      </c>
      <c r="M435" s="313">
        <v>2</v>
      </c>
      <c r="N435" s="335">
        <v>3</v>
      </c>
      <c r="O435" s="335">
        <v>4</v>
      </c>
      <c r="P435" s="290">
        <v>5</v>
      </c>
      <c r="Q435" s="290">
        <v>6</v>
      </c>
      <c r="R435" s="439"/>
      <c r="S435" s="294">
        <f>__xlfn.XLOOKUP(H435,[2]Izvršenje_proračuna_po_pozicija!$B$2:$B$153,[2]Izvršenje_proračuna_po_pozicija!$E$2:$E$153,0)</f>
        <v>0</v>
      </c>
      <c r="T435" s="294"/>
      <c r="U435" s="294"/>
      <c r="V435" s="474">
        <v>5</v>
      </c>
      <c r="W435" s="474"/>
      <c r="X435" s="539"/>
      <c r="Y435" s="539"/>
      <c r="Z435" s="541" t="b">
        <f t="shared" si="312"/>
        <v>0</v>
      </c>
      <c r="AA435" s="514"/>
      <c r="AB435" s="515">
        <v>7</v>
      </c>
      <c r="AC435" s="515">
        <v>8</v>
      </c>
      <c r="AD435" s="515">
        <v>9</v>
      </c>
      <c r="AE435" s="515">
        <v>10</v>
      </c>
      <c r="AF435" s="515">
        <v>11</v>
      </c>
      <c r="AG435" s="515">
        <v>12</v>
      </c>
      <c r="AH435" s="514"/>
      <c r="AI435" s="539"/>
      <c r="AJ435" s="516"/>
      <c r="AK435" s="516"/>
      <c r="AL435" s="516"/>
      <c r="AM435" s="290"/>
      <c r="AO435" t="b">
        <f t="shared" si="294"/>
        <v>0</v>
      </c>
      <c r="AQ435" s="439"/>
      <c r="AS435" s="439">
        <f>__xlfn.XLOOKUP(K435,[1]Izvršenje_proračuna_po_pozicija!$C$25:$C$149,[1]Izvršenje_proračuna_po_pozicija!$E$25:$E$149,0)</f>
        <v>0</v>
      </c>
      <c r="AT435" s="616"/>
      <c r="AU435" s="474"/>
      <c r="AV435" s="632"/>
      <c r="AW435" s="632"/>
      <c r="AX435" s="655" t="str">
        <f t="shared" si="295"/>
        <v/>
      </c>
      <c r="AY435" s="655" t="str">
        <f t="shared" si="296"/>
        <v/>
      </c>
      <c r="AZ435" s="655" t="str">
        <f t="shared" si="297"/>
        <v/>
      </c>
      <c r="BA435" s="655" t="str">
        <f t="shared" si="298"/>
        <v/>
      </c>
      <c r="BB435" s="655" t="str">
        <f t="shared" si="299"/>
        <v/>
      </c>
      <c r="BC435" s="655" t="str">
        <f t="shared" si="299"/>
        <v/>
      </c>
    </row>
    <row r="436" spans="1:55" ht="12" customHeight="1">
      <c r="A436" s="36"/>
      <c r="B436" s="36"/>
      <c r="C436" s="36"/>
      <c r="D436" s="36"/>
      <c r="E436" s="36"/>
      <c r="F436" s="36"/>
      <c r="G436" s="36"/>
      <c r="H436" s="204" t="s">
        <v>738</v>
      </c>
      <c r="I436" s="118">
        <v>133</v>
      </c>
      <c r="J436" s="71">
        <v>3299</v>
      </c>
      <c r="K436" s="40" t="s">
        <v>739</v>
      </c>
      <c r="L436" s="309">
        <v>0</v>
      </c>
      <c r="M436" s="309">
        <v>0</v>
      </c>
      <c r="N436" s="339">
        <v>0</v>
      </c>
      <c r="O436" s="339">
        <v>0</v>
      </c>
      <c r="P436" s="294">
        <v>13300</v>
      </c>
      <c r="Q436" s="269">
        <v>0</v>
      </c>
      <c r="R436" s="443">
        <v>0</v>
      </c>
      <c r="S436" s="294">
        <f>__xlfn.XLOOKUP(H436,[2]Izvršenje_proračuna_po_pozicija!$B$2:$B$153,[2]Izvršenje_proračuna_po_pozicija!$E$2:$E$153,0)</f>
        <v>0</v>
      </c>
      <c r="T436" s="294"/>
      <c r="U436" s="294"/>
      <c r="V436" s="478">
        <v>13300</v>
      </c>
      <c r="W436" s="478">
        <v>0</v>
      </c>
      <c r="X436" s="544">
        <v>10000</v>
      </c>
      <c r="Y436" s="544"/>
      <c r="Z436" s="541" t="b">
        <f t="shared" si="312"/>
        <v>0</v>
      </c>
      <c r="AA436" s="527"/>
      <c r="AB436" s="528">
        <v>13000</v>
      </c>
      <c r="AC436" s="528">
        <v>13000</v>
      </c>
      <c r="AD436" s="524"/>
      <c r="AE436" s="524"/>
      <c r="AF436" s="524"/>
      <c r="AG436" s="524"/>
      <c r="AH436" s="527"/>
      <c r="AI436" s="544">
        <v>10000</v>
      </c>
      <c r="AJ436" s="516"/>
      <c r="AK436" s="516"/>
      <c r="AL436" s="516">
        <f>X436/AT436*100</f>
        <v>66.666666666666657</v>
      </c>
      <c r="AM436" s="294"/>
      <c r="AO436" t="b">
        <f t="shared" si="294"/>
        <v>0</v>
      </c>
      <c r="AQ436" s="443"/>
      <c r="AS436" s="443">
        <f>__xlfn.XLOOKUP(K436,[1]Izvršenje_proračuna_po_pozicija!$C$25:$C$149,[1]Izvršenje_proračuna_po_pozicija!$E$25:$E$149,0)</f>
        <v>0</v>
      </c>
      <c r="AT436" s="617">
        <v>15000</v>
      </c>
      <c r="AU436" s="478"/>
      <c r="AV436" s="638">
        <v>10000</v>
      </c>
      <c r="AW436" s="638">
        <v>10000</v>
      </c>
      <c r="AX436" s="655" t="str">
        <f t="shared" si="295"/>
        <v/>
      </c>
      <c r="AY436" s="655" t="str">
        <f t="shared" si="296"/>
        <v/>
      </c>
      <c r="AZ436" s="655" t="str">
        <f t="shared" si="297"/>
        <v/>
      </c>
      <c r="BA436" s="655" t="str">
        <f t="shared" si="298"/>
        <v/>
      </c>
      <c r="BB436" s="655" t="str">
        <f t="shared" si="299"/>
        <v/>
      </c>
      <c r="BC436" s="655">
        <f t="shared" si="299"/>
        <v>100</v>
      </c>
    </row>
    <row r="437" spans="1:55" ht="12" customHeight="1">
      <c r="A437" s="36"/>
      <c r="B437" s="36"/>
      <c r="C437" s="36"/>
      <c r="D437" s="36"/>
      <c r="E437" s="36"/>
      <c r="F437" s="36"/>
      <c r="G437" s="36"/>
      <c r="H437" s="204">
        <v>26</v>
      </c>
      <c r="I437" s="118">
        <v>133</v>
      </c>
      <c r="J437" s="71">
        <v>3299</v>
      </c>
      <c r="K437" s="40" t="s">
        <v>207</v>
      </c>
      <c r="L437" s="269">
        <v>210762</v>
      </c>
      <c r="M437" s="269">
        <f>210762/7.5345</f>
        <v>27972.924547083414</v>
      </c>
      <c r="N437" s="269">
        <v>250378</v>
      </c>
      <c r="O437" s="269">
        <f>N437/7.5345</f>
        <v>33230.87132523724</v>
      </c>
      <c r="P437" s="269">
        <v>34000</v>
      </c>
      <c r="Q437" s="269">
        <v>55000</v>
      </c>
      <c r="R437" s="443">
        <v>53159</v>
      </c>
      <c r="S437" s="269">
        <v>89869</v>
      </c>
      <c r="T437" s="269"/>
      <c r="U437" s="269"/>
      <c r="V437" s="478">
        <v>55000</v>
      </c>
      <c r="W437" s="478">
        <v>80000</v>
      </c>
      <c r="X437" s="544">
        <v>130000</v>
      </c>
      <c r="Y437" s="544"/>
      <c r="Z437" s="541" t="b">
        <f t="shared" si="312"/>
        <v>0</v>
      </c>
      <c r="AA437" s="527"/>
      <c r="AB437" s="528">
        <v>35000</v>
      </c>
      <c r="AC437" s="528">
        <v>35000</v>
      </c>
      <c r="AD437" s="524">
        <f>O437/M437*100</f>
        <v>118.79655725415397</v>
      </c>
      <c r="AE437" s="524">
        <f>P437/O437*100</f>
        <v>102.31450047528139</v>
      </c>
      <c r="AF437" s="524">
        <f>Q437/P437*100</f>
        <v>161.76470588235296</v>
      </c>
      <c r="AG437" s="524">
        <f>AB437/Q437*100</f>
        <v>63.636363636363633</v>
      </c>
      <c r="AH437" s="527"/>
      <c r="AI437" s="544">
        <v>130000</v>
      </c>
      <c r="AJ437" s="516">
        <f>W437/R437*100</f>
        <v>150.49192046502003</v>
      </c>
      <c r="AK437" s="516">
        <f>AT437/W437*100</f>
        <v>150</v>
      </c>
      <c r="AL437" s="516">
        <f>X437/AT437*100</f>
        <v>108.33333333333333</v>
      </c>
      <c r="AM437" s="269"/>
      <c r="AO437" t="b">
        <f t="shared" si="294"/>
        <v>0</v>
      </c>
      <c r="AP437" s="493">
        <v>82328.88</v>
      </c>
      <c r="AQ437" s="443">
        <v>82328.88</v>
      </c>
      <c r="AR437" s="493">
        <v>82328.88</v>
      </c>
      <c r="AS437" s="443">
        <v>58533.919999999998</v>
      </c>
      <c r="AT437" s="617">
        <v>120000</v>
      </c>
      <c r="AU437" s="478">
        <v>125000</v>
      </c>
      <c r="AV437" s="638">
        <v>130000</v>
      </c>
      <c r="AW437" s="638">
        <v>130000</v>
      </c>
      <c r="AX437" s="655">
        <f t="shared" si="295"/>
        <v>225.73788069753004</v>
      </c>
      <c r="AY437" s="655">
        <f t="shared" si="296"/>
        <v>145.75687170771664</v>
      </c>
      <c r="AZ437" s="655">
        <f t="shared" si="297"/>
        <v>104.16666666666667</v>
      </c>
      <c r="BA437" s="655">
        <f t="shared" si="298"/>
        <v>151.83007469553817</v>
      </c>
      <c r="BB437" s="655">
        <f t="shared" si="299"/>
        <v>104</v>
      </c>
      <c r="BC437" s="655">
        <f t="shared" si="299"/>
        <v>100</v>
      </c>
    </row>
    <row r="438" spans="1:55" ht="12" customHeight="1">
      <c r="A438" s="20"/>
      <c r="B438" s="20"/>
      <c r="C438" s="20"/>
      <c r="D438" s="20"/>
      <c r="E438" s="20"/>
      <c r="F438" s="20"/>
      <c r="G438" s="20"/>
      <c r="H438" s="375"/>
      <c r="I438" s="22"/>
      <c r="J438" s="21"/>
      <c r="K438" s="19"/>
      <c r="L438" s="313"/>
      <c r="M438" s="313"/>
      <c r="N438" s="335"/>
      <c r="O438" s="335"/>
      <c r="P438" s="290"/>
      <c r="Q438" s="290"/>
      <c r="R438" s="439"/>
      <c r="S438" s="294">
        <f>__xlfn.XLOOKUP(H438,[2]Izvršenje_proračuna_po_pozicija!$B$2:$B$153,[2]Izvršenje_proračuna_po_pozicija!$E$2:$E$153,0)</f>
        <v>0</v>
      </c>
      <c r="T438" s="294"/>
      <c r="U438" s="294"/>
      <c r="V438" s="474"/>
      <c r="W438" s="474"/>
      <c r="X438" s="539"/>
      <c r="Y438" s="539"/>
      <c r="Z438" s="541" t="b">
        <f t="shared" si="312"/>
        <v>0</v>
      </c>
      <c r="AA438" s="514"/>
      <c r="AB438" s="515"/>
      <c r="AC438" s="515"/>
      <c r="AD438" s="524"/>
      <c r="AE438" s="524"/>
      <c r="AF438" s="524"/>
      <c r="AG438" s="524"/>
      <c r="AH438" s="514"/>
      <c r="AI438" s="539"/>
      <c r="AJ438" s="516"/>
      <c r="AK438" s="516"/>
      <c r="AL438" s="516"/>
      <c r="AM438" s="290"/>
      <c r="AO438" t="b">
        <f t="shared" si="294"/>
        <v>0</v>
      </c>
      <c r="AQ438" s="439"/>
      <c r="AS438" s="439"/>
      <c r="AT438" s="616"/>
      <c r="AU438" s="474"/>
      <c r="AV438" s="632"/>
      <c r="AW438" s="632"/>
      <c r="AX438" s="655" t="str">
        <f t="shared" si="295"/>
        <v/>
      </c>
      <c r="AY438" s="655" t="str">
        <f t="shared" si="296"/>
        <v/>
      </c>
      <c r="AZ438" s="655" t="str">
        <f t="shared" si="297"/>
        <v/>
      </c>
      <c r="BA438" s="655" t="str">
        <f t="shared" si="298"/>
        <v/>
      </c>
      <c r="BB438" s="655" t="str">
        <f t="shared" si="299"/>
        <v/>
      </c>
      <c r="BC438" s="655" t="str">
        <f t="shared" si="299"/>
        <v/>
      </c>
    </row>
    <row r="439" spans="1:55" ht="12" customHeight="1">
      <c r="A439" s="355"/>
      <c r="B439" s="355"/>
      <c r="C439" s="355"/>
      <c r="D439" s="355"/>
      <c r="E439" s="355"/>
      <c r="F439" s="355"/>
      <c r="G439" s="355"/>
      <c r="H439" s="379"/>
      <c r="I439" s="360"/>
      <c r="J439" s="356">
        <v>38</v>
      </c>
      <c r="K439" s="358" t="s">
        <v>144</v>
      </c>
      <c r="L439" s="315">
        <f t="shared" ref="L439:S439" si="321">L441+L444+L447</f>
        <v>87280</v>
      </c>
      <c r="M439" s="315">
        <f t="shared" si="321"/>
        <v>11584.046718428561</v>
      </c>
      <c r="N439" s="337">
        <f t="shared" si="321"/>
        <v>7673</v>
      </c>
      <c r="O439" s="337">
        <f t="shared" si="321"/>
        <v>1018.3821089654257</v>
      </c>
      <c r="P439" s="292">
        <f t="shared" si="321"/>
        <v>19740</v>
      </c>
      <c r="Q439" s="292">
        <f t="shared" si="321"/>
        <v>20740</v>
      </c>
      <c r="R439" s="441">
        <f t="shared" si="321"/>
        <v>200</v>
      </c>
      <c r="S439" s="292">
        <f t="shared" si="321"/>
        <v>1500</v>
      </c>
      <c r="T439" s="292"/>
      <c r="U439" s="292"/>
      <c r="V439" s="469">
        <f>V441+V444+V447</f>
        <v>23160</v>
      </c>
      <c r="W439" s="469">
        <f>W441+W444+W447</f>
        <v>9390</v>
      </c>
      <c r="X439" s="522">
        <f>X441+X444+X447</f>
        <v>8748</v>
      </c>
      <c r="Y439" s="522">
        <f>Y441+Y444+Y447</f>
        <v>0</v>
      </c>
      <c r="Z439" s="541" t="b">
        <f t="shared" si="312"/>
        <v>1</v>
      </c>
      <c r="AA439" s="522"/>
      <c r="AB439" s="523">
        <f>AB441+AB444+AB447</f>
        <v>21450</v>
      </c>
      <c r="AC439" s="523">
        <f>AC441+AC444+AC447</f>
        <v>21450</v>
      </c>
      <c r="AD439" s="524">
        <f>O439/M439*100</f>
        <v>8.7912465627864353</v>
      </c>
      <c r="AE439" s="524"/>
      <c r="AF439" s="524"/>
      <c r="AG439" s="524"/>
      <c r="AH439" s="522"/>
      <c r="AI439" s="522">
        <v>8748</v>
      </c>
      <c r="AJ439" s="516">
        <f>W439/R439*100</f>
        <v>4695</v>
      </c>
      <c r="AK439" s="516">
        <f>AT439/W439*100</f>
        <v>134.82428115015975</v>
      </c>
      <c r="AL439" s="516">
        <f>X439/AT439*100</f>
        <v>69.09952606635072</v>
      </c>
      <c r="AM439" s="292"/>
      <c r="AO439" t="b">
        <f t="shared" si="294"/>
        <v>1</v>
      </c>
      <c r="AP439" s="440">
        <f t="shared" ref="AP439:AU439" si="322">AP441+AP444+AP447</f>
        <v>1500</v>
      </c>
      <c r="AQ439" s="441">
        <v>1500</v>
      </c>
      <c r="AR439" s="440">
        <f>AR441+AR444+AR447</f>
        <v>1500</v>
      </c>
      <c r="AS439" s="441">
        <f t="shared" si="322"/>
        <v>0</v>
      </c>
      <c r="AT439" s="612">
        <f t="shared" si="322"/>
        <v>12660</v>
      </c>
      <c r="AU439" s="469">
        <f t="shared" si="322"/>
        <v>17681</v>
      </c>
      <c r="AV439" s="636">
        <v>8748</v>
      </c>
      <c r="AW439" s="636">
        <v>8748</v>
      </c>
      <c r="AX439" s="655">
        <f t="shared" si="295"/>
        <v>6330</v>
      </c>
      <c r="AY439" s="655">
        <f t="shared" si="296"/>
        <v>844</v>
      </c>
      <c r="AZ439" s="655">
        <f t="shared" si="297"/>
        <v>139.66034755134282</v>
      </c>
      <c r="BA439" s="655">
        <f t="shared" si="298"/>
        <v>1178.7333333333333</v>
      </c>
      <c r="BB439" s="655">
        <f t="shared" si="299"/>
        <v>49.476839545274586</v>
      </c>
      <c r="BC439" s="655">
        <f t="shared" si="299"/>
        <v>100</v>
      </c>
    </row>
    <row r="440" spans="1:55" ht="12" customHeight="1">
      <c r="A440" s="20"/>
      <c r="B440" s="20"/>
      <c r="C440" s="20"/>
      <c r="D440" s="20"/>
      <c r="E440" s="20"/>
      <c r="F440" s="20"/>
      <c r="G440" s="20"/>
      <c r="H440" s="375"/>
      <c r="I440" s="22"/>
      <c r="J440" s="21"/>
      <c r="K440" s="19"/>
      <c r="L440" s="313"/>
      <c r="M440" s="313"/>
      <c r="N440" s="335"/>
      <c r="O440" s="335"/>
      <c r="P440" s="290"/>
      <c r="Q440" s="290"/>
      <c r="R440" s="439"/>
      <c r="S440" s="294">
        <f>__xlfn.XLOOKUP(H440,[2]Izvršenje_proračuna_po_pozicija!$B$2:$B$153,[2]Izvršenje_proračuna_po_pozicija!$E$2:$E$153,0)</f>
        <v>0</v>
      </c>
      <c r="T440" s="294"/>
      <c r="U440" s="294"/>
      <c r="V440" s="474"/>
      <c r="W440" s="474"/>
      <c r="X440" s="539"/>
      <c r="Y440" s="539"/>
      <c r="Z440" s="541" t="b">
        <f t="shared" si="312"/>
        <v>0</v>
      </c>
      <c r="AA440" s="514"/>
      <c r="AB440" s="515"/>
      <c r="AC440" s="515"/>
      <c r="AD440" s="524"/>
      <c r="AE440" s="524"/>
      <c r="AF440" s="524"/>
      <c r="AG440" s="524"/>
      <c r="AH440" s="514"/>
      <c r="AI440" s="539"/>
      <c r="AJ440" s="516"/>
      <c r="AK440" s="516"/>
      <c r="AL440" s="516"/>
      <c r="AM440" s="290"/>
      <c r="AO440" t="b">
        <f t="shared" si="294"/>
        <v>0</v>
      </c>
      <c r="AQ440" s="439"/>
      <c r="AS440" s="439">
        <f>__xlfn.XLOOKUP(K440,[1]Izvršenje_proračuna_po_pozicija!$C$25:$C$149,[1]Izvršenje_proračuna_po_pozicija!$E$25:$E$149,0)</f>
        <v>0</v>
      </c>
      <c r="AT440" s="616"/>
      <c r="AU440" s="474"/>
      <c r="AV440" s="632"/>
      <c r="AW440" s="632"/>
      <c r="AX440" s="655" t="str">
        <f t="shared" si="295"/>
        <v/>
      </c>
      <c r="AY440" s="655" t="str">
        <f t="shared" si="296"/>
        <v/>
      </c>
      <c r="AZ440" s="655" t="str">
        <f t="shared" si="297"/>
        <v/>
      </c>
      <c r="BA440" s="655" t="str">
        <f t="shared" si="298"/>
        <v/>
      </c>
      <c r="BB440" s="655" t="str">
        <f t="shared" si="299"/>
        <v/>
      </c>
      <c r="BC440" s="655" t="str">
        <f t="shared" si="299"/>
        <v/>
      </c>
    </row>
    <row r="441" spans="1:55" ht="12" customHeight="1">
      <c r="A441" s="56"/>
      <c r="B441" s="137"/>
      <c r="C441" s="137"/>
      <c r="D441" s="137"/>
      <c r="E441" s="137"/>
      <c r="F441" s="137"/>
      <c r="G441" s="137"/>
      <c r="H441" s="387"/>
      <c r="I441" s="138"/>
      <c r="J441" s="116">
        <v>381</v>
      </c>
      <c r="K441" s="60" t="s">
        <v>236</v>
      </c>
      <c r="L441" s="315">
        <f t="shared" ref="L441:AC441" si="323">L442</f>
        <v>0</v>
      </c>
      <c r="M441" s="315">
        <f t="shared" si="323"/>
        <v>0</v>
      </c>
      <c r="N441" s="337">
        <f t="shared" si="323"/>
        <v>0</v>
      </c>
      <c r="O441" s="337">
        <f t="shared" si="323"/>
        <v>0</v>
      </c>
      <c r="P441" s="292">
        <f t="shared" si="323"/>
        <v>1700</v>
      </c>
      <c r="Q441" s="292">
        <f t="shared" si="323"/>
        <v>1700</v>
      </c>
      <c r="R441" s="441">
        <f t="shared" si="323"/>
        <v>200</v>
      </c>
      <c r="S441" s="292">
        <f t="shared" si="323"/>
        <v>0</v>
      </c>
      <c r="T441" s="292"/>
      <c r="U441" s="292"/>
      <c r="V441" s="469">
        <f t="shared" si="323"/>
        <v>2000</v>
      </c>
      <c r="W441" s="469">
        <f t="shared" si="323"/>
        <v>0</v>
      </c>
      <c r="X441" s="522">
        <f t="shared" si="323"/>
        <v>2000</v>
      </c>
      <c r="Y441" s="522">
        <f t="shared" si="323"/>
        <v>0</v>
      </c>
      <c r="Z441" s="541" t="b">
        <f t="shared" si="312"/>
        <v>1</v>
      </c>
      <c r="AA441" s="522"/>
      <c r="AB441" s="523">
        <f t="shared" si="323"/>
        <v>3000</v>
      </c>
      <c r="AC441" s="523">
        <f t="shared" si="323"/>
        <v>3000</v>
      </c>
      <c r="AD441" s="524"/>
      <c r="AE441" s="524"/>
      <c r="AF441" s="524"/>
      <c r="AG441" s="524"/>
      <c r="AH441" s="522"/>
      <c r="AI441" s="522">
        <v>2000</v>
      </c>
      <c r="AJ441" s="516">
        <f>W441/R441*100</f>
        <v>0</v>
      </c>
      <c r="AK441" s="516"/>
      <c r="AL441" s="516">
        <f>X441/AT441*100</f>
        <v>100</v>
      </c>
      <c r="AM441" s="292"/>
      <c r="AO441" t="b">
        <f t="shared" si="294"/>
        <v>1</v>
      </c>
      <c r="AP441" s="440">
        <f>AP442</f>
        <v>0</v>
      </c>
      <c r="AQ441" s="441">
        <v>0</v>
      </c>
      <c r="AR441" s="440">
        <f>AR442</f>
        <v>0</v>
      </c>
      <c r="AS441" s="441">
        <f>__xlfn.XLOOKUP(K441,[1]Izvršenje_proračuna_po_pozicija!$C$25:$C$149,[1]Izvršenje_proračuna_po_pozicija!$E$25:$E$149,0)</f>
        <v>0</v>
      </c>
      <c r="AT441" s="612">
        <f>AT442</f>
        <v>2000</v>
      </c>
      <c r="AU441" s="469">
        <f>AU442</f>
        <v>2000</v>
      </c>
      <c r="AV441" s="636">
        <v>2000</v>
      </c>
      <c r="AW441" s="636">
        <v>2000</v>
      </c>
      <c r="AX441" s="655">
        <f t="shared" si="295"/>
        <v>1000</v>
      </c>
      <c r="AY441" s="655" t="str">
        <f t="shared" si="296"/>
        <v/>
      </c>
      <c r="AZ441" s="655">
        <f t="shared" si="297"/>
        <v>100</v>
      </c>
      <c r="BA441" s="655" t="str">
        <f t="shared" si="298"/>
        <v/>
      </c>
      <c r="BB441" s="655">
        <f t="shared" si="299"/>
        <v>100</v>
      </c>
      <c r="BC441" s="655">
        <f t="shared" si="299"/>
        <v>100</v>
      </c>
    </row>
    <row r="442" spans="1:55" ht="12" customHeight="1">
      <c r="A442" s="36"/>
      <c r="B442" s="36"/>
      <c r="C442" s="36"/>
      <c r="D442" s="36"/>
      <c r="E442" s="36"/>
      <c r="F442" s="36"/>
      <c r="G442" s="36"/>
      <c r="H442" s="204" t="s">
        <v>703</v>
      </c>
      <c r="I442" s="118">
        <v>133</v>
      </c>
      <c r="J442" s="71">
        <v>3811</v>
      </c>
      <c r="K442" s="40" t="s">
        <v>679</v>
      </c>
      <c r="L442" s="309">
        <v>0</v>
      </c>
      <c r="M442" s="309">
        <v>0</v>
      </c>
      <c r="N442" s="339">
        <v>0</v>
      </c>
      <c r="O442" s="339">
        <v>0</v>
      </c>
      <c r="P442" s="294">
        <v>1700</v>
      </c>
      <c r="Q442" s="294">
        <v>1700</v>
      </c>
      <c r="R442" s="443">
        <v>200</v>
      </c>
      <c r="S442" s="294">
        <f>__xlfn.XLOOKUP(H442,[2]Izvršenje_proračuna_po_pozicija!$B$2:$B$153,[2]Izvršenje_proračuna_po_pozicija!$E$2:$E$153,0)</f>
        <v>0</v>
      </c>
      <c r="T442" s="294"/>
      <c r="U442" s="294"/>
      <c r="V442" s="478">
        <v>2000</v>
      </c>
      <c r="W442" s="478">
        <v>0</v>
      </c>
      <c r="X442" s="544">
        <v>2000</v>
      </c>
      <c r="Y442" s="544"/>
      <c r="Z442" s="541" t="b">
        <f t="shared" si="312"/>
        <v>0</v>
      </c>
      <c r="AA442" s="527"/>
      <c r="AB442" s="528">
        <v>3000</v>
      </c>
      <c r="AC442" s="528">
        <v>3000</v>
      </c>
      <c r="AD442" s="524"/>
      <c r="AE442" s="524"/>
      <c r="AF442" s="524"/>
      <c r="AG442" s="524"/>
      <c r="AH442" s="527"/>
      <c r="AI442" s="544">
        <v>2000</v>
      </c>
      <c r="AJ442" s="516">
        <f>W442/R442*100</f>
        <v>0</v>
      </c>
      <c r="AK442" s="516"/>
      <c r="AL442" s="516">
        <f>X442/AT442*100</f>
        <v>100</v>
      </c>
      <c r="AM442" s="294"/>
      <c r="AO442" t="b">
        <f t="shared" si="294"/>
        <v>0</v>
      </c>
      <c r="AQ442" s="443"/>
      <c r="AS442" s="443">
        <f>__xlfn.XLOOKUP(K442,[1]Izvršenje_proračuna_po_pozicija!$C$25:$C$149,[1]Izvršenje_proračuna_po_pozicija!$E$25:$E$149,0)</f>
        <v>0</v>
      </c>
      <c r="AT442" s="617">
        <v>2000</v>
      </c>
      <c r="AU442" s="478">
        <v>2000</v>
      </c>
      <c r="AV442" s="638">
        <v>2000</v>
      </c>
      <c r="AW442" s="638">
        <v>2000</v>
      </c>
      <c r="AX442" s="655">
        <f t="shared" si="295"/>
        <v>1000</v>
      </c>
      <c r="AY442" s="655" t="str">
        <f t="shared" si="296"/>
        <v/>
      </c>
      <c r="AZ442" s="655">
        <f t="shared" si="297"/>
        <v>100</v>
      </c>
      <c r="BA442" s="655" t="str">
        <f t="shared" si="298"/>
        <v/>
      </c>
      <c r="BB442" s="655">
        <f t="shared" si="299"/>
        <v>100</v>
      </c>
      <c r="BC442" s="655">
        <f t="shared" si="299"/>
        <v>100</v>
      </c>
    </row>
    <row r="443" spans="1:55" ht="12" customHeight="1">
      <c r="A443" s="20"/>
      <c r="B443" s="20"/>
      <c r="C443" s="20"/>
      <c r="D443" s="20"/>
      <c r="E443" s="20"/>
      <c r="F443" s="20"/>
      <c r="G443" s="20"/>
      <c r="H443" s="375"/>
      <c r="I443" s="22"/>
      <c r="J443" s="21"/>
      <c r="K443" s="19"/>
      <c r="L443" s="313"/>
      <c r="M443" s="313"/>
      <c r="N443" s="335"/>
      <c r="O443" s="335"/>
      <c r="P443" s="290"/>
      <c r="Q443" s="290"/>
      <c r="R443" s="439"/>
      <c r="S443" s="294">
        <f>__xlfn.XLOOKUP(H443,[2]Izvršenje_proračuna_po_pozicija!$B$2:$B$153,[2]Izvršenje_proračuna_po_pozicija!$E$2:$E$153,0)</f>
        <v>0</v>
      </c>
      <c r="T443" s="294"/>
      <c r="U443" s="294"/>
      <c r="V443" s="474"/>
      <c r="W443" s="474"/>
      <c r="X443" s="539"/>
      <c r="Y443" s="539"/>
      <c r="Z443" s="541" t="b">
        <f t="shared" si="312"/>
        <v>0</v>
      </c>
      <c r="AA443" s="514"/>
      <c r="AB443" s="515"/>
      <c r="AC443" s="515"/>
      <c r="AD443" s="524"/>
      <c r="AE443" s="524"/>
      <c r="AF443" s="524"/>
      <c r="AG443" s="524"/>
      <c r="AH443" s="514"/>
      <c r="AI443" s="539"/>
      <c r="AJ443" s="516"/>
      <c r="AK443" s="516"/>
      <c r="AL443" s="516"/>
      <c r="AM443" s="290"/>
      <c r="AO443" t="b">
        <f t="shared" si="294"/>
        <v>0</v>
      </c>
      <c r="AQ443" s="439"/>
      <c r="AS443" s="439">
        <f>__xlfn.XLOOKUP(K443,[1]Izvršenje_proračuna_po_pozicija!$C$25:$C$149,[1]Izvršenje_proračuna_po_pozicija!$E$25:$E$149,0)</f>
        <v>0</v>
      </c>
      <c r="AT443" s="616"/>
      <c r="AU443" s="474"/>
      <c r="AV443" s="632"/>
      <c r="AW443" s="632"/>
      <c r="AX443" s="655" t="str">
        <f t="shared" si="295"/>
        <v/>
      </c>
      <c r="AY443" s="655" t="str">
        <f t="shared" si="296"/>
        <v/>
      </c>
      <c r="AZ443" s="655" t="str">
        <f t="shared" si="297"/>
        <v/>
      </c>
      <c r="BA443" s="655" t="str">
        <f t="shared" si="298"/>
        <v/>
      </c>
      <c r="BB443" s="655" t="str">
        <f t="shared" si="299"/>
        <v/>
      </c>
      <c r="BC443" s="655" t="str">
        <f t="shared" si="299"/>
        <v/>
      </c>
    </row>
    <row r="444" spans="1:55" ht="12" customHeight="1">
      <c r="A444" s="56"/>
      <c r="B444" s="137"/>
      <c r="C444" s="137"/>
      <c r="D444" s="137"/>
      <c r="E444" s="137"/>
      <c r="F444" s="137"/>
      <c r="G444" s="137"/>
      <c r="H444" s="387"/>
      <c r="I444" s="138"/>
      <c r="J444" s="116">
        <v>383</v>
      </c>
      <c r="K444" s="60" t="s">
        <v>208</v>
      </c>
      <c r="L444" s="315">
        <f t="shared" ref="L444:AC444" si="324">L445</f>
        <v>87280</v>
      </c>
      <c r="M444" s="315">
        <f t="shared" si="324"/>
        <v>11584.046718428561</v>
      </c>
      <c r="N444" s="337">
        <f t="shared" si="324"/>
        <v>7673</v>
      </c>
      <c r="O444" s="337">
        <f t="shared" si="324"/>
        <v>1018.3821089654257</v>
      </c>
      <c r="P444" s="292">
        <f t="shared" si="324"/>
        <v>4000</v>
      </c>
      <c r="Q444" s="292">
        <f t="shared" si="324"/>
        <v>12600</v>
      </c>
      <c r="R444" s="441">
        <f t="shared" si="324"/>
        <v>0</v>
      </c>
      <c r="S444" s="292">
        <f t="shared" si="324"/>
        <v>1500</v>
      </c>
      <c r="T444" s="292"/>
      <c r="U444" s="292"/>
      <c r="V444" s="469">
        <f t="shared" si="324"/>
        <v>10000</v>
      </c>
      <c r="W444" s="469">
        <f t="shared" si="324"/>
        <v>5000</v>
      </c>
      <c r="X444" s="522">
        <f t="shared" si="324"/>
        <v>5000</v>
      </c>
      <c r="Y444" s="522">
        <f t="shared" si="324"/>
        <v>0</v>
      </c>
      <c r="Z444" s="541" t="b">
        <f t="shared" si="312"/>
        <v>1</v>
      </c>
      <c r="AA444" s="522"/>
      <c r="AB444" s="523">
        <f t="shared" si="324"/>
        <v>4000</v>
      </c>
      <c r="AC444" s="523">
        <f t="shared" si="324"/>
        <v>4000</v>
      </c>
      <c r="AD444" s="524">
        <f>O444/M444*100</f>
        <v>8.7912465627864353</v>
      </c>
      <c r="AE444" s="524"/>
      <c r="AF444" s="524"/>
      <c r="AG444" s="524"/>
      <c r="AH444" s="522"/>
      <c r="AI444" s="522">
        <v>5000</v>
      </c>
      <c r="AJ444" s="516"/>
      <c r="AK444" s="516">
        <f>AT444/W444*100</f>
        <v>100</v>
      </c>
      <c r="AL444" s="516">
        <f>X444/AT444*100</f>
        <v>100</v>
      </c>
      <c r="AM444" s="292"/>
      <c r="AO444" t="b">
        <f t="shared" si="294"/>
        <v>1</v>
      </c>
      <c r="AP444" s="440">
        <f t="shared" ref="AP444:AU444" si="325">AP445</f>
        <v>1500</v>
      </c>
      <c r="AQ444" s="441">
        <v>1500</v>
      </c>
      <c r="AR444" s="440">
        <f>AR445</f>
        <v>1500</v>
      </c>
      <c r="AS444" s="441">
        <f t="shared" si="325"/>
        <v>0</v>
      </c>
      <c r="AT444" s="612">
        <f>AT445</f>
        <v>5000</v>
      </c>
      <c r="AU444" s="469">
        <f t="shared" si="325"/>
        <v>5000</v>
      </c>
      <c r="AV444" s="636">
        <v>5000</v>
      </c>
      <c r="AW444" s="636">
        <v>5000</v>
      </c>
      <c r="AX444" s="655" t="str">
        <f t="shared" si="295"/>
        <v/>
      </c>
      <c r="AY444" s="655">
        <f t="shared" si="296"/>
        <v>333.33333333333337</v>
      </c>
      <c r="AZ444" s="655">
        <f t="shared" si="297"/>
        <v>100</v>
      </c>
      <c r="BA444" s="655">
        <f t="shared" si="298"/>
        <v>333.33333333333337</v>
      </c>
      <c r="BB444" s="655">
        <f t="shared" si="299"/>
        <v>100</v>
      </c>
      <c r="BC444" s="655">
        <f t="shared" si="299"/>
        <v>100</v>
      </c>
    </row>
    <row r="445" spans="1:55" ht="12" customHeight="1">
      <c r="A445" s="36"/>
      <c r="B445" s="36"/>
      <c r="C445" s="36"/>
      <c r="D445" s="36"/>
      <c r="E445" s="36"/>
      <c r="F445" s="36"/>
      <c r="G445" s="36"/>
      <c r="H445" s="204" t="s">
        <v>209</v>
      </c>
      <c r="I445" s="118">
        <v>133</v>
      </c>
      <c r="J445" s="71">
        <v>3831</v>
      </c>
      <c r="K445" s="40" t="s">
        <v>210</v>
      </c>
      <c r="L445" s="309">
        <v>87280</v>
      </c>
      <c r="M445" s="309">
        <f>87280/7.5345</f>
        <v>11584.046718428561</v>
      </c>
      <c r="N445" s="339">
        <v>7673</v>
      </c>
      <c r="O445" s="339">
        <f>N445/7.5345</f>
        <v>1018.3821089654257</v>
      </c>
      <c r="P445" s="294">
        <v>4000</v>
      </c>
      <c r="Q445" s="269">
        <v>12600</v>
      </c>
      <c r="R445" s="443">
        <v>0</v>
      </c>
      <c r="S445" s="294">
        <f>__xlfn.XLOOKUP(H445,[2]Izvršenje_proračuna_po_pozicija!$B$2:$B$153,[2]Izvršenje_proračuna_po_pozicija!$E$2:$E$153,0)</f>
        <v>1500</v>
      </c>
      <c r="T445" s="294"/>
      <c r="U445" s="294"/>
      <c r="V445" s="478">
        <v>10000</v>
      </c>
      <c r="W445" s="478">
        <v>5000</v>
      </c>
      <c r="X445" s="544">
        <v>5000</v>
      </c>
      <c r="Y445" s="544"/>
      <c r="Z445" s="541" t="b">
        <f t="shared" si="312"/>
        <v>0</v>
      </c>
      <c r="AA445" s="527"/>
      <c r="AB445" s="528">
        <v>4000</v>
      </c>
      <c r="AC445" s="528">
        <v>4000</v>
      </c>
      <c r="AD445" s="524">
        <f>O445/M445*100</f>
        <v>8.7912465627864353</v>
      </c>
      <c r="AE445" s="524"/>
      <c r="AF445" s="524"/>
      <c r="AG445" s="524"/>
      <c r="AH445" s="527"/>
      <c r="AI445" s="544">
        <v>5000</v>
      </c>
      <c r="AJ445" s="516"/>
      <c r="AK445" s="516">
        <f>AT445/W445*100</f>
        <v>100</v>
      </c>
      <c r="AL445" s="516">
        <f>X445/AT445*100</f>
        <v>100</v>
      </c>
      <c r="AM445" s="294"/>
      <c r="AO445" t="b">
        <f t="shared" si="294"/>
        <v>0</v>
      </c>
      <c r="AP445" s="493">
        <v>1500</v>
      </c>
      <c r="AQ445" s="443">
        <v>1500</v>
      </c>
      <c r="AR445" s="493">
        <v>1500</v>
      </c>
      <c r="AS445" s="443">
        <f>__xlfn.XLOOKUP(K445,[1]Izvršenje_proračuna_po_pozicija!$C$25:$C$149,[1]Izvršenje_proračuna_po_pozicija!$E$25:$E$149,0)</f>
        <v>0</v>
      </c>
      <c r="AT445" s="617">
        <v>5000</v>
      </c>
      <c r="AU445" s="478">
        <v>5000</v>
      </c>
      <c r="AV445" s="638">
        <v>5000</v>
      </c>
      <c r="AW445" s="638">
        <v>5000</v>
      </c>
      <c r="AX445" s="655" t="str">
        <f t="shared" si="295"/>
        <v/>
      </c>
      <c r="AY445" s="655">
        <f t="shared" si="296"/>
        <v>333.33333333333337</v>
      </c>
      <c r="AZ445" s="655">
        <f t="shared" si="297"/>
        <v>100</v>
      </c>
      <c r="BA445" s="655">
        <f t="shared" si="298"/>
        <v>333.33333333333337</v>
      </c>
      <c r="BB445" s="655">
        <f t="shared" si="299"/>
        <v>100</v>
      </c>
      <c r="BC445" s="655">
        <f t="shared" si="299"/>
        <v>100</v>
      </c>
    </row>
    <row r="446" spans="1:55" ht="12" customHeight="1">
      <c r="A446" s="20"/>
      <c r="B446" s="20"/>
      <c r="C446" s="20"/>
      <c r="D446" s="20"/>
      <c r="E446" s="20"/>
      <c r="F446" s="20"/>
      <c r="G446" s="20"/>
      <c r="H446" s="375"/>
      <c r="I446" s="22"/>
      <c r="J446" s="21"/>
      <c r="K446" s="19"/>
      <c r="L446" s="313"/>
      <c r="M446" s="313"/>
      <c r="N446" s="335"/>
      <c r="O446" s="335"/>
      <c r="P446" s="290"/>
      <c r="Q446" s="290"/>
      <c r="R446" s="439"/>
      <c r="S446" s="294">
        <f>__xlfn.XLOOKUP(H446,[2]Izvršenje_proračuna_po_pozicija!$B$2:$B$153,[2]Izvršenje_proračuna_po_pozicija!$E$2:$E$153,0)</f>
        <v>0</v>
      </c>
      <c r="T446" s="294"/>
      <c r="U446" s="294"/>
      <c r="V446" s="474"/>
      <c r="W446" s="474"/>
      <c r="X446" s="539"/>
      <c r="Y446" s="539"/>
      <c r="Z446" s="541" t="b">
        <f t="shared" si="312"/>
        <v>0</v>
      </c>
      <c r="AA446" s="514"/>
      <c r="AB446" s="515"/>
      <c r="AC446" s="515"/>
      <c r="AD446" s="524"/>
      <c r="AE446" s="524"/>
      <c r="AF446" s="524"/>
      <c r="AG446" s="524"/>
      <c r="AH446" s="514"/>
      <c r="AI446" s="539"/>
      <c r="AJ446" s="516"/>
      <c r="AK446" s="516"/>
      <c r="AL446" s="516"/>
      <c r="AM446" s="290"/>
      <c r="AO446" t="b">
        <f t="shared" si="294"/>
        <v>0</v>
      </c>
      <c r="AQ446" s="439"/>
      <c r="AS446" s="439">
        <f>__xlfn.XLOOKUP(K446,[1]Izvršenje_proračuna_po_pozicija!$C$25:$C$149,[1]Izvršenje_proračuna_po_pozicija!$E$25:$E$149,0)</f>
        <v>0</v>
      </c>
      <c r="AT446" s="616"/>
      <c r="AU446" s="474"/>
      <c r="AV446" s="632"/>
      <c r="AW446" s="632"/>
      <c r="AX446" s="655" t="str">
        <f t="shared" si="295"/>
        <v/>
      </c>
      <c r="AY446" s="655" t="str">
        <f t="shared" si="296"/>
        <v/>
      </c>
      <c r="AZ446" s="655" t="str">
        <f t="shared" si="297"/>
        <v/>
      </c>
      <c r="BA446" s="655" t="str">
        <f t="shared" si="298"/>
        <v/>
      </c>
      <c r="BB446" s="655" t="str">
        <f t="shared" si="299"/>
        <v/>
      </c>
      <c r="BC446" s="655" t="str">
        <f t="shared" si="299"/>
        <v/>
      </c>
    </row>
    <row r="447" spans="1:55" ht="12" customHeight="1">
      <c r="A447" s="56"/>
      <c r="B447" s="56"/>
      <c r="C447" s="56"/>
      <c r="D447" s="56"/>
      <c r="E447" s="56"/>
      <c r="F447" s="56"/>
      <c r="G447" s="56"/>
      <c r="H447" s="377"/>
      <c r="I447" s="119"/>
      <c r="J447" s="116">
        <v>385</v>
      </c>
      <c r="K447" s="60" t="s">
        <v>211</v>
      </c>
      <c r="L447" s="315">
        <f t="shared" ref="L447:AC447" si="326">L448</f>
        <v>0</v>
      </c>
      <c r="M447" s="315">
        <f t="shared" si="326"/>
        <v>0</v>
      </c>
      <c r="N447" s="337">
        <f t="shared" si="326"/>
        <v>0</v>
      </c>
      <c r="O447" s="337">
        <f t="shared" si="326"/>
        <v>0</v>
      </c>
      <c r="P447" s="292">
        <f t="shared" si="326"/>
        <v>14040</v>
      </c>
      <c r="Q447" s="292">
        <f t="shared" si="326"/>
        <v>6440</v>
      </c>
      <c r="R447" s="441">
        <f t="shared" si="326"/>
        <v>0</v>
      </c>
      <c r="S447" s="292">
        <f t="shared" si="326"/>
        <v>0</v>
      </c>
      <c r="T447" s="292"/>
      <c r="U447" s="292"/>
      <c r="V447" s="469">
        <f t="shared" si="326"/>
        <v>11160</v>
      </c>
      <c r="W447" s="469">
        <f t="shared" si="326"/>
        <v>4390</v>
      </c>
      <c r="X447" s="522">
        <f t="shared" si="326"/>
        <v>1748</v>
      </c>
      <c r="Y447" s="522">
        <f t="shared" si="326"/>
        <v>0</v>
      </c>
      <c r="Z447" s="541" t="b">
        <f t="shared" si="312"/>
        <v>1</v>
      </c>
      <c r="AA447" s="522"/>
      <c r="AB447" s="523">
        <f t="shared" si="326"/>
        <v>14450</v>
      </c>
      <c r="AC447" s="523">
        <f t="shared" si="326"/>
        <v>14450</v>
      </c>
      <c r="AD447" s="524"/>
      <c r="AE447" s="524"/>
      <c r="AF447" s="524"/>
      <c r="AG447" s="524"/>
      <c r="AH447" s="522"/>
      <c r="AI447" s="522">
        <v>1748</v>
      </c>
      <c r="AJ447" s="516"/>
      <c r="AK447" s="516">
        <f>AT447/W447*100</f>
        <v>128.92938496583145</v>
      </c>
      <c r="AL447" s="516">
        <f>X447/AT447*100</f>
        <v>30.883392226148409</v>
      </c>
      <c r="AM447" s="292"/>
      <c r="AO447" t="b">
        <f t="shared" si="294"/>
        <v>1</v>
      </c>
      <c r="AP447" s="440">
        <f>AP448</f>
        <v>0</v>
      </c>
      <c r="AQ447" s="441">
        <v>0</v>
      </c>
      <c r="AR447" s="440">
        <f>AR448</f>
        <v>0</v>
      </c>
      <c r="AS447" s="441">
        <f>__xlfn.XLOOKUP(K447,[1]Izvršenje_proračuna_po_pozicija!$C$25:$C$149,[1]Izvršenje_proračuna_po_pozicija!$E$25:$E$149,0)</f>
        <v>0</v>
      </c>
      <c r="AT447" s="612">
        <f>AT448</f>
        <v>5660</v>
      </c>
      <c r="AU447" s="469">
        <f>AU448</f>
        <v>10681</v>
      </c>
      <c r="AV447" s="636">
        <v>1748</v>
      </c>
      <c r="AW447" s="636">
        <v>1748</v>
      </c>
      <c r="AX447" s="655" t="str">
        <f t="shared" si="295"/>
        <v/>
      </c>
      <c r="AY447" s="655" t="str">
        <f t="shared" si="296"/>
        <v/>
      </c>
      <c r="AZ447" s="655">
        <f t="shared" si="297"/>
        <v>188.71024734982331</v>
      </c>
      <c r="BA447" s="655" t="str">
        <f t="shared" si="298"/>
        <v/>
      </c>
      <c r="BB447" s="655">
        <f t="shared" si="299"/>
        <v>16.36550884748619</v>
      </c>
      <c r="BC447" s="655">
        <f t="shared" si="299"/>
        <v>100</v>
      </c>
    </row>
    <row r="448" spans="1:55" ht="12" customHeight="1">
      <c r="A448" s="36"/>
      <c r="B448" s="36"/>
      <c r="C448" s="36"/>
      <c r="D448" s="36"/>
      <c r="E448" s="36"/>
      <c r="F448" s="36"/>
      <c r="G448" s="36"/>
      <c r="H448" s="204">
        <v>168</v>
      </c>
      <c r="I448" s="118">
        <v>133</v>
      </c>
      <c r="J448" s="71">
        <v>3851</v>
      </c>
      <c r="K448" s="40" t="s">
        <v>550</v>
      </c>
      <c r="L448" s="309">
        <v>0</v>
      </c>
      <c r="M448" s="309">
        <v>0</v>
      </c>
      <c r="N448" s="339">
        <v>0</v>
      </c>
      <c r="O448" s="339">
        <f>N448/7.5345</f>
        <v>0</v>
      </c>
      <c r="P448" s="294">
        <v>14040</v>
      </c>
      <c r="Q448" s="294">
        <v>6440</v>
      </c>
      <c r="R448" s="443">
        <v>0</v>
      </c>
      <c r="S448" s="294">
        <f>__xlfn.XLOOKUP(H448,[2]Izvršenje_proračuna_po_pozicija!$B$2:$B$153,[2]Izvršenje_proračuna_po_pozicija!$E$2:$E$153,0)</f>
        <v>0</v>
      </c>
      <c r="T448" s="294"/>
      <c r="U448" s="294"/>
      <c r="V448" s="478">
        <v>11160</v>
      </c>
      <c r="W448" s="478">
        <v>4390</v>
      </c>
      <c r="X448" s="544">
        <v>1748</v>
      </c>
      <c r="Y448" s="544"/>
      <c r="Z448" s="541" t="b">
        <f t="shared" si="312"/>
        <v>0</v>
      </c>
      <c r="AA448" s="527"/>
      <c r="AB448" s="528">
        <v>14450</v>
      </c>
      <c r="AC448" s="528">
        <v>14450</v>
      </c>
      <c r="AD448" s="524"/>
      <c r="AE448" s="524"/>
      <c r="AF448" s="524"/>
      <c r="AG448" s="524"/>
      <c r="AH448" s="527"/>
      <c r="AI448" s="544">
        <v>1748</v>
      </c>
      <c r="AJ448" s="516"/>
      <c r="AK448" s="516">
        <f>AT448/W448*100</f>
        <v>128.92938496583145</v>
      </c>
      <c r="AL448" s="516">
        <f>X448/AT448*100</f>
        <v>30.883392226148409</v>
      </c>
      <c r="AM448" s="294"/>
      <c r="AO448" t="b">
        <f t="shared" si="294"/>
        <v>0</v>
      </c>
      <c r="AQ448" s="443"/>
      <c r="AS448" s="443">
        <f>__xlfn.XLOOKUP(K448,[1]Izvršenje_proračuna_po_pozicija!$C$25:$C$149,[1]Izvršenje_proračuna_po_pozicija!$E$25:$E$149,0)</f>
        <v>0</v>
      </c>
      <c r="AT448" s="617">
        <v>5660</v>
      </c>
      <c r="AU448" s="478">
        <v>10681</v>
      </c>
      <c r="AV448" s="638">
        <v>1748</v>
      </c>
      <c r="AW448" s="638">
        <v>1748</v>
      </c>
      <c r="AX448" s="655" t="str">
        <f t="shared" si="295"/>
        <v/>
      </c>
      <c r="AY448" s="655" t="str">
        <f t="shared" si="296"/>
        <v/>
      </c>
      <c r="AZ448" s="655">
        <f t="shared" si="297"/>
        <v>188.71024734982331</v>
      </c>
      <c r="BA448" s="655" t="str">
        <f t="shared" si="298"/>
        <v/>
      </c>
      <c r="BB448" s="655">
        <f t="shared" si="299"/>
        <v>16.36550884748619</v>
      </c>
      <c r="BC448" s="655">
        <f t="shared" si="299"/>
        <v>100</v>
      </c>
    </row>
    <row r="449" spans="1:55" ht="12" customHeight="1">
      <c r="A449" s="20"/>
      <c r="B449" s="20"/>
      <c r="C449" s="20"/>
      <c r="D449" s="20"/>
      <c r="E449" s="20"/>
      <c r="F449" s="20"/>
      <c r="G449" s="20"/>
      <c r="H449" s="375"/>
      <c r="I449" s="22"/>
      <c r="J449" s="21"/>
      <c r="K449" s="94"/>
      <c r="L449" s="313"/>
      <c r="M449" s="313"/>
      <c r="N449" s="335"/>
      <c r="O449" s="335"/>
      <c r="P449" s="290"/>
      <c r="Q449" s="290"/>
      <c r="R449" s="439"/>
      <c r="S449" s="294">
        <f>__xlfn.XLOOKUP(H449,[2]Izvršenje_proračuna_po_pozicija!$B$2:$B$153,[2]Izvršenje_proračuna_po_pozicija!$E$2:$E$153,0)</f>
        <v>0</v>
      </c>
      <c r="T449" s="294"/>
      <c r="U449" s="294"/>
      <c r="V449" s="474"/>
      <c r="W449" s="474"/>
      <c r="X449" s="539"/>
      <c r="Y449" s="539"/>
      <c r="Z449" s="541" t="b">
        <f t="shared" si="312"/>
        <v>0</v>
      </c>
      <c r="AA449" s="514"/>
      <c r="AB449" s="515"/>
      <c r="AC449" s="515"/>
      <c r="AD449" s="524"/>
      <c r="AE449" s="524"/>
      <c r="AF449" s="524"/>
      <c r="AG449" s="524"/>
      <c r="AH449" s="514"/>
      <c r="AI449" s="539"/>
      <c r="AJ449" s="516"/>
      <c r="AK449" s="516"/>
      <c r="AL449" s="516"/>
      <c r="AM449" s="290"/>
      <c r="AO449" t="b">
        <f t="shared" si="294"/>
        <v>0</v>
      </c>
      <c r="AQ449" s="439"/>
      <c r="AS449" s="439">
        <f>__xlfn.XLOOKUP(K449,[1]Izvršenje_proračuna_po_pozicija!$C$25:$C$149,[1]Izvršenje_proračuna_po_pozicija!$E$25:$E$149,0)</f>
        <v>0</v>
      </c>
      <c r="AT449" s="616"/>
      <c r="AU449" s="474"/>
      <c r="AV449" s="632"/>
      <c r="AW449" s="632"/>
      <c r="AX449" s="655" t="str">
        <f t="shared" si="295"/>
        <v/>
      </c>
      <c r="AY449" s="655" t="str">
        <f t="shared" si="296"/>
        <v/>
      </c>
      <c r="AZ449" s="655" t="str">
        <f t="shared" si="297"/>
        <v/>
      </c>
      <c r="BA449" s="655" t="str">
        <f t="shared" si="298"/>
        <v/>
      </c>
      <c r="BB449" s="655" t="str">
        <f t="shared" si="299"/>
        <v/>
      </c>
      <c r="BC449" s="655" t="str">
        <f t="shared" si="299"/>
        <v/>
      </c>
    </row>
    <row r="450" spans="1:55" ht="12" customHeight="1">
      <c r="A450" s="250" t="s">
        <v>476</v>
      </c>
      <c r="B450" s="251"/>
      <c r="C450" s="251"/>
      <c r="D450" s="251"/>
      <c r="E450" s="251"/>
      <c r="F450" s="251"/>
      <c r="G450" s="251"/>
      <c r="H450" s="388"/>
      <c r="I450" s="139" t="s">
        <v>212</v>
      </c>
      <c r="J450" s="140"/>
      <c r="K450" s="141"/>
      <c r="L450" s="320">
        <f t="shared" ref="L450:S450" si="327">L452</f>
        <v>98912</v>
      </c>
      <c r="M450" s="320">
        <f t="shared" si="327"/>
        <v>13127.878425907493</v>
      </c>
      <c r="N450" s="344">
        <f t="shared" si="327"/>
        <v>43195</v>
      </c>
      <c r="O450" s="344">
        <f t="shared" si="327"/>
        <v>5732.9617094697714</v>
      </c>
      <c r="P450" s="299">
        <f t="shared" si="327"/>
        <v>25000</v>
      </c>
      <c r="Q450" s="299">
        <f t="shared" si="327"/>
        <v>17000</v>
      </c>
      <c r="R450" s="447">
        <f t="shared" si="327"/>
        <v>15763</v>
      </c>
      <c r="S450" s="299">
        <f t="shared" si="327"/>
        <v>41233</v>
      </c>
      <c r="T450" s="299"/>
      <c r="U450" s="299"/>
      <c r="V450" s="477">
        <f>V452</f>
        <v>19000</v>
      </c>
      <c r="W450" s="477">
        <f>W452</f>
        <v>51000</v>
      </c>
      <c r="X450" s="542">
        <f>X452</f>
        <v>31000</v>
      </c>
      <c r="Y450" s="542">
        <f>Y452</f>
        <v>0</v>
      </c>
      <c r="Z450" s="541" t="b">
        <f t="shared" si="312"/>
        <v>1</v>
      </c>
      <c r="AA450" s="542"/>
      <c r="AB450" s="543">
        <f>AB452</f>
        <v>14000</v>
      </c>
      <c r="AC450" s="543">
        <f>AC452</f>
        <v>14000</v>
      </c>
      <c r="AD450" s="524">
        <f>O450/M450*100</f>
        <v>43.670131025558064</v>
      </c>
      <c r="AE450" s="524">
        <f>P450/O450*100</f>
        <v>436.07477717328402</v>
      </c>
      <c r="AF450" s="524">
        <f>Q450/P450*100</f>
        <v>68</v>
      </c>
      <c r="AG450" s="524">
        <f>AB450/Q450*100</f>
        <v>82.35294117647058</v>
      </c>
      <c r="AH450" s="542"/>
      <c r="AI450" s="542">
        <v>31000</v>
      </c>
      <c r="AJ450" s="516">
        <f>W450/R450*100</f>
        <v>323.54247287952802</v>
      </c>
      <c r="AK450" s="516">
        <f>AT450/W450*100</f>
        <v>54.901960784313729</v>
      </c>
      <c r="AL450" s="516">
        <f>X450/AT450*100</f>
        <v>110.71428571428572</v>
      </c>
      <c r="AM450" s="299"/>
      <c r="AO450" t="b">
        <f t="shared" si="294"/>
        <v>1</v>
      </c>
      <c r="AP450" s="503">
        <f t="shared" ref="AP450:AU450" si="328">AP452</f>
        <v>42459.759999999995</v>
      </c>
      <c r="AQ450" s="447">
        <v>42459.76</v>
      </c>
      <c r="AR450" s="503">
        <f>AR452</f>
        <v>42459.759999999995</v>
      </c>
      <c r="AS450" s="447">
        <f t="shared" si="328"/>
        <v>17771.879999999997</v>
      </c>
      <c r="AT450" s="611">
        <f t="shared" si="328"/>
        <v>28000</v>
      </c>
      <c r="AU450" s="477">
        <f t="shared" si="328"/>
        <v>119000</v>
      </c>
      <c r="AV450" s="643">
        <v>31000</v>
      </c>
      <c r="AW450" s="643">
        <v>31000</v>
      </c>
      <c r="AX450" s="655">
        <f t="shared" si="295"/>
        <v>177.63116158091734</v>
      </c>
      <c r="AY450" s="655">
        <f t="shared" si="296"/>
        <v>65.944791020957254</v>
      </c>
      <c r="AZ450" s="655">
        <f t="shared" si="297"/>
        <v>425</v>
      </c>
      <c r="BA450" s="655">
        <f t="shared" si="298"/>
        <v>280.26536183906836</v>
      </c>
      <c r="BB450" s="655">
        <f t="shared" si="299"/>
        <v>26.05042016806723</v>
      </c>
      <c r="BC450" s="655">
        <f t="shared" si="299"/>
        <v>100</v>
      </c>
    </row>
    <row r="451" spans="1:55" ht="12" customHeight="1">
      <c r="A451" s="25"/>
      <c r="B451" s="25"/>
      <c r="C451" s="25"/>
      <c r="D451" s="25"/>
      <c r="E451" s="25"/>
      <c r="F451" s="25"/>
      <c r="G451" s="25"/>
      <c r="H451" s="389"/>
      <c r="I451" s="30"/>
      <c r="J451" s="29"/>
      <c r="K451" s="29"/>
      <c r="L451" s="313"/>
      <c r="M451" s="313"/>
      <c r="N451" s="335"/>
      <c r="O451" s="335"/>
      <c r="P451" s="290"/>
      <c r="Q451" s="290"/>
      <c r="R451" s="439"/>
      <c r="S451" s="294">
        <f>__xlfn.XLOOKUP(H451,[2]Izvršenje_proračuna_po_pozicija!$B$2:$B$153,[2]Izvršenje_proračuna_po_pozicija!$E$2:$E$153,0)</f>
        <v>0</v>
      </c>
      <c r="T451" s="294"/>
      <c r="U451" s="294"/>
      <c r="V451" s="474"/>
      <c r="W451" s="474"/>
      <c r="X451" s="539"/>
      <c r="Y451" s="539"/>
      <c r="Z451" s="541" t="b">
        <f t="shared" si="312"/>
        <v>0</v>
      </c>
      <c r="AA451" s="514"/>
      <c r="AB451" s="515"/>
      <c r="AC451" s="515"/>
      <c r="AD451" s="524"/>
      <c r="AE451" s="524"/>
      <c r="AF451" s="524"/>
      <c r="AG451" s="524"/>
      <c r="AH451" s="514"/>
      <c r="AI451" s="539"/>
      <c r="AJ451" s="516"/>
      <c r="AK451" s="516"/>
      <c r="AL451" s="516"/>
      <c r="AM451" s="290"/>
      <c r="AO451" t="b">
        <f t="shared" si="294"/>
        <v>0</v>
      </c>
      <c r="AQ451" s="439"/>
      <c r="AS451" s="439"/>
      <c r="AT451" s="616"/>
      <c r="AU451" s="474"/>
      <c r="AV451" s="632"/>
      <c r="AW451" s="632"/>
      <c r="AX451" s="655" t="str">
        <f t="shared" si="295"/>
        <v/>
      </c>
      <c r="AY451" s="655" t="str">
        <f t="shared" si="296"/>
        <v/>
      </c>
      <c r="AZ451" s="655" t="str">
        <f t="shared" si="297"/>
        <v/>
      </c>
      <c r="BA451" s="655" t="str">
        <f t="shared" si="298"/>
        <v/>
      </c>
      <c r="BB451" s="655" t="str">
        <f t="shared" si="299"/>
        <v/>
      </c>
      <c r="BC451" s="655" t="str">
        <f t="shared" si="299"/>
        <v/>
      </c>
    </row>
    <row r="452" spans="1:55" ht="12" customHeight="1">
      <c r="A452" s="52"/>
      <c r="B452" s="52"/>
      <c r="C452" s="52"/>
      <c r="D452" s="52"/>
      <c r="E452" s="52"/>
      <c r="F452" s="52"/>
      <c r="G452" s="52"/>
      <c r="H452" s="384"/>
      <c r="I452" s="120"/>
      <c r="J452" s="94">
        <v>4</v>
      </c>
      <c r="K452" s="21" t="s">
        <v>213</v>
      </c>
      <c r="L452" s="315">
        <f t="shared" ref="L452:AC452" si="329">L453</f>
        <v>98912</v>
      </c>
      <c r="M452" s="315">
        <f t="shared" si="329"/>
        <v>13127.878425907493</v>
      </c>
      <c r="N452" s="337">
        <f t="shared" si="329"/>
        <v>43195</v>
      </c>
      <c r="O452" s="337">
        <f t="shared" si="329"/>
        <v>5732.9617094697714</v>
      </c>
      <c r="P452" s="292">
        <f t="shared" si="329"/>
        <v>25000</v>
      </c>
      <c r="Q452" s="292">
        <f t="shared" si="329"/>
        <v>17000</v>
      </c>
      <c r="R452" s="441">
        <f t="shared" si="329"/>
        <v>15763</v>
      </c>
      <c r="S452" s="292">
        <f t="shared" si="329"/>
        <v>41233</v>
      </c>
      <c r="T452" s="292"/>
      <c r="U452" s="292"/>
      <c r="V452" s="469">
        <f t="shared" si="329"/>
        <v>19000</v>
      </c>
      <c r="W452" s="469">
        <f t="shared" si="329"/>
        <v>51000</v>
      </c>
      <c r="X452" s="522">
        <f t="shared" si="329"/>
        <v>31000</v>
      </c>
      <c r="Y452" s="522">
        <f t="shared" si="329"/>
        <v>0</v>
      </c>
      <c r="Z452" s="541" t="b">
        <f t="shared" si="312"/>
        <v>1</v>
      </c>
      <c r="AA452" s="522"/>
      <c r="AB452" s="523">
        <f t="shared" si="329"/>
        <v>14000</v>
      </c>
      <c r="AC452" s="523">
        <f t="shared" si="329"/>
        <v>14000</v>
      </c>
      <c r="AD452" s="524">
        <f>O452/M452*100</f>
        <v>43.670131025558064</v>
      </c>
      <c r="AE452" s="524">
        <f t="shared" ref="AE452:AF455" si="330">P452/O452*100</f>
        <v>436.07477717328402</v>
      </c>
      <c r="AF452" s="524">
        <f t="shared" si="330"/>
        <v>68</v>
      </c>
      <c r="AG452" s="524">
        <f>AB452/Q452*100</f>
        <v>82.35294117647058</v>
      </c>
      <c r="AH452" s="522"/>
      <c r="AI452" s="522">
        <v>31000</v>
      </c>
      <c r="AJ452" s="516">
        <f>W452/R452*100</f>
        <v>323.54247287952802</v>
      </c>
      <c r="AK452" s="516">
        <f>AT452/W452*100</f>
        <v>54.901960784313729</v>
      </c>
      <c r="AL452" s="516">
        <f>X452/AT452*100</f>
        <v>110.71428571428572</v>
      </c>
      <c r="AM452" s="292"/>
      <c r="AO452" t="b">
        <f t="shared" si="294"/>
        <v>1</v>
      </c>
      <c r="AP452" s="440">
        <f t="shared" ref="AP452:AU452" si="331">AP453</f>
        <v>42459.759999999995</v>
      </c>
      <c r="AQ452" s="441">
        <v>42459.76</v>
      </c>
      <c r="AR452" s="440">
        <f>AR453</f>
        <v>42459.759999999995</v>
      </c>
      <c r="AS452" s="441">
        <f t="shared" si="331"/>
        <v>17771.879999999997</v>
      </c>
      <c r="AT452" s="612">
        <f>AT453</f>
        <v>28000</v>
      </c>
      <c r="AU452" s="469">
        <f t="shared" si="331"/>
        <v>119000</v>
      </c>
      <c r="AV452" s="636">
        <v>31000</v>
      </c>
      <c r="AW452" s="636">
        <v>31000</v>
      </c>
      <c r="AX452" s="655">
        <f t="shared" si="295"/>
        <v>177.63116158091734</v>
      </c>
      <c r="AY452" s="655">
        <f t="shared" si="296"/>
        <v>65.944791020957254</v>
      </c>
      <c r="AZ452" s="655">
        <f t="shared" si="297"/>
        <v>425</v>
      </c>
      <c r="BA452" s="655">
        <f t="shared" si="298"/>
        <v>280.26536183906836</v>
      </c>
      <c r="BB452" s="655">
        <f t="shared" si="299"/>
        <v>26.05042016806723</v>
      </c>
      <c r="BC452" s="655">
        <f t="shared" si="299"/>
        <v>100</v>
      </c>
    </row>
    <row r="453" spans="1:55" ht="12" customHeight="1">
      <c r="A453" s="355"/>
      <c r="B453" s="355"/>
      <c r="C453" s="355"/>
      <c r="D453" s="355"/>
      <c r="E453" s="355"/>
      <c r="F453" s="355"/>
      <c r="G453" s="355"/>
      <c r="H453" s="379"/>
      <c r="I453" s="360"/>
      <c r="J453" s="356">
        <v>42</v>
      </c>
      <c r="K453" s="358" t="s">
        <v>214</v>
      </c>
      <c r="L453" s="315">
        <f t="shared" ref="L453:S453" si="332">L454+L461</f>
        <v>98912</v>
      </c>
      <c r="M453" s="315">
        <f t="shared" si="332"/>
        <v>13127.878425907493</v>
      </c>
      <c r="N453" s="337">
        <f t="shared" si="332"/>
        <v>43195</v>
      </c>
      <c r="O453" s="337">
        <f t="shared" si="332"/>
        <v>5732.9617094697714</v>
      </c>
      <c r="P453" s="292">
        <f t="shared" si="332"/>
        <v>25000</v>
      </c>
      <c r="Q453" s="292">
        <f t="shared" si="332"/>
        <v>17000</v>
      </c>
      <c r="R453" s="441">
        <f t="shared" si="332"/>
        <v>15763</v>
      </c>
      <c r="S453" s="292">
        <f t="shared" si="332"/>
        <v>41233</v>
      </c>
      <c r="T453" s="292"/>
      <c r="U453" s="292"/>
      <c r="V453" s="469">
        <f>V454+V461</f>
        <v>19000</v>
      </c>
      <c r="W453" s="469">
        <f>W454+W461</f>
        <v>51000</v>
      </c>
      <c r="X453" s="522">
        <f>X454+X461</f>
        <v>31000</v>
      </c>
      <c r="Y453" s="522">
        <f>Y454+Y461</f>
        <v>0</v>
      </c>
      <c r="Z453" s="541" t="b">
        <f t="shared" si="312"/>
        <v>1</v>
      </c>
      <c r="AA453" s="522"/>
      <c r="AB453" s="523">
        <f>AB454+AB461</f>
        <v>14000</v>
      </c>
      <c r="AC453" s="523">
        <f>AC454+AC461</f>
        <v>14000</v>
      </c>
      <c r="AD453" s="524">
        <f>O453/M453*100</f>
        <v>43.670131025558064</v>
      </c>
      <c r="AE453" s="524">
        <f t="shared" si="330"/>
        <v>436.07477717328402</v>
      </c>
      <c r="AF453" s="524">
        <f t="shared" si="330"/>
        <v>68</v>
      </c>
      <c r="AG453" s="524">
        <f>AB453/Q453*100</f>
        <v>82.35294117647058</v>
      </c>
      <c r="AH453" s="522"/>
      <c r="AI453" s="522">
        <v>31000</v>
      </c>
      <c r="AJ453" s="516">
        <f>W453/R453*100</f>
        <v>323.54247287952802</v>
      </c>
      <c r="AK453" s="516">
        <f>AT453/W453*100</f>
        <v>54.901960784313729</v>
      </c>
      <c r="AL453" s="516">
        <f>X453/AT453*100</f>
        <v>110.71428571428572</v>
      </c>
      <c r="AM453" s="292"/>
      <c r="AO453" t="b">
        <f t="shared" si="294"/>
        <v>1</v>
      </c>
      <c r="AP453" s="440">
        <f t="shared" ref="AP453:AU453" si="333">AP454+AP461</f>
        <v>42459.759999999995</v>
      </c>
      <c r="AQ453" s="441">
        <v>42459.76</v>
      </c>
      <c r="AR453" s="440">
        <f>AR454+AR461</f>
        <v>42459.759999999995</v>
      </c>
      <c r="AS453" s="441">
        <f t="shared" si="333"/>
        <v>17771.879999999997</v>
      </c>
      <c r="AT453" s="612">
        <f t="shared" si="333"/>
        <v>28000</v>
      </c>
      <c r="AU453" s="469">
        <f t="shared" si="333"/>
        <v>119000</v>
      </c>
      <c r="AV453" s="636">
        <v>31000</v>
      </c>
      <c r="AW453" s="636">
        <v>31000</v>
      </c>
      <c r="AX453" s="655">
        <f t="shared" si="295"/>
        <v>177.63116158091734</v>
      </c>
      <c r="AY453" s="655">
        <f t="shared" si="296"/>
        <v>65.944791020957254</v>
      </c>
      <c r="AZ453" s="655">
        <f t="shared" si="297"/>
        <v>425</v>
      </c>
      <c r="BA453" s="655">
        <f t="shared" si="298"/>
        <v>280.26536183906836</v>
      </c>
      <c r="BB453" s="655">
        <f t="shared" si="299"/>
        <v>26.05042016806723</v>
      </c>
      <c r="BC453" s="655">
        <f t="shared" si="299"/>
        <v>100</v>
      </c>
    </row>
    <row r="454" spans="1:55" ht="12" customHeight="1">
      <c r="A454" s="56"/>
      <c r="B454" s="56"/>
      <c r="C454" s="56"/>
      <c r="D454" s="56"/>
      <c r="E454" s="56"/>
      <c r="F454" s="56"/>
      <c r="G454" s="56"/>
      <c r="H454" s="377"/>
      <c r="I454" s="138"/>
      <c r="J454" s="116">
        <v>422</v>
      </c>
      <c r="K454" s="60" t="s">
        <v>215</v>
      </c>
      <c r="L454" s="315">
        <f t="shared" ref="L454:S454" si="334">L455+L456+L457+L459</f>
        <v>42662</v>
      </c>
      <c r="M454" s="315">
        <f t="shared" si="334"/>
        <v>5662.2204525847765</v>
      </c>
      <c r="N454" s="337">
        <f t="shared" si="334"/>
        <v>18870</v>
      </c>
      <c r="O454" s="337">
        <f t="shared" si="334"/>
        <v>2504.4793947839935</v>
      </c>
      <c r="P454" s="292">
        <f t="shared" si="334"/>
        <v>15000</v>
      </c>
      <c r="Q454" s="292">
        <f t="shared" si="334"/>
        <v>9000</v>
      </c>
      <c r="R454" s="441">
        <f t="shared" si="334"/>
        <v>8652</v>
      </c>
      <c r="S454" s="292">
        <f t="shared" si="334"/>
        <v>41233</v>
      </c>
      <c r="T454" s="292"/>
      <c r="U454" s="292"/>
      <c r="V454" s="469">
        <f>V455+V456+V457+V459</f>
        <v>11000</v>
      </c>
      <c r="W454" s="469">
        <f>W455+W456+W457+W459</f>
        <v>49000</v>
      </c>
      <c r="X454" s="522">
        <f>X455+X456+X457+X459</f>
        <v>27000</v>
      </c>
      <c r="Y454" s="522">
        <f>Y455+Y456+Y457+Y459</f>
        <v>0</v>
      </c>
      <c r="Z454" s="541" t="b">
        <f t="shared" si="312"/>
        <v>1</v>
      </c>
      <c r="AA454" s="522"/>
      <c r="AB454" s="523">
        <f>AB455+AB456+AB457+AB459</f>
        <v>9000</v>
      </c>
      <c r="AC454" s="523">
        <f>AC455+AC456+AC457+AC459</f>
        <v>9000</v>
      </c>
      <c r="AD454" s="524">
        <f>O454/M454*100</f>
        <v>44.231400309408841</v>
      </c>
      <c r="AE454" s="524">
        <f t="shared" si="330"/>
        <v>598.92686804451523</v>
      </c>
      <c r="AF454" s="524">
        <f t="shared" si="330"/>
        <v>60</v>
      </c>
      <c r="AG454" s="524">
        <f>AB454/Q454*100</f>
        <v>100</v>
      </c>
      <c r="AH454" s="522"/>
      <c r="AI454" s="522">
        <v>27000</v>
      </c>
      <c r="AJ454" s="516">
        <f>W454/R454*100</f>
        <v>566.34304207119737</v>
      </c>
      <c r="AK454" s="516">
        <f>AT454/W454*100</f>
        <v>48.979591836734691</v>
      </c>
      <c r="AL454" s="516">
        <f>X454/AT454*100</f>
        <v>112.5</v>
      </c>
      <c r="AM454" s="292"/>
      <c r="AO454" t="b">
        <f t="shared" si="294"/>
        <v>1</v>
      </c>
      <c r="AP454" s="440">
        <f t="shared" ref="AP454:AU454" si="335">AP455+AP456+AP457+AP459</f>
        <v>42459.759999999995</v>
      </c>
      <c r="AQ454" s="441">
        <v>42459.76</v>
      </c>
      <c r="AR454" s="440">
        <f>AR455+AR456+AR457+AR459</f>
        <v>42459.759999999995</v>
      </c>
      <c r="AS454" s="441">
        <f t="shared" si="335"/>
        <v>17771.879999999997</v>
      </c>
      <c r="AT454" s="612">
        <f t="shared" si="335"/>
        <v>24000</v>
      </c>
      <c r="AU454" s="469">
        <f t="shared" si="335"/>
        <v>109000</v>
      </c>
      <c r="AV454" s="636">
        <v>27000</v>
      </c>
      <c r="AW454" s="636">
        <v>27000</v>
      </c>
      <c r="AX454" s="655">
        <f t="shared" si="295"/>
        <v>277.39251040221916</v>
      </c>
      <c r="AY454" s="655">
        <f t="shared" si="296"/>
        <v>56.524106589391934</v>
      </c>
      <c r="AZ454" s="655">
        <f t="shared" si="297"/>
        <v>454.16666666666669</v>
      </c>
      <c r="BA454" s="655">
        <f t="shared" si="298"/>
        <v>256.71365076015502</v>
      </c>
      <c r="BB454" s="655">
        <f t="shared" si="299"/>
        <v>24.770642201834864</v>
      </c>
      <c r="BC454" s="655">
        <f t="shared" si="299"/>
        <v>100</v>
      </c>
    </row>
    <row r="455" spans="1:55" ht="12" customHeight="1">
      <c r="A455" s="36"/>
      <c r="B455" s="36"/>
      <c r="C455" s="36"/>
      <c r="D455" s="36"/>
      <c r="E455" s="36"/>
      <c r="F455" s="36"/>
      <c r="G455" s="36"/>
      <c r="H455" s="204">
        <v>28</v>
      </c>
      <c r="I455" s="118">
        <v>111</v>
      </c>
      <c r="J455" s="71">
        <v>4221</v>
      </c>
      <c r="K455" s="40" t="s">
        <v>159</v>
      </c>
      <c r="L455" s="309">
        <v>32762</v>
      </c>
      <c r="M455" s="309">
        <f>32762/7.5345</f>
        <v>4348.2646492799786</v>
      </c>
      <c r="N455" s="339">
        <v>13670</v>
      </c>
      <c r="O455" s="339">
        <f>N455/7.5345</f>
        <v>1814.320791027938</v>
      </c>
      <c r="P455" s="294">
        <v>7000</v>
      </c>
      <c r="Q455" s="294">
        <v>7000</v>
      </c>
      <c r="R455" s="443">
        <v>7689</v>
      </c>
      <c r="S455" s="294">
        <v>4297</v>
      </c>
      <c r="T455" s="294"/>
      <c r="U455" s="294"/>
      <c r="V455" s="478">
        <v>7000</v>
      </c>
      <c r="W455" s="478">
        <v>7000</v>
      </c>
      <c r="X455" s="544">
        <v>10000</v>
      </c>
      <c r="Y455" s="544"/>
      <c r="Z455" s="541" t="b">
        <f t="shared" si="312"/>
        <v>0</v>
      </c>
      <c r="AA455" s="527"/>
      <c r="AB455" s="528">
        <v>5000</v>
      </c>
      <c r="AC455" s="528">
        <v>5000</v>
      </c>
      <c r="AD455" s="524">
        <f>O455/M455*100</f>
        <v>41.725169403577311</v>
      </c>
      <c r="AE455" s="524">
        <f t="shared" si="330"/>
        <v>385.81931236283833</v>
      </c>
      <c r="AF455" s="524">
        <f t="shared" si="330"/>
        <v>100</v>
      </c>
      <c r="AG455" s="524">
        <f>AB455/Q455*100</f>
        <v>71.428571428571431</v>
      </c>
      <c r="AH455" s="527"/>
      <c r="AI455" s="544">
        <v>10000</v>
      </c>
      <c r="AJ455" s="516">
        <f>W455/R455*100</f>
        <v>91.039146833138247</v>
      </c>
      <c r="AK455" s="516">
        <f>AT455/W455*100</f>
        <v>114.28571428571428</v>
      </c>
      <c r="AL455" s="516">
        <f>X455/AT455*100</f>
        <v>125</v>
      </c>
      <c r="AM455" s="294"/>
      <c r="AO455" t="b">
        <f t="shared" si="294"/>
        <v>0</v>
      </c>
      <c r="AP455" s="493">
        <v>4297</v>
      </c>
      <c r="AQ455" s="443">
        <v>4297</v>
      </c>
      <c r="AR455" s="493">
        <v>4297</v>
      </c>
      <c r="AS455" s="443">
        <f>__xlfn.XLOOKUP(K455,[1]Izvršenje_proračuna_po_pozicija!$C$25:$C$149,[1]Izvršenje_proračuna_po_pozicija!$E$25:$E$149,0)</f>
        <v>3941</v>
      </c>
      <c r="AT455" s="617">
        <v>8000</v>
      </c>
      <c r="AU455" s="478">
        <v>8000</v>
      </c>
      <c r="AV455" s="638">
        <v>10000</v>
      </c>
      <c r="AW455" s="638">
        <v>10000</v>
      </c>
      <c r="AX455" s="655">
        <f t="shared" si="295"/>
        <v>104.04473923787228</v>
      </c>
      <c r="AY455" s="655">
        <f t="shared" si="296"/>
        <v>186.17640214102863</v>
      </c>
      <c r="AZ455" s="655">
        <f t="shared" si="297"/>
        <v>100</v>
      </c>
      <c r="BA455" s="655">
        <f t="shared" si="298"/>
        <v>186.17640214102863</v>
      </c>
      <c r="BB455" s="655">
        <f t="shared" si="299"/>
        <v>125</v>
      </c>
      <c r="BC455" s="655">
        <f t="shared" si="299"/>
        <v>100</v>
      </c>
    </row>
    <row r="456" spans="1:55" ht="12" customHeight="1">
      <c r="A456" s="36"/>
      <c r="B456" s="36"/>
      <c r="C456" s="36"/>
      <c r="D456" s="36"/>
      <c r="E456" s="36"/>
      <c r="F456" s="36"/>
      <c r="G456" s="36"/>
      <c r="H456" s="204">
        <v>29</v>
      </c>
      <c r="I456" s="118">
        <v>111</v>
      </c>
      <c r="J456" s="71">
        <v>4222</v>
      </c>
      <c r="K456" s="40" t="s">
        <v>160</v>
      </c>
      <c r="L456" s="309">
        <v>0</v>
      </c>
      <c r="M456" s="309">
        <v>0</v>
      </c>
      <c r="N456" s="339">
        <v>0</v>
      </c>
      <c r="O456" s="339">
        <f>N456/7.5345</f>
        <v>0</v>
      </c>
      <c r="P456" s="294">
        <v>0</v>
      </c>
      <c r="Q456" s="294">
        <v>0</v>
      </c>
      <c r="R456" s="443">
        <v>0</v>
      </c>
      <c r="S456" s="294">
        <f>__xlfn.XLOOKUP(H456,[2]Izvršenje_proračuna_po_pozicija!$B$2:$B$153,[2]Izvršenje_proračuna_po_pozicija!$E$2:$E$153,0)</f>
        <v>0</v>
      </c>
      <c r="T456" s="294"/>
      <c r="U456" s="294"/>
      <c r="V456" s="478">
        <v>0</v>
      </c>
      <c r="W456" s="478"/>
      <c r="X456" s="544"/>
      <c r="Y456" s="544"/>
      <c r="Z456" s="541" t="b">
        <f t="shared" si="312"/>
        <v>0</v>
      </c>
      <c r="AA456" s="527"/>
      <c r="AB456" s="528">
        <v>0</v>
      </c>
      <c r="AC456" s="528">
        <v>0</v>
      </c>
      <c r="AD456" s="524"/>
      <c r="AE456" s="524"/>
      <c r="AF456" s="524"/>
      <c r="AG456" s="524"/>
      <c r="AH456" s="527"/>
      <c r="AI456" s="544"/>
      <c r="AJ456" s="516"/>
      <c r="AK456" s="516"/>
      <c r="AL456" s="516"/>
      <c r="AM456" s="294"/>
      <c r="AO456" t="b">
        <f t="shared" si="294"/>
        <v>0</v>
      </c>
      <c r="AP456" s="493">
        <v>1226</v>
      </c>
      <c r="AQ456" s="443">
        <v>1226</v>
      </c>
      <c r="AR456" s="493">
        <v>1226</v>
      </c>
      <c r="AS456" s="443">
        <f>__xlfn.XLOOKUP(K456,[1]Izvršenje_proračuna_po_pozicija!$C$25:$C$149,[1]Izvršenje_proračuna_po_pozicija!$E$25:$E$149,0)</f>
        <v>499</v>
      </c>
      <c r="AT456" s="617"/>
      <c r="AU456" s="478">
        <v>1000</v>
      </c>
      <c r="AV456" s="638"/>
      <c r="AW456" s="638"/>
      <c r="AX456" s="655" t="str">
        <f t="shared" si="295"/>
        <v/>
      </c>
      <c r="AY456" s="655" t="str">
        <f t="shared" si="296"/>
        <v/>
      </c>
      <c r="AZ456" s="655" t="str">
        <f t="shared" si="297"/>
        <v/>
      </c>
      <c r="BA456" s="655">
        <f t="shared" si="298"/>
        <v>81.566068515497562</v>
      </c>
      <c r="BB456" s="655" t="str">
        <f t="shared" si="299"/>
        <v/>
      </c>
      <c r="BC456" s="655" t="str">
        <f t="shared" si="299"/>
        <v/>
      </c>
    </row>
    <row r="457" spans="1:55" ht="12" customHeight="1">
      <c r="A457" s="36"/>
      <c r="B457" s="36"/>
      <c r="C457" s="36"/>
      <c r="D457" s="36"/>
      <c r="E457" s="36"/>
      <c r="F457" s="36"/>
      <c r="G457" s="36"/>
      <c r="H457" s="204">
        <v>30</v>
      </c>
      <c r="I457" s="118">
        <v>111</v>
      </c>
      <c r="J457" s="71">
        <v>4223</v>
      </c>
      <c r="K457" s="40" t="s">
        <v>611</v>
      </c>
      <c r="L457" s="309">
        <v>9900</v>
      </c>
      <c r="M457" s="309">
        <f>9900/7.5345</f>
        <v>1313.9558033047979</v>
      </c>
      <c r="N457" s="339">
        <v>5200</v>
      </c>
      <c r="O457" s="339">
        <f>N457/7.5345</f>
        <v>690.15860375605541</v>
      </c>
      <c r="P457" s="294">
        <v>4000</v>
      </c>
      <c r="Q457" s="269">
        <v>0</v>
      </c>
      <c r="R457" s="443">
        <v>0</v>
      </c>
      <c r="S457" s="294">
        <v>17286</v>
      </c>
      <c r="T457" s="294"/>
      <c r="U457" s="294"/>
      <c r="V457" s="478">
        <v>0</v>
      </c>
      <c r="W457" s="478">
        <v>22000</v>
      </c>
      <c r="X457" s="544">
        <v>5000</v>
      </c>
      <c r="Y457" s="544"/>
      <c r="Z457" s="541" t="b">
        <f t="shared" si="312"/>
        <v>0</v>
      </c>
      <c r="AA457" s="527"/>
      <c r="AB457" s="528"/>
      <c r="AC457" s="528"/>
      <c r="AD457" s="524">
        <f>O457/M457*100</f>
        <v>52.525252525252519</v>
      </c>
      <c r="AE457" s="524"/>
      <c r="AF457" s="524"/>
      <c r="AG457" s="524"/>
      <c r="AH457" s="527"/>
      <c r="AI457" s="544">
        <v>5000</v>
      </c>
      <c r="AJ457" s="516"/>
      <c r="AK457" s="516">
        <f>AT457/W457*100</f>
        <v>27.27272727272727</v>
      </c>
      <c r="AL457" s="516">
        <f>X457/AT457*100</f>
        <v>83.333333333333343</v>
      </c>
      <c r="AM457" s="294"/>
      <c r="AO457" t="b">
        <f t="shared" si="294"/>
        <v>0</v>
      </c>
      <c r="AP457" s="493">
        <v>17286.759999999998</v>
      </c>
      <c r="AQ457" s="443">
        <v>17286.759999999998</v>
      </c>
      <c r="AR457" s="493">
        <v>17286.759999999998</v>
      </c>
      <c r="AS457" s="443">
        <f>__xlfn.XLOOKUP(K457,[1]Izvršenje_proračuna_po_pozicija!$C$25:$C$149,[1]Izvršenje_proračuna_po_pozicija!$E$25:$E$149,0)</f>
        <v>9550.6299999999992</v>
      </c>
      <c r="AT457" s="617">
        <v>6000</v>
      </c>
      <c r="AU457" s="478">
        <v>12000</v>
      </c>
      <c r="AV457" s="638">
        <v>5000</v>
      </c>
      <c r="AW457" s="638">
        <v>5000</v>
      </c>
      <c r="AX457" s="655" t="str">
        <f t="shared" si="295"/>
        <v/>
      </c>
      <c r="AY457" s="655">
        <f t="shared" si="296"/>
        <v>34.708644072110687</v>
      </c>
      <c r="AZ457" s="655">
        <f t="shared" si="297"/>
        <v>200</v>
      </c>
      <c r="BA457" s="655">
        <f t="shared" si="298"/>
        <v>69.417288144221374</v>
      </c>
      <c r="BB457" s="655">
        <f t="shared" si="299"/>
        <v>41.666666666666671</v>
      </c>
      <c r="BC457" s="655">
        <f t="shared" si="299"/>
        <v>100</v>
      </c>
    </row>
    <row r="458" spans="1:55" ht="12" customHeight="1">
      <c r="A458" s="36"/>
      <c r="B458" s="36"/>
      <c r="C458" s="36"/>
      <c r="D458" s="36"/>
      <c r="E458" s="36"/>
      <c r="F458" s="36"/>
      <c r="G458" s="36"/>
      <c r="H458" s="204" t="s">
        <v>614</v>
      </c>
      <c r="I458" s="118">
        <v>111</v>
      </c>
      <c r="J458" s="71">
        <v>4224</v>
      </c>
      <c r="K458" s="40" t="s">
        <v>615</v>
      </c>
      <c r="L458" s="309"/>
      <c r="M458" s="309"/>
      <c r="N458" s="339"/>
      <c r="O458" s="339">
        <f>N458/7.5345</f>
        <v>0</v>
      </c>
      <c r="P458" s="294"/>
      <c r="Q458" s="294"/>
      <c r="R458" s="443"/>
      <c r="S458" s="294">
        <f>__xlfn.XLOOKUP(H458,[2]Izvršenje_proračuna_po_pozicija!$B$2:$B$153,[2]Izvršenje_proračuna_po_pozicija!$E$2:$E$153,0)</f>
        <v>0</v>
      </c>
      <c r="T458" s="294"/>
      <c r="U458" s="294"/>
      <c r="V458" s="478"/>
      <c r="W458" s="478">
        <v>2500</v>
      </c>
      <c r="X458" s="544">
        <v>0</v>
      </c>
      <c r="Y458" s="544"/>
      <c r="Z458" s="541" t="b">
        <f t="shared" si="312"/>
        <v>0</v>
      </c>
      <c r="AA458" s="527"/>
      <c r="AB458" s="528"/>
      <c r="AC458" s="528"/>
      <c r="AD458" s="524"/>
      <c r="AE458" s="524"/>
      <c r="AF458" s="524"/>
      <c r="AG458" s="524"/>
      <c r="AH458" s="527"/>
      <c r="AI458" s="544">
        <v>0</v>
      </c>
      <c r="AJ458" s="516"/>
      <c r="AK458" s="516">
        <f>AT458/W458*100</f>
        <v>0</v>
      </c>
      <c r="AL458" s="516"/>
      <c r="AM458" s="294"/>
      <c r="AO458" t="b">
        <f t="shared" ref="AO458:AO502" si="336">__xlfn.ISFORMULA(AT458)</f>
        <v>0</v>
      </c>
      <c r="AP458" s="493">
        <v>2423.75</v>
      </c>
      <c r="AQ458" s="443">
        <v>2423.75</v>
      </c>
      <c r="AR458" s="493">
        <v>2423.75</v>
      </c>
      <c r="AS458" s="443">
        <f>__xlfn.XLOOKUP(K458,[1]Izvršenje_proračuna_po_pozicija!$C$25:$C$149,[1]Izvršenje_proračuna_po_pozicija!$E$25:$E$149,0)</f>
        <v>0</v>
      </c>
      <c r="AT458" s="617">
        <v>0</v>
      </c>
      <c r="AU458" s="478"/>
      <c r="AV458" s="638">
        <v>0</v>
      </c>
      <c r="AW458" s="638">
        <v>0</v>
      </c>
      <c r="AX458" s="655" t="str">
        <f t="shared" si="295"/>
        <v/>
      </c>
      <c r="AY458" s="655">
        <f t="shared" si="296"/>
        <v>0</v>
      </c>
      <c r="AZ458" s="655" t="str">
        <f t="shared" si="297"/>
        <v/>
      </c>
      <c r="BA458" s="655" t="str">
        <f t="shared" si="298"/>
        <v/>
      </c>
      <c r="BB458" s="655" t="str">
        <f t="shared" si="299"/>
        <v/>
      </c>
      <c r="BC458" s="655" t="str">
        <f t="shared" si="299"/>
        <v/>
      </c>
    </row>
    <row r="459" spans="1:55" ht="12" customHeight="1">
      <c r="A459" s="36"/>
      <c r="B459" s="36"/>
      <c r="C459" s="36"/>
      <c r="D459" s="36"/>
      <c r="E459" s="36"/>
      <c r="F459" s="36"/>
      <c r="G459" s="36"/>
      <c r="H459" s="204" t="s">
        <v>216</v>
      </c>
      <c r="I459" s="118">
        <v>111</v>
      </c>
      <c r="J459" s="71">
        <v>4227</v>
      </c>
      <c r="K459" s="40" t="s">
        <v>217</v>
      </c>
      <c r="L459" s="309">
        <v>0</v>
      </c>
      <c r="M459" s="309">
        <v>0</v>
      </c>
      <c r="N459" s="339">
        <v>0</v>
      </c>
      <c r="O459" s="339">
        <f>N459/7.5345</f>
        <v>0</v>
      </c>
      <c r="P459" s="294">
        <v>4000</v>
      </c>
      <c r="Q459" s="269">
        <v>2000</v>
      </c>
      <c r="R459" s="443">
        <v>963</v>
      </c>
      <c r="S459" s="294">
        <f>__xlfn.XLOOKUP(H459,[2]Izvršenje_proračuna_po_pozicija!$B$2:$B$153,[2]Izvršenje_proračuna_po_pozicija!$E$2:$E$153,0)</f>
        <v>19650</v>
      </c>
      <c r="T459" s="294"/>
      <c r="U459" s="294"/>
      <c r="V459" s="478">
        <v>4000</v>
      </c>
      <c r="W459" s="478">
        <v>20000</v>
      </c>
      <c r="X459" s="544">
        <v>12000</v>
      </c>
      <c r="Y459" s="544"/>
      <c r="Z459" s="541" t="b">
        <f t="shared" si="312"/>
        <v>0</v>
      </c>
      <c r="AA459" s="527"/>
      <c r="AB459" s="528">
        <v>4000</v>
      </c>
      <c r="AC459" s="528">
        <v>4000</v>
      </c>
      <c r="AD459" s="524"/>
      <c r="AE459" s="524" t="e">
        <f>P459/O459*100</f>
        <v>#DIV/0!</v>
      </c>
      <c r="AF459" s="524">
        <f>Q459/P459*100</f>
        <v>50</v>
      </c>
      <c r="AG459" s="524">
        <f>AB459/Q459*100</f>
        <v>200</v>
      </c>
      <c r="AH459" s="527"/>
      <c r="AI459" s="544">
        <v>12000</v>
      </c>
      <c r="AJ459" s="516">
        <f>W459/R459*100</f>
        <v>2076.8431983385253</v>
      </c>
      <c r="AK459" s="516">
        <f>AT459/W459*100</f>
        <v>50</v>
      </c>
      <c r="AL459" s="516">
        <f>X459/AT459*100</f>
        <v>120</v>
      </c>
      <c r="AM459" s="294"/>
      <c r="AO459" t="b">
        <f t="shared" si="336"/>
        <v>0</v>
      </c>
      <c r="AP459" s="493">
        <v>19650</v>
      </c>
      <c r="AQ459" s="443">
        <v>19650</v>
      </c>
      <c r="AR459" s="493">
        <v>19650</v>
      </c>
      <c r="AS459" s="443">
        <f>__xlfn.XLOOKUP(K459,[1]Izvršenje_proračuna_po_pozicija!$C$25:$C$149,[1]Izvršenje_proračuna_po_pozicija!$E$25:$E$149,0)</f>
        <v>3781.25</v>
      </c>
      <c r="AT459" s="617">
        <v>10000</v>
      </c>
      <c r="AU459" s="478">
        <v>88000</v>
      </c>
      <c r="AV459" s="638">
        <v>12000</v>
      </c>
      <c r="AW459" s="638">
        <v>12000</v>
      </c>
      <c r="AX459" s="655">
        <f t="shared" ref="AX459:AX522" si="337">IF(AND(ISNUMBER(AT459), ISNUMBER(R459), R459&lt;&gt;0), (AT459/R459)*100, "")</f>
        <v>1038.4215991692627</v>
      </c>
      <c r="AY459" s="655">
        <f t="shared" ref="AY459:AY522" si="338">IF(AND(ISNUMBER(AT459), ISNUMBER(AQ459), AQ459&lt;&gt;0), (AT459/AQ459)*100, "")</f>
        <v>50.890585241730278</v>
      </c>
      <c r="AZ459" s="655">
        <f t="shared" ref="AZ459:AZ522" si="339">IF(AND(ISNUMBER(AU459), ISNUMBER(AT459), AT459&lt;&gt;0), (AU459/AT459)*100, "")</f>
        <v>880.00000000000011</v>
      </c>
      <c r="BA459" s="655">
        <f t="shared" ref="BA459:BA522" si="340">IF(AND(ISNUMBER(AU459), ISNUMBER(AQ459), AQ459&lt;&gt;0), (AU459/AQ459)*100, "")</f>
        <v>447.83715012722649</v>
      </c>
      <c r="BB459" s="655">
        <f t="shared" ref="BB459:BC522" si="341">IF(AND(ISNUMBER(AV459), ISNUMBER(AU459), AU459&lt;&gt;0), (AV459/AU459)*100, "")</f>
        <v>13.636363636363635</v>
      </c>
      <c r="BC459" s="655">
        <f t="shared" si="341"/>
        <v>100</v>
      </c>
    </row>
    <row r="460" spans="1:55" ht="12" customHeight="1">
      <c r="A460" s="36"/>
      <c r="B460" s="36"/>
      <c r="C460" s="36"/>
      <c r="D460" s="36"/>
      <c r="E460" s="36"/>
      <c r="F460" s="36"/>
      <c r="G460" s="36"/>
      <c r="H460" s="204"/>
      <c r="I460" s="118"/>
      <c r="J460" s="71"/>
      <c r="K460" s="40"/>
      <c r="L460" s="309"/>
      <c r="M460" s="309"/>
      <c r="N460" s="339"/>
      <c r="O460" s="339"/>
      <c r="P460" s="294"/>
      <c r="Q460" s="294"/>
      <c r="R460" s="443"/>
      <c r="S460" s="294">
        <f>__xlfn.XLOOKUP(H460,[2]Izvršenje_proračuna_po_pozicija!$B$2:$B$153,[2]Izvršenje_proračuna_po_pozicija!$E$2:$E$153,0)</f>
        <v>0</v>
      </c>
      <c r="T460" s="294"/>
      <c r="U460" s="294"/>
      <c r="V460" s="478"/>
      <c r="W460" s="478"/>
      <c r="X460" s="544"/>
      <c r="Y460" s="544"/>
      <c r="Z460" s="541" t="b">
        <f t="shared" si="312"/>
        <v>0</v>
      </c>
      <c r="AA460" s="527"/>
      <c r="AB460" s="528"/>
      <c r="AC460" s="528"/>
      <c r="AD460" s="524"/>
      <c r="AE460" s="524"/>
      <c r="AF460" s="524"/>
      <c r="AG460" s="524"/>
      <c r="AH460" s="527"/>
      <c r="AI460" s="544"/>
      <c r="AJ460" s="516"/>
      <c r="AK460" s="516"/>
      <c r="AL460" s="516"/>
      <c r="AM460" s="294"/>
      <c r="AO460" t="b">
        <f t="shared" si="336"/>
        <v>0</v>
      </c>
      <c r="AQ460" s="443"/>
      <c r="AS460" s="443">
        <f>__xlfn.XLOOKUP(K460,[1]Izvršenje_proračuna_po_pozicija!$C$25:$C$149,[1]Izvršenje_proračuna_po_pozicija!$E$25:$E$149,0)</f>
        <v>0</v>
      </c>
      <c r="AT460" s="617"/>
      <c r="AU460" s="478"/>
      <c r="AV460" s="638"/>
      <c r="AW460" s="638"/>
      <c r="AX460" s="655" t="str">
        <f t="shared" si="337"/>
        <v/>
      </c>
      <c r="AY460" s="655" t="str">
        <f t="shared" si="338"/>
        <v/>
      </c>
      <c r="AZ460" s="655" t="str">
        <f t="shared" si="339"/>
        <v/>
      </c>
      <c r="BA460" s="655" t="str">
        <f t="shared" si="340"/>
        <v/>
      </c>
      <c r="BB460" s="655" t="str">
        <f t="shared" si="341"/>
        <v/>
      </c>
      <c r="BC460" s="655" t="str">
        <f t="shared" si="341"/>
        <v/>
      </c>
    </row>
    <row r="461" spans="1:55" ht="12" customHeight="1">
      <c r="A461" s="56"/>
      <c r="B461" s="56"/>
      <c r="C461" s="56"/>
      <c r="D461" s="56"/>
      <c r="E461" s="56"/>
      <c r="F461" s="56"/>
      <c r="G461" s="56"/>
      <c r="H461" s="377"/>
      <c r="I461" s="119"/>
      <c r="J461" s="116">
        <v>426</v>
      </c>
      <c r="K461" s="60" t="s">
        <v>218</v>
      </c>
      <c r="L461" s="315">
        <f t="shared" ref="L461:AC461" si="342">L462</f>
        <v>56250</v>
      </c>
      <c r="M461" s="315">
        <f t="shared" si="342"/>
        <v>7465.6579733227154</v>
      </c>
      <c r="N461" s="337">
        <f t="shared" si="342"/>
        <v>24325</v>
      </c>
      <c r="O461" s="337">
        <f t="shared" si="342"/>
        <v>3228.4823146857784</v>
      </c>
      <c r="P461" s="292">
        <f t="shared" si="342"/>
        <v>10000</v>
      </c>
      <c r="Q461" s="292">
        <f t="shared" si="342"/>
        <v>8000</v>
      </c>
      <c r="R461" s="441">
        <f t="shared" si="342"/>
        <v>7111</v>
      </c>
      <c r="S461" s="292">
        <f t="shared" si="342"/>
        <v>0</v>
      </c>
      <c r="T461" s="292"/>
      <c r="U461" s="292"/>
      <c r="V461" s="469">
        <f t="shared" si="342"/>
        <v>8000</v>
      </c>
      <c r="W461" s="469">
        <f t="shared" si="342"/>
        <v>2000</v>
      </c>
      <c r="X461" s="522">
        <f t="shared" si="342"/>
        <v>4000</v>
      </c>
      <c r="Y461" s="522">
        <f t="shared" si="342"/>
        <v>0</v>
      </c>
      <c r="Z461" s="541" t="b">
        <f t="shared" si="312"/>
        <v>1</v>
      </c>
      <c r="AA461" s="522"/>
      <c r="AB461" s="523">
        <f t="shared" si="342"/>
        <v>5000</v>
      </c>
      <c r="AC461" s="523">
        <f t="shared" si="342"/>
        <v>5000</v>
      </c>
      <c r="AD461" s="524">
        <f>O461/M461*100</f>
        <v>43.24444444444444</v>
      </c>
      <c r="AE461" s="524"/>
      <c r="AF461" s="524"/>
      <c r="AG461" s="524"/>
      <c r="AH461" s="522"/>
      <c r="AI461" s="522">
        <v>4000</v>
      </c>
      <c r="AJ461" s="516">
        <f>W461/R461*100</f>
        <v>28.125439459991565</v>
      </c>
      <c r="AK461" s="516">
        <f>AT461/W461*100</f>
        <v>200</v>
      </c>
      <c r="AL461" s="516">
        <f>X461/AT461*100</f>
        <v>100</v>
      </c>
      <c r="AM461" s="292"/>
      <c r="AO461" t="b">
        <f t="shared" si="336"/>
        <v>1</v>
      </c>
      <c r="AP461" s="440">
        <f t="shared" ref="AP461:AU461" si="343">AP462</f>
        <v>0</v>
      </c>
      <c r="AQ461" s="441">
        <v>0</v>
      </c>
      <c r="AR461" s="440">
        <f>AR462</f>
        <v>0</v>
      </c>
      <c r="AS461" s="441">
        <f t="shared" si="343"/>
        <v>0</v>
      </c>
      <c r="AT461" s="612">
        <f>AT462</f>
        <v>4000</v>
      </c>
      <c r="AU461" s="469">
        <f t="shared" si="343"/>
        <v>10000</v>
      </c>
      <c r="AV461" s="636">
        <v>4000</v>
      </c>
      <c r="AW461" s="636">
        <v>4000</v>
      </c>
      <c r="AX461" s="655">
        <f t="shared" si="337"/>
        <v>56.25087891998313</v>
      </c>
      <c r="AY461" s="655" t="str">
        <f t="shared" si="338"/>
        <v/>
      </c>
      <c r="AZ461" s="655">
        <f t="shared" si="339"/>
        <v>250</v>
      </c>
      <c r="BA461" s="655" t="str">
        <f t="shared" si="340"/>
        <v/>
      </c>
      <c r="BB461" s="655">
        <f t="shared" si="341"/>
        <v>40</v>
      </c>
      <c r="BC461" s="655">
        <f t="shared" si="341"/>
        <v>100</v>
      </c>
    </row>
    <row r="462" spans="1:55" ht="12" customHeight="1">
      <c r="A462" s="36"/>
      <c r="B462" s="36"/>
      <c r="C462" s="36"/>
      <c r="D462" s="36"/>
      <c r="E462" s="36"/>
      <c r="F462" s="36"/>
      <c r="G462" s="36"/>
      <c r="H462" s="204">
        <v>31</v>
      </c>
      <c r="I462" s="118">
        <v>111</v>
      </c>
      <c r="J462" s="71">
        <v>4262</v>
      </c>
      <c r="K462" s="40" t="s">
        <v>219</v>
      </c>
      <c r="L462" s="309">
        <v>56250</v>
      </c>
      <c r="M462" s="309">
        <f>56250/7.5345</f>
        <v>7465.6579733227154</v>
      </c>
      <c r="N462" s="339">
        <v>24325</v>
      </c>
      <c r="O462" s="339">
        <f>N462/7.5345</f>
        <v>3228.4823146857784</v>
      </c>
      <c r="P462" s="294">
        <v>10000</v>
      </c>
      <c r="Q462" s="269">
        <v>8000</v>
      </c>
      <c r="R462" s="443">
        <v>7111</v>
      </c>
      <c r="S462" s="294">
        <f>__xlfn.XLOOKUP(H462,[2]Izvršenje_proračuna_po_pozicija!$B$2:$B$153,[2]Izvršenje_proračuna_po_pozicija!$E$2:$E$153,0)</f>
        <v>0</v>
      </c>
      <c r="T462" s="294"/>
      <c r="U462" s="294"/>
      <c r="V462" s="478">
        <v>8000</v>
      </c>
      <c r="W462" s="478">
        <v>2000</v>
      </c>
      <c r="X462" s="544">
        <v>4000</v>
      </c>
      <c r="Y462" s="544"/>
      <c r="Z462" s="541" t="b">
        <f t="shared" si="312"/>
        <v>0</v>
      </c>
      <c r="AA462" s="527"/>
      <c r="AB462" s="528">
        <v>5000</v>
      </c>
      <c r="AC462" s="528">
        <v>5000</v>
      </c>
      <c r="AD462" s="524">
        <f>O462/M462*100</f>
        <v>43.24444444444444</v>
      </c>
      <c r="AE462" s="524"/>
      <c r="AF462" s="524"/>
      <c r="AG462" s="524"/>
      <c r="AH462" s="527"/>
      <c r="AI462" s="544">
        <v>4000</v>
      </c>
      <c r="AJ462" s="516">
        <f>W462/R462*100</f>
        <v>28.125439459991565</v>
      </c>
      <c r="AK462" s="516">
        <f>AT462/W462*100</f>
        <v>200</v>
      </c>
      <c r="AL462" s="516">
        <f>X462/AT462*100</f>
        <v>100</v>
      </c>
      <c r="AM462" s="294"/>
      <c r="AO462" t="b">
        <f t="shared" si="336"/>
        <v>0</v>
      </c>
      <c r="AQ462" s="443"/>
      <c r="AS462" s="443">
        <f>__xlfn.XLOOKUP(K462,[1]Izvršenje_proračuna_po_pozicija!$C$25:$C$149,[1]Izvršenje_proračuna_po_pozicija!$E$25:$E$149,0)</f>
        <v>0</v>
      </c>
      <c r="AT462" s="617">
        <v>4000</v>
      </c>
      <c r="AU462" s="478">
        <v>10000</v>
      </c>
      <c r="AV462" s="638">
        <v>4000</v>
      </c>
      <c r="AW462" s="638">
        <v>4000</v>
      </c>
      <c r="AX462" s="655">
        <f t="shared" si="337"/>
        <v>56.25087891998313</v>
      </c>
      <c r="AY462" s="655" t="str">
        <f t="shared" si="338"/>
        <v/>
      </c>
      <c r="AZ462" s="655">
        <f t="shared" si="339"/>
        <v>250</v>
      </c>
      <c r="BA462" s="655" t="str">
        <f t="shared" si="340"/>
        <v/>
      </c>
      <c r="BB462" s="655">
        <f t="shared" si="341"/>
        <v>40</v>
      </c>
      <c r="BC462" s="655">
        <f t="shared" si="341"/>
        <v>100</v>
      </c>
    </row>
    <row r="463" spans="1:55" ht="12" customHeight="1">
      <c r="A463" s="36"/>
      <c r="B463" s="36"/>
      <c r="C463" s="36"/>
      <c r="D463" s="36"/>
      <c r="E463" s="36"/>
      <c r="F463" s="36"/>
      <c r="G463" s="36"/>
      <c r="H463" s="204"/>
      <c r="I463" s="118"/>
      <c r="J463" s="71"/>
      <c r="K463" s="40"/>
      <c r="L463" s="309"/>
      <c r="M463" s="309"/>
      <c r="N463" s="339"/>
      <c r="O463" s="339"/>
      <c r="P463" s="294"/>
      <c r="Q463" s="294"/>
      <c r="R463" s="443"/>
      <c r="S463" s="294">
        <f>__xlfn.XLOOKUP(H463,[2]Izvršenje_proračuna_po_pozicija!$B$2:$B$153,[2]Izvršenje_proračuna_po_pozicija!$E$2:$E$153,0)</f>
        <v>0</v>
      </c>
      <c r="T463" s="294"/>
      <c r="U463" s="294"/>
      <c r="V463" s="478"/>
      <c r="W463" s="478"/>
      <c r="X463" s="544"/>
      <c r="Y463" s="544"/>
      <c r="Z463" s="541" t="b">
        <f t="shared" si="312"/>
        <v>0</v>
      </c>
      <c r="AA463" s="527"/>
      <c r="AB463" s="528"/>
      <c r="AC463" s="528"/>
      <c r="AD463" s="524"/>
      <c r="AE463" s="524"/>
      <c r="AF463" s="524"/>
      <c r="AG463" s="524"/>
      <c r="AH463" s="527"/>
      <c r="AI463" s="544"/>
      <c r="AJ463" s="516"/>
      <c r="AK463" s="516"/>
      <c r="AL463" s="516"/>
      <c r="AM463" s="294"/>
      <c r="AO463" t="b">
        <f t="shared" si="336"/>
        <v>0</v>
      </c>
      <c r="AQ463" s="443"/>
      <c r="AS463" s="443">
        <f>__xlfn.XLOOKUP(K463,[1]Izvršenje_proračuna_po_pozicija!$C$25:$C$149,[1]Izvršenje_proračuna_po_pozicija!$E$25:$E$149,0)</f>
        <v>0</v>
      </c>
      <c r="AT463" s="617"/>
      <c r="AU463" s="478"/>
      <c r="AV463" s="638"/>
      <c r="AW463" s="638"/>
      <c r="AX463" s="655" t="str">
        <f t="shared" si="337"/>
        <v/>
      </c>
      <c r="AY463" s="655" t="str">
        <f t="shared" si="338"/>
        <v/>
      </c>
      <c r="AZ463" s="655" t="str">
        <f t="shared" si="339"/>
        <v/>
      </c>
      <c r="BA463" s="655" t="str">
        <f t="shared" si="340"/>
        <v/>
      </c>
      <c r="BB463" s="655" t="str">
        <f t="shared" si="341"/>
        <v/>
      </c>
      <c r="BC463" s="655" t="str">
        <f t="shared" si="341"/>
        <v/>
      </c>
    </row>
    <row r="464" spans="1:55" ht="12" customHeight="1">
      <c r="A464" s="250" t="s">
        <v>481</v>
      </c>
      <c r="B464" s="251"/>
      <c r="C464" s="251"/>
      <c r="D464" s="251"/>
      <c r="E464" s="251"/>
      <c r="F464" s="251"/>
      <c r="G464" s="251"/>
      <c r="H464" s="388"/>
      <c r="I464" s="139" t="s">
        <v>721</v>
      </c>
      <c r="J464" s="140"/>
      <c r="K464" s="141"/>
      <c r="L464" s="320">
        <f t="shared" ref="L464:S464" si="344">L466</f>
        <v>0</v>
      </c>
      <c r="M464" s="320">
        <f t="shared" si="344"/>
        <v>0</v>
      </c>
      <c r="N464" s="344">
        <f t="shared" si="344"/>
        <v>0</v>
      </c>
      <c r="O464" s="344">
        <f t="shared" si="344"/>
        <v>0</v>
      </c>
      <c r="P464" s="299">
        <f t="shared" si="344"/>
        <v>0</v>
      </c>
      <c r="Q464" s="299">
        <f t="shared" si="344"/>
        <v>0</v>
      </c>
      <c r="R464" s="447">
        <f t="shared" si="344"/>
        <v>0</v>
      </c>
      <c r="S464" s="299">
        <f t="shared" si="344"/>
        <v>0</v>
      </c>
      <c r="T464" s="299"/>
      <c r="U464" s="299"/>
      <c r="V464" s="477">
        <f>V466</f>
        <v>0</v>
      </c>
      <c r="W464" s="477">
        <f>W466</f>
        <v>0</v>
      </c>
      <c r="X464" s="542">
        <f>X466</f>
        <v>0</v>
      </c>
      <c r="Y464" s="542">
        <f>Y466</f>
        <v>0</v>
      </c>
      <c r="Z464" s="541" t="b">
        <f t="shared" si="312"/>
        <v>1</v>
      </c>
      <c r="AA464" s="542"/>
      <c r="AB464" s="543">
        <f>AB466</f>
        <v>0</v>
      </c>
      <c r="AC464" s="543">
        <f>AC466</f>
        <v>0</v>
      </c>
      <c r="AD464" s="524"/>
      <c r="AE464" s="524"/>
      <c r="AF464" s="524"/>
      <c r="AG464" s="524"/>
      <c r="AH464" s="542"/>
      <c r="AI464" s="542">
        <v>0</v>
      </c>
      <c r="AJ464" s="516"/>
      <c r="AK464" s="516"/>
      <c r="AL464" s="516"/>
      <c r="AM464" s="299"/>
      <c r="AO464" t="b">
        <f t="shared" si="336"/>
        <v>1</v>
      </c>
      <c r="AP464" s="503">
        <f>AP466</f>
        <v>0</v>
      </c>
      <c r="AQ464" s="447">
        <v>0</v>
      </c>
      <c r="AR464" s="503">
        <f>AR466</f>
        <v>0</v>
      </c>
      <c r="AS464" s="447">
        <f>__xlfn.XLOOKUP(K464,[1]Izvršenje_proračuna_po_pozicija!$C$25:$C$149,[1]Izvršenje_proračuna_po_pozicija!$E$25:$E$149,0)</f>
        <v>0</v>
      </c>
      <c r="AT464" s="611">
        <f>AT466</f>
        <v>0</v>
      </c>
      <c r="AU464" s="477">
        <f>__xlfn.XLOOKUP(L464,[1]Izvršenje_proračuna_po_pozicija!$C$25:$C$149,[1]Izvršenje_proračuna_po_pozicija!$E$25:$E$149,0)</f>
        <v>0</v>
      </c>
      <c r="AV464" s="643">
        <v>0</v>
      </c>
      <c r="AW464" s="643">
        <v>0</v>
      </c>
      <c r="AX464" s="655" t="str">
        <f t="shared" si="337"/>
        <v/>
      </c>
      <c r="AY464" s="655" t="str">
        <f t="shared" si="338"/>
        <v/>
      </c>
      <c r="AZ464" s="655" t="str">
        <f t="shared" si="339"/>
        <v/>
      </c>
      <c r="BA464" s="655" t="str">
        <f t="shared" si="340"/>
        <v/>
      </c>
      <c r="BB464" s="655" t="str">
        <f t="shared" si="341"/>
        <v/>
      </c>
      <c r="BC464" s="655" t="str">
        <f t="shared" si="341"/>
        <v/>
      </c>
    </row>
    <row r="465" spans="1:55" ht="12" customHeight="1">
      <c r="A465" s="25"/>
      <c r="B465" s="25"/>
      <c r="C465" s="25"/>
      <c r="D465" s="25"/>
      <c r="E465" s="25"/>
      <c r="F465" s="25"/>
      <c r="G465" s="25"/>
      <c r="H465" s="389"/>
      <c r="I465" s="30"/>
      <c r="J465" s="29"/>
      <c r="K465" s="29"/>
      <c r="L465" s="313"/>
      <c r="M465" s="313"/>
      <c r="N465" s="335"/>
      <c r="O465" s="335"/>
      <c r="P465" s="290"/>
      <c r="Q465" s="290"/>
      <c r="R465" s="439"/>
      <c r="S465" s="294">
        <f>__xlfn.XLOOKUP(H465,[2]Izvršenje_proračuna_po_pozicija!$B$2:$B$153,[2]Izvršenje_proračuna_po_pozicija!$E$2:$E$153,0)</f>
        <v>0</v>
      </c>
      <c r="T465" s="294"/>
      <c r="U465" s="294"/>
      <c r="V465" s="474"/>
      <c r="W465" s="474"/>
      <c r="X465" s="539"/>
      <c r="Y465" s="539"/>
      <c r="Z465" s="541" t="b">
        <f t="shared" si="312"/>
        <v>0</v>
      </c>
      <c r="AA465" s="514"/>
      <c r="AB465" s="515"/>
      <c r="AC465" s="515"/>
      <c r="AD465" s="524"/>
      <c r="AE465" s="524"/>
      <c r="AF465" s="524"/>
      <c r="AG465" s="524"/>
      <c r="AH465" s="514"/>
      <c r="AI465" s="539"/>
      <c r="AJ465" s="516"/>
      <c r="AK465" s="516"/>
      <c r="AL465" s="516"/>
      <c r="AM465" s="290"/>
      <c r="AO465" t="b">
        <f t="shared" si="336"/>
        <v>0</v>
      </c>
      <c r="AQ465" s="439"/>
      <c r="AS465" s="439">
        <f>__xlfn.XLOOKUP(K465,[1]Izvršenje_proračuna_po_pozicija!$C$25:$C$149,[1]Izvršenje_proračuna_po_pozicija!$E$25:$E$149,0)</f>
        <v>0</v>
      </c>
      <c r="AT465" s="616"/>
      <c r="AU465" s="474"/>
      <c r="AV465" s="632"/>
      <c r="AW465" s="632"/>
      <c r="AX465" s="655" t="str">
        <f t="shared" si="337"/>
        <v/>
      </c>
      <c r="AY465" s="655" t="str">
        <f t="shared" si="338"/>
        <v/>
      </c>
      <c r="AZ465" s="655" t="str">
        <f t="shared" si="339"/>
        <v/>
      </c>
      <c r="BA465" s="655" t="str">
        <f t="shared" si="340"/>
        <v/>
      </c>
      <c r="BB465" s="655" t="str">
        <f t="shared" si="341"/>
        <v/>
      </c>
      <c r="BC465" s="655" t="str">
        <f t="shared" si="341"/>
        <v/>
      </c>
    </row>
    <row r="466" spans="1:55" ht="12" customHeight="1">
      <c r="A466" s="52"/>
      <c r="B466" s="52"/>
      <c r="C466" s="52"/>
      <c r="D466" s="52"/>
      <c r="E466" s="52"/>
      <c r="F466" s="52"/>
      <c r="G466" s="52"/>
      <c r="H466" s="384"/>
      <c r="I466" s="120"/>
      <c r="J466" s="94">
        <v>4</v>
      </c>
      <c r="K466" s="21" t="s">
        <v>213</v>
      </c>
      <c r="L466" s="315">
        <f t="shared" ref="L466:AC468" si="345">L467</f>
        <v>0</v>
      </c>
      <c r="M466" s="315">
        <f t="shared" si="345"/>
        <v>0</v>
      </c>
      <c r="N466" s="337">
        <f t="shared" si="345"/>
        <v>0</v>
      </c>
      <c r="O466" s="337">
        <f t="shared" si="345"/>
        <v>0</v>
      </c>
      <c r="P466" s="292">
        <f t="shared" si="345"/>
        <v>0</v>
      </c>
      <c r="Q466" s="292">
        <f t="shared" si="345"/>
        <v>0</v>
      </c>
      <c r="R466" s="441">
        <f t="shared" si="345"/>
        <v>0</v>
      </c>
      <c r="S466" s="292">
        <f t="shared" si="345"/>
        <v>0</v>
      </c>
      <c r="T466" s="292"/>
      <c r="U466" s="292"/>
      <c r="V466" s="469">
        <f t="shared" si="345"/>
        <v>0</v>
      </c>
      <c r="W466" s="469">
        <f t="shared" si="345"/>
        <v>0</v>
      </c>
      <c r="X466" s="522">
        <f t="shared" si="345"/>
        <v>0</v>
      </c>
      <c r="Y466" s="522">
        <f t="shared" si="345"/>
        <v>0</v>
      </c>
      <c r="Z466" s="541" t="b">
        <f t="shared" si="312"/>
        <v>1</v>
      </c>
      <c r="AA466" s="522"/>
      <c r="AB466" s="523">
        <f t="shared" si="345"/>
        <v>0</v>
      </c>
      <c r="AC466" s="523">
        <f t="shared" si="345"/>
        <v>0</v>
      </c>
      <c r="AD466" s="524"/>
      <c r="AE466" s="524"/>
      <c r="AF466" s="524"/>
      <c r="AG466" s="524"/>
      <c r="AH466" s="522"/>
      <c r="AI466" s="522">
        <v>0</v>
      </c>
      <c r="AJ466" s="516"/>
      <c r="AK466" s="516"/>
      <c r="AL466" s="516"/>
      <c r="AM466" s="292"/>
      <c r="AO466" t="b">
        <f t="shared" si="336"/>
        <v>1</v>
      </c>
      <c r="AP466" s="440">
        <f>AP467</f>
        <v>0</v>
      </c>
      <c r="AQ466" s="441">
        <v>0</v>
      </c>
      <c r="AR466" s="440">
        <f>AR467</f>
        <v>0</v>
      </c>
      <c r="AS466" s="441">
        <f>__xlfn.XLOOKUP(K466,[1]Izvršenje_proračuna_po_pozicija!$C$25:$C$149,[1]Izvršenje_proračuna_po_pozicija!$E$25:$E$149,0)</f>
        <v>0</v>
      </c>
      <c r="AT466" s="612">
        <f>AT467</f>
        <v>0</v>
      </c>
      <c r="AU466" s="469">
        <f>__xlfn.XLOOKUP(L466,[1]Izvršenje_proračuna_po_pozicija!$C$25:$C$149,[1]Izvršenje_proračuna_po_pozicija!$E$25:$E$149,0)</f>
        <v>0</v>
      </c>
      <c r="AV466" s="636">
        <v>0</v>
      </c>
      <c r="AW466" s="636">
        <v>0</v>
      </c>
      <c r="AX466" s="655" t="str">
        <f t="shared" si="337"/>
        <v/>
      </c>
      <c r="AY466" s="655" t="str">
        <f t="shared" si="338"/>
        <v/>
      </c>
      <c r="AZ466" s="655" t="str">
        <f t="shared" si="339"/>
        <v/>
      </c>
      <c r="BA466" s="655" t="str">
        <f t="shared" si="340"/>
        <v/>
      </c>
      <c r="BB466" s="655" t="str">
        <f t="shared" si="341"/>
        <v/>
      </c>
      <c r="BC466" s="655" t="str">
        <f t="shared" si="341"/>
        <v/>
      </c>
    </row>
    <row r="467" spans="1:55" ht="12" customHeight="1">
      <c r="A467" s="355"/>
      <c r="B467" s="355"/>
      <c r="C467" s="355"/>
      <c r="D467" s="355"/>
      <c r="E467" s="355"/>
      <c r="F467" s="355"/>
      <c r="G467" s="355"/>
      <c r="H467" s="379"/>
      <c r="I467" s="360"/>
      <c r="J467" s="356">
        <v>41</v>
      </c>
      <c r="K467" s="358" t="s">
        <v>722</v>
      </c>
      <c r="L467" s="315">
        <f t="shared" si="345"/>
        <v>0</v>
      </c>
      <c r="M467" s="315">
        <f t="shared" si="345"/>
        <v>0</v>
      </c>
      <c r="N467" s="337">
        <f t="shared" si="345"/>
        <v>0</v>
      </c>
      <c r="O467" s="337">
        <f t="shared" si="345"/>
        <v>0</v>
      </c>
      <c r="P467" s="292">
        <f t="shared" si="345"/>
        <v>0</v>
      </c>
      <c r="Q467" s="292">
        <f t="shared" si="345"/>
        <v>0</v>
      </c>
      <c r="R467" s="441">
        <f t="shared" si="345"/>
        <v>0</v>
      </c>
      <c r="S467" s="292">
        <f t="shared" si="345"/>
        <v>0</v>
      </c>
      <c r="T467" s="292"/>
      <c r="U467" s="292"/>
      <c r="V467" s="469">
        <f t="shared" si="345"/>
        <v>0</v>
      </c>
      <c r="W467" s="469">
        <f t="shared" si="345"/>
        <v>0</v>
      </c>
      <c r="X467" s="522">
        <f t="shared" si="345"/>
        <v>0</v>
      </c>
      <c r="Y467" s="522">
        <f t="shared" si="345"/>
        <v>0</v>
      </c>
      <c r="Z467" s="541" t="b">
        <f t="shared" si="312"/>
        <v>1</v>
      </c>
      <c r="AA467" s="522"/>
      <c r="AB467" s="523">
        <f t="shared" si="345"/>
        <v>0</v>
      </c>
      <c r="AC467" s="523">
        <f t="shared" si="345"/>
        <v>0</v>
      </c>
      <c r="AD467" s="524"/>
      <c r="AE467" s="524"/>
      <c r="AF467" s="524"/>
      <c r="AG467" s="524"/>
      <c r="AH467" s="522"/>
      <c r="AI467" s="522">
        <v>0</v>
      </c>
      <c r="AJ467" s="516"/>
      <c r="AK467" s="516"/>
      <c r="AL467" s="516"/>
      <c r="AM467" s="292"/>
      <c r="AO467" t="b">
        <f t="shared" si="336"/>
        <v>1</v>
      </c>
      <c r="AP467" s="440">
        <f>AP468</f>
        <v>0</v>
      </c>
      <c r="AQ467" s="441">
        <v>0</v>
      </c>
      <c r="AR467" s="440">
        <f>AR468</f>
        <v>0</v>
      </c>
      <c r="AS467" s="441">
        <f>__xlfn.XLOOKUP(K467,[1]Izvršenje_proračuna_po_pozicija!$C$25:$C$149,[1]Izvršenje_proračuna_po_pozicija!$E$25:$E$149,0)</f>
        <v>0</v>
      </c>
      <c r="AT467" s="612">
        <f>AT468</f>
        <v>0</v>
      </c>
      <c r="AU467" s="469">
        <f>__xlfn.XLOOKUP(L467,[1]Izvršenje_proračuna_po_pozicija!$C$25:$C$149,[1]Izvršenje_proračuna_po_pozicija!$E$25:$E$149,0)</f>
        <v>0</v>
      </c>
      <c r="AV467" s="636">
        <v>0</v>
      </c>
      <c r="AW467" s="636">
        <v>0</v>
      </c>
      <c r="AX467" s="655" t="str">
        <f t="shared" si="337"/>
        <v/>
      </c>
      <c r="AY467" s="655" t="str">
        <f t="shared" si="338"/>
        <v/>
      </c>
      <c r="AZ467" s="655" t="str">
        <f t="shared" si="339"/>
        <v/>
      </c>
      <c r="BA467" s="655" t="str">
        <f t="shared" si="340"/>
        <v/>
      </c>
      <c r="BB467" s="655" t="str">
        <f t="shared" si="341"/>
        <v/>
      </c>
      <c r="BC467" s="655" t="str">
        <f t="shared" si="341"/>
        <v/>
      </c>
    </row>
    <row r="468" spans="1:55" ht="12" customHeight="1">
      <c r="A468" s="56"/>
      <c r="B468" s="56"/>
      <c r="C468" s="56"/>
      <c r="D468" s="56"/>
      <c r="E468" s="56"/>
      <c r="F468" s="56"/>
      <c r="G468" s="56"/>
      <c r="H468" s="377"/>
      <c r="I468" s="138"/>
      <c r="J468" s="116">
        <v>411</v>
      </c>
      <c r="K468" s="60" t="s">
        <v>723</v>
      </c>
      <c r="L468" s="315">
        <f t="shared" si="345"/>
        <v>0</v>
      </c>
      <c r="M468" s="315">
        <f t="shared" si="345"/>
        <v>0</v>
      </c>
      <c r="N468" s="337">
        <f t="shared" si="345"/>
        <v>0</v>
      </c>
      <c r="O468" s="337">
        <f t="shared" si="345"/>
        <v>0</v>
      </c>
      <c r="P468" s="292">
        <f t="shared" si="345"/>
        <v>0</v>
      </c>
      <c r="Q468" s="292">
        <f t="shared" si="345"/>
        <v>0</v>
      </c>
      <c r="R468" s="441">
        <f t="shared" si="345"/>
        <v>0</v>
      </c>
      <c r="S468" s="292">
        <f t="shared" si="345"/>
        <v>0</v>
      </c>
      <c r="T468" s="292"/>
      <c r="U468" s="292"/>
      <c r="V468" s="469">
        <f t="shared" si="345"/>
        <v>0</v>
      </c>
      <c r="W468" s="469">
        <f t="shared" si="345"/>
        <v>0</v>
      </c>
      <c r="X468" s="522">
        <f t="shared" si="345"/>
        <v>0</v>
      </c>
      <c r="Y468" s="522">
        <f t="shared" si="345"/>
        <v>0</v>
      </c>
      <c r="Z468" s="541" t="b">
        <f t="shared" si="312"/>
        <v>1</v>
      </c>
      <c r="AA468" s="522"/>
      <c r="AB468" s="523">
        <f t="shared" si="345"/>
        <v>0</v>
      </c>
      <c r="AC468" s="523">
        <f t="shared" si="345"/>
        <v>0</v>
      </c>
      <c r="AD468" s="524"/>
      <c r="AE468" s="524"/>
      <c r="AF468" s="524"/>
      <c r="AG468" s="524"/>
      <c r="AH468" s="522"/>
      <c r="AI468" s="522">
        <v>0</v>
      </c>
      <c r="AJ468" s="516"/>
      <c r="AK468" s="516"/>
      <c r="AL468" s="516"/>
      <c r="AM468" s="292"/>
      <c r="AO468" t="b">
        <f t="shared" si="336"/>
        <v>1</v>
      </c>
      <c r="AP468" s="440">
        <f>AP469</f>
        <v>0</v>
      </c>
      <c r="AQ468" s="441">
        <v>0</v>
      </c>
      <c r="AR468" s="440">
        <f>AR469</f>
        <v>0</v>
      </c>
      <c r="AS468" s="441">
        <f>__xlfn.XLOOKUP(K468,[1]Izvršenje_proračuna_po_pozicija!$C$25:$C$149,[1]Izvršenje_proračuna_po_pozicija!$E$25:$E$149,0)</f>
        <v>0</v>
      </c>
      <c r="AT468" s="612">
        <f>AT469</f>
        <v>0</v>
      </c>
      <c r="AU468" s="469">
        <f>__xlfn.XLOOKUP(L468,[1]Izvršenje_proračuna_po_pozicija!$C$25:$C$149,[1]Izvršenje_proračuna_po_pozicija!$E$25:$E$149,0)</f>
        <v>0</v>
      </c>
      <c r="AV468" s="636">
        <v>0</v>
      </c>
      <c r="AW468" s="636">
        <v>0</v>
      </c>
      <c r="AX468" s="655" t="str">
        <f t="shared" si="337"/>
        <v/>
      </c>
      <c r="AY468" s="655" t="str">
        <f t="shared" si="338"/>
        <v/>
      </c>
      <c r="AZ468" s="655" t="str">
        <f t="shared" si="339"/>
        <v/>
      </c>
      <c r="BA468" s="655" t="str">
        <f t="shared" si="340"/>
        <v/>
      </c>
      <c r="BB468" s="655" t="str">
        <f t="shared" si="341"/>
        <v/>
      </c>
      <c r="BC468" s="655" t="str">
        <f t="shared" si="341"/>
        <v/>
      </c>
    </row>
    <row r="469" spans="1:55" ht="12" customHeight="1">
      <c r="A469" s="36"/>
      <c r="B469" s="36"/>
      <c r="C469" s="36"/>
      <c r="D469" s="36"/>
      <c r="E469" s="36"/>
      <c r="F469" s="36"/>
      <c r="G469" s="36"/>
      <c r="H469" s="204" t="s">
        <v>729</v>
      </c>
      <c r="I469" s="118">
        <v>111</v>
      </c>
      <c r="J469" s="71">
        <v>4111</v>
      </c>
      <c r="K469" s="40" t="s">
        <v>80</v>
      </c>
      <c r="L469" s="309">
        <v>0</v>
      </c>
      <c r="M469" s="309">
        <v>0</v>
      </c>
      <c r="N469" s="339">
        <v>0</v>
      </c>
      <c r="O469" s="339">
        <v>0</v>
      </c>
      <c r="P469" s="294">
        <v>0</v>
      </c>
      <c r="Q469" s="294">
        <v>0</v>
      </c>
      <c r="R469" s="443">
        <v>0</v>
      </c>
      <c r="S469" s="294">
        <f>__xlfn.XLOOKUP(H469,[2]Izvršenje_proračuna_po_pozicija!$B$2:$B$153,[2]Izvršenje_proračuna_po_pozicija!$E$2:$E$153,0)</f>
        <v>0</v>
      </c>
      <c r="T469" s="294"/>
      <c r="U469" s="294"/>
      <c r="V469" s="478">
        <v>0</v>
      </c>
      <c r="W469" s="478"/>
      <c r="X469" s="544"/>
      <c r="Y469" s="544"/>
      <c r="Z469" s="541" t="b">
        <f t="shared" si="312"/>
        <v>0</v>
      </c>
      <c r="AA469" s="527"/>
      <c r="AB469" s="528"/>
      <c r="AC469" s="528"/>
      <c r="AD469" s="524"/>
      <c r="AE469" s="524"/>
      <c r="AF469" s="524"/>
      <c r="AG469" s="524"/>
      <c r="AH469" s="527"/>
      <c r="AI469" s="544"/>
      <c r="AJ469" s="516"/>
      <c r="AK469" s="516"/>
      <c r="AL469" s="516"/>
      <c r="AM469" s="294"/>
      <c r="AO469" t="b">
        <f t="shared" si="336"/>
        <v>0</v>
      </c>
      <c r="AQ469" s="443"/>
      <c r="AS469" s="443">
        <f>__xlfn.XLOOKUP(K469,[1]Izvršenje_proračuna_po_pozicija!$C$25:$C$149,[1]Izvršenje_proračuna_po_pozicija!$E$25:$E$149,0)</f>
        <v>0</v>
      </c>
      <c r="AT469" s="617"/>
      <c r="AU469" s="478"/>
      <c r="AV469" s="638"/>
      <c r="AW469" s="638"/>
      <c r="AX469" s="655" t="str">
        <f t="shared" si="337"/>
        <v/>
      </c>
      <c r="AY469" s="655" t="str">
        <f t="shared" si="338"/>
        <v/>
      </c>
      <c r="AZ469" s="655" t="str">
        <f t="shared" si="339"/>
        <v/>
      </c>
      <c r="BA469" s="655" t="str">
        <f t="shared" si="340"/>
        <v/>
      </c>
      <c r="BB469" s="655" t="str">
        <f t="shared" si="341"/>
        <v/>
      </c>
      <c r="BC469" s="655" t="str">
        <f t="shared" si="341"/>
        <v/>
      </c>
    </row>
    <row r="470" spans="1:55" ht="12" customHeight="1">
      <c r="A470" s="36"/>
      <c r="B470" s="36"/>
      <c r="C470" s="36"/>
      <c r="D470" s="36"/>
      <c r="E470" s="36"/>
      <c r="F470" s="36"/>
      <c r="G470" s="36"/>
      <c r="H470" s="204"/>
      <c r="I470" s="118"/>
      <c r="J470" s="71"/>
      <c r="K470" s="40"/>
      <c r="L470" s="316"/>
      <c r="M470" s="316"/>
      <c r="N470" s="338"/>
      <c r="O470" s="338"/>
      <c r="P470" s="293"/>
      <c r="Q470" s="293"/>
      <c r="R470" s="442"/>
      <c r="S470" s="294">
        <f>__xlfn.XLOOKUP(H470,[2]Izvršenje_proračuna_po_pozicija!$B$2:$B$153,[2]Izvršenje_proračuna_po_pozicija!$E$2:$E$153,0)</f>
        <v>0</v>
      </c>
      <c r="T470" s="294"/>
      <c r="U470" s="294"/>
      <c r="V470" s="475"/>
      <c r="W470" s="475"/>
      <c r="X470" s="540"/>
      <c r="Y470" s="540"/>
      <c r="Z470" s="541" t="b">
        <f t="shared" si="312"/>
        <v>0</v>
      </c>
      <c r="AA470" s="525"/>
      <c r="AB470" s="526"/>
      <c r="AC470" s="526"/>
      <c r="AD470" s="524"/>
      <c r="AE470" s="524"/>
      <c r="AF470" s="524"/>
      <c r="AG470" s="524"/>
      <c r="AH470" s="525"/>
      <c r="AI470" s="540"/>
      <c r="AJ470" s="516"/>
      <c r="AK470" s="516"/>
      <c r="AL470" s="516"/>
      <c r="AM470" s="293"/>
      <c r="AO470" t="b">
        <f t="shared" si="336"/>
        <v>0</v>
      </c>
      <c r="AQ470" s="442"/>
      <c r="AS470" s="442">
        <f>__xlfn.XLOOKUP(K470,[1]Izvršenje_proračuna_po_pozicija!$C$25:$C$149,[1]Izvršenje_proračuna_po_pozicija!$E$25:$E$149,0)</f>
        <v>0</v>
      </c>
      <c r="AT470" s="617"/>
      <c r="AU470" s="475"/>
      <c r="AV470" s="637"/>
      <c r="AW470" s="637"/>
      <c r="AX470" s="655" t="str">
        <f t="shared" si="337"/>
        <v/>
      </c>
      <c r="AY470" s="655" t="str">
        <f t="shared" si="338"/>
        <v/>
      </c>
      <c r="AZ470" s="655" t="str">
        <f t="shared" si="339"/>
        <v/>
      </c>
      <c r="BA470" s="655" t="str">
        <f t="shared" si="340"/>
        <v/>
      </c>
      <c r="BB470" s="655" t="str">
        <f t="shared" si="341"/>
        <v/>
      </c>
      <c r="BC470" s="655" t="str">
        <f t="shared" si="341"/>
        <v/>
      </c>
    </row>
    <row r="471" spans="1:55" ht="12" customHeight="1">
      <c r="A471" s="142"/>
      <c r="B471" s="142"/>
      <c r="C471" s="142"/>
      <c r="D471" s="142"/>
      <c r="E471" s="142"/>
      <c r="F471" s="142"/>
      <c r="G471" s="142"/>
      <c r="H471" s="390"/>
      <c r="I471" s="143" t="s">
        <v>477</v>
      </c>
      <c r="J471" s="108"/>
      <c r="K471" s="109"/>
      <c r="L471" s="315">
        <f t="shared" ref="L471:AC471" si="346">L472</f>
        <v>199882</v>
      </c>
      <c r="M471" s="315">
        <f t="shared" si="346"/>
        <v>26528.900391532286</v>
      </c>
      <c r="N471" s="337">
        <f t="shared" si="346"/>
        <v>179210</v>
      </c>
      <c r="O471" s="337">
        <f t="shared" si="346"/>
        <v>23785.254495985133</v>
      </c>
      <c r="P471" s="292">
        <f t="shared" si="346"/>
        <v>28500</v>
      </c>
      <c r="Q471" s="292">
        <f t="shared" si="346"/>
        <v>66700</v>
      </c>
      <c r="R471" s="441">
        <f t="shared" si="346"/>
        <v>62347</v>
      </c>
      <c r="S471" s="292">
        <f t="shared" si="346"/>
        <v>27135.35</v>
      </c>
      <c r="T471" s="292"/>
      <c r="U471" s="292"/>
      <c r="V471" s="469">
        <f t="shared" si="346"/>
        <v>33700</v>
      </c>
      <c r="W471" s="469">
        <f t="shared" si="346"/>
        <v>78600</v>
      </c>
      <c r="X471" s="522">
        <f t="shared" si="346"/>
        <v>116000</v>
      </c>
      <c r="Y471" s="522">
        <f t="shared" si="346"/>
        <v>0</v>
      </c>
      <c r="Z471" s="541" t="b">
        <f t="shared" si="312"/>
        <v>1</v>
      </c>
      <c r="AA471" s="522"/>
      <c r="AB471" s="523">
        <f t="shared" si="346"/>
        <v>29400</v>
      </c>
      <c r="AC471" s="523">
        <f t="shared" si="346"/>
        <v>29400</v>
      </c>
      <c r="AD471" s="524">
        <f>O471/M471*100</f>
        <v>89.657898159914339</v>
      </c>
      <c r="AE471" s="524">
        <f>P471/O471*100</f>
        <v>119.82213604151555</v>
      </c>
      <c r="AF471" s="524">
        <f>Q471/P471*100</f>
        <v>234.03508771929828</v>
      </c>
      <c r="AG471" s="524">
        <f>AB471/Q471*100</f>
        <v>44.077961019490253</v>
      </c>
      <c r="AH471" s="522"/>
      <c r="AI471" s="522">
        <v>116000</v>
      </c>
      <c r="AJ471" s="516">
        <f>W471/R471*100</f>
        <v>126.06861597189921</v>
      </c>
      <c r="AK471" s="516">
        <f>AT471/W471*100</f>
        <v>124.68193384223918</v>
      </c>
      <c r="AL471" s="516">
        <f>X471/AT471*100</f>
        <v>118.36734693877551</v>
      </c>
      <c r="AM471" s="292"/>
      <c r="AO471" t="b">
        <f t="shared" si="336"/>
        <v>1</v>
      </c>
      <c r="AP471" s="440">
        <f t="shared" ref="AP471:AU471" si="347">AP472</f>
        <v>34266.990000000005</v>
      </c>
      <c r="AQ471" s="441">
        <v>34266.99</v>
      </c>
      <c r="AR471" s="440">
        <f>AR472</f>
        <v>34266.990000000005</v>
      </c>
      <c r="AS471" s="441">
        <f t="shared" si="347"/>
        <v>18031.009999999995</v>
      </c>
      <c r="AT471" s="612">
        <f>AT472</f>
        <v>98000</v>
      </c>
      <c r="AU471" s="469">
        <f t="shared" si="347"/>
        <v>99200</v>
      </c>
      <c r="AV471" s="636">
        <v>116000</v>
      </c>
      <c r="AW471" s="636">
        <v>116000</v>
      </c>
      <c r="AX471" s="655">
        <f t="shared" si="337"/>
        <v>157.18478836190997</v>
      </c>
      <c r="AY471" s="655">
        <f t="shared" si="338"/>
        <v>285.9895193595936</v>
      </c>
      <c r="AZ471" s="655">
        <f t="shared" si="339"/>
        <v>101.22448979591836</v>
      </c>
      <c r="BA471" s="655">
        <f t="shared" si="340"/>
        <v>289.49143184154781</v>
      </c>
      <c r="BB471" s="655">
        <f t="shared" si="341"/>
        <v>116.93548387096774</v>
      </c>
      <c r="BC471" s="655">
        <f t="shared" si="341"/>
        <v>100</v>
      </c>
    </row>
    <row r="472" spans="1:55" ht="12" customHeight="1">
      <c r="A472" s="212" t="s">
        <v>474</v>
      </c>
      <c r="B472" s="130"/>
      <c r="C472" s="130"/>
      <c r="D472" s="130"/>
      <c r="E472" s="130"/>
      <c r="F472" s="130"/>
      <c r="G472" s="130"/>
      <c r="H472" s="383"/>
      <c r="I472" s="131" t="s">
        <v>220</v>
      </c>
      <c r="J472" s="112"/>
      <c r="K472" s="113"/>
      <c r="L472" s="315">
        <f t="shared" ref="L472:S472" si="348">L474</f>
        <v>199882</v>
      </c>
      <c r="M472" s="315">
        <f t="shared" si="348"/>
        <v>26528.900391532286</v>
      </c>
      <c r="N472" s="337">
        <f t="shared" si="348"/>
        <v>179210</v>
      </c>
      <c r="O472" s="337">
        <f t="shared" si="348"/>
        <v>23785.254495985133</v>
      </c>
      <c r="P472" s="292">
        <f t="shared" si="348"/>
        <v>28500</v>
      </c>
      <c r="Q472" s="292">
        <f t="shared" si="348"/>
        <v>66700</v>
      </c>
      <c r="R472" s="441">
        <f t="shared" si="348"/>
        <v>62347</v>
      </c>
      <c r="S472" s="292">
        <f t="shared" si="348"/>
        <v>27135.35</v>
      </c>
      <c r="T472" s="292"/>
      <c r="U472" s="292"/>
      <c r="V472" s="469">
        <f>V474</f>
        <v>33700</v>
      </c>
      <c r="W472" s="469">
        <f>W474</f>
        <v>78600</v>
      </c>
      <c r="X472" s="522">
        <f>X474</f>
        <v>116000</v>
      </c>
      <c r="Y472" s="522">
        <f>Y474</f>
        <v>0</v>
      </c>
      <c r="Z472" s="541" t="b">
        <f t="shared" si="312"/>
        <v>1</v>
      </c>
      <c r="AA472" s="522"/>
      <c r="AB472" s="523">
        <f>AB474</f>
        <v>29400</v>
      </c>
      <c r="AC472" s="523">
        <f>AC474</f>
        <v>29400</v>
      </c>
      <c r="AD472" s="524">
        <f>O472/M472*100</f>
        <v>89.657898159914339</v>
      </c>
      <c r="AE472" s="524">
        <f>P472/O472*100</f>
        <v>119.82213604151555</v>
      </c>
      <c r="AF472" s="524">
        <f>Q472/P472*100</f>
        <v>234.03508771929828</v>
      </c>
      <c r="AG472" s="524">
        <f>AB472/Q472*100</f>
        <v>44.077961019490253</v>
      </c>
      <c r="AH472" s="522"/>
      <c r="AI472" s="522">
        <v>116000</v>
      </c>
      <c r="AJ472" s="516">
        <f>W472/R472*100</f>
        <v>126.06861597189921</v>
      </c>
      <c r="AK472" s="516">
        <f>AT472/W472*100</f>
        <v>124.68193384223918</v>
      </c>
      <c r="AL472" s="516">
        <f>X472/AT472*100</f>
        <v>118.36734693877551</v>
      </c>
      <c r="AM472" s="292"/>
      <c r="AO472" t="b">
        <f t="shared" si="336"/>
        <v>1</v>
      </c>
      <c r="AP472" s="440">
        <f t="shared" ref="AP472:AU472" si="349">AP474</f>
        <v>34266.990000000005</v>
      </c>
      <c r="AQ472" s="441">
        <v>34266.99</v>
      </c>
      <c r="AR472" s="440">
        <f>AR474</f>
        <v>34266.990000000005</v>
      </c>
      <c r="AS472" s="441">
        <f t="shared" si="349"/>
        <v>18031.009999999995</v>
      </c>
      <c r="AT472" s="612">
        <f t="shared" si="349"/>
        <v>98000</v>
      </c>
      <c r="AU472" s="469">
        <f t="shared" si="349"/>
        <v>99200</v>
      </c>
      <c r="AV472" s="636">
        <v>116000</v>
      </c>
      <c r="AW472" s="636">
        <v>116000</v>
      </c>
      <c r="AX472" s="655">
        <f t="shared" si="337"/>
        <v>157.18478836190997</v>
      </c>
      <c r="AY472" s="655">
        <f t="shared" si="338"/>
        <v>285.9895193595936</v>
      </c>
      <c r="AZ472" s="655">
        <f t="shared" si="339"/>
        <v>101.22448979591836</v>
      </c>
      <c r="BA472" s="655">
        <f t="shared" si="340"/>
        <v>289.49143184154781</v>
      </c>
      <c r="BB472" s="655">
        <f t="shared" si="341"/>
        <v>116.93548387096774</v>
      </c>
      <c r="BC472" s="655">
        <f t="shared" si="341"/>
        <v>100</v>
      </c>
    </row>
    <row r="473" spans="1:55" ht="12" customHeight="1">
      <c r="A473" s="20"/>
      <c r="B473" s="20"/>
      <c r="C473" s="20"/>
      <c r="D473" s="20"/>
      <c r="E473" s="20"/>
      <c r="F473" s="20"/>
      <c r="G473" s="20"/>
      <c r="H473" s="375"/>
      <c r="I473" s="22"/>
      <c r="J473" s="21"/>
      <c r="K473" s="19"/>
      <c r="L473" s="313">
        <v>1</v>
      </c>
      <c r="M473" s="313">
        <v>2</v>
      </c>
      <c r="N473" s="335">
        <v>3</v>
      </c>
      <c r="O473" s="335">
        <v>4</v>
      </c>
      <c r="P473" s="290">
        <v>5</v>
      </c>
      <c r="Q473" s="290">
        <v>6</v>
      </c>
      <c r="R473" s="439"/>
      <c r="S473" s="294">
        <f>__xlfn.XLOOKUP(H473,[2]Izvršenje_proračuna_po_pozicija!$B$2:$B$153,[2]Izvršenje_proračuna_po_pozicija!$E$2:$E$153,0)</f>
        <v>0</v>
      </c>
      <c r="T473" s="294"/>
      <c r="U473" s="294"/>
      <c r="V473" s="474">
        <v>5</v>
      </c>
      <c r="W473" s="474"/>
      <c r="X473" s="539"/>
      <c r="Y473" s="539"/>
      <c r="Z473" s="541" t="b">
        <f t="shared" si="312"/>
        <v>0</v>
      </c>
      <c r="AA473" s="514"/>
      <c r="AB473" s="515">
        <v>7</v>
      </c>
      <c r="AC473" s="515">
        <v>8</v>
      </c>
      <c r="AD473" s="515">
        <v>9</v>
      </c>
      <c r="AE473" s="515">
        <v>10</v>
      </c>
      <c r="AF473" s="515">
        <v>11</v>
      </c>
      <c r="AG473" s="515">
        <v>12</v>
      </c>
      <c r="AH473" s="514"/>
      <c r="AI473" s="539"/>
      <c r="AJ473" s="516"/>
      <c r="AK473" s="516"/>
      <c r="AL473" s="516"/>
      <c r="AM473" s="290"/>
      <c r="AO473" t="b">
        <f t="shared" si="336"/>
        <v>0</v>
      </c>
      <c r="AQ473" s="439"/>
      <c r="AS473" s="439"/>
      <c r="AT473" s="616"/>
      <c r="AU473" s="474"/>
      <c r="AV473" s="632"/>
      <c r="AW473" s="632"/>
      <c r="AX473" s="655" t="str">
        <f t="shared" si="337"/>
        <v/>
      </c>
      <c r="AY473" s="655" t="str">
        <f t="shared" si="338"/>
        <v/>
      </c>
      <c r="AZ473" s="655" t="str">
        <f t="shared" si="339"/>
        <v/>
      </c>
      <c r="BA473" s="655" t="str">
        <f t="shared" si="340"/>
        <v/>
      </c>
      <c r="BB473" s="655" t="str">
        <f t="shared" si="341"/>
        <v/>
      </c>
      <c r="BC473" s="655" t="str">
        <f t="shared" si="341"/>
        <v/>
      </c>
    </row>
    <row r="474" spans="1:55" ht="12" customHeight="1">
      <c r="A474" s="52"/>
      <c r="B474" s="52"/>
      <c r="C474" s="52"/>
      <c r="D474" s="52"/>
      <c r="E474" s="52"/>
      <c r="F474" s="52"/>
      <c r="G474" s="52"/>
      <c r="H474" s="384"/>
      <c r="I474" s="120"/>
      <c r="J474" s="94">
        <v>3</v>
      </c>
      <c r="K474" s="21" t="s">
        <v>94</v>
      </c>
      <c r="L474" s="315">
        <f t="shared" ref="L474:AC474" si="350">L475</f>
        <v>199882</v>
      </c>
      <c r="M474" s="315">
        <f t="shared" si="350"/>
        <v>26528.900391532286</v>
      </c>
      <c r="N474" s="337">
        <f t="shared" si="350"/>
        <v>179210</v>
      </c>
      <c r="O474" s="337">
        <f t="shared" si="350"/>
        <v>23785.254495985133</v>
      </c>
      <c r="P474" s="292">
        <f t="shared" si="350"/>
        <v>28500</v>
      </c>
      <c r="Q474" s="292">
        <f t="shared" si="350"/>
        <v>66700</v>
      </c>
      <c r="R474" s="441">
        <f t="shared" si="350"/>
        <v>62347</v>
      </c>
      <c r="S474" s="292">
        <f t="shared" si="350"/>
        <v>27135.35</v>
      </c>
      <c r="T474" s="292"/>
      <c r="U474" s="292"/>
      <c r="V474" s="469">
        <f t="shared" si="350"/>
        <v>33700</v>
      </c>
      <c r="W474" s="469">
        <f t="shared" si="350"/>
        <v>78600</v>
      </c>
      <c r="X474" s="522">
        <f t="shared" si="350"/>
        <v>116000</v>
      </c>
      <c r="Y474" s="522">
        <f t="shared" si="350"/>
        <v>0</v>
      </c>
      <c r="Z474" s="541" t="b">
        <f t="shared" si="312"/>
        <v>1</v>
      </c>
      <c r="AA474" s="522"/>
      <c r="AB474" s="523">
        <f t="shared" si="350"/>
        <v>29400</v>
      </c>
      <c r="AC474" s="523">
        <f t="shared" si="350"/>
        <v>29400</v>
      </c>
      <c r="AD474" s="524">
        <f>O474/M474*100</f>
        <v>89.657898159914339</v>
      </c>
      <c r="AE474" s="524">
        <f>P474/O474*100</f>
        <v>119.82213604151555</v>
      </c>
      <c r="AF474" s="524">
        <f>Q474/P474*100</f>
        <v>234.03508771929828</v>
      </c>
      <c r="AG474" s="524">
        <f>AB474/Q474*100</f>
        <v>44.077961019490253</v>
      </c>
      <c r="AH474" s="522"/>
      <c r="AI474" s="522">
        <v>116000</v>
      </c>
      <c r="AJ474" s="516">
        <f>W474/R474*100</f>
        <v>126.06861597189921</v>
      </c>
      <c r="AK474" s="516">
        <f>AT474/W474*100</f>
        <v>124.68193384223918</v>
      </c>
      <c r="AL474" s="516">
        <f>X474/AT474*100</f>
        <v>118.36734693877551</v>
      </c>
      <c r="AM474" s="292"/>
      <c r="AO474" t="b">
        <f t="shared" si="336"/>
        <v>1</v>
      </c>
      <c r="AP474" s="440">
        <f t="shared" ref="AP474:AU474" si="351">AP475</f>
        <v>34266.990000000005</v>
      </c>
      <c r="AQ474" s="441">
        <v>34266.99</v>
      </c>
      <c r="AR474" s="440">
        <f>AR475</f>
        <v>34266.990000000005</v>
      </c>
      <c r="AS474" s="441">
        <f t="shared" si="351"/>
        <v>18031.009999999995</v>
      </c>
      <c r="AT474" s="612">
        <f>AT475</f>
        <v>98000</v>
      </c>
      <c r="AU474" s="469">
        <f t="shared" si="351"/>
        <v>99200</v>
      </c>
      <c r="AV474" s="636">
        <v>116000</v>
      </c>
      <c r="AW474" s="636">
        <v>116000</v>
      </c>
      <c r="AX474" s="655">
        <f t="shared" si="337"/>
        <v>157.18478836190997</v>
      </c>
      <c r="AY474" s="655">
        <f t="shared" si="338"/>
        <v>285.9895193595936</v>
      </c>
      <c r="AZ474" s="655">
        <f t="shared" si="339"/>
        <v>101.22448979591836</v>
      </c>
      <c r="BA474" s="655">
        <f t="shared" si="340"/>
        <v>289.49143184154781</v>
      </c>
      <c r="BB474" s="655">
        <f t="shared" si="341"/>
        <v>116.93548387096774</v>
      </c>
      <c r="BC474" s="655">
        <f t="shared" si="341"/>
        <v>100</v>
      </c>
    </row>
    <row r="475" spans="1:55" ht="12" customHeight="1">
      <c r="A475" s="355"/>
      <c r="B475" s="355"/>
      <c r="C475" s="355"/>
      <c r="D475" s="355"/>
      <c r="E475" s="355"/>
      <c r="F475" s="355"/>
      <c r="G475" s="355"/>
      <c r="H475" s="379"/>
      <c r="I475" s="360"/>
      <c r="J475" s="356">
        <v>34</v>
      </c>
      <c r="K475" s="358" t="s">
        <v>128</v>
      </c>
      <c r="L475" s="315">
        <f t="shared" ref="L475:S475" si="352">L477+L480</f>
        <v>199882</v>
      </c>
      <c r="M475" s="315">
        <f t="shared" si="352"/>
        <v>26528.900391532286</v>
      </c>
      <c r="N475" s="337">
        <f t="shared" si="352"/>
        <v>179210</v>
      </c>
      <c r="O475" s="337">
        <f t="shared" si="352"/>
        <v>23785.254495985133</v>
      </c>
      <c r="P475" s="292">
        <f t="shared" si="352"/>
        <v>28500</v>
      </c>
      <c r="Q475" s="292">
        <f t="shared" si="352"/>
        <v>66700</v>
      </c>
      <c r="R475" s="441">
        <f t="shared" si="352"/>
        <v>62347</v>
      </c>
      <c r="S475" s="292">
        <f t="shared" si="352"/>
        <v>27135.35</v>
      </c>
      <c r="T475" s="292"/>
      <c r="U475" s="292"/>
      <c r="V475" s="469">
        <f>V477+V480</f>
        <v>33700</v>
      </c>
      <c r="W475" s="469">
        <f>W477+W480</f>
        <v>78600</v>
      </c>
      <c r="X475" s="522">
        <f>X477+X480</f>
        <v>116000</v>
      </c>
      <c r="Y475" s="522">
        <f>Y477+Y480</f>
        <v>0</v>
      </c>
      <c r="Z475" s="541" t="b">
        <f t="shared" si="312"/>
        <v>1</v>
      </c>
      <c r="AA475" s="522"/>
      <c r="AB475" s="523">
        <f>AB477+AB480</f>
        <v>29400</v>
      </c>
      <c r="AC475" s="523">
        <f>AC477+AC480</f>
        <v>29400</v>
      </c>
      <c r="AD475" s="524">
        <f>O475/M475*100</f>
        <v>89.657898159914339</v>
      </c>
      <c r="AE475" s="524">
        <f>P475/O475*100</f>
        <v>119.82213604151555</v>
      </c>
      <c r="AF475" s="524">
        <f>Q475/P475*100</f>
        <v>234.03508771929828</v>
      </c>
      <c r="AG475" s="524">
        <f>AB475/Q475*100</f>
        <v>44.077961019490253</v>
      </c>
      <c r="AH475" s="522"/>
      <c r="AI475" s="522">
        <v>116000</v>
      </c>
      <c r="AJ475" s="516">
        <f>W475/R475*100</f>
        <v>126.06861597189921</v>
      </c>
      <c r="AK475" s="516">
        <f>AT475/W475*100</f>
        <v>124.68193384223918</v>
      </c>
      <c r="AL475" s="516">
        <f>X475/AT475*100</f>
        <v>118.36734693877551</v>
      </c>
      <c r="AM475" s="292"/>
      <c r="AO475" t="b">
        <f t="shared" si="336"/>
        <v>1</v>
      </c>
      <c r="AP475" s="440">
        <f t="shared" ref="AP475:AU475" si="353">AP477+AP480</f>
        <v>34266.990000000005</v>
      </c>
      <c r="AQ475" s="441">
        <v>34266.99</v>
      </c>
      <c r="AR475" s="440">
        <f>AR477+AR480</f>
        <v>34266.990000000005</v>
      </c>
      <c r="AS475" s="441">
        <f t="shared" si="353"/>
        <v>18031.009999999995</v>
      </c>
      <c r="AT475" s="612">
        <f t="shared" si="353"/>
        <v>98000</v>
      </c>
      <c r="AU475" s="469">
        <f t="shared" si="353"/>
        <v>99200</v>
      </c>
      <c r="AV475" s="636">
        <v>116000</v>
      </c>
      <c r="AW475" s="636">
        <v>116000</v>
      </c>
      <c r="AX475" s="655">
        <f t="shared" si="337"/>
        <v>157.18478836190997</v>
      </c>
      <c r="AY475" s="655">
        <f t="shared" si="338"/>
        <v>285.9895193595936</v>
      </c>
      <c r="AZ475" s="655">
        <f t="shared" si="339"/>
        <v>101.22448979591836</v>
      </c>
      <c r="BA475" s="655">
        <f t="shared" si="340"/>
        <v>289.49143184154781</v>
      </c>
      <c r="BB475" s="655">
        <f t="shared" si="341"/>
        <v>116.93548387096774</v>
      </c>
      <c r="BC475" s="655">
        <f t="shared" si="341"/>
        <v>100</v>
      </c>
    </row>
    <row r="476" spans="1:55" ht="12" customHeight="1">
      <c r="A476" s="52"/>
      <c r="B476" s="52"/>
      <c r="C476" s="52"/>
      <c r="D476" s="52"/>
      <c r="E476" s="52"/>
      <c r="F476" s="52"/>
      <c r="G476" s="52"/>
      <c r="H476" s="384"/>
      <c r="I476" s="120"/>
      <c r="J476" s="94"/>
      <c r="K476" s="21"/>
      <c r="L476" s="315"/>
      <c r="M476" s="315"/>
      <c r="N476" s="337"/>
      <c r="O476" s="337"/>
      <c r="P476" s="292"/>
      <c r="Q476" s="292"/>
      <c r="R476" s="441"/>
      <c r="S476" s="294">
        <f>__xlfn.XLOOKUP(H476,[2]Izvršenje_proračuna_po_pozicija!$B$2:$B$153,[2]Izvršenje_proračuna_po_pozicija!$E$2:$E$153,0)</f>
        <v>0</v>
      </c>
      <c r="T476" s="294"/>
      <c r="U476" s="294"/>
      <c r="V476" s="476"/>
      <c r="W476" s="476"/>
      <c r="X476" s="541"/>
      <c r="Y476" s="541"/>
      <c r="Z476" s="541" t="b">
        <f t="shared" si="312"/>
        <v>0</v>
      </c>
      <c r="AA476" s="522"/>
      <c r="AB476" s="523"/>
      <c r="AC476" s="523"/>
      <c r="AD476" s="524"/>
      <c r="AE476" s="524"/>
      <c r="AF476" s="524"/>
      <c r="AG476" s="524"/>
      <c r="AH476" s="522"/>
      <c r="AI476" s="541"/>
      <c r="AJ476" s="516"/>
      <c r="AK476" s="516"/>
      <c r="AL476" s="516"/>
      <c r="AM476" s="292"/>
      <c r="AO476" t="b">
        <f t="shared" si="336"/>
        <v>0</v>
      </c>
      <c r="AQ476" s="441"/>
      <c r="AS476" s="441"/>
      <c r="AT476" s="616"/>
      <c r="AU476" s="476"/>
      <c r="AV476" s="636"/>
      <c r="AW476" s="636"/>
      <c r="AX476" s="655" t="str">
        <f t="shared" si="337"/>
        <v/>
      </c>
      <c r="AY476" s="655" t="str">
        <f t="shared" si="338"/>
        <v/>
      </c>
      <c r="AZ476" s="655" t="str">
        <f t="shared" si="339"/>
        <v/>
      </c>
      <c r="BA476" s="655" t="str">
        <f t="shared" si="340"/>
        <v/>
      </c>
      <c r="BB476" s="655" t="str">
        <f t="shared" si="341"/>
        <v/>
      </c>
      <c r="BC476" s="655" t="str">
        <f t="shared" si="341"/>
        <v/>
      </c>
    </row>
    <row r="477" spans="1:55" s="198" customFormat="1" ht="12" customHeight="1">
      <c r="A477" s="249"/>
      <c r="B477" s="137"/>
      <c r="C477" s="137"/>
      <c r="D477" s="137"/>
      <c r="E477" s="137"/>
      <c r="F477" s="137"/>
      <c r="G477" s="137"/>
      <c r="H477" s="387"/>
      <c r="I477" s="138"/>
      <c r="J477" s="199">
        <v>342</v>
      </c>
      <c r="K477" s="200" t="s">
        <v>435</v>
      </c>
      <c r="L477" s="315">
        <f t="shared" ref="L477:AC477" si="354">L478</f>
        <v>14909</v>
      </c>
      <c r="M477" s="315">
        <f t="shared" si="354"/>
        <v>1978.7643506536597</v>
      </c>
      <c r="N477" s="337">
        <f t="shared" si="354"/>
        <v>14777</v>
      </c>
      <c r="O477" s="337">
        <f t="shared" si="354"/>
        <v>1961.244939942929</v>
      </c>
      <c r="P477" s="292">
        <f t="shared" si="354"/>
        <v>2700</v>
      </c>
      <c r="Q477" s="292">
        <f t="shared" si="354"/>
        <v>2700</v>
      </c>
      <c r="R477" s="441">
        <f t="shared" si="354"/>
        <v>382</v>
      </c>
      <c r="S477" s="292">
        <f t="shared" si="354"/>
        <v>466.87</v>
      </c>
      <c r="T477" s="292"/>
      <c r="U477" s="292"/>
      <c r="V477" s="469">
        <f t="shared" si="354"/>
        <v>2700</v>
      </c>
      <c r="W477" s="469">
        <f t="shared" si="354"/>
        <v>600</v>
      </c>
      <c r="X477" s="522">
        <f t="shared" si="354"/>
        <v>1000</v>
      </c>
      <c r="Y477" s="522">
        <f t="shared" si="354"/>
        <v>0</v>
      </c>
      <c r="Z477" s="541" t="b">
        <f t="shared" ref="Z477:Z502" si="355">__xlfn.ISFORMULA(R477)</f>
        <v>1</v>
      </c>
      <c r="AA477" s="522"/>
      <c r="AB477" s="523">
        <f t="shared" si="354"/>
        <v>2700</v>
      </c>
      <c r="AC477" s="523">
        <f t="shared" si="354"/>
        <v>2700</v>
      </c>
      <c r="AD477" s="524">
        <f>O477/M477*100</f>
        <v>99.114628747736262</v>
      </c>
      <c r="AE477" s="524">
        <f>P477/O477*100</f>
        <v>137.66765920010829</v>
      </c>
      <c r="AF477" s="524">
        <f>Q477/P477*100</f>
        <v>100</v>
      </c>
      <c r="AG477" s="524">
        <f>AB477/Q477*100</f>
        <v>100</v>
      </c>
      <c r="AH477" s="522"/>
      <c r="AI477" s="522">
        <v>1000</v>
      </c>
      <c r="AJ477" s="516">
        <f>W477/R477*100</f>
        <v>157.06806282722513</v>
      </c>
      <c r="AK477" s="516">
        <f>AT477/W477*100</f>
        <v>166.66666666666669</v>
      </c>
      <c r="AL477" s="516">
        <f>X477/AT477*100</f>
        <v>100</v>
      </c>
      <c r="AM477" s="292"/>
      <c r="AO477" t="b">
        <f t="shared" si="336"/>
        <v>1</v>
      </c>
      <c r="AP477" s="440">
        <f t="shared" ref="AP477:AU477" si="356">AP478</f>
        <v>466.87</v>
      </c>
      <c r="AQ477" s="441">
        <v>466.87</v>
      </c>
      <c r="AR477" s="440">
        <f>AR478</f>
        <v>466.87</v>
      </c>
      <c r="AS477" s="441">
        <f t="shared" si="356"/>
        <v>252.1</v>
      </c>
      <c r="AT477" s="612">
        <f>AT478</f>
        <v>1000</v>
      </c>
      <c r="AU477" s="469">
        <f t="shared" si="356"/>
        <v>1200</v>
      </c>
      <c r="AV477" s="636">
        <v>1000</v>
      </c>
      <c r="AW477" s="636">
        <v>1000</v>
      </c>
      <c r="AX477" s="655">
        <f t="shared" si="337"/>
        <v>261.78010471204186</v>
      </c>
      <c r="AY477" s="655">
        <f t="shared" si="338"/>
        <v>214.19238760254461</v>
      </c>
      <c r="AZ477" s="655">
        <f t="shared" si="339"/>
        <v>120</v>
      </c>
      <c r="BA477" s="655">
        <f t="shared" si="340"/>
        <v>257.0308651230535</v>
      </c>
      <c r="BB477" s="655">
        <f t="shared" si="341"/>
        <v>83.333333333333343</v>
      </c>
      <c r="BC477" s="655">
        <f t="shared" si="341"/>
        <v>100</v>
      </c>
    </row>
    <row r="478" spans="1:55" ht="12" customHeight="1">
      <c r="A478" s="36"/>
      <c r="B478" s="36"/>
      <c r="C478" s="36"/>
      <c r="D478" s="36"/>
      <c r="E478" s="36"/>
      <c r="F478" s="36"/>
      <c r="G478" s="36"/>
      <c r="H478" s="204" t="s">
        <v>511</v>
      </c>
      <c r="I478" s="118"/>
      <c r="J478" s="71">
        <v>3423</v>
      </c>
      <c r="K478" s="40" t="s">
        <v>436</v>
      </c>
      <c r="L478" s="309">
        <v>14909</v>
      </c>
      <c r="M478" s="309">
        <f>14909/7.5345</f>
        <v>1978.7643506536597</v>
      </c>
      <c r="N478" s="339">
        <v>14777</v>
      </c>
      <c r="O478" s="339">
        <f>N478/7.5345</f>
        <v>1961.244939942929</v>
      </c>
      <c r="P478" s="294">
        <v>2700</v>
      </c>
      <c r="Q478" s="294">
        <v>2700</v>
      </c>
      <c r="R478" s="443">
        <v>382</v>
      </c>
      <c r="S478" s="294">
        <f>__xlfn.XLOOKUP(H478,[2]Izvršenje_proračuna_po_pozicija!$B$2:$B$153,[2]Izvršenje_proračuna_po_pozicija!$E$2:$E$153,0)</f>
        <v>466.87</v>
      </c>
      <c r="T478" s="294"/>
      <c r="U478" s="294"/>
      <c r="V478" s="478">
        <v>2700</v>
      </c>
      <c r="W478" s="478">
        <v>600</v>
      </c>
      <c r="X478" s="544">
        <v>1000</v>
      </c>
      <c r="Y478" s="544"/>
      <c r="Z478" s="541" t="b">
        <f t="shared" si="355"/>
        <v>0</v>
      </c>
      <c r="AA478" s="527"/>
      <c r="AB478" s="528">
        <v>2700</v>
      </c>
      <c r="AC478" s="528">
        <v>2700</v>
      </c>
      <c r="AD478" s="524">
        <f>O478/M478*100</f>
        <v>99.114628747736262</v>
      </c>
      <c r="AE478" s="524">
        <f>P478/O478*100</f>
        <v>137.66765920010829</v>
      </c>
      <c r="AF478" s="524">
        <f>Q478/P478*100</f>
        <v>100</v>
      </c>
      <c r="AG478" s="524">
        <f>AB478/Q478*100</f>
        <v>100</v>
      </c>
      <c r="AH478" s="527"/>
      <c r="AI478" s="544">
        <v>1000</v>
      </c>
      <c r="AJ478" s="516">
        <f>W478/R478*100</f>
        <v>157.06806282722513</v>
      </c>
      <c r="AK478" s="516">
        <f>AT478/W478*100</f>
        <v>166.66666666666669</v>
      </c>
      <c r="AL478" s="516">
        <f>X478/AT478*100</f>
        <v>100</v>
      </c>
      <c r="AM478" s="294"/>
      <c r="AO478" t="b">
        <f t="shared" si="336"/>
        <v>0</v>
      </c>
      <c r="AP478" s="493">
        <v>466.87</v>
      </c>
      <c r="AQ478" s="443">
        <v>466.87</v>
      </c>
      <c r="AR478" s="493">
        <v>466.87</v>
      </c>
      <c r="AS478" s="443">
        <v>252.1</v>
      </c>
      <c r="AT478" s="617">
        <v>1000</v>
      </c>
      <c r="AU478" s="478">
        <v>1200</v>
      </c>
      <c r="AV478" s="638">
        <v>1000</v>
      </c>
      <c r="AW478" s="638">
        <v>1000</v>
      </c>
      <c r="AX478" s="655">
        <f t="shared" si="337"/>
        <v>261.78010471204186</v>
      </c>
      <c r="AY478" s="655">
        <f t="shared" si="338"/>
        <v>214.19238760254461</v>
      </c>
      <c r="AZ478" s="655">
        <f t="shared" si="339"/>
        <v>120</v>
      </c>
      <c r="BA478" s="655">
        <f t="shared" si="340"/>
        <v>257.0308651230535</v>
      </c>
      <c r="BB478" s="655">
        <f t="shared" si="341"/>
        <v>83.333333333333343</v>
      </c>
      <c r="BC478" s="655">
        <f t="shared" si="341"/>
        <v>100</v>
      </c>
    </row>
    <row r="479" spans="1:55" ht="12" customHeight="1">
      <c r="A479" s="25"/>
      <c r="B479" s="25"/>
      <c r="C479" s="25"/>
      <c r="D479" s="25"/>
      <c r="E479" s="25"/>
      <c r="F479" s="25"/>
      <c r="G479" s="25"/>
      <c r="H479" s="389"/>
      <c r="I479" s="30"/>
      <c r="J479" s="29"/>
      <c r="K479" s="29"/>
      <c r="L479" s="313"/>
      <c r="M479" s="313"/>
      <c r="N479" s="335"/>
      <c r="O479" s="335"/>
      <c r="P479" s="290"/>
      <c r="Q479" s="290"/>
      <c r="R479" s="439"/>
      <c r="S479" s="294">
        <f>__xlfn.XLOOKUP(H479,[2]Izvršenje_proračuna_po_pozicija!$B$2:$B$153,[2]Izvršenje_proračuna_po_pozicija!$E$2:$E$153,0)</f>
        <v>0</v>
      </c>
      <c r="T479" s="294"/>
      <c r="U479" s="294"/>
      <c r="V479" s="474"/>
      <c r="W479" s="474"/>
      <c r="X479" s="539"/>
      <c r="Y479" s="539"/>
      <c r="Z479" s="541" t="b">
        <f t="shared" si="355"/>
        <v>0</v>
      </c>
      <c r="AA479" s="514"/>
      <c r="AB479" s="515"/>
      <c r="AC479" s="515"/>
      <c r="AD479" s="524"/>
      <c r="AE479" s="524"/>
      <c r="AF479" s="524"/>
      <c r="AG479" s="524"/>
      <c r="AH479" s="514"/>
      <c r="AI479" s="539"/>
      <c r="AJ479" s="516"/>
      <c r="AK479" s="516"/>
      <c r="AL479" s="516"/>
      <c r="AM479" s="290"/>
      <c r="AO479" t="b">
        <f t="shared" si="336"/>
        <v>0</v>
      </c>
      <c r="AQ479" s="439"/>
      <c r="AS479" s="439">
        <f>__xlfn.XLOOKUP(K479,[1]Izvršenje_proračuna_po_pozicija!$C$25:$C$149,[1]Izvršenje_proračuna_po_pozicija!$E$25:$E$149,0)</f>
        <v>0</v>
      </c>
      <c r="AT479" s="616"/>
      <c r="AU479" s="474"/>
      <c r="AV479" s="632"/>
      <c r="AW479" s="632"/>
      <c r="AX479" s="655" t="str">
        <f t="shared" si="337"/>
        <v/>
      </c>
      <c r="AY479" s="655" t="str">
        <f t="shared" si="338"/>
        <v/>
      </c>
      <c r="AZ479" s="655" t="str">
        <f t="shared" si="339"/>
        <v/>
      </c>
      <c r="BA479" s="655" t="str">
        <f t="shared" si="340"/>
        <v/>
      </c>
      <c r="BB479" s="655" t="str">
        <f t="shared" si="341"/>
        <v/>
      </c>
      <c r="BC479" s="655" t="str">
        <f t="shared" si="341"/>
        <v/>
      </c>
    </row>
    <row r="480" spans="1:55" ht="12" customHeight="1">
      <c r="A480" s="56"/>
      <c r="B480" s="56"/>
      <c r="C480" s="56"/>
      <c r="D480" s="56"/>
      <c r="E480" s="56"/>
      <c r="F480" s="56"/>
      <c r="G480" s="56"/>
      <c r="H480" s="377"/>
      <c r="I480" s="119"/>
      <c r="J480" s="116">
        <v>343</v>
      </c>
      <c r="K480" s="60" t="s">
        <v>221</v>
      </c>
      <c r="L480" s="315">
        <f t="shared" ref="L480:S480" si="357">L481+L482+L483+L484+L485</f>
        <v>184973</v>
      </c>
      <c r="M480" s="315">
        <f t="shared" si="357"/>
        <v>24550.136040878628</v>
      </c>
      <c r="N480" s="337">
        <f t="shared" si="357"/>
        <v>164433</v>
      </c>
      <c r="O480" s="337">
        <f t="shared" si="357"/>
        <v>21824.009556042205</v>
      </c>
      <c r="P480" s="292">
        <f t="shared" si="357"/>
        <v>25800</v>
      </c>
      <c r="Q480" s="292">
        <f t="shared" si="357"/>
        <v>64000</v>
      </c>
      <c r="R480" s="441">
        <f t="shared" si="357"/>
        <v>61965</v>
      </c>
      <c r="S480" s="292">
        <f t="shared" si="357"/>
        <v>26668.48</v>
      </c>
      <c r="T480" s="292"/>
      <c r="U480" s="292"/>
      <c r="V480" s="469">
        <f>V481+V482+V483+V484+V485</f>
        <v>31000</v>
      </c>
      <c r="W480" s="469">
        <f>W481+W482+W483+W484+W485</f>
        <v>78000</v>
      </c>
      <c r="X480" s="522">
        <f>X481+X482+X483+X484+X485</f>
        <v>115000</v>
      </c>
      <c r="Y480" s="522">
        <f>Y481+Y482+Y483+Y484+Y485</f>
        <v>0</v>
      </c>
      <c r="Z480" s="541" t="b">
        <f t="shared" si="355"/>
        <v>1</v>
      </c>
      <c r="AA480" s="522"/>
      <c r="AB480" s="523">
        <f>AB481+AB482+AB483+AB484+AB485</f>
        <v>26700</v>
      </c>
      <c r="AC480" s="523">
        <f>AC481+AC482+AC483+AC484+AC485</f>
        <v>26700</v>
      </c>
      <c r="AD480" s="524">
        <f>O480/M480*100</f>
        <v>88.895676666324263</v>
      </c>
      <c r="AE480" s="524">
        <f>P480/O480*100</f>
        <v>118.21842330918977</v>
      </c>
      <c r="AF480" s="524">
        <f>Q480/P480*100</f>
        <v>248.06201550387595</v>
      </c>
      <c r="AG480" s="524">
        <f>AB480/Q480*100</f>
        <v>41.71875</v>
      </c>
      <c r="AH480" s="522"/>
      <c r="AI480" s="522">
        <v>115000</v>
      </c>
      <c r="AJ480" s="516">
        <f>W480/R480*100</f>
        <v>125.87751149842654</v>
      </c>
      <c r="AK480" s="516">
        <f>AT480/W480*100</f>
        <v>124.35897435897436</v>
      </c>
      <c r="AL480" s="516">
        <f>X480/AT480*100</f>
        <v>118.55670103092784</v>
      </c>
      <c r="AM480" s="292"/>
      <c r="AO480" t="b">
        <f t="shared" si="336"/>
        <v>1</v>
      </c>
      <c r="AP480" s="440">
        <f t="shared" ref="AP480:AU480" si="358">AP481+AP482+AP483+AP484+AP485</f>
        <v>33800.120000000003</v>
      </c>
      <c r="AQ480" s="441">
        <v>33800.120000000003</v>
      </c>
      <c r="AR480" s="440">
        <f>AR481+AR482+AR483+AR484+AR485</f>
        <v>33800.120000000003</v>
      </c>
      <c r="AS480" s="441">
        <f t="shared" si="358"/>
        <v>17778.909999999996</v>
      </c>
      <c r="AT480" s="612">
        <f t="shared" si="358"/>
        <v>97000</v>
      </c>
      <c r="AU480" s="469">
        <f t="shared" si="358"/>
        <v>98000</v>
      </c>
      <c r="AV480" s="636">
        <v>115000</v>
      </c>
      <c r="AW480" s="636">
        <v>115000</v>
      </c>
      <c r="AX480" s="655">
        <f t="shared" si="337"/>
        <v>156.53998224804323</v>
      </c>
      <c r="AY480" s="655">
        <f t="shared" si="338"/>
        <v>286.98122965243908</v>
      </c>
      <c r="AZ480" s="655">
        <f t="shared" si="339"/>
        <v>101.03092783505154</v>
      </c>
      <c r="BA480" s="655">
        <f t="shared" si="340"/>
        <v>289.9397990302993</v>
      </c>
      <c r="BB480" s="655">
        <f t="shared" si="341"/>
        <v>117.34693877551021</v>
      </c>
      <c r="BC480" s="655">
        <f t="shared" si="341"/>
        <v>100</v>
      </c>
    </row>
    <row r="481" spans="1:55" ht="12" customHeight="1">
      <c r="A481" s="36"/>
      <c r="B481" s="36"/>
      <c r="C481" s="36"/>
      <c r="D481" s="36"/>
      <c r="E481" s="36"/>
      <c r="F481" s="36"/>
      <c r="G481" s="36"/>
      <c r="H481" s="204">
        <v>27</v>
      </c>
      <c r="I481" s="118">
        <v>112</v>
      </c>
      <c r="J481" s="71">
        <v>3431</v>
      </c>
      <c r="K481" s="40" t="s">
        <v>222</v>
      </c>
      <c r="L481" s="309">
        <v>48866</v>
      </c>
      <c r="M481" s="309">
        <f>48866/7.5345</f>
        <v>6485.632755989116</v>
      </c>
      <c r="N481" s="339">
        <v>42694</v>
      </c>
      <c r="O481" s="339">
        <f>N481/7.5345</f>
        <v>5666.4675824540445</v>
      </c>
      <c r="P481" s="294">
        <v>6000</v>
      </c>
      <c r="Q481" s="269">
        <v>7000</v>
      </c>
      <c r="R481" s="443">
        <v>7983</v>
      </c>
      <c r="S481" s="294">
        <v>7326</v>
      </c>
      <c r="T481" s="294"/>
      <c r="U481" s="294"/>
      <c r="V481" s="478">
        <v>7000</v>
      </c>
      <c r="W481" s="478">
        <v>9000</v>
      </c>
      <c r="X481" s="544">
        <v>11000</v>
      </c>
      <c r="Y481" s="544"/>
      <c r="Z481" s="541" t="b">
        <f t="shared" si="355"/>
        <v>0</v>
      </c>
      <c r="AA481" s="527"/>
      <c r="AB481" s="528">
        <v>6000</v>
      </c>
      <c r="AC481" s="528">
        <v>6000</v>
      </c>
      <c r="AD481" s="524">
        <f>O481/M481*100</f>
        <v>87.369541194286427</v>
      </c>
      <c r="AE481" s="524">
        <f>P481/O481*100</f>
        <v>105.88607298449431</v>
      </c>
      <c r="AF481" s="524">
        <f>Q481/P481*100</f>
        <v>116.66666666666667</v>
      </c>
      <c r="AG481" s="524">
        <f>AB481/Q481*100</f>
        <v>85.714285714285708</v>
      </c>
      <c r="AH481" s="527"/>
      <c r="AI481" s="544">
        <v>11000</v>
      </c>
      <c r="AJ481" s="516">
        <f>W481/R481*100</f>
        <v>112.73957158962796</v>
      </c>
      <c r="AK481" s="516">
        <f>AT481/W481*100</f>
        <v>111.11111111111111</v>
      </c>
      <c r="AL481" s="516">
        <f>X481/AT481*100</f>
        <v>110.00000000000001</v>
      </c>
      <c r="AM481" s="294"/>
      <c r="AO481" t="b">
        <f t="shared" si="336"/>
        <v>0</v>
      </c>
      <c r="AP481" s="493">
        <v>9747.94</v>
      </c>
      <c r="AQ481" s="443">
        <v>9747.94</v>
      </c>
      <c r="AR481" s="493">
        <v>9747.94</v>
      </c>
      <c r="AS481" s="443">
        <v>7038.04</v>
      </c>
      <c r="AT481" s="617">
        <v>10000</v>
      </c>
      <c r="AU481" s="478">
        <v>12000</v>
      </c>
      <c r="AV481" s="638">
        <v>11000</v>
      </c>
      <c r="AW481" s="638">
        <v>11000</v>
      </c>
      <c r="AX481" s="655">
        <f t="shared" si="337"/>
        <v>125.26619065514217</v>
      </c>
      <c r="AY481" s="655">
        <f t="shared" si="338"/>
        <v>102.58577709752008</v>
      </c>
      <c r="AZ481" s="655">
        <f t="shared" si="339"/>
        <v>120</v>
      </c>
      <c r="BA481" s="655">
        <f t="shared" si="340"/>
        <v>123.10293251702412</v>
      </c>
      <c r="BB481" s="655">
        <f t="shared" si="341"/>
        <v>91.666666666666657</v>
      </c>
      <c r="BC481" s="655">
        <f t="shared" si="341"/>
        <v>100</v>
      </c>
    </row>
    <row r="482" spans="1:55" ht="12" customHeight="1">
      <c r="A482" s="36"/>
      <c r="B482" s="36"/>
      <c r="C482" s="36"/>
      <c r="D482" s="36"/>
      <c r="E482" s="36"/>
      <c r="F482" s="36"/>
      <c r="G482" s="36"/>
      <c r="H482" s="204" t="s">
        <v>223</v>
      </c>
      <c r="I482" s="118">
        <v>112</v>
      </c>
      <c r="J482" s="71">
        <v>3433</v>
      </c>
      <c r="K482" s="40" t="s">
        <v>224</v>
      </c>
      <c r="L482" s="309">
        <v>57488</v>
      </c>
      <c r="M482" s="309">
        <f>57488/7.5345</f>
        <v>7629.9688101400225</v>
      </c>
      <c r="N482" s="339">
        <v>2530</v>
      </c>
      <c r="O482" s="339">
        <f>N482/7.5345</f>
        <v>335.78870528900387</v>
      </c>
      <c r="P482" s="294">
        <v>4000</v>
      </c>
      <c r="Q482" s="294">
        <v>4000</v>
      </c>
      <c r="R482" s="443">
        <v>537</v>
      </c>
      <c r="S482" s="294">
        <f>__xlfn.XLOOKUP(H482,[2]Izvršenje_proračuna_po_pozicija!$B$2:$B$153,[2]Izvršenje_proračuna_po_pozicija!$E$2:$E$153,0)</f>
        <v>537.29999999999995</v>
      </c>
      <c r="T482" s="294"/>
      <c r="U482" s="294"/>
      <c r="V482" s="478">
        <v>4000</v>
      </c>
      <c r="W482" s="478">
        <v>4000</v>
      </c>
      <c r="X482" s="544">
        <v>4000</v>
      </c>
      <c r="Y482" s="544"/>
      <c r="Z482" s="541" t="b">
        <f t="shared" si="355"/>
        <v>0</v>
      </c>
      <c r="AA482" s="527"/>
      <c r="AB482" s="528">
        <v>4000</v>
      </c>
      <c r="AC482" s="528">
        <v>4000</v>
      </c>
      <c r="AD482" s="524">
        <f>O482/M482*100</f>
        <v>4.4009184525466178</v>
      </c>
      <c r="AE482" s="524"/>
      <c r="AF482" s="524"/>
      <c r="AG482" s="524"/>
      <c r="AH482" s="527"/>
      <c r="AI482" s="544">
        <v>4000</v>
      </c>
      <c r="AJ482" s="516">
        <f>W482/R482*100</f>
        <v>744.87895716946002</v>
      </c>
      <c r="AK482" s="516">
        <f>AT482/W482*100</f>
        <v>100</v>
      </c>
      <c r="AL482" s="516">
        <f>X482/AT482*100</f>
        <v>100</v>
      </c>
      <c r="AM482" s="294"/>
      <c r="AO482" t="b">
        <f t="shared" si="336"/>
        <v>0</v>
      </c>
      <c r="AP482" s="493">
        <v>571.34</v>
      </c>
      <c r="AQ482" s="443">
        <v>571.34</v>
      </c>
      <c r="AR482" s="493">
        <v>571.34</v>
      </c>
      <c r="AS482" s="443">
        <f>__xlfn.XLOOKUP(K482,[1]Izvršenje_proračuna_po_pozicija!$C$25:$C$149,[1]Izvršenje_proračuna_po_pozicija!$E$25:$E$149,0)</f>
        <v>590.25</v>
      </c>
      <c r="AT482" s="617">
        <v>4000</v>
      </c>
      <c r="AU482" s="478">
        <v>2000</v>
      </c>
      <c r="AV482" s="638">
        <v>4000</v>
      </c>
      <c r="AW482" s="638">
        <v>4000</v>
      </c>
      <c r="AX482" s="655">
        <f t="shared" si="337"/>
        <v>744.87895716946002</v>
      </c>
      <c r="AY482" s="655">
        <f t="shared" si="338"/>
        <v>700.10851682010707</v>
      </c>
      <c r="AZ482" s="655">
        <f t="shared" si="339"/>
        <v>50</v>
      </c>
      <c r="BA482" s="655">
        <f t="shared" si="340"/>
        <v>350.05425841005354</v>
      </c>
      <c r="BB482" s="655">
        <f t="shared" si="341"/>
        <v>200</v>
      </c>
      <c r="BC482" s="655">
        <f t="shared" si="341"/>
        <v>100</v>
      </c>
    </row>
    <row r="483" spans="1:55" ht="12" customHeight="1">
      <c r="A483" s="36"/>
      <c r="B483" s="36"/>
      <c r="C483" s="36"/>
      <c r="D483" s="36"/>
      <c r="E483" s="36"/>
      <c r="F483" s="36"/>
      <c r="G483" s="36"/>
      <c r="H483" s="204" t="s">
        <v>225</v>
      </c>
      <c r="I483" s="118">
        <v>112</v>
      </c>
      <c r="J483" s="71">
        <v>3434</v>
      </c>
      <c r="K483" s="40" t="s">
        <v>226</v>
      </c>
      <c r="L483" s="309">
        <v>72619</v>
      </c>
      <c r="M483" s="309">
        <f>72619/7.5345</f>
        <v>9638.1976242617293</v>
      </c>
      <c r="N483" s="339">
        <v>111771</v>
      </c>
      <c r="O483" s="339">
        <f>N483/7.5345</f>
        <v>14834.561019311168</v>
      </c>
      <c r="P483" s="294">
        <v>13100</v>
      </c>
      <c r="Q483" s="269">
        <v>18000</v>
      </c>
      <c r="R483" s="443">
        <v>18226</v>
      </c>
      <c r="S483" s="294">
        <f>__xlfn.XLOOKUP(H483,[2]Izvršenje_proračuna_po_pozicija!$B$2:$B$153,[2]Izvršenje_proračuna_po_pozicija!$E$2:$E$153,0)</f>
        <v>18778.7</v>
      </c>
      <c r="T483" s="294"/>
      <c r="U483" s="294"/>
      <c r="V483" s="478">
        <v>18000</v>
      </c>
      <c r="W483" s="478">
        <v>23000</v>
      </c>
      <c r="X483" s="544">
        <v>35000</v>
      </c>
      <c r="Y483" s="544"/>
      <c r="Z483" s="541" t="b">
        <f t="shared" si="355"/>
        <v>0</v>
      </c>
      <c r="AA483" s="527"/>
      <c r="AB483" s="528">
        <v>14000</v>
      </c>
      <c r="AC483" s="528">
        <v>14000</v>
      </c>
      <c r="AD483" s="524">
        <f>O483/M483*100</f>
        <v>153.91426486181302</v>
      </c>
      <c r="AE483" s="524"/>
      <c r="AF483" s="524"/>
      <c r="AG483" s="524"/>
      <c r="AH483" s="527"/>
      <c r="AI483" s="544">
        <v>35000</v>
      </c>
      <c r="AJ483" s="516">
        <f>W483/R483*100</f>
        <v>126.19335015911335</v>
      </c>
      <c r="AK483" s="516">
        <f>AT483/W483*100</f>
        <v>121.73913043478262</v>
      </c>
      <c r="AL483" s="516">
        <f>X483/AT483*100</f>
        <v>125</v>
      </c>
      <c r="AM483" s="294"/>
      <c r="AO483" t="b">
        <f t="shared" si="336"/>
        <v>0</v>
      </c>
      <c r="AP483" s="493">
        <v>23454.36</v>
      </c>
      <c r="AQ483" s="443">
        <v>23454.36</v>
      </c>
      <c r="AR483" s="493">
        <v>23454.36</v>
      </c>
      <c r="AS483" s="443">
        <f>__xlfn.XLOOKUP(K483,[1]Izvršenje_proračuna_po_pozicija!$C$25:$C$149,[1]Izvršenje_proračuna_po_pozicija!$E$25:$E$149,0)</f>
        <v>8356.8799999999992</v>
      </c>
      <c r="AT483" s="617">
        <v>28000</v>
      </c>
      <c r="AU483" s="478">
        <v>29000</v>
      </c>
      <c r="AV483" s="638">
        <v>35000</v>
      </c>
      <c r="AW483" s="638">
        <v>35000</v>
      </c>
      <c r="AX483" s="655">
        <f t="shared" si="337"/>
        <v>153.62668715022497</v>
      </c>
      <c r="AY483" s="655">
        <f t="shared" si="338"/>
        <v>119.38078890236186</v>
      </c>
      <c r="AZ483" s="655">
        <f t="shared" si="339"/>
        <v>103.57142857142858</v>
      </c>
      <c r="BA483" s="655">
        <f t="shared" si="340"/>
        <v>123.64438850601765</v>
      </c>
      <c r="BB483" s="655">
        <f t="shared" si="341"/>
        <v>120.68965517241379</v>
      </c>
      <c r="BC483" s="655">
        <f t="shared" si="341"/>
        <v>100</v>
      </c>
    </row>
    <row r="484" spans="1:55" ht="12" customHeight="1">
      <c r="A484" s="36"/>
      <c r="B484" s="36"/>
      <c r="C484" s="36"/>
      <c r="D484" s="36"/>
      <c r="E484" s="36"/>
      <c r="F484" s="36"/>
      <c r="G484" s="36"/>
      <c r="H484" s="204" t="s">
        <v>227</v>
      </c>
      <c r="I484" s="118">
        <v>112</v>
      </c>
      <c r="J484" s="71">
        <v>3434</v>
      </c>
      <c r="K484" s="40" t="s">
        <v>726</v>
      </c>
      <c r="L484" s="309">
        <v>0</v>
      </c>
      <c r="M484" s="309">
        <v>0</v>
      </c>
      <c r="N484" s="339">
        <v>0</v>
      </c>
      <c r="O484" s="339">
        <f>N484/7.5345</f>
        <v>0</v>
      </c>
      <c r="P484" s="294">
        <v>0</v>
      </c>
      <c r="Q484" s="294">
        <v>0</v>
      </c>
      <c r="R484" s="443">
        <v>0</v>
      </c>
      <c r="S484" s="294">
        <f>__xlfn.XLOOKUP(H484,[2]Izvršenje_proračuna_po_pozicija!$B$2:$B$153,[2]Izvršenje_proračuna_po_pozicija!$E$2:$E$153,0)</f>
        <v>0</v>
      </c>
      <c r="T484" s="294"/>
      <c r="U484" s="294"/>
      <c r="V484" s="478">
        <v>0</v>
      </c>
      <c r="W484" s="478"/>
      <c r="X484" s="544"/>
      <c r="Y484" s="544"/>
      <c r="Z484" s="541" t="b">
        <f t="shared" si="355"/>
        <v>0</v>
      </c>
      <c r="AA484" s="527"/>
      <c r="AB484" s="528">
        <v>0</v>
      </c>
      <c r="AC484" s="528">
        <v>0</v>
      </c>
      <c r="AD484" s="524"/>
      <c r="AE484" s="524"/>
      <c r="AF484" s="524"/>
      <c r="AG484" s="524"/>
      <c r="AH484" s="527"/>
      <c r="AI484" s="544"/>
      <c r="AJ484" s="516"/>
      <c r="AK484" s="516"/>
      <c r="AL484" s="516"/>
      <c r="AM484" s="294"/>
      <c r="AO484" t="b">
        <f t="shared" si="336"/>
        <v>0</v>
      </c>
      <c r="AQ484" s="443"/>
      <c r="AS484" s="443">
        <v>442.41</v>
      </c>
      <c r="AT484" s="617"/>
      <c r="AU484" s="478">
        <v>0</v>
      </c>
      <c r="AV484" s="638"/>
      <c r="AW484" s="638"/>
      <c r="AX484" s="655" t="str">
        <f t="shared" si="337"/>
        <v/>
      </c>
      <c r="AY484" s="655" t="str">
        <f t="shared" si="338"/>
        <v/>
      </c>
      <c r="AZ484" s="655" t="str">
        <f t="shared" si="339"/>
        <v/>
      </c>
      <c r="BA484" s="655" t="str">
        <f t="shared" si="340"/>
        <v/>
      </c>
      <c r="BB484" s="655" t="str">
        <f t="shared" si="341"/>
        <v/>
      </c>
      <c r="BC484" s="655" t="str">
        <f t="shared" si="341"/>
        <v/>
      </c>
    </row>
    <row r="485" spans="1:55" ht="12" customHeight="1">
      <c r="A485" s="36"/>
      <c r="B485" s="36"/>
      <c r="C485" s="36"/>
      <c r="D485" s="36"/>
      <c r="E485" s="36"/>
      <c r="F485" s="36"/>
      <c r="G485" s="36"/>
      <c r="H485" s="204" t="s">
        <v>228</v>
      </c>
      <c r="I485" s="118">
        <v>112</v>
      </c>
      <c r="J485" s="71">
        <v>3434</v>
      </c>
      <c r="K485" s="40" t="s">
        <v>622</v>
      </c>
      <c r="L485" s="309">
        <v>6000</v>
      </c>
      <c r="M485" s="309">
        <f>6000/7.5345</f>
        <v>796.33685048775624</v>
      </c>
      <c r="N485" s="339">
        <v>7438</v>
      </c>
      <c r="O485" s="339">
        <f>N485/7.5345</f>
        <v>987.19224898798848</v>
      </c>
      <c r="P485" s="294">
        <v>2700</v>
      </c>
      <c r="Q485" s="269">
        <v>35000</v>
      </c>
      <c r="R485" s="443">
        <v>35219</v>
      </c>
      <c r="S485" s="294">
        <f>__xlfn.XLOOKUP(H485,[2]Izvršenje_proračuna_po_pozicija!$B$2:$B$153,[2]Izvršenje_proračuna_po_pozicija!$E$2:$E$153,0)</f>
        <v>26.48</v>
      </c>
      <c r="T485" s="294"/>
      <c r="U485" s="294"/>
      <c r="V485" s="478">
        <v>2000</v>
      </c>
      <c r="W485" s="478">
        <v>42000</v>
      </c>
      <c r="X485" s="544">
        <v>65000</v>
      </c>
      <c r="Y485" s="544"/>
      <c r="Z485" s="541" t="b">
        <f t="shared" si="355"/>
        <v>0</v>
      </c>
      <c r="AA485" s="527"/>
      <c r="AB485" s="528">
        <v>2700</v>
      </c>
      <c r="AC485" s="528">
        <v>2700</v>
      </c>
      <c r="AD485" s="524">
        <f>O485/M485*100</f>
        <v>123.96666666666667</v>
      </c>
      <c r="AE485" s="524"/>
      <c r="AF485" s="524"/>
      <c r="AG485" s="524"/>
      <c r="AH485" s="527"/>
      <c r="AI485" s="544">
        <v>65000</v>
      </c>
      <c r="AJ485" s="516">
        <f>W485/R485*100</f>
        <v>119.2538118629149</v>
      </c>
      <c r="AK485" s="516">
        <f>AT485/W485*100</f>
        <v>130.95238095238096</v>
      </c>
      <c r="AL485" s="516">
        <f>X485/AT485*100</f>
        <v>118.18181818181819</v>
      </c>
      <c r="AM485" s="294"/>
      <c r="AO485" t="b">
        <f t="shared" si="336"/>
        <v>0</v>
      </c>
      <c r="AP485" s="597">
        <v>26.48</v>
      </c>
      <c r="AQ485" s="443">
        <v>26.48</v>
      </c>
      <c r="AR485" s="597">
        <v>26.48</v>
      </c>
      <c r="AS485" s="443">
        <f>__xlfn.XLOOKUP(K485,[1]Izvršenje_proračuna_po_pozicija!$C$25:$C$149,[1]Izvršenje_proračuna_po_pozicija!$E$25:$E$149,0)</f>
        <v>1351.33</v>
      </c>
      <c r="AT485" s="617">
        <v>55000</v>
      </c>
      <c r="AU485" s="478">
        <v>55000</v>
      </c>
      <c r="AV485" s="638">
        <v>65000</v>
      </c>
      <c r="AW485" s="638">
        <v>65000</v>
      </c>
      <c r="AX485" s="655">
        <f t="shared" si="337"/>
        <v>156.16570601096001</v>
      </c>
      <c r="AY485" s="655">
        <f t="shared" si="338"/>
        <v>207703.92749244711</v>
      </c>
      <c r="AZ485" s="655">
        <f t="shared" si="339"/>
        <v>100</v>
      </c>
      <c r="BA485" s="655">
        <f t="shared" si="340"/>
        <v>207703.92749244711</v>
      </c>
      <c r="BB485" s="655">
        <f t="shared" si="341"/>
        <v>118.18181818181819</v>
      </c>
      <c r="BC485" s="655">
        <f t="shared" si="341"/>
        <v>100</v>
      </c>
    </row>
    <row r="486" spans="1:55" ht="12" customHeight="1">
      <c r="A486" s="20"/>
      <c r="B486" s="20"/>
      <c r="C486" s="20"/>
      <c r="D486" s="20"/>
      <c r="E486" s="20"/>
      <c r="F486" s="20"/>
      <c r="G486" s="20"/>
      <c r="H486" s="375"/>
      <c r="I486" s="22"/>
      <c r="J486" s="21"/>
      <c r="K486" s="19"/>
      <c r="L486" s="313"/>
      <c r="M486" s="313"/>
      <c r="N486" s="335"/>
      <c r="O486" s="335"/>
      <c r="P486" s="290"/>
      <c r="Q486" s="290"/>
      <c r="R486" s="439"/>
      <c r="S486" s="294">
        <f>__xlfn.XLOOKUP(H486,[2]Izvršenje_proračuna_po_pozicija!$B$2:$B$153,[2]Izvršenje_proračuna_po_pozicija!$E$2:$E$153,0)</f>
        <v>0</v>
      </c>
      <c r="T486" s="294"/>
      <c r="U486" s="294"/>
      <c r="V486" s="474"/>
      <c r="W486" s="474"/>
      <c r="X486" s="539"/>
      <c r="Y486" s="539"/>
      <c r="Z486" s="541" t="b">
        <f t="shared" si="355"/>
        <v>0</v>
      </c>
      <c r="AA486" s="514"/>
      <c r="AB486" s="515"/>
      <c r="AC486" s="515"/>
      <c r="AD486" s="524"/>
      <c r="AE486" s="524"/>
      <c r="AF486" s="524"/>
      <c r="AG486" s="524"/>
      <c r="AH486" s="514"/>
      <c r="AI486" s="539"/>
      <c r="AJ486" s="516"/>
      <c r="AK486" s="516"/>
      <c r="AL486" s="516"/>
      <c r="AM486" s="290"/>
      <c r="AO486" t="b">
        <f t="shared" si="336"/>
        <v>0</v>
      </c>
      <c r="AQ486" s="439"/>
      <c r="AS486" s="439">
        <f>__xlfn.XLOOKUP(K486,[1]Izvršenje_proračuna_po_pozicija!$C$25:$C$149,[1]Izvršenje_proračuna_po_pozicija!$E$25:$E$149,0)</f>
        <v>0</v>
      </c>
      <c r="AT486" s="616"/>
      <c r="AU486" s="474"/>
      <c r="AV486" s="632"/>
      <c r="AW486" s="632"/>
      <c r="AX486" s="655" t="str">
        <f t="shared" si="337"/>
        <v/>
      </c>
      <c r="AY486" s="655" t="str">
        <f t="shared" si="338"/>
        <v/>
      </c>
      <c r="AZ486" s="655" t="str">
        <f t="shared" si="339"/>
        <v/>
      </c>
      <c r="BA486" s="655" t="str">
        <f t="shared" si="340"/>
        <v/>
      </c>
      <c r="BB486" s="655" t="str">
        <f t="shared" si="341"/>
        <v/>
      </c>
      <c r="BC486" s="655" t="str">
        <f t="shared" si="341"/>
        <v/>
      </c>
    </row>
    <row r="487" spans="1:55" ht="12" customHeight="1">
      <c r="A487" s="142"/>
      <c r="B487" s="142"/>
      <c r="C487" s="142"/>
      <c r="D487" s="142"/>
      <c r="E487" s="142"/>
      <c r="F487" s="142"/>
      <c r="G487" s="142"/>
      <c r="H487" s="390"/>
      <c r="I487" s="143" t="s">
        <v>478</v>
      </c>
      <c r="J487" s="108"/>
      <c r="K487" s="109"/>
      <c r="L487" s="315">
        <f t="shared" ref="L487:S487" si="359">L488+L495+L516</f>
        <v>609673</v>
      </c>
      <c r="M487" s="315">
        <f t="shared" si="359"/>
        <v>80917.512774570307</v>
      </c>
      <c r="N487" s="337">
        <f t="shared" si="359"/>
        <v>1049986</v>
      </c>
      <c r="O487" s="337">
        <f t="shared" si="359"/>
        <v>139357.09071603956</v>
      </c>
      <c r="P487" s="292">
        <f t="shared" si="359"/>
        <v>142700</v>
      </c>
      <c r="Q487" s="292">
        <f t="shared" si="359"/>
        <v>204200</v>
      </c>
      <c r="R487" s="441">
        <f t="shared" si="359"/>
        <v>200252</v>
      </c>
      <c r="S487" s="292">
        <f t="shared" si="359"/>
        <v>88360.14</v>
      </c>
      <c r="T487" s="292"/>
      <c r="U487" s="292"/>
      <c r="V487" s="469">
        <f>V488+V495+V516</f>
        <v>210300</v>
      </c>
      <c r="W487" s="469">
        <f>W488+W495+W516</f>
        <v>199200</v>
      </c>
      <c r="X487" s="522">
        <f>X488+X495+X516</f>
        <v>155000</v>
      </c>
      <c r="Y487" s="522">
        <f>Y488+Y495+Y516</f>
        <v>0</v>
      </c>
      <c r="Z487" s="541" t="b">
        <f t="shared" si="355"/>
        <v>1</v>
      </c>
      <c r="AA487" s="522"/>
      <c r="AB487" s="523">
        <f>AB488+AB495+AB516</f>
        <v>143500</v>
      </c>
      <c r="AC487" s="523">
        <f>AC488+AC495+AC516</f>
        <v>143500</v>
      </c>
      <c r="AD487" s="524">
        <f>O487/M487*100</f>
        <v>172.22117430163385</v>
      </c>
      <c r="AE487" s="524">
        <f>P487/O487*100</f>
        <v>102.39880817458517</v>
      </c>
      <c r="AF487" s="524">
        <f>Q487/P487*100</f>
        <v>143.09740714786267</v>
      </c>
      <c r="AG487" s="524">
        <f>AB487/Q487*100</f>
        <v>70.274240940254657</v>
      </c>
      <c r="AH487" s="522"/>
      <c r="AI487" s="522">
        <v>155000</v>
      </c>
      <c r="AJ487" s="516">
        <f>W487/R487*100</f>
        <v>99.47466192597328</v>
      </c>
      <c r="AK487" s="516">
        <f>AT487/W487*100</f>
        <v>72.489959839357425</v>
      </c>
      <c r="AL487" s="516">
        <f>X487/AT487*100</f>
        <v>107.34072022160666</v>
      </c>
      <c r="AM487" s="292"/>
      <c r="AO487" t="b">
        <f t="shared" si="336"/>
        <v>1</v>
      </c>
      <c r="AP487" s="440">
        <f>AP488+AP495+AP516</f>
        <v>192622.64</v>
      </c>
      <c r="AQ487" s="441">
        <v>192622.64</v>
      </c>
      <c r="AR487" s="440">
        <f>AR488+AR495+AR516</f>
        <v>192622.64</v>
      </c>
      <c r="AS487" s="441">
        <f>AS488+AS495+AS516</f>
        <v>33517.65</v>
      </c>
      <c r="AT487" s="612">
        <f>AT488+AT495+AT516</f>
        <v>144400</v>
      </c>
      <c r="AU487" s="469">
        <f>AU488+AU495+AU516</f>
        <v>220600</v>
      </c>
      <c r="AV487" s="636">
        <v>155000</v>
      </c>
      <c r="AW487" s="636">
        <v>155000</v>
      </c>
      <c r="AX487" s="655">
        <f t="shared" si="337"/>
        <v>72.109142480474603</v>
      </c>
      <c r="AY487" s="655">
        <f t="shared" si="338"/>
        <v>74.965227348145575</v>
      </c>
      <c r="AZ487" s="655">
        <f t="shared" si="339"/>
        <v>152.77008310249306</v>
      </c>
      <c r="BA487" s="655">
        <f t="shared" si="340"/>
        <v>114.52444011773485</v>
      </c>
      <c r="BB487" s="655">
        <f t="shared" si="341"/>
        <v>70.262919310970091</v>
      </c>
      <c r="BC487" s="655">
        <f t="shared" si="341"/>
        <v>100</v>
      </c>
    </row>
    <row r="488" spans="1:55" ht="12" customHeight="1">
      <c r="A488" s="212" t="s">
        <v>474</v>
      </c>
      <c r="B488" s="130"/>
      <c r="C488" s="130"/>
      <c r="D488" s="130"/>
      <c r="E488" s="130"/>
      <c r="F488" s="130"/>
      <c r="G488" s="130"/>
      <c r="H488" s="383"/>
      <c r="I488" s="131" t="s">
        <v>229</v>
      </c>
      <c r="J488" s="112"/>
      <c r="K488" s="113"/>
      <c r="L488" s="315">
        <f t="shared" ref="L488:S488" si="360">L490</f>
        <v>0</v>
      </c>
      <c r="M488" s="315">
        <f t="shared" si="360"/>
        <v>0</v>
      </c>
      <c r="N488" s="337">
        <f t="shared" si="360"/>
        <v>0</v>
      </c>
      <c r="O488" s="337">
        <f t="shared" si="360"/>
        <v>0</v>
      </c>
      <c r="P488" s="292">
        <f t="shared" si="360"/>
        <v>0</v>
      </c>
      <c r="Q488" s="292">
        <f t="shared" si="360"/>
        <v>0</v>
      </c>
      <c r="R488" s="441">
        <f t="shared" si="360"/>
        <v>0</v>
      </c>
      <c r="S488" s="292">
        <f t="shared" si="360"/>
        <v>0</v>
      </c>
      <c r="T488" s="292"/>
      <c r="U488" s="292"/>
      <c r="V488" s="469">
        <f>V490</f>
        <v>0</v>
      </c>
      <c r="W488" s="469">
        <f>W490</f>
        <v>0</v>
      </c>
      <c r="X488" s="522">
        <f>X490</f>
        <v>0</v>
      </c>
      <c r="Y488" s="522">
        <f>Y490</f>
        <v>0</v>
      </c>
      <c r="Z488" s="541" t="b">
        <f t="shared" si="355"/>
        <v>1</v>
      </c>
      <c r="AA488" s="522"/>
      <c r="AB488" s="523">
        <f>AB490</f>
        <v>0</v>
      </c>
      <c r="AC488" s="523">
        <f>AC490</f>
        <v>0</v>
      </c>
      <c r="AD488" s="524"/>
      <c r="AE488" s="524"/>
      <c r="AF488" s="524"/>
      <c r="AG488" s="524"/>
      <c r="AH488" s="522"/>
      <c r="AI488" s="522">
        <v>0</v>
      </c>
      <c r="AJ488" s="516"/>
      <c r="AK488" s="516"/>
      <c r="AL488" s="516"/>
      <c r="AM488" s="292"/>
      <c r="AO488" t="b">
        <f t="shared" si="336"/>
        <v>1</v>
      </c>
      <c r="AP488" s="440">
        <f>AP490</f>
        <v>0</v>
      </c>
      <c r="AQ488" s="441">
        <v>0</v>
      </c>
      <c r="AR488" s="440">
        <f>AR490</f>
        <v>0</v>
      </c>
      <c r="AS488" s="441">
        <f>__xlfn.XLOOKUP(K488,[1]Izvršenje_proračuna_po_pozicija!$C$25:$C$149,[1]Izvršenje_proračuna_po_pozicija!$E$25:$E$149,0)</f>
        <v>0</v>
      </c>
      <c r="AT488" s="612">
        <f>AT490</f>
        <v>0</v>
      </c>
      <c r="AU488" s="469">
        <f>AU490</f>
        <v>7700</v>
      </c>
      <c r="AV488" s="636">
        <v>0</v>
      </c>
      <c r="AW488" s="636">
        <v>0</v>
      </c>
      <c r="AX488" s="655" t="str">
        <f t="shared" si="337"/>
        <v/>
      </c>
      <c r="AY488" s="655" t="str">
        <f t="shared" si="338"/>
        <v/>
      </c>
      <c r="AZ488" s="655" t="str">
        <f t="shared" si="339"/>
        <v/>
      </c>
      <c r="BA488" s="655" t="str">
        <f t="shared" si="340"/>
        <v/>
      </c>
      <c r="BB488" s="655">
        <f t="shared" si="341"/>
        <v>0</v>
      </c>
      <c r="BC488" s="655" t="str">
        <f t="shared" si="341"/>
        <v/>
      </c>
    </row>
    <row r="489" spans="1:55" ht="12" customHeight="1">
      <c r="A489" s="20"/>
      <c r="B489" s="20"/>
      <c r="C489" s="20"/>
      <c r="D489" s="20"/>
      <c r="E489" s="20"/>
      <c r="F489" s="20"/>
      <c r="G489" s="20"/>
      <c r="H489" s="375"/>
      <c r="I489" s="22"/>
      <c r="J489" s="21"/>
      <c r="K489" s="19"/>
      <c r="L489" s="313"/>
      <c r="M489" s="313"/>
      <c r="N489" s="335"/>
      <c r="O489" s="335"/>
      <c r="P489" s="290"/>
      <c r="Q489" s="290"/>
      <c r="R489" s="439"/>
      <c r="S489" s="294">
        <f>__xlfn.XLOOKUP(H489,[2]Izvršenje_proračuna_po_pozicija!$B$2:$B$153,[2]Izvršenje_proračuna_po_pozicija!$E$2:$E$153,0)</f>
        <v>0</v>
      </c>
      <c r="T489" s="294"/>
      <c r="U489" s="294"/>
      <c r="V489" s="474"/>
      <c r="W489" s="474"/>
      <c r="X489" s="539"/>
      <c r="Y489" s="539"/>
      <c r="Z489" s="541" t="b">
        <f t="shared" si="355"/>
        <v>0</v>
      </c>
      <c r="AA489" s="514"/>
      <c r="AB489" s="515"/>
      <c r="AC489" s="515"/>
      <c r="AD489" s="524"/>
      <c r="AE489" s="524"/>
      <c r="AF489" s="524"/>
      <c r="AG489" s="524"/>
      <c r="AH489" s="514"/>
      <c r="AI489" s="539"/>
      <c r="AJ489" s="516"/>
      <c r="AK489" s="516"/>
      <c r="AL489" s="516"/>
      <c r="AM489" s="290"/>
      <c r="AO489" t="b">
        <f t="shared" si="336"/>
        <v>0</v>
      </c>
      <c r="AQ489" s="439"/>
      <c r="AS489" s="439">
        <f>__xlfn.XLOOKUP(K489,[1]Izvršenje_proračuna_po_pozicija!$C$25:$C$149,[1]Izvršenje_proračuna_po_pozicija!$E$25:$E$149,0)</f>
        <v>0</v>
      </c>
      <c r="AT489" s="616"/>
      <c r="AU489" s="474"/>
      <c r="AV489" s="632"/>
      <c r="AW489" s="632"/>
      <c r="AX489" s="655" t="str">
        <f t="shared" si="337"/>
        <v/>
      </c>
      <c r="AY489" s="655" t="str">
        <f t="shared" si="338"/>
        <v/>
      </c>
      <c r="AZ489" s="655" t="str">
        <f t="shared" si="339"/>
        <v/>
      </c>
      <c r="BA489" s="655" t="str">
        <f t="shared" si="340"/>
        <v/>
      </c>
      <c r="BB489" s="655" t="str">
        <f t="shared" si="341"/>
        <v/>
      </c>
      <c r="BC489" s="655" t="str">
        <f t="shared" si="341"/>
        <v/>
      </c>
    </row>
    <row r="490" spans="1:55" ht="12" customHeight="1">
      <c r="A490" s="52"/>
      <c r="B490" s="52"/>
      <c r="C490" s="52"/>
      <c r="D490" s="52"/>
      <c r="E490" s="52"/>
      <c r="F490" s="52"/>
      <c r="G490" s="52"/>
      <c r="H490" s="384"/>
      <c r="I490" s="120"/>
      <c r="J490" s="94">
        <v>3</v>
      </c>
      <c r="K490" s="21" t="s">
        <v>94</v>
      </c>
      <c r="L490" s="315">
        <f t="shared" ref="L490:AC492" si="361">L491</f>
        <v>0</v>
      </c>
      <c r="M490" s="315">
        <f t="shared" si="361"/>
        <v>0</v>
      </c>
      <c r="N490" s="337">
        <f t="shared" si="361"/>
        <v>0</v>
      </c>
      <c r="O490" s="337">
        <f t="shared" si="361"/>
        <v>0</v>
      </c>
      <c r="P490" s="292">
        <f t="shared" si="361"/>
        <v>0</v>
      </c>
      <c r="Q490" s="292">
        <f t="shared" si="361"/>
        <v>0</v>
      </c>
      <c r="R490" s="441">
        <f t="shared" si="361"/>
        <v>0</v>
      </c>
      <c r="S490" s="292">
        <f t="shared" si="361"/>
        <v>0</v>
      </c>
      <c r="T490" s="292"/>
      <c r="U490" s="292"/>
      <c r="V490" s="469">
        <f t="shared" si="361"/>
        <v>0</v>
      </c>
      <c r="W490" s="469">
        <f t="shared" si="361"/>
        <v>0</v>
      </c>
      <c r="X490" s="522">
        <f t="shared" si="361"/>
        <v>0</v>
      </c>
      <c r="Y490" s="522">
        <f t="shared" si="361"/>
        <v>0</v>
      </c>
      <c r="Z490" s="541" t="b">
        <f t="shared" si="355"/>
        <v>1</v>
      </c>
      <c r="AA490" s="522"/>
      <c r="AB490" s="523">
        <f t="shared" si="361"/>
        <v>0</v>
      </c>
      <c r="AC490" s="523">
        <f t="shared" si="361"/>
        <v>0</v>
      </c>
      <c r="AD490" s="524"/>
      <c r="AE490" s="524"/>
      <c r="AF490" s="524"/>
      <c r="AG490" s="524"/>
      <c r="AH490" s="522"/>
      <c r="AI490" s="522">
        <v>0</v>
      </c>
      <c r="AJ490" s="516"/>
      <c r="AK490" s="516"/>
      <c r="AL490" s="516"/>
      <c r="AM490" s="292"/>
      <c r="AO490" t="b">
        <f t="shared" si="336"/>
        <v>1</v>
      </c>
      <c r="AP490" s="440">
        <f>AP491</f>
        <v>0</v>
      </c>
      <c r="AQ490" s="441">
        <v>0</v>
      </c>
      <c r="AR490" s="440">
        <f>AR491</f>
        <v>0</v>
      </c>
      <c r="AS490" s="441">
        <f>__xlfn.XLOOKUP(K490,[1]Izvršenje_proračuna_po_pozicija!$C$25:$C$149,[1]Izvršenje_proračuna_po_pozicija!$E$25:$E$149,0)</f>
        <v>0</v>
      </c>
      <c r="AT490" s="612">
        <f t="shared" ref="AT490:AU492" si="362">AT491</f>
        <v>0</v>
      </c>
      <c r="AU490" s="469">
        <f t="shared" si="362"/>
        <v>7700</v>
      </c>
      <c r="AV490" s="636">
        <v>0</v>
      </c>
      <c r="AW490" s="636">
        <v>0</v>
      </c>
      <c r="AX490" s="655" t="str">
        <f t="shared" si="337"/>
        <v/>
      </c>
      <c r="AY490" s="655" t="str">
        <f t="shared" si="338"/>
        <v/>
      </c>
      <c r="AZ490" s="655" t="str">
        <f t="shared" si="339"/>
        <v/>
      </c>
      <c r="BA490" s="655" t="str">
        <f t="shared" si="340"/>
        <v/>
      </c>
      <c r="BB490" s="655">
        <f t="shared" si="341"/>
        <v>0</v>
      </c>
      <c r="BC490" s="655" t="str">
        <f t="shared" si="341"/>
        <v/>
      </c>
    </row>
    <row r="491" spans="1:55" ht="12" customHeight="1">
      <c r="A491" s="355"/>
      <c r="B491" s="355"/>
      <c r="C491" s="355"/>
      <c r="D491" s="355"/>
      <c r="E491" s="355"/>
      <c r="F491" s="355"/>
      <c r="G491" s="355"/>
      <c r="H491" s="379"/>
      <c r="I491" s="360"/>
      <c r="J491" s="356">
        <v>36</v>
      </c>
      <c r="K491" s="358" t="s">
        <v>561</v>
      </c>
      <c r="L491" s="315">
        <f t="shared" si="361"/>
        <v>0</v>
      </c>
      <c r="M491" s="315">
        <f t="shared" si="361"/>
        <v>0</v>
      </c>
      <c r="N491" s="337">
        <f t="shared" si="361"/>
        <v>0</v>
      </c>
      <c r="O491" s="337">
        <f t="shared" si="361"/>
        <v>0</v>
      </c>
      <c r="P491" s="292">
        <f t="shared" si="361"/>
        <v>0</v>
      </c>
      <c r="Q491" s="292">
        <f t="shared" si="361"/>
        <v>0</v>
      </c>
      <c r="R491" s="441">
        <f t="shared" si="361"/>
        <v>0</v>
      </c>
      <c r="S491" s="292">
        <f t="shared" si="361"/>
        <v>0</v>
      </c>
      <c r="T491" s="292"/>
      <c r="U491" s="292"/>
      <c r="V491" s="469">
        <f t="shared" si="361"/>
        <v>0</v>
      </c>
      <c r="W491" s="469">
        <f t="shared" si="361"/>
        <v>0</v>
      </c>
      <c r="X491" s="522">
        <f t="shared" si="361"/>
        <v>0</v>
      </c>
      <c r="Y491" s="522">
        <f t="shared" si="361"/>
        <v>0</v>
      </c>
      <c r="Z491" s="541" t="b">
        <f t="shared" si="355"/>
        <v>1</v>
      </c>
      <c r="AA491" s="522"/>
      <c r="AB491" s="523">
        <f t="shared" si="361"/>
        <v>0</v>
      </c>
      <c r="AC491" s="523">
        <f t="shared" si="361"/>
        <v>0</v>
      </c>
      <c r="AD491" s="524"/>
      <c r="AE491" s="524"/>
      <c r="AF491" s="524"/>
      <c r="AG491" s="524"/>
      <c r="AH491" s="522"/>
      <c r="AI491" s="522">
        <v>0</v>
      </c>
      <c r="AJ491" s="516"/>
      <c r="AK491" s="516"/>
      <c r="AL491" s="516"/>
      <c r="AM491" s="292"/>
      <c r="AO491" t="b">
        <f t="shared" si="336"/>
        <v>1</v>
      </c>
      <c r="AP491" s="440">
        <f>AP492</f>
        <v>0</v>
      </c>
      <c r="AQ491" s="441">
        <v>0</v>
      </c>
      <c r="AR491" s="440">
        <f>AR492</f>
        <v>0</v>
      </c>
      <c r="AS491" s="441">
        <f>__xlfn.XLOOKUP(K491,[1]Izvršenje_proračuna_po_pozicija!$C$25:$C$149,[1]Izvršenje_proračuna_po_pozicija!$E$25:$E$149,0)</f>
        <v>0</v>
      </c>
      <c r="AT491" s="612">
        <f t="shared" si="362"/>
        <v>0</v>
      </c>
      <c r="AU491" s="469">
        <f t="shared" si="362"/>
        <v>7700</v>
      </c>
      <c r="AV491" s="636">
        <v>0</v>
      </c>
      <c r="AW491" s="636">
        <v>0</v>
      </c>
      <c r="AX491" s="655" t="str">
        <f t="shared" si="337"/>
        <v/>
      </c>
      <c r="AY491" s="655" t="str">
        <f t="shared" si="338"/>
        <v/>
      </c>
      <c r="AZ491" s="655" t="str">
        <f t="shared" si="339"/>
        <v/>
      </c>
      <c r="BA491" s="655" t="str">
        <f t="shared" si="340"/>
        <v/>
      </c>
      <c r="BB491" s="655">
        <f t="shared" si="341"/>
        <v>0</v>
      </c>
      <c r="BC491" s="655" t="str">
        <f t="shared" si="341"/>
        <v/>
      </c>
    </row>
    <row r="492" spans="1:55" ht="12" customHeight="1">
      <c r="A492" s="56"/>
      <c r="B492" s="56"/>
      <c r="C492" s="56"/>
      <c r="D492" s="56"/>
      <c r="E492" s="56"/>
      <c r="F492" s="56"/>
      <c r="G492" s="56"/>
      <c r="H492" s="377"/>
      <c r="I492" s="119"/>
      <c r="J492" s="116">
        <v>366</v>
      </c>
      <c r="K492" s="60" t="s">
        <v>563</v>
      </c>
      <c r="L492" s="315">
        <f t="shared" si="361"/>
        <v>0</v>
      </c>
      <c r="M492" s="315">
        <f t="shared" si="361"/>
        <v>0</v>
      </c>
      <c r="N492" s="337">
        <f t="shared" si="361"/>
        <v>0</v>
      </c>
      <c r="O492" s="337">
        <f t="shared" si="361"/>
        <v>0</v>
      </c>
      <c r="P492" s="292">
        <f t="shared" si="361"/>
        <v>0</v>
      </c>
      <c r="Q492" s="292">
        <f t="shared" si="361"/>
        <v>0</v>
      </c>
      <c r="R492" s="441">
        <f t="shared" si="361"/>
        <v>0</v>
      </c>
      <c r="S492" s="292">
        <f t="shared" si="361"/>
        <v>0</v>
      </c>
      <c r="T492" s="292"/>
      <c r="U492" s="292"/>
      <c r="V492" s="469">
        <f t="shared" si="361"/>
        <v>0</v>
      </c>
      <c r="W492" s="469">
        <f t="shared" si="361"/>
        <v>0</v>
      </c>
      <c r="X492" s="522">
        <f t="shared" si="361"/>
        <v>0</v>
      </c>
      <c r="Y492" s="522">
        <f t="shared" si="361"/>
        <v>0</v>
      </c>
      <c r="Z492" s="541" t="b">
        <f t="shared" si="355"/>
        <v>1</v>
      </c>
      <c r="AA492" s="522"/>
      <c r="AB492" s="523">
        <f t="shared" si="361"/>
        <v>0</v>
      </c>
      <c r="AC492" s="523">
        <f t="shared" si="361"/>
        <v>0</v>
      </c>
      <c r="AD492" s="524"/>
      <c r="AE492" s="524"/>
      <c r="AF492" s="524"/>
      <c r="AG492" s="524"/>
      <c r="AH492" s="522"/>
      <c r="AI492" s="522">
        <v>0</v>
      </c>
      <c r="AJ492" s="516"/>
      <c r="AK492" s="516"/>
      <c r="AL492" s="516"/>
      <c r="AM492" s="292"/>
      <c r="AO492" t="b">
        <f t="shared" si="336"/>
        <v>1</v>
      </c>
      <c r="AP492" s="440">
        <f>AP493</f>
        <v>0</v>
      </c>
      <c r="AQ492" s="441">
        <v>0</v>
      </c>
      <c r="AR492" s="440">
        <f>AR493</f>
        <v>0</v>
      </c>
      <c r="AS492" s="441">
        <f>AS493</f>
        <v>0</v>
      </c>
      <c r="AT492" s="612">
        <f t="shared" si="362"/>
        <v>0</v>
      </c>
      <c r="AU492" s="469">
        <f t="shared" si="362"/>
        <v>7700</v>
      </c>
      <c r="AV492" s="636">
        <v>0</v>
      </c>
      <c r="AW492" s="636">
        <v>0</v>
      </c>
      <c r="AX492" s="655" t="str">
        <f t="shared" si="337"/>
        <v/>
      </c>
      <c r="AY492" s="655" t="str">
        <f t="shared" si="338"/>
        <v/>
      </c>
      <c r="AZ492" s="655" t="str">
        <f t="shared" si="339"/>
        <v/>
      </c>
      <c r="BA492" s="655" t="str">
        <f t="shared" si="340"/>
        <v/>
      </c>
      <c r="BB492" s="655">
        <f t="shared" si="341"/>
        <v>0</v>
      </c>
      <c r="BC492" s="655" t="str">
        <f t="shared" si="341"/>
        <v/>
      </c>
    </row>
    <row r="493" spans="1:55" ht="12" customHeight="1">
      <c r="A493" s="36"/>
      <c r="B493" s="36"/>
      <c r="C493" s="36"/>
      <c r="D493" s="36"/>
      <c r="E493" s="36"/>
      <c r="F493" s="36"/>
      <c r="G493" s="36"/>
      <c r="H493" s="204">
        <v>119</v>
      </c>
      <c r="I493" s="118">
        <v>310</v>
      </c>
      <c r="J493" s="71">
        <v>3661</v>
      </c>
      <c r="K493" s="40" t="s">
        <v>909</v>
      </c>
      <c r="L493" s="309">
        <v>0</v>
      </c>
      <c r="M493" s="309">
        <v>0</v>
      </c>
      <c r="N493" s="339">
        <v>0</v>
      </c>
      <c r="O493" s="339">
        <v>0</v>
      </c>
      <c r="P493" s="294">
        <v>0</v>
      </c>
      <c r="Q493" s="294">
        <v>0</v>
      </c>
      <c r="R493" s="443">
        <v>0</v>
      </c>
      <c r="S493" s="294">
        <f>__xlfn.XLOOKUP(H493,[2]Izvršenje_proračuna_po_pozicija!$B$2:$B$153,[2]Izvršenje_proračuna_po_pozicija!$E$2:$E$153,0)</f>
        <v>0</v>
      </c>
      <c r="T493" s="294"/>
      <c r="U493" s="294"/>
      <c r="V493" s="478">
        <v>0</v>
      </c>
      <c r="W493" s="478"/>
      <c r="X493" s="544"/>
      <c r="Y493" s="544"/>
      <c r="Z493" s="541" t="b">
        <f t="shared" si="355"/>
        <v>0</v>
      </c>
      <c r="AA493" s="527"/>
      <c r="AB493" s="528">
        <v>0</v>
      </c>
      <c r="AC493" s="528">
        <v>0</v>
      </c>
      <c r="AD493" s="524"/>
      <c r="AE493" s="524"/>
      <c r="AF493" s="524"/>
      <c r="AG493" s="524"/>
      <c r="AH493" s="527"/>
      <c r="AI493" s="544"/>
      <c r="AJ493" s="516"/>
      <c r="AK493" s="516"/>
      <c r="AL493" s="516"/>
      <c r="AM493" s="294"/>
      <c r="AO493" t="b">
        <f t="shared" si="336"/>
        <v>0</v>
      </c>
      <c r="AQ493" s="443"/>
      <c r="AS493" s="443">
        <f>__xlfn.XLOOKUP(K493,[1]Izvršenje_proračuna_po_pozicija!$C$25:$C$149,[1]Izvršenje_proračuna_po_pozicija!$E$25:$E$149,0)</f>
        <v>0</v>
      </c>
      <c r="AT493" s="617"/>
      <c r="AU493" s="478">
        <v>7700</v>
      </c>
      <c r="AV493" s="638"/>
      <c r="AW493" s="638"/>
      <c r="AX493" s="655" t="str">
        <f t="shared" si="337"/>
        <v/>
      </c>
      <c r="AY493" s="655" t="str">
        <f t="shared" si="338"/>
        <v/>
      </c>
      <c r="AZ493" s="655" t="str">
        <f t="shared" si="339"/>
        <v/>
      </c>
      <c r="BA493" s="655" t="str">
        <f t="shared" si="340"/>
        <v/>
      </c>
      <c r="BB493" s="655" t="str">
        <f t="shared" si="341"/>
        <v/>
      </c>
      <c r="BC493" s="655" t="str">
        <f t="shared" si="341"/>
        <v/>
      </c>
    </row>
    <row r="494" spans="1:55" ht="12" customHeight="1">
      <c r="A494" s="25"/>
      <c r="B494" s="25"/>
      <c r="C494" s="25"/>
      <c r="D494" s="25"/>
      <c r="E494" s="25"/>
      <c r="F494" s="25"/>
      <c r="G494" s="25"/>
      <c r="H494" s="382"/>
      <c r="I494" s="114"/>
      <c r="J494" s="94"/>
      <c r="K494" s="26"/>
      <c r="L494" s="317"/>
      <c r="M494" s="317"/>
      <c r="N494" s="341"/>
      <c r="O494" s="341"/>
      <c r="P494" s="296"/>
      <c r="Q494" s="296"/>
      <c r="R494" s="445"/>
      <c r="S494" s="294">
        <f>__xlfn.XLOOKUP(H494,[2]Izvršenje_proračuna_po_pozicija!$B$2:$B$153,[2]Izvršenje_proračuna_po_pozicija!$E$2:$E$153,0)</f>
        <v>0</v>
      </c>
      <c r="T494" s="294"/>
      <c r="U494" s="294"/>
      <c r="V494" s="481"/>
      <c r="W494" s="481"/>
      <c r="X494" s="549"/>
      <c r="Y494" s="549"/>
      <c r="Z494" s="541" t="b">
        <f t="shared" si="355"/>
        <v>0</v>
      </c>
      <c r="AA494" s="531"/>
      <c r="AB494" s="532"/>
      <c r="AC494" s="532"/>
      <c r="AD494" s="524"/>
      <c r="AE494" s="524"/>
      <c r="AF494" s="524"/>
      <c r="AG494" s="524"/>
      <c r="AH494" s="531"/>
      <c r="AI494" s="549"/>
      <c r="AJ494" s="516"/>
      <c r="AK494" s="516"/>
      <c r="AL494" s="516"/>
      <c r="AM494" s="296"/>
      <c r="AO494" t="b">
        <f t="shared" si="336"/>
        <v>0</v>
      </c>
      <c r="AQ494" s="445"/>
      <c r="AS494" s="445">
        <f>__xlfn.XLOOKUP(K494,[1]Izvršenje_proračuna_po_pozicija!$C$25:$C$149,[1]Izvršenje_proračuna_po_pozicija!$E$25:$E$149,0)</f>
        <v>0</v>
      </c>
      <c r="AT494" s="616"/>
      <c r="AU494" s="481"/>
      <c r="AV494" s="640"/>
      <c r="AW494" s="640"/>
      <c r="AX494" s="655" t="str">
        <f t="shared" si="337"/>
        <v/>
      </c>
      <c r="AY494" s="655" t="str">
        <f t="shared" si="338"/>
        <v/>
      </c>
      <c r="AZ494" s="655" t="str">
        <f t="shared" si="339"/>
        <v/>
      </c>
      <c r="BA494" s="655" t="str">
        <f t="shared" si="340"/>
        <v/>
      </c>
      <c r="BB494" s="655" t="str">
        <f t="shared" si="341"/>
        <v/>
      </c>
      <c r="BC494" s="655" t="str">
        <f t="shared" si="341"/>
        <v/>
      </c>
    </row>
    <row r="495" spans="1:55" ht="12" customHeight="1">
      <c r="A495" s="212" t="s">
        <v>475</v>
      </c>
      <c r="B495" s="130"/>
      <c r="C495" s="130"/>
      <c r="D495" s="130"/>
      <c r="E495" s="130"/>
      <c r="F495" s="130"/>
      <c r="G495" s="130"/>
      <c r="H495" s="383"/>
      <c r="I495" s="131" t="s">
        <v>231</v>
      </c>
      <c r="J495" s="112"/>
      <c r="K495" s="113"/>
      <c r="L495" s="315">
        <f t="shared" ref="L495:S495" si="363">L497</f>
        <v>609673</v>
      </c>
      <c r="M495" s="315">
        <f t="shared" si="363"/>
        <v>80917.512774570307</v>
      </c>
      <c r="N495" s="337">
        <f t="shared" si="363"/>
        <v>1049986</v>
      </c>
      <c r="O495" s="337">
        <f t="shared" si="363"/>
        <v>139357.09071603956</v>
      </c>
      <c r="P495" s="292">
        <f t="shared" si="363"/>
        <v>142700</v>
      </c>
      <c r="Q495" s="292">
        <f t="shared" si="363"/>
        <v>204200</v>
      </c>
      <c r="R495" s="441">
        <f t="shared" si="363"/>
        <v>200252</v>
      </c>
      <c r="S495" s="292">
        <f t="shared" si="363"/>
        <v>88360.14</v>
      </c>
      <c r="T495" s="292"/>
      <c r="U495" s="292"/>
      <c r="V495" s="469">
        <f>V497</f>
        <v>210300</v>
      </c>
      <c r="W495" s="469">
        <f>W497</f>
        <v>199200</v>
      </c>
      <c r="X495" s="522">
        <f>X497</f>
        <v>155000</v>
      </c>
      <c r="Y495" s="522">
        <f>Y497</f>
        <v>0</v>
      </c>
      <c r="Z495" s="541" t="b">
        <f t="shared" si="355"/>
        <v>1</v>
      </c>
      <c r="AA495" s="522"/>
      <c r="AB495" s="523">
        <f>AB497</f>
        <v>143500</v>
      </c>
      <c r="AC495" s="523">
        <f>AC497</f>
        <v>143500</v>
      </c>
      <c r="AD495" s="524">
        <f>O495/M495*100</f>
        <v>172.22117430163385</v>
      </c>
      <c r="AE495" s="524">
        <f>P495/O495*100</f>
        <v>102.39880817458517</v>
      </c>
      <c r="AF495" s="524">
        <f>Q495/P495*100</f>
        <v>143.09740714786267</v>
      </c>
      <c r="AG495" s="524">
        <f>AB495/Q495*100</f>
        <v>70.274240940254657</v>
      </c>
      <c r="AH495" s="522"/>
      <c r="AI495" s="522">
        <v>155000</v>
      </c>
      <c r="AJ495" s="516">
        <f>W495/R495*100</f>
        <v>99.47466192597328</v>
      </c>
      <c r="AK495" s="516">
        <f>AT495/W495*100</f>
        <v>72.489959839357425</v>
      </c>
      <c r="AL495" s="516">
        <f>X495/AT495*100</f>
        <v>107.34072022160666</v>
      </c>
      <c r="AM495" s="292"/>
      <c r="AO495" t="b">
        <f t="shared" si="336"/>
        <v>1</v>
      </c>
      <c r="AP495" s="440">
        <f>AP497</f>
        <v>192622.64</v>
      </c>
      <c r="AQ495" s="441">
        <v>192622.64</v>
      </c>
      <c r="AR495" s="440">
        <f>AR497</f>
        <v>192622.64</v>
      </c>
      <c r="AS495" s="441">
        <f>AS497</f>
        <v>33517.65</v>
      </c>
      <c r="AT495" s="612">
        <f>AT497</f>
        <v>144400</v>
      </c>
      <c r="AU495" s="469">
        <f>AU497</f>
        <v>212900</v>
      </c>
      <c r="AV495" s="636">
        <v>155000</v>
      </c>
      <c r="AW495" s="636">
        <v>155000</v>
      </c>
      <c r="AX495" s="655">
        <f t="shared" si="337"/>
        <v>72.109142480474603</v>
      </c>
      <c r="AY495" s="655">
        <f t="shared" si="338"/>
        <v>74.965227348145575</v>
      </c>
      <c r="AZ495" s="655">
        <f t="shared" si="339"/>
        <v>147.4376731301939</v>
      </c>
      <c r="BA495" s="655">
        <f t="shared" si="340"/>
        <v>110.5269868588656</v>
      </c>
      <c r="BB495" s="655">
        <f t="shared" si="341"/>
        <v>72.804133395960548</v>
      </c>
      <c r="BC495" s="655">
        <f t="shared" si="341"/>
        <v>100</v>
      </c>
    </row>
    <row r="496" spans="1:55" ht="12" customHeight="1">
      <c r="A496" s="36"/>
      <c r="B496" s="36"/>
      <c r="C496" s="36"/>
      <c r="D496" s="36"/>
      <c r="E496" s="36"/>
      <c r="F496" s="36"/>
      <c r="G496" s="36"/>
      <c r="H496" s="204"/>
      <c r="I496" s="118"/>
      <c r="J496" s="71"/>
      <c r="K496" s="40"/>
      <c r="L496" s="316"/>
      <c r="M496" s="316"/>
      <c r="N496" s="338"/>
      <c r="O496" s="338"/>
      <c r="P496" s="293"/>
      <c r="Q496" s="293"/>
      <c r="R496" s="442"/>
      <c r="S496" s="294">
        <f>__xlfn.XLOOKUP(H496,[2]Izvršenje_proračuna_po_pozicija!$B$2:$B$153,[2]Izvršenje_proračuna_po_pozicija!$E$2:$E$153,0)</f>
        <v>0</v>
      </c>
      <c r="T496" s="294"/>
      <c r="U496" s="294"/>
      <c r="V496" s="475"/>
      <c r="W496" s="475"/>
      <c r="X496" s="540"/>
      <c r="Y496" s="540"/>
      <c r="Z496" s="541" t="b">
        <f t="shared" si="355"/>
        <v>0</v>
      </c>
      <c r="AA496" s="525"/>
      <c r="AB496" s="526"/>
      <c r="AC496" s="526"/>
      <c r="AD496" s="524"/>
      <c r="AE496" s="524"/>
      <c r="AF496" s="524"/>
      <c r="AG496" s="524"/>
      <c r="AH496" s="525"/>
      <c r="AI496" s="540"/>
      <c r="AJ496" s="516"/>
      <c r="AK496" s="516"/>
      <c r="AL496" s="516"/>
      <c r="AM496" s="293"/>
      <c r="AO496" t="b">
        <f t="shared" si="336"/>
        <v>0</v>
      </c>
      <c r="AQ496" s="442"/>
      <c r="AS496" s="442"/>
      <c r="AT496" s="617"/>
      <c r="AU496" s="475"/>
      <c r="AV496" s="637"/>
      <c r="AW496" s="637"/>
      <c r="AX496" s="655" t="str">
        <f t="shared" si="337"/>
        <v/>
      </c>
      <c r="AY496" s="655" t="str">
        <f t="shared" si="338"/>
        <v/>
      </c>
      <c r="AZ496" s="655" t="str">
        <f t="shared" si="339"/>
        <v/>
      </c>
      <c r="BA496" s="655" t="str">
        <f t="shared" si="340"/>
        <v/>
      </c>
      <c r="BB496" s="655" t="str">
        <f t="shared" si="341"/>
        <v/>
      </c>
      <c r="BC496" s="655" t="str">
        <f t="shared" si="341"/>
        <v/>
      </c>
    </row>
    <row r="497" spans="1:55" ht="12" customHeight="1">
      <c r="A497" s="52"/>
      <c r="B497" s="52"/>
      <c r="C497" s="52"/>
      <c r="D497" s="52"/>
      <c r="E497" s="52"/>
      <c r="F497" s="52"/>
      <c r="G497" s="52"/>
      <c r="H497" s="384"/>
      <c r="I497" s="120"/>
      <c r="J497" s="94">
        <v>3</v>
      </c>
      <c r="K497" s="21" t="s">
        <v>94</v>
      </c>
      <c r="L497" s="315">
        <f t="shared" ref="L497:S497" si="364">L499+L508</f>
        <v>609673</v>
      </c>
      <c r="M497" s="315">
        <f t="shared" si="364"/>
        <v>80917.512774570307</v>
      </c>
      <c r="N497" s="337">
        <f t="shared" si="364"/>
        <v>1049986</v>
      </c>
      <c r="O497" s="337">
        <f t="shared" si="364"/>
        <v>139357.09071603956</v>
      </c>
      <c r="P497" s="292">
        <f t="shared" si="364"/>
        <v>142700</v>
      </c>
      <c r="Q497" s="292">
        <f t="shared" si="364"/>
        <v>204200</v>
      </c>
      <c r="R497" s="441">
        <f t="shared" si="364"/>
        <v>200252</v>
      </c>
      <c r="S497" s="292">
        <f t="shared" si="364"/>
        <v>88360.14</v>
      </c>
      <c r="T497" s="292"/>
      <c r="U497" s="292"/>
      <c r="V497" s="469">
        <f>V499+V508</f>
        <v>210300</v>
      </c>
      <c r="W497" s="469">
        <f>W499+W508</f>
        <v>199200</v>
      </c>
      <c r="X497" s="522">
        <f>X499+X508</f>
        <v>155000</v>
      </c>
      <c r="Y497" s="522">
        <f>Y499+Y508</f>
        <v>0</v>
      </c>
      <c r="Z497" s="541" t="b">
        <f t="shared" si="355"/>
        <v>1</v>
      </c>
      <c r="AA497" s="522"/>
      <c r="AB497" s="523">
        <f>AB499+AB508</f>
        <v>143500</v>
      </c>
      <c r="AC497" s="523">
        <f>AC499+AC508</f>
        <v>143500</v>
      </c>
      <c r="AD497" s="524">
        <f>O497/M497*100</f>
        <v>172.22117430163385</v>
      </c>
      <c r="AE497" s="524">
        <f>P497/O497*100</f>
        <v>102.39880817458517</v>
      </c>
      <c r="AF497" s="524">
        <f>Q497/P497*100</f>
        <v>143.09740714786267</v>
      </c>
      <c r="AG497" s="524">
        <f>AB497/Q497*100</f>
        <v>70.274240940254657</v>
      </c>
      <c r="AH497" s="522"/>
      <c r="AI497" s="522">
        <v>155000</v>
      </c>
      <c r="AJ497" s="516">
        <f>W497/R497*100</f>
        <v>99.47466192597328</v>
      </c>
      <c r="AK497" s="516">
        <f>AT497/W497*100</f>
        <v>72.489959839357425</v>
      </c>
      <c r="AL497" s="516">
        <f>X497/AT497*100</f>
        <v>107.34072022160666</v>
      </c>
      <c r="AM497" s="292"/>
      <c r="AO497" t="b">
        <f t="shared" si="336"/>
        <v>1</v>
      </c>
      <c r="AP497" s="440">
        <f>AP499+AP508</f>
        <v>192622.64</v>
      </c>
      <c r="AQ497" s="441">
        <v>192622.64</v>
      </c>
      <c r="AR497" s="440">
        <f>AR499+AR508</f>
        <v>192622.64</v>
      </c>
      <c r="AS497" s="441">
        <f>AS499+AS508</f>
        <v>33517.65</v>
      </c>
      <c r="AT497" s="612">
        <f>AT499+AT508</f>
        <v>144400</v>
      </c>
      <c r="AU497" s="469">
        <f>AU499+AU508+AU504</f>
        <v>212900</v>
      </c>
      <c r="AV497" s="636">
        <v>155000</v>
      </c>
      <c r="AW497" s="636">
        <v>155000</v>
      </c>
      <c r="AX497" s="655">
        <f t="shared" si="337"/>
        <v>72.109142480474603</v>
      </c>
      <c r="AY497" s="655">
        <f t="shared" si="338"/>
        <v>74.965227348145575</v>
      </c>
      <c r="AZ497" s="655">
        <f t="shared" si="339"/>
        <v>147.4376731301939</v>
      </c>
      <c r="BA497" s="655">
        <f t="shared" si="340"/>
        <v>110.5269868588656</v>
      </c>
      <c r="BB497" s="655">
        <f t="shared" si="341"/>
        <v>72.804133395960548</v>
      </c>
      <c r="BC497" s="655">
        <f t="shared" si="341"/>
        <v>100</v>
      </c>
    </row>
    <row r="498" spans="1:55" ht="12" customHeight="1">
      <c r="A498" s="20"/>
      <c r="B498" s="20"/>
      <c r="C498" s="20"/>
      <c r="D498" s="20"/>
      <c r="E498" s="20"/>
      <c r="F498" s="20"/>
      <c r="G498" s="20"/>
      <c r="H498" s="375"/>
      <c r="I498" s="22"/>
      <c r="J498" s="21"/>
      <c r="K498" s="19"/>
      <c r="L498" s="313"/>
      <c r="M498" s="313"/>
      <c r="N498" s="335"/>
      <c r="O498" s="335"/>
      <c r="P498" s="290"/>
      <c r="Q498" s="290"/>
      <c r="R498" s="439"/>
      <c r="S498" s="294">
        <f>__xlfn.XLOOKUP(H498,[2]Izvršenje_proračuna_po_pozicija!$B$2:$B$153,[2]Izvršenje_proračuna_po_pozicija!$E$2:$E$153,0)</f>
        <v>0</v>
      </c>
      <c r="T498" s="294"/>
      <c r="U498" s="294"/>
      <c r="V498" s="474"/>
      <c r="W498" s="474"/>
      <c r="X498" s="539"/>
      <c r="Y498" s="539"/>
      <c r="Z498" s="541" t="b">
        <f t="shared" si="355"/>
        <v>0</v>
      </c>
      <c r="AA498" s="514"/>
      <c r="AB498" s="515"/>
      <c r="AC498" s="515"/>
      <c r="AD498" s="524"/>
      <c r="AE498" s="524"/>
      <c r="AF498" s="524"/>
      <c r="AG498" s="524"/>
      <c r="AH498" s="514"/>
      <c r="AI498" s="539"/>
      <c r="AJ498" s="516"/>
      <c r="AK498" s="516"/>
      <c r="AL498" s="516"/>
      <c r="AM498" s="290"/>
      <c r="AO498" t="b">
        <f t="shared" si="336"/>
        <v>0</v>
      </c>
      <c r="AQ498" s="439"/>
      <c r="AS498" s="439"/>
      <c r="AT498" s="616"/>
      <c r="AU498" s="474"/>
      <c r="AV498" s="632"/>
      <c r="AW498" s="632"/>
      <c r="AX498" s="655" t="str">
        <f t="shared" si="337"/>
        <v/>
      </c>
      <c r="AY498" s="655" t="str">
        <f t="shared" si="338"/>
        <v/>
      </c>
      <c r="AZ498" s="655" t="str">
        <f t="shared" si="339"/>
        <v/>
      </c>
      <c r="BA498" s="655" t="str">
        <f t="shared" si="340"/>
        <v/>
      </c>
      <c r="BB498" s="655" t="str">
        <f t="shared" si="341"/>
        <v/>
      </c>
      <c r="BC498" s="655" t="str">
        <f t="shared" si="341"/>
        <v/>
      </c>
    </row>
    <row r="499" spans="1:55" ht="12" customHeight="1">
      <c r="A499" s="355"/>
      <c r="B499" s="355"/>
      <c r="C499" s="355"/>
      <c r="D499" s="355"/>
      <c r="E499" s="355"/>
      <c r="F499" s="355"/>
      <c r="G499" s="355"/>
      <c r="H499" s="379"/>
      <c r="I499" s="360"/>
      <c r="J499" s="356">
        <v>32</v>
      </c>
      <c r="K499" s="358" t="s">
        <v>103</v>
      </c>
      <c r="L499" s="315">
        <f t="shared" ref="L499:AC499" si="365">L500</f>
        <v>9625</v>
      </c>
      <c r="M499" s="315">
        <f t="shared" si="365"/>
        <v>1277.4570309907756</v>
      </c>
      <c r="N499" s="337">
        <f t="shared" si="365"/>
        <v>17250</v>
      </c>
      <c r="O499" s="337">
        <f t="shared" si="365"/>
        <v>2289.4684451522994</v>
      </c>
      <c r="P499" s="292">
        <f t="shared" si="365"/>
        <v>5500</v>
      </c>
      <c r="Q499" s="292">
        <f t="shared" si="365"/>
        <v>5500</v>
      </c>
      <c r="R499" s="441">
        <f t="shared" si="365"/>
        <v>1530</v>
      </c>
      <c r="S499" s="292">
        <f t="shared" si="365"/>
        <v>2507</v>
      </c>
      <c r="T499" s="292"/>
      <c r="U499" s="292"/>
      <c r="V499" s="469">
        <f t="shared" si="365"/>
        <v>5500</v>
      </c>
      <c r="W499" s="469">
        <f t="shared" si="365"/>
        <v>2800</v>
      </c>
      <c r="X499" s="522">
        <f t="shared" si="365"/>
        <v>6000</v>
      </c>
      <c r="Y499" s="522">
        <f t="shared" si="365"/>
        <v>0</v>
      </c>
      <c r="Z499" s="541" t="b">
        <f t="shared" si="355"/>
        <v>1</v>
      </c>
      <c r="AA499" s="522"/>
      <c r="AB499" s="523">
        <f t="shared" si="365"/>
        <v>6000</v>
      </c>
      <c r="AC499" s="523">
        <f t="shared" si="365"/>
        <v>6000</v>
      </c>
      <c r="AD499" s="524">
        <f>O499/M499*100</f>
        <v>179.22077922077924</v>
      </c>
      <c r="AE499" s="524">
        <f t="shared" ref="AE499:AF501" si="366">P499/O499*100</f>
        <v>240.23043478260871</v>
      </c>
      <c r="AF499" s="524">
        <f t="shared" si="366"/>
        <v>100</v>
      </c>
      <c r="AG499" s="524">
        <f>AB499/Q499*100</f>
        <v>109.09090909090908</v>
      </c>
      <c r="AH499" s="522"/>
      <c r="AI499" s="522">
        <v>6000</v>
      </c>
      <c r="AJ499" s="516">
        <f>W499/R499*100</f>
        <v>183.00653594771242</v>
      </c>
      <c r="AK499" s="516">
        <f>AT499/W499*100</f>
        <v>214.28571428571428</v>
      </c>
      <c r="AL499" s="516">
        <f>X499/AT499*100</f>
        <v>100</v>
      </c>
      <c r="AM499" s="292"/>
      <c r="AO499" t="b">
        <f t="shared" si="336"/>
        <v>1</v>
      </c>
      <c r="AP499" s="440">
        <f t="shared" ref="AP499:AU499" si="367">AP500</f>
        <v>2769.5</v>
      </c>
      <c r="AQ499" s="441">
        <v>2769.5</v>
      </c>
      <c r="AR499" s="440">
        <f>AR500</f>
        <v>2769.5</v>
      </c>
      <c r="AS499" s="441">
        <f t="shared" si="367"/>
        <v>1756.25</v>
      </c>
      <c r="AT499" s="612">
        <f>AT500</f>
        <v>6000</v>
      </c>
      <c r="AU499" s="469">
        <f t="shared" si="367"/>
        <v>6000</v>
      </c>
      <c r="AV499" s="636">
        <v>6000</v>
      </c>
      <c r="AW499" s="636">
        <v>6000</v>
      </c>
      <c r="AX499" s="655">
        <f t="shared" si="337"/>
        <v>392.15686274509801</v>
      </c>
      <c r="AY499" s="655">
        <f t="shared" si="338"/>
        <v>216.64560389962085</v>
      </c>
      <c r="AZ499" s="655">
        <f t="shared" si="339"/>
        <v>100</v>
      </c>
      <c r="BA499" s="655">
        <f t="shared" si="340"/>
        <v>216.64560389962085</v>
      </c>
      <c r="BB499" s="655">
        <f t="shared" si="341"/>
        <v>100</v>
      </c>
      <c r="BC499" s="655">
        <f t="shared" si="341"/>
        <v>100</v>
      </c>
    </row>
    <row r="500" spans="1:55" ht="12" customHeight="1">
      <c r="A500" s="56"/>
      <c r="B500" s="56"/>
      <c r="C500" s="56"/>
      <c r="D500" s="56"/>
      <c r="E500" s="56"/>
      <c r="F500" s="56"/>
      <c r="G500" s="56"/>
      <c r="H500" s="377"/>
      <c r="I500" s="119"/>
      <c r="J500" s="116">
        <v>329</v>
      </c>
      <c r="K500" s="60" t="s">
        <v>232</v>
      </c>
      <c r="L500" s="315">
        <f t="shared" ref="L500:S500" si="368">L501+L502</f>
        <v>9625</v>
      </c>
      <c r="M500" s="315">
        <f t="shared" si="368"/>
        <v>1277.4570309907756</v>
      </c>
      <c r="N500" s="337">
        <f t="shared" si="368"/>
        <v>17250</v>
      </c>
      <c r="O500" s="337">
        <f t="shared" si="368"/>
        <v>2289.4684451522994</v>
      </c>
      <c r="P500" s="292">
        <f t="shared" si="368"/>
        <v>5500</v>
      </c>
      <c r="Q500" s="292">
        <f t="shared" si="368"/>
        <v>5500</v>
      </c>
      <c r="R500" s="441">
        <f t="shared" si="368"/>
        <v>1530</v>
      </c>
      <c r="S500" s="292">
        <f t="shared" si="368"/>
        <v>2507</v>
      </c>
      <c r="T500" s="292"/>
      <c r="U500" s="292"/>
      <c r="V500" s="469">
        <f>V501+V502</f>
        <v>5500</v>
      </c>
      <c r="W500" s="469">
        <f>W501+W502</f>
        <v>2800</v>
      </c>
      <c r="X500" s="522">
        <f>X501+X502</f>
        <v>6000</v>
      </c>
      <c r="Y500" s="522">
        <f>Y501+Y502</f>
        <v>0</v>
      </c>
      <c r="Z500" s="541" t="b">
        <f t="shared" si="355"/>
        <v>1</v>
      </c>
      <c r="AA500" s="522"/>
      <c r="AB500" s="523">
        <f>AB501+AB502</f>
        <v>6000</v>
      </c>
      <c r="AC500" s="523">
        <f>AC501+AC502</f>
        <v>6000</v>
      </c>
      <c r="AD500" s="524">
        <f>O500/M500*100</f>
        <v>179.22077922077924</v>
      </c>
      <c r="AE500" s="524">
        <f t="shared" si="366"/>
        <v>240.23043478260871</v>
      </c>
      <c r="AF500" s="524">
        <f t="shared" si="366"/>
        <v>100</v>
      </c>
      <c r="AG500" s="524">
        <f>AB500/Q500*100</f>
        <v>109.09090909090908</v>
      </c>
      <c r="AH500" s="522"/>
      <c r="AI500" s="522">
        <v>6000</v>
      </c>
      <c r="AJ500" s="516">
        <f>W500/R500*100</f>
        <v>183.00653594771242</v>
      </c>
      <c r="AK500" s="516">
        <f>AT500/W500*100</f>
        <v>214.28571428571428</v>
      </c>
      <c r="AL500" s="516">
        <f>X500/AT500*100</f>
        <v>100</v>
      </c>
      <c r="AM500" s="292"/>
      <c r="AO500" t="b">
        <f t="shared" si="336"/>
        <v>1</v>
      </c>
      <c r="AP500" s="440">
        <f>AP501+AP502</f>
        <v>2769.5</v>
      </c>
      <c r="AQ500" s="441">
        <v>2769.5</v>
      </c>
      <c r="AR500" s="440">
        <f>AR501+AR502</f>
        <v>2769.5</v>
      </c>
      <c r="AS500" s="441">
        <f>AS501+AS502</f>
        <v>1756.25</v>
      </c>
      <c r="AT500" s="612">
        <f>AT501+AT502</f>
        <v>6000</v>
      </c>
      <c r="AU500" s="469">
        <f>AU501+AU502</f>
        <v>6000</v>
      </c>
      <c r="AV500" s="636">
        <v>6000</v>
      </c>
      <c r="AW500" s="636">
        <v>6000</v>
      </c>
      <c r="AX500" s="655">
        <f t="shared" si="337"/>
        <v>392.15686274509801</v>
      </c>
      <c r="AY500" s="655">
        <f t="shared" si="338"/>
        <v>216.64560389962085</v>
      </c>
      <c r="AZ500" s="655">
        <f t="shared" si="339"/>
        <v>100</v>
      </c>
      <c r="BA500" s="655">
        <f t="shared" si="340"/>
        <v>216.64560389962085</v>
      </c>
      <c r="BB500" s="655">
        <f t="shared" si="341"/>
        <v>100</v>
      </c>
      <c r="BC500" s="655">
        <f t="shared" si="341"/>
        <v>100</v>
      </c>
    </row>
    <row r="501" spans="1:55" ht="12" customHeight="1">
      <c r="A501" s="36"/>
      <c r="B501" s="36"/>
      <c r="C501" s="36"/>
      <c r="D501" s="36"/>
      <c r="E501" s="36"/>
      <c r="F501" s="36"/>
      <c r="G501" s="36"/>
      <c r="H501" s="204" t="s">
        <v>233</v>
      </c>
      <c r="I501" s="118">
        <v>320</v>
      </c>
      <c r="J501" s="71">
        <v>3299</v>
      </c>
      <c r="K501" s="40" t="s">
        <v>552</v>
      </c>
      <c r="L501" s="309">
        <v>9625</v>
      </c>
      <c r="M501" s="309">
        <f>9625/7.5345</f>
        <v>1277.4570309907756</v>
      </c>
      <c r="N501" s="339">
        <v>17250</v>
      </c>
      <c r="O501" s="339">
        <f>N501/7.5345</f>
        <v>2289.4684451522994</v>
      </c>
      <c r="P501" s="294">
        <v>2800</v>
      </c>
      <c r="Q501" s="294">
        <v>2800</v>
      </c>
      <c r="R501" s="443">
        <v>1530</v>
      </c>
      <c r="S501" s="294">
        <f>__xlfn.XLOOKUP(H501,[2]Izvršenje_proračuna_po_pozicija!$B$2:$B$153,[2]Izvršenje_proračuna_po_pozicija!$E$2:$E$153,0)</f>
        <v>2507</v>
      </c>
      <c r="T501" s="294"/>
      <c r="U501" s="294"/>
      <c r="V501" s="478">
        <v>2800</v>
      </c>
      <c r="W501" s="478">
        <v>2800</v>
      </c>
      <c r="X501" s="544">
        <v>3000</v>
      </c>
      <c r="Y501" s="544"/>
      <c r="Z501" s="541" t="b">
        <f t="shared" si="355"/>
        <v>0</v>
      </c>
      <c r="AA501" s="527"/>
      <c r="AB501" s="528">
        <v>3000</v>
      </c>
      <c r="AC501" s="528">
        <v>3000</v>
      </c>
      <c r="AD501" s="524">
        <f>O501/M501*100</f>
        <v>179.22077922077924</v>
      </c>
      <c r="AE501" s="524">
        <f t="shared" si="366"/>
        <v>122.2991304347826</v>
      </c>
      <c r="AF501" s="524">
        <f t="shared" si="366"/>
        <v>100</v>
      </c>
      <c r="AG501" s="524">
        <f>AB501/Q501*100</f>
        <v>107.14285714285714</v>
      </c>
      <c r="AH501" s="527"/>
      <c r="AI501" s="544">
        <v>3000</v>
      </c>
      <c r="AJ501" s="516">
        <f>W501/R501*100</f>
        <v>183.00653594771242</v>
      </c>
      <c r="AK501" s="516">
        <f>AT501/W501*100</f>
        <v>107.14285714285714</v>
      </c>
      <c r="AL501" s="516">
        <f>X501/AT501*100</f>
        <v>100</v>
      </c>
      <c r="AM501" s="294"/>
      <c r="AO501" t="b">
        <f t="shared" si="336"/>
        <v>0</v>
      </c>
      <c r="AP501" s="493">
        <v>2769.5</v>
      </c>
      <c r="AQ501" s="443">
        <v>2769.5</v>
      </c>
      <c r="AR501" s="493">
        <v>2769.5</v>
      </c>
      <c r="AS501" s="443">
        <v>1756.25</v>
      </c>
      <c r="AT501" s="617">
        <v>3000</v>
      </c>
      <c r="AU501" s="478">
        <v>3000</v>
      </c>
      <c r="AV501" s="638">
        <v>3000</v>
      </c>
      <c r="AW501" s="638">
        <v>3000</v>
      </c>
      <c r="AX501" s="655">
        <f t="shared" si="337"/>
        <v>196.07843137254901</v>
      </c>
      <c r="AY501" s="655">
        <f t="shared" si="338"/>
        <v>108.32280194981043</v>
      </c>
      <c r="AZ501" s="655">
        <f t="shared" si="339"/>
        <v>100</v>
      </c>
      <c r="BA501" s="655">
        <f t="shared" si="340"/>
        <v>108.32280194981043</v>
      </c>
      <c r="BB501" s="655">
        <f t="shared" si="341"/>
        <v>100</v>
      </c>
      <c r="BC501" s="655">
        <f t="shared" si="341"/>
        <v>100</v>
      </c>
    </row>
    <row r="502" spans="1:55" ht="12" customHeight="1">
      <c r="A502" s="36"/>
      <c r="B502" s="36"/>
      <c r="C502" s="36"/>
      <c r="D502" s="36"/>
      <c r="E502" s="36"/>
      <c r="F502" s="36"/>
      <c r="G502" s="36"/>
      <c r="H502" s="204" t="s">
        <v>234</v>
      </c>
      <c r="I502" s="118">
        <v>320</v>
      </c>
      <c r="J502" s="71">
        <v>3299</v>
      </c>
      <c r="K502" s="40" t="s">
        <v>235</v>
      </c>
      <c r="L502" s="309">
        <v>0</v>
      </c>
      <c r="M502" s="309">
        <v>0</v>
      </c>
      <c r="N502" s="339">
        <v>0</v>
      </c>
      <c r="O502" s="339">
        <f>N502/7.5345</f>
        <v>0</v>
      </c>
      <c r="P502" s="294">
        <v>2700</v>
      </c>
      <c r="Q502" s="294">
        <v>2700</v>
      </c>
      <c r="R502" s="443">
        <v>0</v>
      </c>
      <c r="S502" s="294">
        <f>__xlfn.XLOOKUP(H502,[2]Izvršenje_proračuna_po_pozicija!$B$2:$B$153,[2]Izvršenje_proračuna_po_pozicija!$E$2:$E$153,0)</f>
        <v>0</v>
      </c>
      <c r="T502" s="294"/>
      <c r="U502" s="294"/>
      <c r="V502" s="478">
        <v>2700</v>
      </c>
      <c r="W502" s="478">
        <v>0</v>
      </c>
      <c r="X502" s="544">
        <v>3000</v>
      </c>
      <c r="Y502" s="544"/>
      <c r="Z502" s="541" t="b">
        <f t="shared" si="355"/>
        <v>0</v>
      </c>
      <c r="AA502" s="527"/>
      <c r="AB502" s="528">
        <v>3000</v>
      </c>
      <c r="AC502" s="528">
        <v>3000</v>
      </c>
      <c r="AD502" s="524"/>
      <c r="AE502" s="524"/>
      <c r="AF502" s="524"/>
      <c r="AG502" s="524"/>
      <c r="AH502" s="527"/>
      <c r="AI502" s="544">
        <v>3000</v>
      </c>
      <c r="AJ502" s="516"/>
      <c r="AK502" s="516"/>
      <c r="AL502" s="516">
        <f>X502/AT502*100</f>
        <v>100</v>
      </c>
      <c r="AM502" s="294"/>
      <c r="AO502" t="b">
        <f t="shared" si="336"/>
        <v>0</v>
      </c>
      <c r="AQ502" s="443"/>
      <c r="AS502" s="443">
        <f>__xlfn.XLOOKUP(K502,[1]Izvršenje_proračuna_po_pozicija!$C$25:$C$149,[1]Izvršenje_proračuna_po_pozicija!$E$25:$E$149,0)</f>
        <v>0</v>
      </c>
      <c r="AT502" s="617">
        <v>3000</v>
      </c>
      <c r="AU502" s="478">
        <v>3000</v>
      </c>
      <c r="AV502" s="638">
        <v>3000</v>
      </c>
      <c r="AW502" s="638">
        <v>3000</v>
      </c>
      <c r="AX502" s="655" t="str">
        <f t="shared" si="337"/>
        <v/>
      </c>
      <c r="AY502" s="655" t="str">
        <f t="shared" si="338"/>
        <v/>
      </c>
      <c r="AZ502" s="655">
        <f t="shared" si="339"/>
        <v>100</v>
      </c>
      <c r="BA502" s="655" t="str">
        <f t="shared" si="340"/>
        <v/>
      </c>
      <c r="BB502" s="655">
        <f t="shared" si="341"/>
        <v>100</v>
      </c>
      <c r="BC502" s="655">
        <f t="shared" si="341"/>
        <v>100</v>
      </c>
    </row>
    <row r="503" spans="1:55" ht="12" customHeight="1">
      <c r="A503" s="36"/>
      <c r="B503" s="36"/>
      <c r="C503" s="36"/>
      <c r="D503" s="36"/>
      <c r="E503" s="36"/>
      <c r="F503" s="36"/>
      <c r="G503" s="36"/>
      <c r="H503" s="204"/>
      <c r="I503" s="118"/>
      <c r="J503" s="94"/>
      <c r="K503" s="21"/>
      <c r="L503" s="309"/>
      <c r="M503" s="309"/>
      <c r="N503" s="339"/>
      <c r="O503" s="339"/>
      <c r="P503" s="294"/>
      <c r="Q503" s="294"/>
      <c r="R503" s="443"/>
      <c r="S503" s="294"/>
      <c r="T503" s="294"/>
      <c r="U503" s="294"/>
      <c r="V503" s="478"/>
      <c r="W503" s="478"/>
      <c r="X503" s="544"/>
      <c r="Y503" s="544"/>
      <c r="Z503" s="541"/>
      <c r="AA503" s="527"/>
      <c r="AB503" s="528"/>
      <c r="AC503" s="528"/>
      <c r="AD503" s="524"/>
      <c r="AE503" s="524"/>
      <c r="AF503" s="524"/>
      <c r="AG503" s="524"/>
      <c r="AH503" s="527"/>
      <c r="AI503" s="544"/>
      <c r="AJ503" s="516"/>
      <c r="AK503" s="516"/>
      <c r="AL503" s="516"/>
      <c r="AM503" s="294"/>
      <c r="AQ503" s="443"/>
      <c r="AS503" s="443"/>
      <c r="AT503" s="617"/>
      <c r="AU503" s="478"/>
      <c r="AV503" s="638"/>
      <c r="AW503" s="638"/>
      <c r="AX503" s="655" t="str">
        <f t="shared" si="337"/>
        <v/>
      </c>
      <c r="AY503" s="655" t="str">
        <f t="shared" si="338"/>
        <v/>
      </c>
      <c r="AZ503" s="655" t="str">
        <f t="shared" si="339"/>
        <v/>
      </c>
      <c r="BA503" s="655" t="str">
        <f t="shared" si="340"/>
        <v/>
      </c>
      <c r="BB503" s="655" t="str">
        <f t="shared" si="341"/>
        <v/>
      </c>
      <c r="BC503" s="655" t="str">
        <f t="shared" si="341"/>
        <v/>
      </c>
    </row>
    <row r="504" spans="1:55" ht="12" customHeight="1">
      <c r="A504" s="355"/>
      <c r="B504" s="355"/>
      <c r="C504" s="355"/>
      <c r="D504" s="355"/>
      <c r="E504" s="355"/>
      <c r="F504" s="355"/>
      <c r="G504" s="355"/>
      <c r="H504" s="379"/>
      <c r="I504" s="360"/>
      <c r="J504" s="356">
        <v>36</v>
      </c>
      <c r="K504" s="358" t="s">
        <v>561</v>
      </c>
      <c r="L504" s="309"/>
      <c r="M504" s="309"/>
      <c r="N504" s="339"/>
      <c r="O504" s="339"/>
      <c r="P504" s="294"/>
      <c r="Q504" s="294"/>
      <c r="R504" s="443"/>
      <c r="S504" s="294"/>
      <c r="T504" s="294"/>
      <c r="U504" s="294"/>
      <c r="V504" s="478"/>
      <c r="W504" s="478"/>
      <c r="X504" s="544"/>
      <c r="Y504" s="544"/>
      <c r="Z504" s="541"/>
      <c r="AA504" s="527"/>
      <c r="AB504" s="528"/>
      <c r="AC504" s="528"/>
      <c r="AD504" s="524"/>
      <c r="AE504" s="524"/>
      <c r="AF504" s="524"/>
      <c r="AG504" s="524"/>
      <c r="AH504" s="527"/>
      <c r="AI504" s="544"/>
      <c r="AJ504" s="516"/>
      <c r="AK504" s="516"/>
      <c r="AL504" s="516"/>
      <c r="AM504" s="294"/>
      <c r="AQ504" s="443"/>
      <c r="AS504" s="443"/>
      <c r="AT504" s="617"/>
      <c r="AU504" s="469">
        <f>AU505</f>
        <v>62500</v>
      </c>
      <c r="AV504" s="638"/>
      <c r="AW504" s="638"/>
      <c r="AX504" s="655" t="str">
        <f t="shared" si="337"/>
        <v/>
      </c>
      <c r="AY504" s="655" t="str">
        <f t="shared" si="338"/>
        <v/>
      </c>
      <c r="AZ504" s="655" t="str">
        <f t="shared" si="339"/>
        <v/>
      </c>
      <c r="BA504" s="655" t="str">
        <f t="shared" si="340"/>
        <v/>
      </c>
      <c r="BB504" s="655" t="str">
        <f t="shared" si="341"/>
        <v/>
      </c>
      <c r="BC504" s="655" t="str">
        <f t="shared" si="341"/>
        <v/>
      </c>
    </row>
    <row r="505" spans="1:55" ht="12" customHeight="1">
      <c r="A505" s="56"/>
      <c r="B505" s="56"/>
      <c r="C505" s="56"/>
      <c r="D505" s="56"/>
      <c r="E505" s="56"/>
      <c r="F505" s="56"/>
      <c r="G505" s="56"/>
      <c r="H505" s="377"/>
      <c r="I505" s="119"/>
      <c r="J505" s="116">
        <v>366</v>
      </c>
      <c r="K505" s="60" t="s">
        <v>563</v>
      </c>
      <c r="L505" s="309"/>
      <c r="M505" s="309"/>
      <c r="N505" s="339"/>
      <c r="O505" s="339"/>
      <c r="P505" s="294"/>
      <c r="Q505" s="294"/>
      <c r="R505" s="443"/>
      <c r="S505" s="294"/>
      <c r="T505" s="294"/>
      <c r="U505" s="294"/>
      <c r="V505" s="478"/>
      <c r="W505" s="478"/>
      <c r="X505" s="544"/>
      <c r="Y505" s="544"/>
      <c r="Z505" s="541"/>
      <c r="AA505" s="527"/>
      <c r="AB505" s="528"/>
      <c r="AC505" s="528"/>
      <c r="AD505" s="524"/>
      <c r="AE505" s="524"/>
      <c r="AF505" s="524"/>
      <c r="AG505" s="524"/>
      <c r="AH505" s="527"/>
      <c r="AI505" s="544"/>
      <c r="AJ505" s="516"/>
      <c r="AK505" s="516"/>
      <c r="AL505" s="516"/>
      <c r="AM505" s="294"/>
      <c r="AQ505" s="443"/>
      <c r="AS505" s="443"/>
      <c r="AT505" s="617"/>
      <c r="AU505" s="469">
        <f>AU506</f>
        <v>62500</v>
      </c>
      <c r="AV505" s="638"/>
      <c r="AW505" s="638"/>
      <c r="AX505" s="655" t="str">
        <f t="shared" si="337"/>
        <v/>
      </c>
      <c r="AY505" s="655" t="str">
        <f t="shared" si="338"/>
        <v/>
      </c>
      <c r="AZ505" s="655" t="str">
        <f t="shared" si="339"/>
        <v/>
      </c>
      <c r="BA505" s="655" t="str">
        <f t="shared" si="340"/>
        <v/>
      </c>
      <c r="BB505" s="655" t="str">
        <f t="shared" si="341"/>
        <v/>
      </c>
      <c r="BC505" s="655" t="str">
        <f t="shared" si="341"/>
        <v/>
      </c>
    </row>
    <row r="506" spans="1:55" ht="12" customHeight="1">
      <c r="A506" s="36"/>
      <c r="B506" s="36"/>
      <c r="C506" s="36"/>
      <c r="D506" s="36"/>
      <c r="E506" s="36"/>
      <c r="F506" s="36"/>
      <c r="G506" s="36"/>
      <c r="H506" s="204" t="s">
        <v>880</v>
      </c>
      <c r="I506" s="118">
        <v>320</v>
      </c>
      <c r="J506" s="71">
        <v>3661</v>
      </c>
      <c r="K506" s="40" t="s">
        <v>876</v>
      </c>
      <c r="L506" s="309"/>
      <c r="M506" s="309"/>
      <c r="N506" s="339"/>
      <c r="O506" s="339"/>
      <c r="P506" s="294"/>
      <c r="Q506" s="294"/>
      <c r="R506" s="443"/>
      <c r="S506" s="294">
        <f>__xlfn.XLOOKUP(H506,[2]Izvršenje_proračuna_po_pozicija!$B$2:$B$153,[2]Izvršenje_proračuna_po_pozicija!$E$2:$E$153,0)</f>
        <v>0</v>
      </c>
      <c r="T506" s="294"/>
      <c r="U506" s="294"/>
      <c r="V506" s="478"/>
      <c r="W506" s="478"/>
      <c r="X506" s="544"/>
      <c r="Y506" s="544"/>
      <c r="Z506" s="541" t="b">
        <f>__xlfn.ISFORMULA(R506)</f>
        <v>0</v>
      </c>
      <c r="AA506" s="527"/>
      <c r="AB506" s="528"/>
      <c r="AC506" s="528"/>
      <c r="AD506" s="524"/>
      <c r="AE506" s="524"/>
      <c r="AF506" s="524"/>
      <c r="AG506" s="524"/>
      <c r="AH506" s="527"/>
      <c r="AI506" s="544"/>
      <c r="AJ506" s="516"/>
      <c r="AK506" s="516"/>
      <c r="AL506" s="516"/>
      <c r="AM506" s="294"/>
      <c r="AO506" t="b">
        <f>__xlfn.ISFORMULA(AT506)</f>
        <v>0</v>
      </c>
      <c r="AQ506" s="443"/>
      <c r="AS506" s="443">
        <f>__xlfn.XLOOKUP(K506,[1]Izvršenje_proračuna_po_pozicija!$C$25:$C$149,[1]Izvršenje_proračuna_po_pozicija!$E$25:$E$149,0)</f>
        <v>0</v>
      </c>
      <c r="AT506" s="617"/>
      <c r="AU506" s="478">
        <v>62500</v>
      </c>
      <c r="AV506" s="638"/>
      <c r="AW506" s="638"/>
      <c r="AX506" s="655" t="str">
        <f t="shared" si="337"/>
        <v/>
      </c>
      <c r="AY506" s="655" t="str">
        <f t="shared" si="338"/>
        <v/>
      </c>
      <c r="AZ506" s="655" t="str">
        <f t="shared" si="339"/>
        <v/>
      </c>
      <c r="BA506" s="655" t="str">
        <f t="shared" si="340"/>
        <v/>
      </c>
      <c r="BB506" s="655" t="str">
        <f t="shared" si="341"/>
        <v/>
      </c>
      <c r="BC506" s="655" t="str">
        <f t="shared" si="341"/>
        <v/>
      </c>
    </row>
    <row r="507" spans="1:55" ht="12" customHeight="1">
      <c r="A507" s="36"/>
      <c r="B507" s="36"/>
      <c r="C507" s="36"/>
      <c r="D507" s="36"/>
      <c r="E507" s="36"/>
      <c r="F507" s="36"/>
      <c r="G507" s="36"/>
      <c r="H507" s="204"/>
      <c r="I507" s="118"/>
      <c r="J507" s="71"/>
      <c r="K507" s="40"/>
      <c r="L507" s="309"/>
      <c r="M507" s="309"/>
      <c r="N507" s="339"/>
      <c r="O507" s="339"/>
      <c r="P507" s="294"/>
      <c r="Q507" s="294"/>
      <c r="R507" s="443"/>
      <c r="S507" s="294"/>
      <c r="T507" s="294"/>
      <c r="U507" s="294"/>
      <c r="V507" s="478"/>
      <c r="W507" s="478"/>
      <c r="X507" s="544"/>
      <c r="Y507" s="544"/>
      <c r="Z507" s="541"/>
      <c r="AA507" s="527"/>
      <c r="AB507" s="528"/>
      <c r="AC507" s="528"/>
      <c r="AD507" s="524"/>
      <c r="AE507" s="524"/>
      <c r="AF507" s="524"/>
      <c r="AG507" s="524"/>
      <c r="AH507" s="527"/>
      <c r="AI507" s="544"/>
      <c r="AJ507" s="516"/>
      <c r="AK507" s="516"/>
      <c r="AL507" s="516"/>
      <c r="AM507" s="294"/>
      <c r="AQ507" s="443"/>
      <c r="AS507" s="443"/>
      <c r="AT507" s="617"/>
      <c r="AU507" s="478"/>
      <c r="AV507" s="638"/>
      <c r="AW507" s="638"/>
      <c r="AX507" s="655" t="str">
        <f t="shared" si="337"/>
        <v/>
      </c>
      <c r="AY507" s="655" t="str">
        <f t="shared" si="338"/>
        <v/>
      </c>
      <c r="AZ507" s="655" t="str">
        <f t="shared" si="339"/>
        <v/>
      </c>
      <c r="BA507" s="655" t="str">
        <f t="shared" si="340"/>
        <v/>
      </c>
      <c r="BB507" s="655" t="str">
        <f t="shared" si="341"/>
        <v/>
      </c>
      <c r="BC507" s="655" t="str">
        <f t="shared" si="341"/>
        <v/>
      </c>
    </row>
    <row r="508" spans="1:55" ht="12" customHeight="1">
      <c r="A508" s="355"/>
      <c r="B508" s="355"/>
      <c r="C508" s="355"/>
      <c r="D508" s="355"/>
      <c r="E508" s="355"/>
      <c r="F508" s="355"/>
      <c r="G508" s="355"/>
      <c r="H508" s="379"/>
      <c r="I508" s="360"/>
      <c r="J508" s="356">
        <v>38</v>
      </c>
      <c r="K508" s="358" t="s">
        <v>144</v>
      </c>
      <c r="L508" s="315">
        <f t="shared" ref="L508:AC510" si="369">L509</f>
        <v>600048</v>
      </c>
      <c r="M508" s="315">
        <f t="shared" si="369"/>
        <v>79640.055743579534</v>
      </c>
      <c r="N508" s="337">
        <f t="shared" si="369"/>
        <v>1032736</v>
      </c>
      <c r="O508" s="337">
        <f t="shared" si="369"/>
        <v>137067.62227088725</v>
      </c>
      <c r="P508" s="292">
        <f t="shared" si="369"/>
        <v>137200</v>
      </c>
      <c r="Q508" s="292">
        <f t="shared" si="369"/>
        <v>198700</v>
      </c>
      <c r="R508" s="441">
        <f t="shared" si="369"/>
        <v>198722</v>
      </c>
      <c r="S508" s="292">
        <f t="shared" si="369"/>
        <v>85853.14</v>
      </c>
      <c r="T508" s="292"/>
      <c r="U508" s="292"/>
      <c r="V508" s="469">
        <f t="shared" si="369"/>
        <v>204800</v>
      </c>
      <c r="W508" s="469">
        <f t="shared" si="369"/>
        <v>196400</v>
      </c>
      <c r="X508" s="522">
        <f t="shared" si="369"/>
        <v>149000</v>
      </c>
      <c r="Y508" s="522">
        <f t="shared" si="369"/>
        <v>0</v>
      </c>
      <c r="Z508" s="541" t="b">
        <f t="shared" ref="Z508:Z571" si="370">__xlfn.ISFORMULA(R508)</f>
        <v>1</v>
      </c>
      <c r="AA508" s="522"/>
      <c r="AB508" s="523">
        <f t="shared" si="369"/>
        <v>137500</v>
      </c>
      <c r="AC508" s="523">
        <f t="shared" si="369"/>
        <v>137500</v>
      </c>
      <c r="AD508" s="524">
        <f t="shared" ref="AD508:AD514" si="371">O508/M508*100</f>
        <v>172.1088979548303</v>
      </c>
      <c r="AE508" s="524">
        <f t="shared" ref="AE508:AF514" si="372">P508/O508*100</f>
        <v>100.09657840919655</v>
      </c>
      <c r="AF508" s="524">
        <f t="shared" si="372"/>
        <v>144.82507288629739</v>
      </c>
      <c r="AG508" s="524">
        <f t="shared" ref="AG508:AG514" si="373">AB508/Q508*100</f>
        <v>69.199798691494721</v>
      </c>
      <c r="AH508" s="522"/>
      <c r="AI508" s="522">
        <v>149000</v>
      </c>
      <c r="AJ508" s="516">
        <f t="shared" ref="AJ508:AJ514" si="374">W508/R508*100</f>
        <v>98.831533499058992</v>
      </c>
      <c r="AK508" s="516">
        <f t="shared" ref="AK508:AK514" si="375">AT508/W508*100</f>
        <v>70.468431771894089</v>
      </c>
      <c r="AL508" s="516">
        <f>X508/AT508*100</f>
        <v>107.65895953757226</v>
      </c>
      <c r="AM508" s="292"/>
      <c r="AO508" t="b">
        <f t="shared" ref="AO508:AO571" si="376">__xlfn.ISFORMULA(AT508)</f>
        <v>1</v>
      </c>
      <c r="AP508" s="440">
        <f t="shared" ref="AP508:AU510" si="377">AP509</f>
        <v>189853.14</v>
      </c>
      <c r="AQ508" s="441">
        <v>189853.14</v>
      </c>
      <c r="AR508" s="440">
        <f>AR509</f>
        <v>189853.14</v>
      </c>
      <c r="AS508" s="441">
        <f t="shared" si="377"/>
        <v>31761.4</v>
      </c>
      <c r="AT508" s="612">
        <f>AT509</f>
        <v>138400</v>
      </c>
      <c r="AU508" s="469">
        <f t="shared" si="377"/>
        <v>144400</v>
      </c>
      <c r="AV508" s="636">
        <v>149000</v>
      </c>
      <c r="AW508" s="636">
        <v>149000</v>
      </c>
      <c r="AX508" s="655">
        <f t="shared" si="337"/>
        <v>69.645031752901033</v>
      </c>
      <c r="AY508" s="655">
        <f t="shared" si="338"/>
        <v>72.898451929738954</v>
      </c>
      <c r="AZ508" s="655">
        <f t="shared" si="339"/>
        <v>104.33526011560694</v>
      </c>
      <c r="BA508" s="655">
        <f t="shared" si="340"/>
        <v>76.058789441143816</v>
      </c>
      <c r="BB508" s="655">
        <f t="shared" si="341"/>
        <v>103.18559556786704</v>
      </c>
      <c r="BC508" s="655">
        <f t="shared" si="341"/>
        <v>100</v>
      </c>
    </row>
    <row r="509" spans="1:55" ht="12" customHeight="1">
      <c r="A509" s="56"/>
      <c r="B509" s="137"/>
      <c r="C509" s="137"/>
      <c r="D509" s="137"/>
      <c r="E509" s="137"/>
      <c r="F509" s="137"/>
      <c r="G509" s="137"/>
      <c r="H509" s="387"/>
      <c r="I509" s="138"/>
      <c r="J509" s="116">
        <v>381</v>
      </c>
      <c r="K509" s="60" t="s">
        <v>236</v>
      </c>
      <c r="L509" s="315">
        <f t="shared" si="369"/>
        <v>600048</v>
      </c>
      <c r="M509" s="315">
        <f t="shared" si="369"/>
        <v>79640.055743579534</v>
      </c>
      <c r="N509" s="337">
        <f t="shared" si="369"/>
        <v>1032736</v>
      </c>
      <c r="O509" s="337">
        <f t="shared" si="369"/>
        <v>137067.62227088725</v>
      </c>
      <c r="P509" s="292">
        <f t="shared" si="369"/>
        <v>137200</v>
      </c>
      <c r="Q509" s="292">
        <f t="shared" si="369"/>
        <v>198700</v>
      </c>
      <c r="R509" s="441">
        <f t="shared" si="369"/>
        <v>198722</v>
      </c>
      <c r="S509" s="292">
        <f t="shared" si="369"/>
        <v>85853.14</v>
      </c>
      <c r="T509" s="292"/>
      <c r="U509" s="292"/>
      <c r="V509" s="469">
        <f t="shared" si="369"/>
        <v>204800</v>
      </c>
      <c r="W509" s="469">
        <f t="shared" si="369"/>
        <v>196400</v>
      </c>
      <c r="X509" s="522">
        <f t="shared" si="369"/>
        <v>149000</v>
      </c>
      <c r="Y509" s="522">
        <f t="shared" si="369"/>
        <v>0</v>
      </c>
      <c r="Z509" s="541" t="b">
        <f t="shared" si="370"/>
        <v>1</v>
      </c>
      <c r="AA509" s="522"/>
      <c r="AB509" s="523">
        <f t="shared" si="369"/>
        <v>137500</v>
      </c>
      <c r="AC509" s="523">
        <f t="shared" si="369"/>
        <v>137500</v>
      </c>
      <c r="AD509" s="524">
        <f t="shared" si="371"/>
        <v>172.1088979548303</v>
      </c>
      <c r="AE509" s="524">
        <f t="shared" si="372"/>
        <v>100.09657840919655</v>
      </c>
      <c r="AF509" s="524">
        <f t="shared" si="372"/>
        <v>144.82507288629739</v>
      </c>
      <c r="AG509" s="524">
        <f t="shared" si="373"/>
        <v>69.199798691494721</v>
      </c>
      <c r="AH509" s="522"/>
      <c r="AI509" s="522">
        <v>149000</v>
      </c>
      <c r="AJ509" s="516">
        <f t="shared" si="374"/>
        <v>98.831533499058992</v>
      </c>
      <c r="AK509" s="516">
        <f t="shared" si="375"/>
        <v>70.468431771894089</v>
      </c>
      <c r="AL509" s="516">
        <f>X509/AT509*100</f>
        <v>107.65895953757226</v>
      </c>
      <c r="AM509" s="292"/>
      <c r="AO509" t="b">
        <f t="shared" si="376"/>
        <v>1</v>
      </c>
      <c r="AP509" s="440">
        <f t="shared" si="377"/>
        <v>189853.14</v>
      </c>
      <c r="AQ509" s="441">
        <v>189853.14</v>
      </c>
      <c r="AR509" s="440">
        <f>AR510</f>
        <v>189853.14</v>
      </c>
      <c r="AS509" s="441">
        <f t="shared" si="377"/>
        <v>31761.4</v>
      </c>
      <c r="AT509" s="612">
        <f>AT510</f>
        <v>138400</v>
      </c>
      <c r="AU509" s="469">
        <f t="shared" si="377"/>
        <v>144400</v>
      </c>
      <c r="AV509" s="636">
        <v>149000</v>
      </c>
      <c r="AW509" s="636">
        <v>149000</v>
      </c>
      <c r="AX509" s="655">
        <f t="shared" si="337"/>
        <v>69.645031752901033</v>
      </c>
      <c r="AY509" s="655">
        <f t="shared" si="338"/>
        <v>72.898451929738954</v>
      </c>
      <c r="AZ509" s="655">
        <f t="shared" si="339"/>
        <v>104.33526011560694</v>
      </c>
      <c r="BA509" s="655">
        <f t="shared" si="340"/>
        <v>76.058789441143816</v>
      </c>
      <c r="BB509" s="655">
        <f t="shared" si="341"/>
        <v>103.18559556786704</v>
      </c>
      <c r="BC509" s="655">
        <f t="shared" si="341"/>
        <v>100</v>
      </c>
    </row>
    <row r="510" spans="1:55" ht="12" customHeight="1">
      <c r="A510" s="36"/>
      <c r="B510" s="36"/>
      <c r="C510" s="36"/>
      <c r="D510" s="36"/>
      <c r="E510" s="36"/>
      <c r="F510" s="36"/>
      <c r="G510" s="36"/>
      <c r="H510" s="380"/>
      <c r="I510" s="121"/>
      <c r="J510" s="122">
        <v>3811</v>
      </c>
      <c r="K510" s="123" t="s">
        <v>145</v>
      </c>
      <c r="L510" s="325">
        <f t="shared" si="369"/>
        <v>600048</v>
      </c>
      <c r="M510" s="325">
        <f t="shared" si="369"/>
        <v>79640.055743579534</v>
      </c>
      <c r="N510" s="349">
        <f t="shared" si="369"/>
        <v>1032736</v>
      </c>
      <c r="O510" s="349">
        <f t="shared" si="369"/>
        <v>137067.62227088725</v>
      </c>
      <c r="P510" s="304">
        <f t="shared" si="369"/>
        <v>137200</v>
      </c>
      <c r="Q510" s="304">
        <f t="shared" si="369"/>
        <v>198700</v>
      </c>
      <c r="R510" s="448">
        <f t="shared" si="369"/>
        <v>198722</v>
      </c>
      <c r="S510" s="304">
        <f t="shared" si="369"/>
        <v>85853.14</v>
      </c>
      <c r="T510" s="304"/>
      <c r="U510" s="304"/>
      <c r="V510" s="485">
        <f t="shared" si="369"/>
        <v>204800</v>
      </c>
      <c r="W510" s="485">
        <f t="shared" si="369"/>
        <v>196400</v>
      </c>
      <c r="X510" s="557">
        <f t="shared" si="369"/>
        <v>149000</v>
      </c>
      <c r="Y510" s="557">
        <f t="shared" si="369"/>
        <v>0</v>
      </c>
      <c r="Z510" s="541" t="b">
        <f t="shared" si="370"/>
        <v>1</v>
      </c>
      <c r="AA510" s="557"/>
      <c r="AB510" s="558">
        <f t="shared" si="369"/>
        <v>137500</v>
      </c>
      <c r="AC510" s="558">
        <f t="shared" si="369"/>
        <v>137500</v>
      </c>
      <c r="AD510" s="524">
        <f t="shared" si="371"/>
        <v>172.1088979548303</v>
      </c>
      <c r="AE510" s="524">
        <f t="shared" si="372"/>
        <v>100.09657840919655</v>
      </c>
      <c r="AF510" s="524">
        <f t="shared" si="372"/>
        <v>144.82507288629739</v>
      </c>
      <c r="AG510" s="524">
        <f t="shared" si="373"/>
        <v>69.199798691494721</v>
      </c>
      <c r="AH510" s="557"/>
      <c r="AI510" s="557">
        <v>149000</v>
      </c>
      <c r="AJ510" s="516">
        <f t="shared" si="374"/>
        <v>98.831533499058992</v>
      </c>
      <c r="AK510" s="516">
        <f t="shared" si="375"/>
        <v>70.468431771894089</v>
      </c>
      <c r="AL510" s="516">
        <f>X510/AT510*100</f>
        <v>107.65895953757226</v>
      </c>
      <c r="AM510" s="304"/>
      <c r="AO510" t="b">
        <f t="shared" si="376"/>
        <v>1</v>
      </c>
      <c r="AP510" s="496">
        <f t="shared" si="377"/>
        <v>189853.14</v>
      </c>
      <c r="AQ510" s="448">
        <v>189853.14</v>
      </c>
      <c r="AR510" s="496">
        <f>AR511</f>
        <v>189853.14</v>
      </c>
      <c r="AS510" s="448">
        <f t="shared" si="377"/>
        <v>31761.4</v>
      </c>
      <c r="AT510" s="610">
        <f>AT511</f>
        <v>138400</v>
      </c>
      <c r="AU510" s="485">
        <f t="shared" si="377"/>
        <v>144400</v>
      </c>
      <c r="AV510" s="647">
        <v>149000</v>
      </c>
      <c r="AW510" s="647">
        <v>149000</v>
      </c>
      <c r="AX510" s="655">
        <f t="shared" si="337"/>
        <v>69.645031752901033</v>
      </c>
      <c r="AY510" s="655">
        <f t="shared" si="338"/>
        <v>72.898451929738954</v>
      </c>
      <c r="AZ510" s="655">
        <f t="shared" si="339"/>
        <v>104.33526011560694</v>
      </c>
      <c r="BA510" s="655">
        <f t="shared" si="340"/>
        <v>76.058789441143816</v>
      </c>
      <c r="BB510" s="655">
        <f t="shared" si="341"/>
        <v>103.18559556786704</v>
      </c>
      <c r="BC510" s="655">
        <f t="shared" si="341"/>
        <v>100</v>
      </c>
    </row>
    <row r="511" spans="1:55" ht="12" customHeight="1">
      <c r="A511" s="36"/>
      <c r="B511" s="36"/>
      <c r="C511" s="36"/>
      <c r="D511" s="36"/>
      <c r="E511" s="36"/>
      <c r="F511" s="36"/>
      <c r="G511" s="36"/>
      <c r="H511" s="204">
        <v>158</v>
      </c>
      <c r="I511" s="132">
        <v>320</v>
      </c>
      <c r="J511" s="71">
        <v>3811</v>
      </c>
      <c r="K511" s="40" t="s">
        <v>237</v>
      </c>
      <c r="L511" s="315">
        <f t="shared" ref="L511:S511" si="378">L512+L513+L514</f>
        <v>600048</v>
      </c>
      <c r="M511" s="315">
        <f t="shared" si="378"/>
        <v>79640.055743579534</v>
      </c>
      <c r="N511" s="337">
        <f t="shared" si="378"/>
        <v>1032736</v>
      </c>
      <c r="O511" s="337">
        <f t="shared" si="378"/>
        <v>137067.62227088725</v>
      </c>
      <c r="P511" s="292">
        <f t="shared" si="378"/>
        <v>137200</v>
      </c>
      <c r="Q511" s="292">
        <f t="shared" si="378"/>
        <v>198700</v>
      </c>
      <c r="R511" s="441">
        <f t="shared" si="378"/>
        <v>198722</v>
      </c>
      <c r="S511" s="292">
        <f t="shared" si="378"/>
        <v>85853.14</v>
      </c>
      <c r="T511" s="292"/>
      <c r="U511" s="292"/>
      <c r="V511" s="469">
        <f>V512+V513+V514</f>
        <v>204800</v>
      </c>
      <c r="W511" s="469">
        <f>W512+W513+W514</f>
        <v>196400</v>
      </c>
      <c r="X511" s="522">
        <f>X512+X513+X514</f>
        <v>149000</v>
      </c>
      <c r="Y511" s="522">
        <f>Y512+Y513+Y514</f>
        <v>0</v>
      </c>
      <c r="Z511" s="541" t="b">
        <f t="shared" si="370"/>
        <v>1</v>
      </c>
      <c r="AA511" s="522"/>
      <c r="AB511" s="523">
        <f>AB512+AB513+AB514</f>
        <v>137500</v>
      </c>
      <c r="AC511" s="523">
        <f>AC512+AC513+AC514</f>
        <v>137500</v>
      </c>
      <c r="AD511" s="524">
        <f t="shared" si="371"/>
        <v>172.1088979548303</v>
      </c>
      <c r="AE511" s="524">
        <f t="shared" si="372"/>
        <v>100.09657840919655</v>
      </c>
      <c r="AF511" s="524">
        <f t="shared" si="372"/>
        <v>144.82507288629739</v>
      </c>
      <c r="AG511" s="524">
        <f t="shared" si="373"/>
        <v>69.199798691494721</v>
      </c>
      <c r="AH511" s="522"/>
      <c r="AI511" s="522">
        <v>149000</v>
      </c>
      <c r="AJ511" s="516">
        <f t="shared" si="374"/>
        <v>98.831533499058992</v>
      </c>
      <c r="AK511" s="516">
        <f t="shared" si="375"/>
        <v>70.468431771894089</v>
      </c>
      <c r="AL511" s="516">
        <f>X511/AT511*100</f>
        <v>107.65895953757226</v>
      </c>
      <c r="AM511" s="292"/>
      <c r="AO511" t="b">
        <f t="shared" si="376"/>
        <v>1</v>
      </c>
      <c r="AP511" s="440">
        <f t="shared" ref="AP511:AU511" si="379">AP512+AP513+AP514</f>
        <v>189853.14</v>
      </c>
      <c r="AQ511" s="441">
        <v>189853.14</v>
      </c>
      <c r="AR511" s="440">
        <f>AR512+AR513+AR514</f>
        <v>189853.14</v>
      </c>
      <c r="AS511" s="441">
        <f t="shared" si="379"/>
        <v>31761.4</v>
      </c>
      <c r="AT511" s="612">
        <f t="shared" si="379"/>
        <v>138400</v>
      </c>
      <c r="AU511" s="469">
        <f t="shared" si="379"/>
        <v>144400</v>
      </c>
      <c r="AV511" s="636">
        <v>149000</v>
      </c>
      <c r="AW511" s="636">
        <v>149000</v>
      </c>
      <c r="AX511" s="655">
        <f t="shared" si="337"/>
        <v>69.645031752901033</v>
      </c>
      <c r="AY511" s="655">
        <f t="shared" si="338"/>
        <v>72.898451929738954</v>
      </c>
      <c r="AZ511" s="655">
        <f t="shared" si="339"/>
        <v>104.33526011560694</v>
      </c>
      <c r="BA511" s="655">
        <f t="shared" si="340"/>
        <v>76.058789441143816</v>
      </c>
      <c r="BB511" s="655">
        <f t="shared" si="341"/>
        <v>103.18559556786704</v>
      </c>
      <c r="BC511" s="655">
        <f t="shared" si="341"/>
        <v>100</v>
      </c>
    </row>
    <row r="512" spans="1:55" ht="12" customHeight="1">
      <c r="A512" s="36"/>
      <c r="B512" s="36"/>
      <c r="C512" s="36"/>
      <c r="D512" s="36"/>
      <c r="E512" s="36"/>
      <c r="F512" s="36"/>
      <c r="G512" s="36"/>
      <c r="H512" s="204" t="s">
        <v>238</v>
      </c>
      <c r="I512" s="132">
        <v>320</v>
      </c>
      <c r="J512" s="71">
        <v>3811</v>
      </c>
      <c r="K512" s="40" t="s">
        <v>239</v>
      </c>
      <c r="L512" s="309">
        <v>358000</v>
      </c>
      <c r="M512" s="309">
        <f>358000/7.5345</f>
        <v>47514.765412436122</v>
      </c>
      <c r="N512" s="339">
        <v>375000</v>
      </c>
      <c r="O512" s="339">
        <f>N512/7.5345</f>
        <v>49771.053155484769</v>
      </c>
      <c r="P512" s="294">
        <v>60700</v>
      </c>
      <c r="Q512" s="269">
        <v>105000</v>
      </c>
      <c r="R512" s="443">
        <v>105000</v>
      </c>
      <c r="S512" s="294">
        <f>__xlfn.XLOOKUP(H512,[2]Izvršenje_proračuna_po_pozicija!$B$2:$B$153,[2]Izvršenje_proračuna_po_pozicija!$E$2:$E$153,0)</f>
        <v>30000</v>
      </c>
      <c r="T512" s="294"/>
      <c r="U512" s="294"/>
      <c r="V512" s="478">
        <v>110000</v>
      </c>
      <c r="W512" s="478">
        <v>130000</v>
      </c>
      <c r="X512" s="544">
        <v>140000</v>
      </c>
      <c r="Y512" s="544"/>
      <c r="Z512" s="541" t="b">
        <f t="shared" si="370"/>
        <v>0</v>
      </c>
      <c r="AA512" s="527"/>
      <c r="AB512" s="528">
        <v>61000</v>
      </c>
      <c r="AC512" s="528">
        <v>61000</v>
      </c>
      <c r="AD512" s="524">
        <f t="shared" si="371"/>
        <v>104.74860335195532</v>
      </c>
      <c r="AE512" s="524">
        <f t="shared" si="372"/>
        <v>121.95844</v>
      </c>
      <c r="AF512" s="524">
        <f t="shared" si="372"/>
        <v>172.98187808896211</v>
      </c>
      <c r="AG512" s="524">
        <f t="shared" si="373"/>
        <v>58.095238095238102</v>
      </c>
      <c r="AH512" s="527"/>
      <c r="AI512" s="544">
        <v>140000</v>
      </c>
      <c r="AJ512" s="516">
        <f t="shared" si="374"/>
        <v>123.80952380952381</v>
      </c>
      <c r="AK512" s="516">
        <f t="shared" si="375"/>
        <v>100</v>
      </c>
      <c r="AL512" s="516">
        <f>X512/AT512*100</f>
        <v>107.69230769230769</v>
      </c>
      <c r="AM512" s="294"/>
      <c r="AO512" t="b">
        <f t="shared" si="376"/>
        <v>0</v>
      </c>
      <c r="AP512" s="493">
        <v>130000</v>
      </c>
      <c r="AQ512" s="443">
        <v>130000</v>
      </c>
      <c r="AR512" s="493">
        <v>130000</v>
      </c>
      <c r="AS512" s="443">
        <f>__xlfn.XLOOKUP(K512,[1]Izvršenje_proračuna_po_pozicija!$C$25:$C$149,[1]Izvršenje_proračuna_po_pozicija!$E$25:$E$149,0)</f>
        <v>20000</v>
      </c>
      <c r="AT512" s="617">
        <v>130000</v>
      </c>
      <c r="AU512" s="478">
        <v>130000</v>
      </c>
      <c r="AV512" s="638">
        <v>140000</v>
      </c>
      <c r="AW512" s="638">
        <v>140000</v>
      </c>
      <c r="AX512" s="655">
        <f t="shared" si="337"/>
        <v>123.80952380952381</v>
      </c>
      <c r="AY512" s="655">
        <f t="shared" si="338"/>
        <v>100</v>
      </c>
      <c r="AZ512" s="655">
        <f t="shared" si="339"/>
        <v>100</v>
      </c>
      <c r="BA512" s="655">
        <f t="shared" si="340"/>
        <v>100</v>
      </c>
      <c r="BB512" s="655">
        <f t="shared" si="341"/>
        <v>107.69230769230769</v>
      </c>
      <c r="BC512" s="655">
        <f t="shared" si="341"/>
        <v>100</v>
      </c>
    </row>
    <row r="513" spans="1:55" ht="12" customHeight="1">
      <c r="A513" s="36"/>
      <c r="B513" s="36"/>
      <c r="C513" s="36"/>
      <c r="D513" s="36"/>
      <c r="E513" s="36"/>
      <c r="F513" s="36"/>
      <c r="G513" s="36"/>
      <c r="H513" s="204" t="s">
        <v>730</v>
      </c>
      <c r="I513" s="132">
        <v>320</v>
      </c>
      <c r="J513" s="71">
        <v>3811</v>
      </c>
      <c r="K513" s="40" t="s">
        <v>733</v>
      </c>
      <c r="L513" s="309">
        <v>217048</v>
      </c>
      <c r="M513" s="309">
        <f>217048/7.5345</f>
        <v>28807.220120777754</v>
      </c>
      <c r="N513" s="339">
        <v>607736</v>
      </c>
      <c r="O513" s="339">
        <f>N513/7.5345</f>
        <v>80660.42869467118</v>
      </c>
      <c r="P513" s="294">
        <v>69200</v>
      </c>
      <c r="Q513" s="269">
        <v>86400</v>
      </c>
      <c r="R513" s="443">
        <v>86422</v>
      </c>
      <c r="S513" s="294">
        <f>__xlfn.XLOOKUP(H513,[2]Izvršenje_proračuna_po_pozicija!$B$2:$B$153,[2]Izvršenje_proračuna_po_pozicija!$E$2:$E$153,0)</f>
        <v>51853.14</v>
      </c>
      <c r="T513" s="294"/>
      <c r="U513" s="294"/>
      <c r="V513" s="478">
        <v>86400</v>
      </c>
      <c r="W513" s="478">
        <v>58000</v>
      </c>
      <c r="X513" s="544"/>
      <c r="Y513" s="544"/>
      <c r="Z513" s="541" t="b">
        <f t="shared" si="370"/>
        <v>0</v>
      </c>
      <c r="AA513" s="527"/>
      <c r="AB513" s="528">
        <v>69200</v>
      </c>
      <c r="AC513" s="528">
        <v>69200</v>
      </c>
      <c r="AD513" s="524">
        <f t="shared" si="371"/>
        <v>280.00073716412959</v>
      </c>
      <c r="AE513" s="524">
        <f t="shared" si="372"/>
        <v>85.791758263456501</v>
      </c>
      <c r="AF513" s="524">
        <f t="shared" si="372"/>
        <v>124.85549132947978</v>
      </c>
      <c r="AG513" s="524">
        <f t="shared" si="373"/>
        <v>80.092592592592595</v>
      </c>
      <c r="AH513" s="527"/>
      <c r="AI513" s="544"/>
      <c r="AJ513" s="516">
        <f t="shared" si="374"/>
        <v>67.112540788225218</v>
      </c>
      <c r="AK513" s="516">
        <f t="shared" si="375"/>
        <v>0</v>
      </c>
      <c r="AL513" s="516"/>
      <c r="AM513" s="294"/>
      <c r="AO513" t="b">
        <f t="shared" si="376"/>
        <v>0</v>
      </c>
      <c r="AP513" s="493">
        <v>51853.14</v>
      </c>
      <c r="AQ513" s="443">
        <v>51853.14</v>
      </c>
      <c r="AR513" s="493">
        <v>51853.14</v>
      </c>
      <c r="AS513" s="443">
        <v>5761.4</v>
      </c>
      <c r="AT513" s="617"/>
      <c r="AU513" s="478">
        <v>6000</v>
      </c>
      <c r="AV513" s="638"/>
      <c r="AW513" s="638"/>
      <c r="AX513" s="655" t="str">
        <f t="shared" si="337"/>
        <v/>
      </c>
      <c r="AY513" s="655" t="str">
        <f t="shared" si="338"/>
        <v/>
      </c>
      <c r="AZ513" s="655" t="str">
        <f t="shared" si="339"/>
        <v/>
      </c>
      <c r="BA513" s="655">
        <f t="shared" si="340"/>
        <v>11.571141111222966</v>
      </c>
      <c r="BB513" s="655" t="str">
        <f t="shared" si="341"/>
        <v/>
      </c>
      <c r="BC513" s="655" t="str">
        <f t="shared" si="341"/>
        <v/>
      </c>
    </row>
    <row r="514" spans="1:55" ht="12" customHeight="1">
      <c r="A514" s="36"/>
      <c r="B514" s="36"/>
      <c r="C514" s="36"/>
      <c r="D514" s="36"/>
      <c r="E514" s="36"/>
      <c r="F514" s="36"/>
      <c r="G514" s="36"/>
      <c r="H514" s="204" t="s">
        <v>588</v>
      </c>
      <c r="I514" s="132">
        <v>320</v>
      </c>
      <c r="J514" s="71">
        <v>3811</v>
      </c>
      <c r="K514" s="40" t="s">
        <v>589</v>
      </c>
      <c r="L514" s="309">
        <v>25000</v>
      </c>
      <c r="M514" s="309">
        <f>25000/7.5345</f>
        <v>3318.0702103656513</v>
      </c>
      <c r="N514" s="339">
        <v>50000</v>
      </c>
      <c r="O514" s="339">
        <f>N514/7.5345</f>
        <v>6636.1404207313026</v>
      </c>
      <c r="P514" s="294">
        <v>7300</v>
      </c>
      <c r="Q514" s="294">
        <v>7300</v>
      </c>
      <c r="R514" s="443">
        <v>7300</v>
      </c>
      <c r="S514" s="294">
        <f>__xlfn.XLOOKUP(H514,[2]Izvršenje_proračuna_po_pozicija!$B$2:$B$153,[2]Izvršenje_proračuna_po_pozicija!$E$2:$E$153,0)</f>
        <v>4000</v>
      </c>
      <c r="T514" s="294"/>
      <c r="U514" s="294"/>
      <c r="V514" s="478">
        <v>8400</v>
      </c>
      <c r="W514" s="478">
        <v>8400</v>
      </c>
      <c r="X514" s="544">
        <v>9000</v>
      </c>
      <c r="Y514" s="544"/>
      <c r="Z514" s="541" t="b">
        <f t="shared" si="370"/>
        <v>0</v>
      </c>
      <c r="AA514" s="527"/>
      <c r="AB514" s="528">
        <v>7300</v>
      </c>
      <c r="AC514" s="528">
        <v>7300</v>
      </c>
      <c r="AD514" s="524">
        <f t="shared" si="371"/>
        <v>200</v>
      </c>
      <c r="AE514" s="524">
        <f t="shared" si="372"/>
        <v>110.00369999999999</v>
      </c>
      <c r="AF514" s="524">
        <f t="shared" si="372"/>
        <v>100</v>
      </c>
      <c r="AG514" s="524">
        <f t="shared" si="373"/>
        <v>100</v>
      </c>
      <c r="AH514" s="527"/>
      <c r="AI514" s="544">
        <v>9000</v>
      </c>
      <c r="AJ514" s="516">
        <f t="shared" si="374"/>
        <v>115.06849315068493</v>
      </c>
      <c r="AK514" s="516">
        <f t="shared" si="375"/>
        <v>100</v>
      </c>
      <c r="AL514" s="516">
        <f>X514/AT514*100</f>
        <v>107.14285714285714</v>
      </c>
      <c r="AM514" s="294"/>
      <c r="AO514" t="b">
        <f t="shared" si="376"/>
        <v>0</v>
      </c>
      <c r="AP514" s="493">
        <v>8000</v>
      </c>
      <c r="AQ514" s="443">
        <v>8000</v>
      </c>
      <c r="AR514" s="493">
        <v>8000</v>
      </c>
      <c r="AS514" s="443">
        <v>6000</v>
      </c>
      <c r="AT514" s="617">
        <v>8400</v>
      </c>
      <c r="AU514" s="478">
        <v>8400</v>
      </c>
      <c r="AV514" s="638">
        <v>9000</v>
      </c>
      <c r="AW514" s="638">
        <v>9000</v>
      </c>
      <c r="AX514" s="655">
        <f t="shared" si="337"/>
        <v>115.06849315068493</v>
      </c>
      <c r="AY514" s="655">
        <f t="shared" si="338"/>
        <v>105</v>
      </c>
      <c r="AZ514" s="655">
        <f t="shared" si="339"/>
        <v>100</v>
      </c>
      <c r="BA514" s="655">
        <f t="shared" si="340"/>
        <v>105</v>
      </c>
      <c r="BB514" s="655">
        <f t="shared" si="341"/>
        <v>107.14285714285714</v>
      </c>
      <c r="BC514" s="655">
        <f t="shared" si="341"/>
        <v>100</v>
      </c>
    </row>
    <row r="515" spans="1:55" ht="12" customHeight="1">
      <c r="A515" s="20"/>
      <c r="B515" s="20"/>
      <c r="C515" s="20"/>
      <c r="D515" s="20"/>
      <c r="E515" s="20"/>
      <c r="F515" s="20"/>
      <c r="G515" s="20"/>
      <c r="H515" s="375"/>
      <c r="I515" s="22"/>
      <c r="J515" s="21"/>
      <c r="K515" s="19"/>
      <c r="L515" s="313">
        <v>1</v>
      </c>
      <c r="M515" s="313">
        <v>2</v>
      </c>
      <c r="N515" s="335">
        <v>3</v>
      </c>
      <c r="O515" s="335">
        <v>4</v>
      </c>
      <c r="P515" s="290">
        <v>5</v>
      </c>
      <c r="Q515" s="290">
        <v>6</v>
      </c>
      <c r="R515" s="439"/>
      <c r="S515" s="294">
        <f>__xlfn.XLOOKUP(H515,[2]Izvršenje_proračuna_po_pozicija!$B$2:$B$153,[2]Izvršenje_proračuna_po_pozicija!$E$2:$E$153,0)</f>
        <v>0</v>
      </c>
      <c r="T515" s="294"/>
      <c r="U515" s="294"/>
      <c r="V515" s="474">
        <v>5</v>
      </c>
      <c r="W515" s="474"/>
      <c r="X515" s="539"/>
      <c r="Y515" s="539"/>
      <c r="Z515" s="541" t="b">
        <f t="shared" si="370"/>
        <v>0</v>
      </c>
      <c r="AA515" s="514"/>
      <c r="AB515" s="515">
        <v>7</v>
      </c>
      <c r="AC515" s="515">
        <v>8</v>
      </c>
      <c r="AD515" s="515">
        <v>9</v>
      </c>
      <c r="AE515" s="515">
        <v>10</v>
      </c>
      <c r="AF515" s="515">
        <v>11</v>
      </c>
      <c r="AG515" s="515">
        <v>12</v>
      </c>
      <c r="AH515" s="514"/>
      <c r="AI515" s="539"/>
      <c r="AJ515" s="516"/>
      <c r="AK515" s="516"/>
      <c r="AL515" s="516"/>
      <c r="AM515" s="290"/>
      <c r="AO515" t="b">
        <f t="shared" si="376"/>
        <v>0</v>
      </c>
      <c r="AQ515" s="439"/>
      <c r="AS515" s="439">
        <f>__xlfn.XLOOKUP(K515,[1]Izvršenje_proračuna_po_pozicija!$C$25:$C$149,[1]Izvršenje_proračuna_po_pozicija!$E$25:$E$149,0)</f>
        <v>0</v>
      </c>
      <c r="AT515" s="616"/>
      <c r="AU515" s="474"/>
      <c r="AV515" s="632"/>
      <c r="AW515" s="632"/>
      <c r="AX515" s="655" t="str">
        <f t="shared" si="337"/>
        <v/>
      </c>
      <c r="AY515" s="655" t="str">
        <f t="shared" si="338"/>
        <v/>
      </c>
      <c r="AZ515" s="655" t="str">
        <f t="shared" si="339"/>
        <v/>
      </c>
      <c r="BA515" s="655" t="str">
        <f t="shared" si="340"/>
        <v/>
      </c>
      <c r="BB515" s="655" t="str">
        <f t="shared" si="341"/>
        <v/>
      </c>
      <c r="BC515" s="655" t="str">
        <f t="shared" si="341"/>
        <v/>
      </c>
    </row>
    <row r="516" spans="1:55" ht="12" customHeight="1">
      <c r="A516" s="212" t="s">
        <v>476</v>
      </c>
      <c r="B516" s="130"/>
      <c r="C516" s="130"/>
      <c r="D516" s="130"/>
      <c r="E516" s="130"/>
      <c r="F516" s="130"/>
      <c r="G516" s="130"/>
      <c r="H516" s="388"/>
      <c r="I516" s="144" t="s">
        <v>240</v>
      </c>
      <c r="J516" s="145"/>
      <c r="K516" s="45"/>
      <c r="L516" s="320">
        <f t="shared" ref="L516:S516" si="380">L518</f>
        <v>0</v>
      </c>
      <c r="M516" s="320">
        <f t="shared" si="380"/>
        <v>0</v>
      </c>
      <c r="N516" s="344">
        <f t="shared" si="380"/>
        <v>0</v>
      </c>
      <c r="O516" s="344">
        <f t="shared" si="380"/>
        <v>0</v>
      </c>
      <c r="P516" s="299">
        <f t="shared" si="380"/>
        <v>0</v>
      </c>
      <c r="Q516" s="299">
        <f t="shared" si="380"/>
        <v>0</v>
      </c>
      <c r="R516" s="447">
        <f t="shared" si="380"/>
        <v>0</v>
      </c>
      <c r="S516" s="299">
        <f t="shared" si="380"/>
        <v>0</v>
      </c>
      <c r="T516" s="299"/>
      <c r="U516" s="299"/>
      <c r="V516" s="477">
        <f>V518</f>
        <v>0</v>
      </c>
      <c r="W516" s="477">
        <f>W518</f>
        <v>0</v>
      </c>
      <c r="X516" s="542">
        <f>X518</f>
        <v>0</v>
      </c>
      <c r="Y516" s="542">
        <f>Y518</f>
        <v>0</v>
      </c>
      <c r="Z516" s="541" t="b">
        <f t="shared" si="370"/>
        <v>1</v>
      </c>
      <c r="AA516" s="542"/>
      <c r="AB516" s="543">
        <f>AB518</f>
        <v>0</v>
      </c>
      <c r="AC516" s="543">
        <f>AC518</f>
        <v>0</v>
      </c>
      <c r="AD516" s="524"/>
      <c r="AE516" s="524"/>
      <c r="AF516" s="524"/>
      <c r="AG516" s="524"/>
      <c r="AH516" s="542"/>
      <c r="AI516" s="542">
        <v>0</v>
      </c>
      <c r="AJ516" s="516"/>
      <c r="AK516" s="516"/>
      <c r="AL516" s="516"/>
      <c r="AM516" s="299"/>
      <c r="AO516" t="b">
        <f t="shared" si="376"/>
        <v>1</v>
      </c>
      <c r="AP516" s="503">
        <f>AP518</f>
        <v>0</v>
      </c>
      <c r="AQ516" s="447">
        <v>0</v>
      </c>
      <c r="AR516" s="503">
        <f>AR518</f>
        <v>0</v>
      </c>
      <c r="AS516" s="447">
        <f>AS518</f>
        <v>0</v>
      </c>
      <c r="AT516" s="611">
        <f>AT518</f>
        <v>0</v>
      </c>
      <c r="AU516" s="477"/>
      <c r="AV516" s="643">
        <v>0</v>
      </c>
      <c r="AW516" s="643">
        <v>0</v>
      </c>
      <c r="AX516" s="655" t="str">
        <f t="shared" si="337"/>
        <v/>
      </c>
      <c r="AY516" s="655" t="str">
        <f t="shared" si="338"/>
        <v/>
      </c>
      <c r="AZ516" s="655" t="str">
        <f t="shared" si="339"/>
        <v/>
      </c>
      <c r="BA516" s="655" t="str">
        <f t="shared" si="340"/>
        <v/>
      </c>
      <c r="BB516" s="655" t="str">
        <f t="shared" si="341"/>
        <v/>
      </c>
      <c r="BC516" s="655" t="str">
        <f t="shared" si="341"/>
        <v/>
      </c>
    </row>
    <row r="517" spans="1:55" ht="12" customHeight="1">
      <c r="A517" s="25"/>
      <c r="B517" s="25"/>
      <c r="C517" s="25"/>
      <c r="D517" s="25"/>
      <c r="E517" s="25"/>
      <c r="F517" s="25"/>
      <c r="G517" s="25"/>
      <c r="H517" s="382"/>
      <c r="I517" s="115"/>
      <c r="J517" s="29"/>
      <c r="K517" s="26"/>
      <c r="L517" s="317"/>
      <c r="M517" s="317"/>
      <c r="N517" s="341"/>
      <c r="O517" s="341"/>
      <c r="P517" s="296"/>
      <c r="Q517" s="296"/>
      <c r="R517" s="445"/>
      <c r="S517" s="294">
        <f>__xlfn.XLOOKUP(H517,[2]Izvršenje_proračuna_po_pozicija!$B$2:$B$153,[2]Izvršenje_proračuna_po_pozicija!$E$2:$E$153,0)</f>
        <v>0</v>
      </c>
      <c r="T517" s="294"/>
      <c r="U517" s="294"/>
      <c r="V517" s="481"/>
      <c r="W517" s="481"/>
      <c r="X517" s="549"/>
      <c r="Y517" s="549"/>
      <c r="Z517" s="541" t="b">
        <f t="shared" si="370"/>
        <v>0</v>
      </c>
      <c r="AA517" s="531"/>
      <c r="AB517" s="532"/>
      <c r="AC517" s="532"/>
      <c r="AD517" s="524"/>
      <c r="AE517" s="524"/>
      <c r="AF517" s="524"/>
      <c r="AG517" s="524"/>
      <c r="AH517" s="531"/>
      <c r="AI517" s="549"/>
      <c r="AJ517" s="516"/>
      <c r="AK517" s="516"/>
      <c r="AL517" s="516"/>
      <c r="AM517" s="296"/>
      <c r="AO517" t="b">
        <f t="shared" si="376"/>
        <v>0</v>
      </c>
      <c r="AQ517" s="445"/>
      <c r="AS517" s="445"/>
      <c r="AT517" s="616"/>
      <c r="AU517" s="481"/>
      <c r="AV517" s="640"/>
      <c r="AW517" s="640"/>
      <c r="AX517" s="655" t="str">
        <f t="shared" si="337"/>
        <v/>
      </c>
      <c r="AY517" s="655" t="str">
        <f t="shared" si="338"/>
        <v/>
      </c>
      <c r="AZ517" s="655" t="str">
        <f t="shared" si="339"/>
        <v/>
      </c>
      <c r="BA517" s="655" t="str">
        <f t="shared" si="340"/>
        <v/>
      </c>
      <c r="BB517" s="655" t="str">
        <f t="shared" si="341"/>
        <v/>
      </c>
      <c r="BC517" s="655" t="str">
        <f t="shared" si="341"/>
        <v/>
      </c>
    </row>
    <row r="518" spans="1:55" ht="12" customHeight="1">
      <c r="A518" s="52"/>
      <c r="B518" s="52"/>
      <c r="C518" s="52"/>
      <c r="D518" s="52"/>
      <c r="E518" s="52"/>
      <c r="F518" s="52"/>
      <c r="G518" s="52"/>
      <c r="H518" s="384"/>
      <c r="I518" s="120"/>
      <c r="J518" s="94">
        <v>4</v>
      </c>
      <c r="K518" s="21" t="s">
        <v>241</v>
      </c>
      <c r="L518" s="315">
        <f t="shared" ref="L518:AC520" si="381">L519</f>
        <v>0</v>
      </c>
      <c r="M518" s="315">
        <f t="shared" si="381"/>
        <v>0</v>
      </c>
      <c r="N518" s="337">
        <f t="shared" si="381"/>
        <v>0</v>
      </c>
      <c r="O518" s="337">
        <f t="shared" si="381"/>
        <v>0</v>
      </c>
      <c r="P518" s="292">
        <f t="shared" si="381"/>
        <v>0</v>
      </c>
      <c r="Q518" s="292">
        <f t="shared" si="381"/>
        <v>0</v>
      </c>
      <c r="R518" s="441">
        <f t="shared" si="381"/>
        <v>0</v>
      </c>
      <c r="S518" s="292">
        <f t="shared" si="381"/>
        <v>0</v>
      </c>
      <c r="T518" s="292"/>
      <c r="U518" s="292"/>
      <c r="V518" s="469">
        <f t="shared" si="381"/>
        <v>0</v>
      </c>
      <c r="W518" s="469">
        <f t="shared" si="381"/>
        <v>0</v>
      </c>
      <c r="X518" s="522">
        <f t="shared" si="381"/>
        <v>0</v>
      </c>
      <c r="Y518" s="522">
        <f t="shared" si="381"/>
        <v>0</v>
      </c>
      <c r="Z518" s="541" t="b">
        <f t="shared" si="370"/>
        <v>1</v>
      </c>
      <c r="AA518" s="522"/>
      <c r="AB518" s="523">
        <f t="shared" si="381"/>
        <v>0</v>
      </c>
      <c r="AC518" s="523">
        <f t="shared" si="381"/>
        <v>0</v>
      </c>
      <c r="AD518" s="524"/>
      <c r="AE518" s="524"/>
      <c r="AF518" s="524"/>
      <c r="AG518" s="524"/>
      <c r="AH518" s="522"/>
      <c r="AI518" s="522">
        <v>0</v>
      </c>
      <c r="AJ518" s="516"/>
      <c r="AK518" s="516"/>
      <c r="AL518" s="516"/>
      <c r="AM518" s="292"/>
      <c r="AO518" t="b">
        <f t="shared" si="376"/>
        <v>1</v>
      </c>
      <c r="AP518" s="440">
        <f t="shared" ref="AP518:AS520" si="382">AP519</f>
        <v>0</v>
      </c>
      <c r="AQ518" s="441">
        <v>0</v>
      </c>
      <c r="AR518" s="440">
        <f>AR519</f>
        <v>0</v>
      </c>
      <c r="AS518" s="441">
        <f t="shared" si="382"/>
        <v>0</v>
      </c>
      <c r="AT518" s="612">
        <f>AT519</f>
        <v>0</v>
      </c>
      <c r="AU518" s="469"/>
      <c r="AV518" s="636">
        <v>0</v>
      </c>
      <c r="AW518" s="636">
        <v>0</v>
      </c>
      <c r="AX518" s="655" t="str">
        <f t="shared" si="337"/>
        <v/>
      </c>
      <c r="AY518" s="655" t="str">
        <f t="shared" si="338"/>
        <v/>
      </c>
      <c r="AZ518" s="655" t="str">
        <f t="shared" si="339"/>
        <v/>
      </c>
      <c r="BA518" s="655" t="str">
        <f t="shared" si="340"/>
        <v/>
      </c>
      <c r="BB518" s="655" t="str">
        <f t="shared" si="341"/>
        <v/>
      </c>
      <c r="BC518" s="655" t="str">
        <f t="shared" si="341"/>
        <v/>
      </c>
    </row>
    <row r="519" spans="1:55" ht="12" customHeight="1">
      <c r="A519" s="355"/>
      <c r="B519" s="355"/>
      <c r="C519" s="355"/>
      <c r="D519" s="355"/>
      <c r="E519" s="355"/>
      <c r="F519" s="355"/>
      <c r="G519" s="355"/>
      <c r="H519" s="379"/>
      <c r="I519" s="360"/>
      <c r="J519" s="356">
        <v>42</v>
      </c>
      <c r="K519" s="358" t="s">
        <v>242</v>
      </c>
      <c r="L519" s="315">
        <f t="shared" si="381"/>
        <v>0</v>
      </c>
      <c r="M519" s="315">
        <f t="shared" si="381"/>
        <v>0</v>
      </c>
      <c r="N519" s="337">
        <f t="shared" si="381"/>
        <v>0</v>
      </c>
      <c r="O519" s="337">
        <f t="shared" si="381"/>
        <v>0</v>
      </c>
      <c r="P519" s="292">
        <f t="shared" si="381"/>
        <v>0</v>
      </c>
      <c r="Q519" s="292">
        <f t="shared" si="381"/>
        <v>0</v>
      </c>
      <c r="R519" s="441">
        <f t="shared" si="381"/>
        <v>0</v>
      </c>
      <c r="S519" s="292">
        <f t="shared" si="381"/>
        <v>0</v>
      </c>
      <c r="T519" s="292"/>
      <c r="U519" s="292"/>
      <c r="V519" s="469">
        <f t="shared" si="381"/>
        <v>0</v>
      </c>
      <c r="W519" s="469">
        <f t="shared" si="381"/>
        <v>0</v>
      </c>
      <c r="X519" s="522">
        <f t="shared" si="381"/>
        <v>0</v>
      </c>
      <c r="Y519" s="522">
        <f t="shared" si="381"/>
        <v>0</v>
      </c>
      <c r="Z519" s="541" t="b">
        <f t="shared" si="370"/>
        <v>1</v>
      </c>
      <c r="AA519" s="522"/>
      <c r="AB519" s="523">
        <f t="shared" si="381"/>
        <v>0</v>
      </c>
      <c r="AC519" s="523">
        <f t="shared" si="381"/>
        <v>0</v>
      </c>
      <c r="AD519" s="524"/>
      <c r="AE519" s="524"/>
      <c r="AF519" s="524"/>
      <c r="AG519" s="524"/>
      <c r="AH519" s="522"/>
      <c r="AI519" s="522">
        <v>0</v>
      </c>
      <c r="AJ519" s="516"/>
      <c r="AK519" s="516"/>
      <c r="AL519" s="516"/>
      <c r="AM519" s="292"/>
      <c r="AO519" t="b">
        <f t="shared" si="376"/>
        <v>1</v>
      </c>
      <c r="AP519" s="440">
        <f t="shared" si="382"/>
        <v>0</v>
      </c>
      <c r="AQ519" s="441">
        <v>0</v>
      </c>
      <c r="AR519" s="440">
        <f>AR520</f>
        <v>0</v>
      </c>
      <c r="AS519" s="441">
        <f t="shared" si="382"/>
        <v>0</v>
      </c>
      <c r="AT519" s="612">
        <f>AT520</f>
        <v>0</v>
      </c>
      <c r="AU519" s="469"/>
      <c r="AV519" s="636">
        <v>0</v>
      </c>
      <c r="AW519" s="636">
        <v>0</v>
      </c>
      <c r="AX519" s="655" t="str">
        <f t="shared" si="337"/>
        <v/>
      </c>
      <c r="AY519" s="655" t="str">
        <f t="shared" si="338"/>
        <v/>
      </c>
      <c r="AZ519" s="655" t="str">
        <f t="shared" si="339"/>
        <v/>
      </c>
      <c r="BA519" s="655" t="str">
        <f t="shared" si="340"/>
        <v/>
      </c>
      <c r="BB519" s="655" t="str">
        <f t="shared" si="341"/>
        <v/>
      </c>
      <c r="BC519" s="655" t="str">
        <f t="shared" si="341"/>
        <v/>
      </c>
    </row>
    <row r="520" spans="1:55" ht="12" customHeight="1">
      <c r="A520" s="56"/>
      <c r="B520" s="56"/>
      <c r="C520" s="56"/>
      <c r="D520" s="56"/>
      <c r="E520" s="56"/>
      <c r="F520" s="56"/>
      <c r="G520" s="56"/>
      <c r="H520" s="377"/>
      <c r="I520" s="119"/>
      <c r="J520" s="116">
        <v>421</v>
      </c>
      <c r="K520" s="60" t="s">
        <v>243</v>
      </c>
      <c r="L520" s="315">
        <f t="shared" si="381"/>
        <v>0</v>
      </c>
      <c r="M520" s="315">
        <f t="shared" si="381"/>
        <v>0</v>
      </c>
      <c r="N520" s="337">
        <f t="shared" si="381"/>
        <v>0</v>
      </c>
      <c r="O520" s="337">
        <f t="shared" si="381"/>
        <v>0</v>
      </c>
      <c r="P520" s="292">
        <f t="shared" si="381"/>
        <v>0</v>
      </c>
      <c r="Q520" s="292">
        <f t="shared" si="381"/>
        <v>0</v>
      </c>
      <c r="R520" s="441">
        <f t="shared" si="381"/>
        <v>0</v>
      </c>
      <c r="S520" s="292">
        <f t="shared" si="381"/>
        <v>0</v>
      </c>
      <c r="T520" s="292"/>
      <c r="U520" s="292"/>
      <c r="V520" s="469">
        <f t="shared" si="381"/>
        <v>0</v>
      </c>
      <c r="W520" s="469">
        <f t="shared" si="381"/>
        <v>0</v>
      </c>
      <c r="X520" s="522">
        <f t="shared" si="381"/>
        <v>0</v>
      </c>
      <c r="Y520" s="522">
        <f t="shared" si="381"/>
        <v>0</v>
      </c>
      <c r="Z520" s="541" t="b">
        <f t="shared" si="370"/>
        <v>1</v>
      </c>
      <c r="AA520" s="522"/>
      <c r="AB520" s="523">
        <f t="shared" si="381"/>
        <v>0</v>
      </c>
      <c r="AC520" s="523">
        <f t="shared" si="381"/>
        <v>0</v>
      </c>
      <c r="AD520" s="524"/>
      <c r="AE520" s="524"/>
      <c r="AF520" s="524"/>
      <c r="AG520" s="524"/>
      <c r="AH520" s="522"/>
      <c r="AI520" s="522">
        <v>0</v>
      </c>
      <c r="AJ520" s="516"/>
      <c r="AK520" s="516"/>
      <c r="AL520" s="516"/>
      <c r="AM520" s="292"/>
      <c r="AO520" t="b">
        <f t="shared" si="376"/>
        <v>1</v>
      </c>
      <c r="AP520" s="440">
        <f t="shared" si="382"/>
        <v>0</v>
      </c>
      <c r="AQ520" s="441">
        <v>0</v>
      </c>
      <c r="AR520" s="440">
        <f>AR521</f>
        <v>0</v>
      </c>
      <c r="AS520" s="441">
        <f t="shared" si="382"/>
        <v>0</v>
      </c>
      <c r="AT520" s="612">
        <f>AT521</f>
        <v>0</v>
      </c>
      <c r="AU520" s="469"/>
      <c r="AV520" s="636">
        <v>0</v>
      </c>
      <c r="AW520" s="636">
        <v>0</v>
      </c>
      <c r="AX520" s="655" t="str">
        <f t="shared" si="337"/>
        <v/>
      </c>
      <c r="AY520" s="655" t="str">
        <f t="shared" si="338"/>
        <v/>
      </c>
      <c r="AZ520" s="655" t="str">
        <f t="shared" si="339"/>
        <v/>
      </c>
      <c r="BA520" s="655" t="str">
        <f t="shared" si="340"/>
        <v/>
      </c>
      <c r="BB520" s="655" t="str">
        <f t="shared" si="341"/>
        <v/>
      </c>
      <c r="BC520" s="655" t="str">
        <f t="shared" si="341"/>
        <v/>
      </c>
    </row>
    <row r="521" spans="1:55" ht="12" customHeight="1">
      <c r="A521" s="36"/>
      <c r="B521" s="36"/>
      <c r="C521" s="36"/>
      <c r="D521" s="36"/>
      <c r="E521" s="36"/>
      <c r="F521" s="36"/>
      <c r="G521" s="36"/>
      <c r="H521" s="204">
        <v>183</v>
      </c>
      <c r="I521" s="118">
        <v>320</v>
      </c>
      <c r="J521" s="71">
        <v>4212</v>
      </c>
      <c r="K521" s="40" t="s">
        <v>647</v>
      </c>
      <c r="L521" s="309">
        <v>0</v>
      </c>
      <c r="M521" s="309">
        <v>0</v>
      </c>
      <c r="N521" s="339">
        <v>0</v>
      </c>
      <c r="O521" s="339">
        <v>0</v>
      </c>
      <c r="P521" s="294">
        <v>0</v>
      </c>
      <c r="Q521" s="294">
        <v>0</v>
      </c>
      <c r="R521" s="443">
        <v>0</v>
      </c>
      <c r="S521" s="294">
        <f>__xlfn.XLOOKUP(H521,[2]Izvršenje_proračuna_po_pozicija!$B$2:$B$153,[2]Izvršenje_proračuna_po_pozicija!$E$2:$E$153,0)</f>
        <v>0</v>
      </c>
      <c r="T521" s="294"/>
      <c r="U521" s="294"/>
      <c r="V521" s="478">
        <v>0</v>
      </c>
      <c r="W521" s="478"/>
      <c r="X521" s="544"/>
      <c r="Y521" s="544"/>
      <c r="Z521" s="541" t="b">
        <f t="shared" si="370"/>
        <v>0</v>
      </c>
      <c r="AA521" s="527"/>
      <c r="AB521" s="528">
        <v>0</v>
      </c>
      <c r="AC521" s="528">
        <v>0</v>
      </c>
      <c r="AD521" s="524"/>
      <c r="AE521" s="524"/>
      <c r="AF521" s="524"/>
      <c r="AG521" s="524"/>
      <c r="AH521" s="527"/>
      <c r="AI521" s="544"/>
      <c r="AJ521" s="516"/>
      <c r="AK521" s="516"/>
      <c r="AL521" s="516"/>
      <c r="AM521" s="294"/>
      <c r="AO521" t="b">
        <f t="shared" si="376"/>
        <v>0</v>
      </c>
      <c r="AQ521" s="443"/>
      <c r="AS521" s="443">
        <f>__xlfn.XLOOKUP(K521,[1]Izvršenje_proračuna_po_pozicija!$C$25:$C$149,[1]Izvršenje_proračuna_po_pozicija!$E$25:$E$149,0)</f>
        <v>0</v>
      </c>
      <c r="AT521" s="617"/>
      <c r="AU521" s="478"/>
      <c r="AV521" s="638"/>
      <c r="AW521" s="638"/>
      <c r="AX521" s="655" t="str">
        <f t="shared" si="337"/>
        <v/>
      </c>
      <c r="AY521" s="655" t="str">
        <f t="shared" si="338"/>
        <v/>
      </c>
      <c r="AZ521" s="655" t="str">
        <f t="shared" si="339"/>
        <v/>
      </c>
      <c r="BA521" s="655" t="str">
        <f t="shared" si="340"/>
        <v/>
      </c>
      <c r="BB521" s="655" t="str">
        <f t="shared" si="341"/>
        <v/>
      </c>
      <c r="BC521" s="655" t="str">
        <f t="shared" si="341"/>
        <v/>
      </c>
    </row>
    <row r="522" spans="1:55" ht="12" customHeight="1">
      <c r="A522" s="25"/>
      <c r="B522" s="25"/>
      <c r="C522" s="25"/>
      <c r="D522" s="25"/>
      <c r="E522" s="25"/>
      <c r="F522" s="25"/>
      <c r="G522" s="25"/>
      <c r="H522" s="389"/>
      <c r="I522" s="30"/>
      <c r="J522" s="29"/>
      <c r="K522" s="29"/>
      <c r="L522" s="313"/>
      <c r="M522" s="313"/>
      <c r="N522" s="335"/>
      <c r="O522" s="335"/>
      <c r="P522" s="290"/>
      <c r="Q522" s="290"/>
      <c r="R522" s="439"/>
      <c r="S522" s="294">
        <f>__xlfn.XLOOKUP(H522,[2]Izvršenje_proračuna_po_pozicija!$B$2:$B$153,[2]Izvršenje_proračuna_po_pozicija!$E$2:$E$153,0)</f>
        <v>0</v>
      </c>
      <c r="T522" s="294"/>
      <c r="U522" s="294"/>
      <c r="V522" s="474"/>
      <c r="W522" s="474"/>
      <c r="X522" s="539"/>
      <c r="Y522" s="539"/>
      <c r="Z522" s="541" t="b">
        <f t="shared" si="370"/>
        <v>0</v>
      </c>
      <c r="AA522" s="514"/>
      <c r="AB522" s="515"/>
      <c r="AC522" s="515"/>
      <c r="AD522" s="524"/>
      <c r="AE522" s="524"/>
      <c r="AF522" s="524"/>
      <c r="AG522" s="524"/>
      <c r="AH522" s="514"/>
      <c r="AI522" s="539"/>
      <c r="AJ522" s="516"/>
      <c r="AK522" s="516"/>
      <c r="AL522" s="516"/>
      <c r="AM522" s="290"/>
      <c r="AO522" t="b">
        <f t="shared" si="376"/>
        <v>0</v>
      </c>
      <c r="AQ522" s="439"/>
      <c r="AS522" s="439">
        <f>__xlfn.XLOOKUP(K522,[1]Izvršenje_proračuna_po_pozicija!$C$25:$C$149,[1]Izvršenje_proračuna_po_pozicija!$E$25:$E$149,0)</f>
        <v>0</v>
      </c>
      <c r="AT522" s="616"/>
      <c r="AU522" s="474"/>
      <c r="AV522" s="632"/>
      <c r="AW522" s="632"/>
      <c r="AX522" s="655" t="str">
        <f t="shared" si="337"/>
        <v/>
      </c>
      <c r="AY522" s="655" t="str">
        <f t="shared" si="338"/>
        <v/>
      </c>
      <c r="AZ522" s="655" t="str">
        <f t="shared" si="339"/>
        <v/>
      </c>
      <c r="BA522" s="655" t="str">
        <f t="shared" si="340"/>
        <v/>
      </c>
      <c r="BB522" s="655" t="str">
        <f t="shared" si="341"/>
        <v/>
      </c>
      <c r="BC522" s="655" t="str">
        <f t="shared" si="341"/>
        <v/>
      </c>
    </row>
    <row r="523" spans="1:55" ht="12" customHeight="1">
      <c r="A523" s="142"/>
      <c r="B523" s="142"/>
      <c r="C523" s="142"/>
      <c r="D523" s="142"/>
      <c r="E523" s="142"/>
      <c r="F523" s="142"/>
      <c r="G523" s="142"/>
      <c r="H523" s="391"/>
      <c r="I523" s="147" t="s">
        <v>479</v>
      </c>
      <c r="J523" s="148"/>
      <c r="K523" s="149"/>
      <c r="L523" s="320">
        <f t="shared" ref="L523:AC523" si="383">L524</f>
        <v>0</v>
      </c>
      <c r="M523" s="320">
        <f t="shared" si="383"/>
        <v>0</v>
      </c>
      <c r="N523" s="344">
        <f t="shared" si="383"/>
        <v>0</v>
      </c>
      <c r="O523" s="344">
        <f t="shared" si="383"/>
        <v>0</v>
      </c>
      <c r="P523" s="299">
        <f t="shared" si="383"/>
        <v>0</v>
      </c>
      <c r="Q523" s="299">
        <f t="shared" si="383"/>
        <v>0</v>
      </c>
      <c r="R523" s="447">
        <f t="shared" si="383"/>
        <v>0</v>
      </c>
      <c r="S523" s="299">
        <f t="shared" si="383"/>
        <v>0</v>
      </c>
      <c r="T523" s="299"/>
      <c r="U523" s="299"/>
      <c r="V523" s="477">
        <f t="shared" si="383"/>
        <v>5000</v>
      </c>
      <c r="W523" s="477">
        <f t="shared" si="383"/>
        <v>0</v>
      </c>
      <c r="X523" s="542">
        <f t="shared" si="383"/>
        <v>7000</v>
      </c>
      <c r="Y523" s="542">
        <f t="shared" si="383"/>
        <v>0</v>
      </c>
      <c r="Z523" s="541" t="b">
        <f t="shared" si="370"/>
        <v>1</v>
      </c>
      <c r="AA523" s="542"/>
      <c r="AB523" s="543">
        <f t="shared" si="383"/>
        <v>5000</v>
      </c>
      <c r="AC523" s="543">
        <f t="shared" si="383"/>
        <v>5000</v>
      </c>
      <c r="AD523" s="524"/>
      <c r="AE523" s="524"/>
      <c r="AF523" s="524"/>
      <c r="AG523" s="524"/>
      <c r="AH523" s="542"/>
      <c r="AI523" s="542">
        <v>7000</v>
      </c>
      <c r="AJ523" s="516"/>
      <c r="AK523" s="516"/>
      <c r="AL523" s="516">
        <f>X523/AT523*100</f>
        <v>100</v>
      </c>
      <c r="AM523" s="299"/>
      <c r="AO523" t="b">
        <f t="shared" si="376"/>
        <v>1</v>
      </c>
      <c r="AP523" s="503">
        <f t="shared" ref="AP523:AU523" si="384">AP524</f>
        <v>0</v>
      </c>
      <c r="AQ523" s="447">
        <v>0</v>
      </c>
      <c r="AR523" s="503">
        <f>AR524</f>
        <v>0</v>
      </c>
      <c r="AS523" s="447">
        <f t="shared" si="384"/>
        <v>0</v>
      </c>
      <c r="AT523" s="611">
        <f>AT524</f>
        <v>7000</v>
      </c>
      <c r="AU523" s="477">
        <f t="shared" si="384"/>
        <v>1000</v>
      </c>
      <c r="AV523" s="643">
        <v>7000</v>
      </c>
      <c r="AW523" s="643">
        <v>7000</v>
      </c>
      <c r="AX523" s="655" t="str">
        <f t="shared" ref="AX523:AX586" si="385">IF(AND(ISNUMBER(AT523), ISNUMBER(R523), R523&lt;&gt;0), (AT523/R523)*100, "")</f>
        <v/>
      </c>
      <c r="AY523" s="655" t="str">
        <f t="shared" ref="AY523:AY586" si="386">IF(AND(ISNUMBER(AT523), ISNUMBER(AQ523), AQ523&lt;&gt;0), (AT523/AQ523)*100, "")</f>
        <v/>
      </c>
      <c r="AZ523" s="655">
        <f t="shared" ref="AZ523:AZ586" si="387">IF(AND(ISNUMBER(AU523), ISNUMBER(AT523), AT523&lt;&gt;0), (AU523/AT523)*100, "")</f>
        <v>14.285714285714285</v>
      </c>
      <c r="BA523" s="655" t="str">
        <f t="shared" ref="BA523:BA586" si="388">IF(AND(ISNUMBER(AU523), ISNUMBER(AQ523), AQ523&lt;&gt;0), (AU523/AQ523)*100, "")</f>
        <v/>
      </c>
      <c r="BB523" s="655">
        <f t="shared" ref="BB523:BC586" si="389">IF(AND(ISNUMBER(AV523), ISNUMBER(AU523), AU523&lt;&gt;0), (AV523/AU523)*100, "")</f>
        <v>700</v>
      </c>
      <c r="BC523" s="655">
        <f t="shared" si="389"/>
        <v>100</v>
      </c>
    </row>
    <row r="524" spans="1:55" ht="12" customHeight="1">
      <c r="A524" s="212" t="s">
        <v>474</v>
      </c>
      <c r="B524" s="130"/>
      <c r="C524" s="130"/>
      <c r="D524" s="130"/>
      <c r="E524" s="130"/>
      <c r="F524" s="130"/>
      <c r="G524" s="130"/>
      <c r="H524" s="383"/>
      <c r="I524" s="150" t="s">
        <v>244</v>
      </c>
      <c r="J524" s="151"/>
      <c r="K524" s="45"/>
      <c r="L524" s="315">
        <f t="shared" ref="L524:S524" si="390">L526</f>
        <v>0</v>
      </c>
      <c r="M524" s="315">
        <f t="shared" si="390"/>
        <v>0</v>
      </c>
      <c r="N524" s="337">
        <f t="shared" si="390"/>
        <v>0</v>
      </c>
      <c r="O524" s="337">
        <f t="shared" si="390"/>
        <v>0</v>
      </c>
      <c r="P524" s="292">
        <f t="shared" si="390"/>
        <v>0</v>
      </c>
      <c r="Q524" s="292">
        <f t="shared" si="390"/>
        <v>0</v>
      </c>
      <c r="R524" s="441">
        <f t="shared" si="390"/>
        <v>0</v>
      </c>
      <c r="S524" s="292">
        <f t="shared" si="390"/>
        <v>0</v>
      </c>
      <c r="T524" s="292"/>
      <c r="U524" s="292"/>
      <c r="V524" s="469">
        <f>V526</f>
        <v>5000</v>
      </c>
      <c r="W524" s="469">
        <f>W526</f>
        <v>0</v>
      </c>
      <c r="X524" s="522">
        <f>X526</f>
        <v>7000</v>
      </c>
      <c r="Y524" s="522">
        <f>Y526</f>
        <v>0</v>
      </c>
      <c r="Z524" s="541" t="b">
        <f t="shared" si="370"/>
        <v>1</v>
      </c>
      <c r="AA524" s="522"/>
      <c r="AB524" s="523">
        <f>AB526</f>
        <v>5000</v>
      </c>
      <c r="AC524" s="523">
        <f>AC526</f>
        <v>5000</v>
      </c>
      <c r="AD524" s="524"/>
      <c r="AE524" s="524"/>
      <c r="AF524" s="524"/>
      <c r="AG524" s="524"/>
      <c r="AH524" s="522"/>
      <c r="AI524" s="522">
        <v>7000</v>
      </c>
      <c r="AJ524" s="516"/>
      <c r="AK524" s="516"/>
      <c r="AL524" s="516">
        <f>X524/AT524*100</f>
        <v>100</v>
      </c>
      <c r="AM524" s="292"/>
      <c r="AO524" t="b">
        <f t="shared" si="376"/>
        <v>1</v>
      </c>
      <c r="AP524" s="440">
        <f t="shared" ref="AP524:AU524" si="391">AP526</f>
        <v>0</v>
      </c>
      <c r="AQ524" s="441">
        <v>0</v>
      </c>
      <c r="AR524" s="440">
        <f>AR526</f>
        <v>0</v>
      </c>
      <c r="AS524" s="441">
        <f t="shared" si="391"/>
        <v>0</v>
      </c>
      <c r="AT524" s="612">
        <f t="shared" si="391"/>
        <v>7000</v>
      </c>
      <c r="AU524" s="469">
        <f t="shared" si="391"/>
        <v>1000</v>
      </c>
      <c r="AV524" s="636">
        <v>7000</v>
      </c>
      <c r="AW524" s="636">
        <v>7000</v>
      </c>
      <c r="AX524" s="655" t="str">
        <f t="shared" si="385"/>
        <v/>
      </c>
      <c r="AY524" s="655" t="str">
        <f t="shared" si="386"/>
        <v/>
      </c>
      <c r="AZ524" s="655">
        <f t="shared" si="387"/>
        <v>14.285714285714285</v>
      </c>
      <c r="BA524" s="655" t="str">
        <f t="shared" si="388"/>
        <v/>
      </c>
      <c r="BB524" s="655">
        <f t="shared" si="389"/>
        <v>700</v>
      </c>
      <c r="BC524" s="655">
        <f t="shared" si="389"/>
        <v>100</v>
      </c>
    </row>
    <row r="525" spans="1:55" ht="12" customHeight="1">
      <c r="A525" s="25"/>
      <c r="B525" s="25"/>
      <c r="C525" s="25"/>
      <c r="D525" s="25"/>
      <c r="E525" s="25"/>
      <c r="F525" s="25"/>
      <c r="G525" s="25"/>
      <c r="H525" s="389"/>
      <c r="I525" s="30"/>
      <c r="J525" s="29"/>
      <c r="K525" s="29"/>
      <c r="L525" s="313"/>
      <c r="M525" s="313"/>
      <c r="N525" s="335"/>
      <c r="O525" s="335"/>
      <c r="P525" s="290"/>
      <c r="Q525" s="290"/>
      <c r="R525" s="439"/>
      <c r="S525" s="294">
        <f>__xlfn.XLOOKUP(H525,[2]Izvršenje_proračuna_po_pozicija!$B$2:$B$153,[2]Izvršenje_proračuna_po_pozicija!$E$2:$E$153,0)</f>
        <v>0</v>
      </c>
      <c r="T525" s="294"/>
      <c r="U525" s="294"/>
      <c r="V525" s="474"/>
      <c r="W525" s="474"/>
      <c r="X525" s="539"/>
      <c r="Y525" s="539"/>
      <c r="Z525" s="541" t="b">
        <f t="shared" si="370"/>
        <v>0</v>
      </c>
      <c r="AA525" s="514"/>
      <c r="AB525" s="515"/>
      <c r="AC525" s="515"/>
      <c r="AD525" s="524"/>
      <c r="AE525" s="524"/>
      <c r="AF525" s="524"/>
      <c r="AG525" s="524"/>
      <c r="AH525" s="514"/>
      <c r="AI525" s="539"/>
      <c r="AJ525" s="516"/>
      <c r="AK525" s="516"/>
      <c r="AL525" s="516"/>
      <c r="AM525" s="290"/>
      <c r="AO525" t="b">
        <f t="shared" si="376"/>
        <v>0</v>
      </c>
      <c r="AQ525" s="439"/>
      <c r="AS525" s="439"/>
      <c r="AT525" s="616"/>
      <c r="AU525" s="474"/>
      <c r="AV525" s="632"/>
      <c r="AW525" s="632"/>
      <c r="AX525" s="655" t="str">
        <f t="shared" si="385"/>
        <v/>
      </c>
      <c r="AY525" s="655" t="str">
        <f t="shared" si="386"/>
        <v/>
      </c>
      <c r="AZ525" s="655" t="str">
        <f t="shared" si="387"/>
        <v/>
      </c>
      <c r="BA525" s="655" t="str">
        <f t="shared" si="388"/>
        <v/>
      </c>
      <c r="BB525" s="655" t="str">
        <f t="shared" si="389"/>
        <v/>
      </c>
      <c r="BC525" s="655" t="str">
        <f t="shared" si="389"/>
        <v/>
      </c>
    </row>
    <row r="526" spans="1:55" ht="12" customHeight="1">
      <c r="A526" s="52"/>
      <c r="B526" s="52"/>
      <c r="C526" s="52"/>
      <c r="D526" s="52"/>
      <c r="E526" s="52"/>
      <c r="F526" s="52"/>
      <c r="G526" s="52"/>
      <c r="H526" s="384"/>
      <c r="I526" s="118"/>
      <c r="J526" s="94">
        <v>3</v>
      </c>
      <c r="K526" s="21" t="s">
        <v>94</v>
      </c>
      <c r="L526" s="315">
        <f t="shared" ref="L526:S527" si="392">L527</f>
        <v>0</v>
      </c>
      <c r="M526" s="315">
        <f t="shared" si="392"/>
        <v>0</v>
      </c>
      <c r="N526" s="337">
        <f t="shared" si="392"/>
        <v>0</v>
      </c>
      <c r="O526" s="337">
        <f t="shared" si="392"/>
        <v>0</v>
      </c>
      <c r="P526" s="292">
        <f t="shared" si="392"/>
        <v>0</v>
      </c>
      <c r="Q526" s="292">
        <f t="shared" si="392"/>
        <v>0</v>
      </c>
      <c r="R526" s="441">
        <f t="shared" si="392"/>
        <v>0</v>
      </c>
      <c r="S526" s="292">
        <f t="shared" si="392"/>
        <v>0</v>
      </c>
      <c r="T526" s="292"/>
      <c r="U526" s="292"/>
      <c r="V526" s="469">
        <f t="shared" ref="V526:Y527" si="393">V527</f>
        <v>5000</v>
      </c>
      <c r="W526" s="469">
        <f t="shared" si="393"/>
        <v>0</v>
      </c>
      <c r="X526" s="522">
        <f t="shared" si="393"/>
        <v>7000</v>
      </c>
      <c r="Y526" s="522">
        <f t="shared" si="393"/>
        <v>0</v>
      </c>
      <c r="Z526" s="541" t="b">
        <f t="shared" si="370"/>
        <v>1</v>
      </c>
      <c r="AA526" s="522"/>
      <c r="AB526" s="523">
        <f>AB527</f>
        <v>5000</v>
      </c>
      <c r="AC526" s="523">
        <f>AC527</f>
        <v>5000</v>
      </c>
      <c r="AD526" s="524"/>
      <c r="AE526" s="524"/>
      <c r="AF526" s="524"/>
      <c r="AG526" s="524"/>
      <c r="AH526" s="522"/>
      <c r="AI526" s="522">
        <v>7000</v>
      </c>
      <c r="AJ526" s="516"/>
      <c r="AK526" s="516"/>
      <c r="AL526" s="516">
        <f>X526/AT526*100</f>
        <v>100</v>
      </c>
      <c r="AM526" s="292"/>
      <c r="AO526" t="b">
        <f t="shared" si="376"/>
        <v>1</v>
      </c>
      <c r="AP526" s="440">
        <f t="shared" ref="AP526:AU527" si="394">AP527</f>
        <v>0</v>
      </c>
      <c r="AQ526" s="441">
        <v>0</v>
      </c>
      <c r="AR526" s="440">
        <f>AR527</f>
        <v>0</v>
      </c>
      <c r="AS526" s="441">
        <f t="shared" si="394"/>
        <v>0</v>
      </c>
      <c r="AT526" s="612">
        <f>AT527</f>
        <v>7000</v>
      </c>
      <c r="AU526" s="469">
        <f t="shared" si="394"/>
        <v>1000</v>
      </c>
      <c r="AV526" s="636">
        <v>7000</v>
      </c>
      <c r="AW526" s="636">
        <v>7000</v>
      </c>
      <c r="AX526" s="655" t="str">
        <f t="shared" si="385"/>
        <v/>
      </c>
      <c r="AY526" s="655" t="str">
        <f t="shared" si="386"/>
        <v/>
      </c>
      <c r="AZ526" s="655">
        <f t="shared" si="387"/>
        <v>14.285714285714285</v>
      </c>
      <c r="BA526" s="655" t="str">
        <f t="shared" si="388"/>
        <v/>
      </c>
      <c r="BB526" s="655">
        <f t="shared" si="389"/>
        <v>700</v>
      </c>
      <c r="BC526" s="655">
        <f t="shared" si="389"/>
        <v>100</v>
      </c>
    </row>
    <row r="527" spans="1:55" ht="12" customHeight="1">
      <c r="A527" s="355"/>
      <c r="B527" s="355"/>
      <c r="C527" s="355"/>
      <c r="D527" s="355"/>
      <c r="E527" s="355"/>
      <c r="F527" s="355"/>
      <c r="G527" s="355"/>
      <c r="H527" s="379"/>
      <c r="I527" s="362"/>
      <c r="J527" s="356">
        <v>35</v>
      </c>
      <c r="K527" s="358" t="s">
        <v>134</v>
      </c>
      <c r="L527" s="315">
        <f t="shared" si="392"/>
        <v>0</v>
      </c>
      <c r="M527" s="315">
        <f t="shared" si="392"/>
        <v>0</v>
      </c>
      <c r="N527" s="337">
        <f t="shared" si="392"/>
        <v>0</v>
      </c>
      <c r="O527" s="337">
        <f t="shared" si="392"/>
        <v>0</v>
      </c>
      <c r="P527" s="292">
        <f t="shared" si="392"/>
        <v>0</v>
      </c>
      <c r="Q527" s="292">
        <f t="shared" si="392"/>
        <v>0</v>
      </c>
      <c r="R527" s="441">
        <f t="shared" si="392"/>
        <v>0</v>
      </c>
      <c r="S527" s="292">
        <f t="shared" si="392"/>
        <v>0</v>
      </c>
      <c r="T527" s="292"/>
      <c r="U527" s="292"/>
      <c r="V527" s="469">
        <f t="shared" si="393"/>
        <v>5000</v>
      </c>
      <c r="W527" s="469">
        <f t="shared" si="393"/>
        <v>0</v>
      </c>
      <c r="X527" s="522">
        <f t="shared" si="393"/>
        <v>7000</v>
      </c>
      <c r="Y527" s="522">
        <f t="shared" si="393"/>
        <v>0</v>
      </c>
      <c r="Z527" s="541" t="b">
        <f t="shared" si="370"/>
        <v>1</v>
      </c>
      <c r="AA527" s="522"/>
      <c r="AB527" s="523">
        <f>AB528</f>
        <v>5000</v>
      </c>
      <c r="AC527" s="523">
        <f>AC528</f>
        <v>5000</v>
      </c>
      <c r="AD527" s="524"/>
      <c r="AE527" s="524"/>
      <c r="AF527" s="524"/>
      <c r="AG527" s="524"/>
      <c r="AH527" s="522"/>
      <c r="AI527" s="522">
        <v>7000</v>
      </c>
      <c r="AJ527" s="516"/>
      <c r="AK527" s="516"/>
      <c r="AL527" s="516">
        <f>X527/AT527*100</f>
        <v>100</v>
      </c>
      <c r="AM527" s="292"/>
      <c r="AO527" t="b">
        <f t="shared" si="376"/>
        <v>1</v>
      </c>
      <c r="AP527" s="440">
        <f t="shared" si="394"/>
        <v>0</v>
      </c>
      <c r="AQ527" s="441">
        <v>0</v>
      </c>
      <c r="AR527" s="440">
        <f>AR528</f>
        <v>0</v>
      </c>
      <c r="AS527" s="441">
        <f t="shared" si="394"/>
        <v>0</v>
      </c>
      <c r="AT527" s="612">
        <f>AT528</f>
        <v>7000</v>
      </c>
      <c r="AU527" s="469">
        <f t="shared" si="394"/>
        <v>1000</v>
      </c>
      <c r="AV527" s="636">
        <v>7000</v>
      </c>
      <c r="AW527" s="636">
        <v>7000</v>
      </c>
      <c r="AX527" s="655" t="str">
        <f t="shared" si="385"/>
        <v/>
      </c>
      <c r="AY527" s="655" t="str">
        <f t="shared" si="386"/>
        <v/>
      </c>
      <c r="AZ527" s="655">
        <f t="shared" si="387"/>
        <v>14.285714285714285</v>
      </c>
      <c r="BA527" s="655" t="str">
        <f t="shared" si="388"/>
        <v/>
      </c>
      <c r="BB527" s="655">
        <f t="shared" si="389"/>
        <v>700</v>
      </c>
      <c r="BC527" s="655">
        <f t="shared" si="389"/>
        <v>100</v>
      </c>
    </row>
    <row r="528" spans="1:55" ht="12" customHeight="1">
      <c r="A528" s="56"/>
      <c r="B528" s="56"/>
      <c r="C528" s="56"/>
      <c r="D528" s="56"/>
      <c r="E528" s="56"/>
      <c r="F528" s="56"/>
      <c r="G528" s="56"/>
      <c r="H528" s="377"/>
      <c r="I528" s="119"/>
      <c r="J528" s="116">
        <v>352</v>
      </c>
      <c r="K528" s="60" t="s">
        <v>245</v>
      </c>
      <c r="L528" s="315">
        <f t="shared" ref="L528:S528" si="395">L529+L530+L531</f>
        <v>0</v>
      </c>
      <c r="M528" s="315">
        <f t="shared" si="395"/>
        <v>0</v>
      </c>
      <c r="N528" s="337">
        <f t="shared" si="395"/>
        <v>0</v>
      </c>
      <c r="O528" s="337">
        <f t="shared" si="395"/>
        <v>0</v>
      </c>
      <c r="P528" s="292">
        <f t="shared" si="395"/>
        <v>0</v>
      </c>
      <c r="Q528" s="292">
        <f t="shared" si="395"/>
        <v>0</v>
      </c>
      <c r="R528" s="441">
        <f t="shared" si="395"/>
        <v>0</v>
      </c>
      <c r="S528" s="292">
        <f t="shared" si="395"/>
        <v>0</v>
      </c>
      <c r="T528" s="292"/>
      <c r="U528" s="292"/>
      <c r="V528" s="469">
        <f>V529+V530+V531</f>
        <v>5000</v>
      </c>
      <c r="W528" s="469">
        <f>W529+W530+W531</f>
        <v>0</v>
      </c>
      <c r="X528" s="522">
        <f>X529+X530+X531</f>
        <v>7000</v>
      </c>
      <c r="Y528" s="522">
        <f>Y529+Y530+Y531</f>
        <v>0</v>
      </c>
      <c r="Z528" s="541" t="b">
        <f t="shared" si="370"/>
        <v>1</v>
      </c>
      <c r="AA528" s="522"/>
      <c r="AB528" s="523">
        <f>AB529+AB530+AB531</f>
        <v>5000</v>
      </c>
      <c r="AC528" s="523">
        <f>AC529+AC530+AC531</f>
        <v>5000</v>
      </c>
      <c r="AD528" s="524"/>
      <c r="AE528" s="524"/>
      <c r="AF528" s="524"/>
      <c r="AG528" s="524"/>
      <c r="AH528" s="522"/>
      <c r="AI528" s="522">
        <v>7000</v>
      </c>
      <c r="AJ528" s="516"/>
      <c r="AK528" s="516"/>
      <c r="AL528" s="516">
        <f>X528/AT528*100</f>
        <v>100</v>
      </c>
      <c r="AM528" s="292"/>
      <c r="AO528" t="b">
        <f t="shared" si="376"/>
        <v>1</v>
      </c>
      <c r="AP528" s="440">
        <f t="shared" ref="AP528:AU528" si="396">AP529+AP530+AP531</f>
        <v>0</v>
      </c>
      <c r="AQ528" s="441">
        <v>0</v>
      </c>
      <c r="AR528" s="440">
        <f>AR529+AR530+AR531</f>
        <v>0</v>
      </c>
      <c r="AS528" s="441">
        <f t="shared" si="396"/>
        <v>0</v>
      </c>
      <c r="AT528" s="612">
        <f t="shared" si="396"/>
        <v>7000</v>
      </c>
      <c r="AU528" s="469">
        <f t="shared" si="396"/>
        <v>1000</v>
      </c>
      <c r="AV528" s="636">
        <v>7000</v>
      </c>
      <c r="AW528" s="636">
        <v>7000</v>
      </c>
      <c r="AX528" s="655" t="str">
        <f t="shared" si="385"/>
        <v/>
      </c>
      <c r="AY528" s="655" t="str">
        <f t="shared" si="386"/>
        <v/>
      </c>
      <c r="AZ528" s="655">
        <f t="shared" si="387"/>
        <v>14.285714285714285</v>
      </c>
      <c r="BA528" s="655" t="str">
        <f t="shared" si="388"/>
        <v/>
      </c>
      <c r="BB528" s="655">
        <f t="shared" si="389"/>
        <v>700</v>
      </c>
      <c r="BC528" s="655">
        <f t="shared" si="389"/>
        <v>100</v>
      </c>
    </row>
    <row r="529" spans="1:55" ht="12" customHeight="1">
      <c r="A529" s="36"/>
      <c r="B529" s="36"/>
      <c r="C529" s="36"/>
      <c r="D529" s="36"/>
      <c r="E529" s="36"/>
      <c r="F529" s="36"/>
      <c r="G529" s="36"/>
      <c r="H529" s="204">
        <v>175</v>
      </c>
      <c r="I529" s="118">
        <v>421</v>
      </c>
      <c r="J529" s="71">
        <v>3523</v>
      </c>
      <c r="K529" s="40" t="s">
        <v>246</v>
      </c>
      <c r="L529" s="309">
        <v>0</v>
      </c>
      <c r="M529" s="309">
        <v>0</v>
      </c>
      <c r="N529" s="339">
        <v>0</v>
      </c>
      <c r="O529" s="339">
        <v>0</v>
      </c>
      <c r="P529" s="294">
        <v>0</v>
      </c>
      <c r="Q529" s="294">
        <v>0</v>
      </c>
      <c r="R529" s="443">
        <v>0</v>
      </c>
      <c r="S529" s="294">
        <f>__xlfn.XLOOKUP(H529,[2]Izvršenje_proračuna_po_pozicija!$B$2:$B$153,[2]Izvršenje_proračuna_po_pozicija!$E$2:$E$153,0)</f>
        <v>0</v>
      </c>
      <c r="T529" s="294"/>
      <c r="U529" s="294"/>
      <c r="V529" s="478">
        <v>0</v>
      </c>
      <c r="W529" s="478"/>
      <c r="X529" s="544"/>
      <c r="Y529" s="544"/>
      <c r="Z529" s="541" t="b">
        <f t="shared" si="370"/>
        <v>0</v>
      </c>
      <c r="AA529" s="527"/>
      <c r="AB529" s="528">
        <v>0</v>
      </c>
      <c r="AC529" s="528">
        <v>0</v>
      </c>
      <c r="AD529" s="524"/>
      <c r="AE529" s="524"/>
      <c r="AF529" s="524"/>
      <c r="AG529" s="524"/>
      <c r="AH529" s="527"/>
      <c r="AI529" s="544"/>
      <c r="AJ529" s="516"/>
      <c r="AK529" s="516"/>
      <c r="AL529" s="516"/>
      <c r="AM529" s="294"/>
      <c r="AO529" t="b">
        <f t="shared" si="376"/>
        <v>0</v>
      </c>
      <c r="AQ529" s="443"/>
      <c r="AS529" s="443">
        <f>__xlfn.XLOOKUP(K529,[1]Izvršenje_proračuna_po_pozicija!$C$25:$C$149,[1]Izvršenje_proračuna_po_pozicija!$E$25:$E$149,0)</f>
        <v>0</v>
      </c>
      <c r="AT529" s="617"/>
      <c r="AU529" s="478"/>
      <c r="AV529" s="638"/>
      <c r="AW529" s="638"/>
      <c r="AX529" s="655" t="str">
        <f t="shared" si="385"/>
        <v/>
      </c>
      <c r="AY529" s="655" t="str">
        <f t="shared" si="386"/>
        <v/>
      </c>
      <c r="AZ529" s="655" t="str">
        <f t="shared" si="387"/>
        <v/>
      </c>
      <c r="BA529" s="655" t="str">
        <f t="shared" si="388"/>
        <v/>
      </c>
      <c r="BB529" s="655" t="str">
        <f t="shared" si="389"/>
        <v/>
      </c>
      <c r="BC529" s="655" t="str">
        <f t="shared" si="389"/>
        <v/>
      </c>
    </row>
    <row r="530" spans="1:55" ht="12" customHeight="1">
      <c r="A530" s="36"/>
      <c r="B530" s="36"/>
      <c r="C530" s="36"/>
      <c r="D530" s="36"/>
      <c r="E530" s="36"/>
      <c r="F530" s="36"/>
      <c r="G530" s="36"/>
      <c r="H530" s="204" t="s">
        <v>654</v>
      </c>
      <c r="I530" s="118">
        <v>421</v>
      </c>
      <c r="J530" s="71">
        <v>3523</v>
      </c>
      <c r="K530" s="152" t="s">
        <v>655</v>
      </c>
      <c r="L530" s="309"/>
      <c r="M530" s="309"/>
      <c r="N530" s="339"/>
      <c r="O530" s="339"/>
      <c r="P530" s="294"/>
      <c r="Q530" s="294"/>
      <c r="R530" s="443"/>
      <c r="S530" s="294">
        <f>__xlfn.XLOOKUP(H530,[2]Izvršenje_proračuna_po_pozicija!$B$2:$B$153,[2]Izvršenje_proračuna_po_pozicija!$E$2:$E$153,0)</f>
        <v>0</v>
      </c>
      <c r="T530" s="294"/>
      <c r="U530" s="294"/>
      <c r="V530" s="478"/>
      <c r="W530" s="478"/>
      <c r="X530" s="544"/>
      <c r="Y530" s="544"/>
      <c r="Z530" s="541" t="b">
        <f t="shared" si="370"/>
        <v>0</v>
      </c>
      <c r="AA530" s="527"/>
      <c r="AB530" s="528"/>
      <c r="AC530" s="528"/>
      <c r="AD530" s="524"/>
      <c r="AE530" s="524"/>
      <c r="AF530" s="524"/>
      <c r="AG530" s="524"/>
      <c r="AH530" s="527"/>
      <c r="AI530" s="544"/>
      <c r="AJ530" s="516"/>
      <c r="AK530" s="516"/>
      <c r="AL530" s="516"/>
      <c r="AM530" s="294"/>
      <c r="AO530" t="b">
        <f t="shared" si="376"/>
        <v>0</v>
      </c>
      <c r="AQ530" s="443"/>
      <c r="AS530" s="443">
        <f>__xlfn.XLOOKUP(K530,[1]Izvršenje_proračuna_po_pozicija!$C$25:$C$149,[1]Izvršenje_proračuna_po_pozicija!$E$25:$E$149,0)</f>
        <v>0</v>
      </c>
      <c r="AT530" s="617"/>
      <c r="AU530" s="478"/>
      <c r="AV530" s="638"/>
      <c r="AW530" s="638"/>
      <c r="AX530" s="655" t="str">
        <f t="shared" si="385"/>
        <v/>
      </c>
      <c r="AY530" s="655" t="str">
        <f t="shared" si="386"/>
        <v/>
      </c>
      <c r="AZ530" s="655" t="str">
        <f t="shared" si="387"/>
        <v/>
      </c>
      <c r="BA530" s="655" t="str">
        <f t="shared" si="388"/>
        <v/>
      </c>
      <c r="BB530" s="655" t="str">
        <f t="shared" si="389"/>
        <v/>
      </c>
      <c r="BC530" s="655" t="str">
        <f t="shared" si="389"/>
        <v/>
      </c>
    </row>
    <row r="531" spans="1:55" ht="12" customHeight="1">
      <c r="A531" s="36"/>
      <c r="B531" s="36"/>
      <c r="C531" s="36"/>
      <c r="D531" s="36"/>
      <c r="E531" s="36"/>
      <c r="F531" s="36"/>
      <c r="G531" s="36"/>
      <c r="H531" s="204" t="s">
        <v>247</v>
      </c>
      <c r="I531" s="118">
        <v>442</v>
      </c>
      <c r="J531" s="71">
        <v>3523</v>
      </c>
      <c r="K531" s="152" t="s">
        <v>651</v>
      </c>
      <c r="L531" s="309">
        <v>0</v>
      </c>
      <c r="M531" s="309">
        <v>0</v>
      </c>
      <c r="N531" s="339">
        <v>0</v>
      </c>
      <c r="O531" s="339">
        <v>0</v>
      </c>
      <c r="P531" s="294">
        <v>0</v>
      </c>
      <c r="Q531" s="294">
        <v>0</v>
      </c>
      <c r="R531" s="443">
        <v>0</v>
      </c>
      <c r="S531" s="294">
        <f>__xlfn.XLOOKUP(H531,[2]Izvršenje_proračuna_po_pozicija!$B$2:$B$153,[2]Izvršenje_proračuna_po_pozicija!$E$2:$E$153,0)</f>
        <v>0</v>
      </c>
      <c r="T531" s="294"/>
      <c r="U531" s="294"/>
      <c r="V531" s="478">
        <v>5000</v>
      </c>
      <c r="W531" s="478">
        <v>0</v>
      </c>
      <c r="X531" s="544">
        <v>7000</v>
      </c>
      <c r="Y531" s="544"/>
      <c r="Z531" s="541" t="b">
        <f t="shared" si="370"/>
        <v>0</v>
      </c>
      <c r="AA531" s="527"/>
      <c r="AB531" s="528">
        <v>5000</v>
      </c>
      <c r="AC531" s="528">
        <v>5000</v>
      </c>
      <c r="AD531" s="524"/>
      <c r="AE531" s="524"/>
      <c r="AF531" s="524"/>
      <c r="AG531" s="524"/>
      <c r="AH531" s="527"/>
      <c r="AI531" s="544">
        <v>7000</v>
      </c>
      <c r="AJ531" s="516"/>
      <c r="AK531" s="516"/>
      <c r="AL531" s="516">
        <f>X531/AT531*100</f>
        <v>100</v>
      </c>
      <c r="AM531" s="294"/>
      <c r="AO531" t="b">
        <f t="shared" si="376"/>
        <v>0</v>
      </c>
      <c r="AQ531" s="443"/>
      <c r="AS531" s="443">
        <f>__xlfn.XLOOKUP(K531,[1]Izvršenje_proračuna_po_pozicija!$C$25:$C$149,[1]Izvršenje_proračuna_po_pozicija!$E$25:$E$149,0)</f>
        <v>0</v>
      </c>
      <c r="AT531" s="617">
        <v>7000</v>
      </c>
      <c r="AU531" s="478">
        <v>1000</v>
      </c>
      <c r="AV531" s="638">
        <v>7000</v>
      </c>
      <c r="AW531" s="638">
        <v>7000</v>
      </c>
      <c r="AX531" s="655" t="str">
        <f t="shared" si="385"/>
        <v/>
      </c>
      <c r="AY531" s="655" t="str">
        <f t="shared" si="386"/>
        <v/>
      </c>
      <c r="AZ531" s="655">
        <f t="shared" si="387"/>
        <v>14.285714285714285</v>
      </c>
      <c r="BA531" s="655" t="str">
        <f t="shared" si="388"/>
        <v/>
      </c>
      <c r="BB531" s="655">
        <f t="shared" si="389"/>
        <v>700</v>
      </c>
      <c r="BC531" s="655">
        <f t="shared" si="389"/>
        <v>100</v>
      </c>
    </row>
    <row r="532" spans="1:55" ht="12" customHeight="1">
      <c r="A532" s="20"/>
      <c r="B532" s="20"/>
      <c r="C532" s="20"/>
      <c r="D532" s="20"/>
      <c r="E532" s="20"/>
      <c r="F532" s="20"/>
      <c r="G532" s="20"/>
      <c r="H532" s="375"/>
      <c r="I532" s="22"/>
      <c r="J532" s="21"/>
      <c r="K532" s="19"/>
      <c r="L532" s="313"/>
      <c r="M532" s="313"/>
      <c r="N532" s="335"/>
      <c r="O532" s="335"/>
      <c r="P532" s="290"/>
      <c r="Q532" s="290"/>
      <c r="R532" s="439"/>
      <c r="S532" s="294">
        <f>__xlfn.XLOOKUP(H532,[2]Izvršenje_proračuna_po_pozicija!$B$2:$B$153,[2]Izvršenje_proračuna_po_pozicija!$E$2:$E$153,0)</f>
        <v>0</v>
      </c>
      <c r="T532" s="294"/>
      <c r="U532" s="294"/>
      <c r="V532" s="474"/>
      <c r="W532" s="474"/>
      <c r="X532" s="539"/>
      <c r="Y532" s="539"/>
      <c r="Z532" s="541" t="b">
        <f t="shared" si="370"/>
        <v>0</v>
      </c>
      <c r="AA532" s="514"/>
      <c r="AB532" s="515"/>
      <c r="AC532" s="515"/>
      <c r="AD532" s="524"/>
      <c r="AE532" s="524"/>
      <c r="AF532" s="524"/>
      <c r="AG532" s="524"/>
      <c r="AH532" s="514"/>
      <c r="AI532" s="539"/>
      <c r="AJ532" s="516"/>
      <c r="AK532" s="516"/>
      <c r="AL532" s="516"/>
      <c r="AM532" s="290"/>
      <c r="AO532" t="b">
        <f t="shared" si="376"/>
        <v>0</v>
      </c>
      <c r="AQ532" s="439"/>
      <c r="AS532" s="439">
        <f>__xlfn.XLOOKUP(K532,[1]Izvršenje_proračuna_po_pozicija!$C$25:$C$149,[1]Izvršenje_proračuna_po_pozicija!$E$25:$E$149,0)</f>
        <v>0</v>
      </c>
      <c r="AT532" s="616"/>
      <c r="AU532" s="474"/>
      <c r="AV532" s="632"/>
      <c r="AW532" s="632"/>
      <c r="AX532" s="655" t="str">
        <f t="shared" si="385"/>
        <v/>
      </c>
      <c r="AY532" s="655" t="str">
        <f t="shared" si="386"/>
        <v/>
      </c>
      <c r="AZ532" s="655" t="str">
        <f t="shared" si="387"/>
        <v/>
      </c>
      <c r="BA532" s="655" t="str">
        <f t="shared" si="388"/>
        <v/>
      </c>
      <c r="BB532" s="655" t="str">
        <f t="shared" si="389"/>
        <v/>
      </c>
      <c r="BC532" s="655" t="str">
        <f t="shared" si="389"/>
        <v/>
      </c>
    </row>
    <row r="533" spans="1:55" ht="12" customHeight="1">
      <c r="A533" s="142"/>
      <c r="B533" s="142"/>
      <c r="C533" s="142"/>
      <c r="D533" s="142"/>
      <c r="E533" s="142"/>
      <c r="F533" s="142"/>
      <c r="G533" s="142"/>
      <c r="H533" s="390"/>
      <c r="I533" s="153" t="s">
        <v>480</v>
      </c>
      <c r="J533" s="154"/>
      <c r="K533" s="51"/>
      <c r="L533" s="315">
        <f t="shared" ref="L533:S533" si="397">L534+L560+L568+L586</f>
        <v>6499069</v>
      </c>
      <c r="M533" s="315">
        <f t="shared" si="397"/>
        <v>862574.68976043526</v>
      </c>
      <c r="N533" s="337">
        <f t="shared" si="397"/>
        <v>5699999</v>
      </c>
      <c r="O533" s="337">
        <f t="shared" si="397"/>
        <v>756519.87524056004</v>
      </c>
      <c r="P533" s="292">
        <f t="shared" si="397"/>
        <v>902000</v>
      </c>
      <c r="Q533" s="292">
        <f t="shared" si="397"/>
        <v>900000</v>
      </c>
      <c r="R533" s="441">
        <f t="shared" si="397"/>
        <v>869598</v>
      </c>
      <c r="S533" s="292">
        <f t="shared" si="397"/>
        <v>871657.71</v>
      </c>
      <c r="T533" s="292"/>
      <c r="U533" s="292"/>
      <c r="V533" s="469">
        <f>V534+V560+V568+V586</f>
        <v>992000</v>
      </c>
      <c r="W533" s="469">
        <f>W534+W560+W568+W586</f>
        <v>1150000</v>
      </c>
      <c r="X533" s="522">
        <f>X534+X560+X568+X586</f>
        <v>2218000</v>
      </c>
      <c r="Y533" s="522">
        <f>Y534+Y560+Y568+Y586</f>
        <v>0</v>
      </c>
      <c r="Z533" s="541" t="b">
        <f t="shared" si="370"/>
        <v>1</v>
      </c>
      <c r="AA533" s="522"/>
      <c r="AB533" s="523">
        <f>AB534+AB560+AB568+AB586</f>
        <v>858000</v>
      </c>
      <c r="AC533" s="523">
        <f>AC534+AC560+AC568+AC586</f>
        <v>858000</v>
      </c>
      <c r="AD533" s="524">
        <f>O533/M533*100</f>
        <v>87.7048543414449</v>
      </c>
      <c r="AE533" s="524">
        <f>P533/O533*100</f>
        <v>119.23017881231208</v>
      </c>
      <c r="AF533" s="524">
        <f>Q533/P533*100</f>
        <v>99.77827050997783</v>
      </c>
      <c r="AG533" s="524">
        <f>AB533/Q533*100</f>
        <v>95.333333333333343</v>
      </c>
      <c r="AH533" s="522"/>
      <c r="AI533" s="522">
        <v>2218000</v>
      </c>
      <c r="AJ533" s="516">
        <f>W533/R533*100</f>
        <v>132.24501436295853</v>
      </c>
      <c r="AK533" s="516">
        <f>AT533/W533*100</f>
        <v>147.39130434782609</v>
      </c>
      <c r="AL533" s="516">
        <f>X533/AT533*100</f>
        <v>130.85545722713866</v>
      </c>
      <c r="AM533" s="292"/>
      <c r="AO533" t="b">
        <f t="shared" si="376"/>
        <v>1</v>
      </c>
      <c r="AP533" s="440">
        <f t="shared" ref="AP533:AU533" si="398">AP534+AP560+AP568+AP586</f>
        <v>1118604.97</v>
      </c>
      <c r="AQ533" s="441">
        <v>993604.97</v>
      </c>
      <c r="AR533" s="440">
        <f>AR534+AR560+AR568+AR586</f>
        <v>1118604.97</v>
      </c>
      <c r="AS533" s="441">
        <f t="shared" si="398"/>
        <v>574015.99</v>
      </c>
      <c r="AT533" s="612">
        <f t="shared" si="398"/>
        <v>1695000</v>
      </c>
      <c r="AU533" s="469">
        <f t="shared" si="398"/>
        <v>936500</v>
      </c>
      <c r="AV533" s="636">
        <v>2218000</v>
      </c>
      <c r="AW533" s="636">
        <v>2218000</v>
      </c>
      <c r="AX533" s="655">
        <f t="shared" si="385"/>
        <v>194.91765160453451</v>
      </c>
      <c r="AY533" s="655">
        <f t="shared" si="386"/>
        <v>170.59093414156331</v>
      </c>
      <c r="AZ533" s="655">
        <f t="shared" si="387"/>
        <v>55.250737463126839</v>
      </c>
      <c r="BA533" s="655">
        <f t="shared" si="388"/>
        <v>94.252749158450769</v>
      </c>
      <c r="BB533" s="655">
        <f t="shared" si="389"/>
        <v>236.83929524826485</v>
      </c>
      <c r="BC533" s="655">
        <f t="shared" si="389"/>
        <v>100</v>
      </c>
    </row>
    <row r="534" spans="1:55" ht="12" customHeight="1">
      <c r="A534" s="212" t="s">
        <v>474</v>
      </c>
      <c r="B534" s="130"/>
      <c r="C534" s="130"/>
      <c r="D534" s="130"/>
      <c r="E534" s="130"/>
      <c r="F534" s="130"/>
      <c r="G534" s="130"/>
      <c r="H534" s="383"/>
      <c r="I534" s="150" t="s">
        <v>248</v>
      </c>
      <c r="J534" s="151"/>
      <c r="K534" s="45"/>
      <c r="L534" s="315">
        <f t="shared" ref="L534:S534" si="399">L536</f>
        <v>936314</v>
      </c>
      <c r="M534" s="315">
        <f t="shared" si="399"/>
        <v>124270.22363793217</v>
      </c>
      <c r="N534" s="337">
        <f t="shared" si="399"/>
        <v>813850</v>
      </c>
      <c r="O534" s="337">
        <f t="shared" si="399"/>
        <v>108016.45762824341</v>
      </c>
      <c r="P534" s="292">
        <f t="shared" si="399"/>
        <v>142000</v>
      </c>
      <c r="Q534" s="292">
        <f t="shared" si="399"/>
        <v>139000</v>
      </c>
      <c r="R534" s="441">
        <f t="shared" si="399"/>
        <v>123990</v>
      </c>
      <c r="S534" s="292">
        <f t="shared" si="399"/>
        <v>224384.1</v>
      </c>
      <c r="T534" s="292"/>
      <c r="U534" s="292"/>
      <c r="V534" s="469">
        <f>V536</f>
        <v>144000</v>
      </c>
      <c r="W534" s="469">
        <f>W536</f>
        <v>245000</v>
      </c>
      <c r="X534" s="522">
        <f>X536</f>
        <v>433000</v>
      </c>
      <c r="Y534" s="522">
        <f>Y536</f>
        <v>0</v>
      </c>
      <c r="Z534" s="541" t="b">
        <f t="shared" si="370"/>
        <v>1</v>
      </c>
      <c r="AA534" s="522"/>
      <c r="AB534" s="523">
        <f>AB536</f>
        <v>155000</v>
      </c>
      <c r="AC534" s="523">
        <f>AC536</f>
        <v>155000</v>
      </c>
      <c r="AD534" s="524">
        <f>O534/M534*100</f>
        <v>86.920627054599208</v>
      </c>
      <c r="AE534" s="524">
        <f>P534/O534*100</f>
        <v>131.46144866990232</v>
      </c>
      <c r="AF534" s="524">
        <f>Q534/P534*100</f>
        <v>97.887323943661968</v>
      </c>
      <c r="AG534" s="524">
        <f>AB534/Q534*100</f>
        <v>111.51079136690647</v>
      </c>
      <c r="AH534" s="522"/>
      <c r="AI534" s="522">
        <v>433000</v>
      </c>
      <c r="AJ534" s="516">
        <f>W534/R534*100</f>
        <v>197.59658036938464</v>
      </c>
      <c r="AK534" s="516">
        <f>AT534/W534*100</f>
        <v>95.918367346938766</v>
      </c>
      <c r="AL534" s="516">
        <f>X534/AT534*100</f>
        <v>184.25531914893617</v>
      </c>
      <c r="AM534" s="292"/>
      <c r="AO534" t="b">
        <f t="shared" si="376"/>
        <v>1</v>
      </c>
      <c r="AP534" s="440">
        <f t="shared" ref="AP534:AU534" si="400">AP536</f>
        <v>233687.61000000002</v>
      </c>
      <c r="AQ534" s="441">
        <v>233687.61</v>
      </c>
      <c r="AR534" s="440">
        <f>AR536</f>
        <v>233687.61000000002</v>
      </c>
      <c r="AS534" s="441">
        <f t="shared" si="400"/>
        <v>107479.5</v>
      </c>
      <c r="AT534" s="612">
        <f t="shared" si="400"/>
        <v>235000</v>
      </c>
      <c r="AU534" s="469">
        <f t="shared" si="400"/>
        <v>185000</v>
      </c>
      <c r="AV534" s="636">
        <v>433000</v>
      </c>
      <c r="AW534" s="636">
        <v>433000</v>
      </c>
      <c r="AX534" s="655">
        <f t="shared" si="385"/>
        <v>189.53141382369546</v>
      </c>
      <c r="AY534" s="655">
        <f t="shared" si="386"/>
        <v>100.56160016356878</v>
      </c>
      <c r="AZ534" s="655">
        <f t="shared" si="387"/>
        <v>78.723404255319153</v>
      </c>
      <c r="BA534" s="655">
        <f t="shared" si="388"/>
        <v>79.165515022383943</v>
      </c>
      <c r="BB534" s="655">
        <f t="shared" si="389"/>
        <v>234.05405405405406</v>
      </c>
      <c r="BC534" s="655">
        <f t="shared" si="389"/>
        <v>100</v>
      </c>
    </row>
    <row r="535" spans="1:55" ht="12" customHeight="1">
      <c r="A535" s="36"/>
      <c r="B535" s="36"/>
      <c r="C535" s="36"/>
      <c r="D535" s="36"/>
      <c r="E535" s="36"/>
      <c r="F535" s="36"/>
      <c r="G535" s="36"/>
      <c r="H535" s="204"/>
      <c r="I535" s="118"/>
      <c r="J535" s="71"/>
      <c r="K535" s="40"/>
      <c r="L535" s="316"/>
      <c r="M535" s="316"/>
      <c r="N535" s="338"/>
      <c r="O535" s="338"/>
      <c r="P535" s="293"/>
      <c r="Q535" s="293"/>
      <c r="R535" s="442"/>
      <c r="S535" s="294">
        <f>__xlfn.XLOOKUP(H535,[2]Izvršenje_proračuna_po_pozicija!$B$2:$B$153,[2]Izvršenje_proračuna_po_pozicija!$E$2:$E$153,0)</f>
        <v>0</v>
      </c>
      <c r="T535" s="294"/>
      <c r="U535" s="294"/>
      <c r="V535" s="475"/>
      <c r="W535" s="475"/>
      <c r="X535" s="540"/>
      <c r="Y535" s="540"/>
      <c r="Z535" s="541" t="b">
        <f t="shared" si="370"/>
        <v>0</v>
      </c>
      <c r="AA535" s="525"/>
      <c r="AB535" s="526"/>
      <c r="AC535" s="526"/>
      <c r="AD535" s="524"/>
      <c r="AE535" s="524"/>
      <c r="AF535" s="524"/>
      <c r="AG535" s="524"/>
      <c r="AH535" s="525"/>
      <c r="AI535" s="540"/>
      <c r="AJ535" s="516"/>
      <c r="AK535" s="516"/>
      <c r="AL535" s="516"/>
      <c r="AM535" s="293"/>
      <c r="AO535" t="b">
        <f t="shared" si="376"/>
        <v>0</v>
      </c>
      <c r="AQ535" s="442"/>
      <c r="AS535" s="442"/>
      <c r="AT535" s="617"/>
      <c r="AU535" s="475"/>
      <c r="AV535" s="637"/>
      <c r="AW535" s="637"/>
      <c r="AX535" s="655" t="str">
        <f t="shared" si="385"/>
        <v/>
      </c>
      <c r="AY535" s="655" t="str">
        <f t="shared" si="386"/>
        <v/>
      </c>
      <c r="AZ535" s="655" t="str">
        <f t="shared" si="387"/>
        <v/>
      </c>
      <c r="BA535" s="655" t="str">
        <f t="shared" si="388"/>
        <v/>
      </c>
      <c r="BB535" s="655" t="str">
        <f t="shared" si="389"/>
        <v/>
      </c>
      <c r="BC535" s="655" t="str">
        <f t="shared" si="389"/>
        <v/>
      </c>
    </row>
    <row r="536" spans="1:55" ht="12" customHeight="1">
      <c r="A536" s="52"/>
      <c r="B536" s="52"/>
      <c r="C536" s="52"/>
      <c r="D536" s="52"/>
      <c r="E536" s="52"/>
      <c r="F536" s="52"/>
      <c r="G536" s="52"/>
      <c r="H536" s="384"/>
      <c r="I536" s="120"/>
      <c r="J536" s="94">
        <v>3</v>
      </c>
      <c r="K536" s="21" t="s">
        <v>94</v>
      </c>
      <c r="L536" s="315">
        <f t="shared" ref="L536:AC536" si="401">L537</f>
        <v>936314</v>
      </c>
      <c r="M536" s="315">
        <f t="shared" si="401"/>
        <v>124270.22363793217</v>
      </c>
      <c r="N536" s="337">
        <f t="shared" si="401"/>
        <v>813850</v>
      </c>
      <c r="O536" s="337">
        <f t="shared" si="401"/>
        <v>108016.45762824341</v>
      </c>
      <c r="P536" s="292">
        <f t="shared" si="401"/>
        <v>142000</v>
      </c>
      <c r="Q536" s="292">
        <f t="shared" si="401"/>
        <v>139000</v>
      </c>
      <c r="R536" s="441">
        <f t="shared" si="401"/>
        <v>123990</v>
      </c>
      <c r="S536" s="292">
        <f t="shared" si="401"/>
        <v>224384.1</v>
      </c>
      <c r="T536" s="292"/>
      <c r="U536" s="292"/>
      <c r="V536" s="469">
        <f t="shared" si="401"/>
        <v>144000</v>
      </c>
      <c r="W536" s="469">
        <f t="shared" si="401"/>
        <v>245000</v>
      </c>
      <c r="X536" s="522">
        <f t="shared" si="401"/>
        <v>433000</v>
      </c>
      <c r="Y536" s="522">
        <f t="shared" si="401"/>
        <v>0</v>
      </c>
      <c r="Z536" s="541" t="b">
        <f t="shared" si="370"/>
        <v>1</v>
      </c>
      <c r="AA536" s="522"/>
      <c r="AB536" s="523">
        <f t="shared" si="401"/>
        <v>155000</v>
      </c>
      <c r="AC536" s="523">
        <f t="shared" si="401"/>
        <v>155000</v>
      </c>
      <c r="AD536" s="524">
        <f>O536/M536*100</f>
        <v>86.920627054599208</v>
      </c>
      <c r="AE536" s="524">
        <f>P536/O536*100</f>
        <v>131.46144866990232</v>
      </c>
      <c r="AF536" s="524">
        <f>Q536/P536*100</f>
        <v>97.887323943661968</v>
      </c>
      <c r="AG536" s="524">
        <f>AB536/Q536*100</f>
        <v>111.51079136690647</v>
      </c>
      <c r="AH536" s="522"/>
      <c r="AI536" s="522">
        <v>433000</v>
      </c>
      <c r="AJ536" s="516">
        <f>W536/R536*100</f>
        <v>197.59658036938464</v>
      </c>
      <c r="AK536" s="516">
        <f>AT536/W536*100</f>
        <v>95.918367346938766</v>
      </c>
      <c r="AL536" s="516">
        <f>X536/AT536*100</f>
        <v>184.25531914893617</v>
      </c>
      <c r="AM536" s="292"/>
      <c r="AO536" t="b">
        <f t="shared" si="376"/>
        <v>1</v>
      </c>
      <c r="AP536" s="440">
        <f t="shared" ref="AP536:AU536" si="402">AP537</f>
        <v>233687.61000000002</v>
      </c>
      <c r="AQ536" s="441">
        <v>233687.61</v>
      </c>
      <c r="AR536" s="440">
        <f>AR537</f>
        <v>233687.61000000002</v>
      </c>
      <c r="AS536" s="441">
        <f t="shared" si="402"/>
        <v>107479.5</v>
      </c>
      <c r="AT536" s="612">
        <f>AT537</f>
        <v>235000</v>
      </c>
      <c r="AU536" s="469">
        <f t="shared" si="402"/>
        <v>185000</v>
      </c>
      <c r="AV536" s="636">
        <v>433000</v>
      </c>
      <c r="AW536" s="636">
        <v>433000</v>
      </c>
      <c r="AX536" s="655">
        <f t="shared" si="385"/>
        <v>189.53141382369546</v>
      </c>
      <c r="AY536" s="655">
        <f t="shared" si="386"/>
        <v>100.56160016356878</v>
      </c>
      <c r="AZ536" s="655">
        <f t="shared" si="387"/>
        <v>78.723404255319153</v>
      </c>
      <c r="BA536" s="655">
        <f t="shared" si="388"/>
        <v>79.165515022383943</v>
      </c>
      <c r="BB536" s="655">
        <f t="shared" si="389"/>
        <v>234.05405405405406</v>
      </c>
      <c r="BC536" s="655">
        <f t="shared" si="389"/>
        <v>100</v>
      </c>
    </row>
    <row r="537" spans="1:55" ht="12" customHeight="1">
      <c r="A537" s="355"/>
      <c r="B537" s="355"/>
      <c r="C537" s="355"/>
      <c r="D537" s="355"/>
      <c r="E537" s="355"/>
      <c r="F537" s="355"/>
      <c r="G537" s="355"/>
      <c r="H537" s="379"/>
      <c r="I537" s="360"/>
      <c r="J537" s="356">
        <v>32</v>
      </c>
      <c r="K537" s="358" t="s">
        <v>103</v>
      </c>
      <c r="L537" s="315">
        <f t="shared" ref="L537:S537" si="403">L539+L552</f>
        <v>936314</v>
      </c>
      <c r="M537" s="315">
        <f t="shared" si="403"/>
        <v>124270.22363793217</v>
      </c>
      <c r="N537" s="337">
        <f t="shared" si="403"/>
        <v>813850</v>
      </c>
      <c r="O537" s="337">
        <f t="shared" si="403"/>
        <v>108016.45762824341</v>
      </c>
      <c r="P537" s="292">
        <f t="shared" si="403"/>
        <v>142000</v>
      </c>
      <c r="Q537" s="292">
        <f t="shared" si="403"/>
        <v>139000</v>
      </c>
      <c r="R537" s="441">
        <f t="shared" si="403"/>
        <v>123990</v>
      </c>
      <c r="S537" s="292">
        <f t="shared" si="403"/>
        <v>224384.1</v>
      </c>
      <c r="T537" s="292"/>
      <c r="U537" s="292"/>
      <c r="V537" s="469">
        <f>V539+V552</f>
        <v>144000</v>
      </c>
      <c r="W537" s="469">
        <f>W539+W552</f>
        <v>245000</v>
      </c>
      <c r="X537" s="522">
        <f>X539+X552</f>
        <v>433000</v>
      </c>
      <c r="Y537" s="522">
        <f>Y539+Y552</f>
        <v>0</v>
      </c>
      <c r="Z537" s="541" t="b">
        <f t="shared" si="370"/>
        <v>1</v>
      </c>
      <c r="AA537" s="522"/>
      <c r="AB537" s="523">
        <f>AB539+AB552</f>
        <v>155000</v>
      </c>
      <c r="AC537" s="523">
        <f>AC539+AC552</f>
        <v>155000</v>
      </c>
      <c r="AD537" s="524">
        <f>O537/M537*100</f>
        <v>86.920627054599208</v>
      </c>
      <c r="AE537" s="524">
        <f>P537/O537*100</f>
        <v>131.46144866990232</v>
      </c>
      <c r="AF537" s="524">
        <f>Q537/P537*100</f>
        <v>97.887323943661968</v>
      </c>
      <c r="AG537" s="524">
        <f>AB537/Q537*100</f>
        <v>111.51079136690647</v>
      </c>
      <c r="AH537" s="522"/>
      <c r="AI537" s="522">
        <v>433000</v>
      </c>
      <c r="AJ537" s="516">
        <f>W537/R537*100</f>
        <v>197.59658036938464</v>
      </c>
      <c r="AK537" s="516">
        <f>AT537/W537*100</f>
        <v>95.918367346938766</v>
      </c>
      <c r="AL537" s="516">
        <f>X537/AT537*100</f>
        <v>184.25531914893617</v>
      </c>
      <c r="AM537" s="292"/>
      <c r="AO537" t="b">
        <f t="shared" si="376"/>
        <v>1</v>
      </c>
      <c r="AP537" s="440">
        <f t="shared" ref="AP537:AU537" si="404">AP539+AP552</f>
        <v>233687.61000000002</v>
      </c>
      <c r="AQ537" s="441">
        <v>233687.61</v>
      </c>
      <c r="AR537" s="440">
        <f>AR539+AR552</f>
        <v>233687.61000000002</v>
      </c>
      <c r="AS537" s="441">
        <f t="shared" si="404"/>
        <v>107479.5</v>
      </c>
      <c r="AT537" s="612">
        <f t="shared" si="404"/>
        <v>235000</v>
      </c>
      <c r="AU537" s="469">
        <f t="shared" si="404"/>
        <v>185000</v>
      </c>
      <c r="AV537" s="636">
        <v>433000</v>
      </c>
      <c r="AW537" s="636">
        <v>433000</v>
      </c>
      <c r="AX537" s="655">
        <f t="shared" si="385"/>
        <v>189.53141382369546</v>
      </c>
      <c r="AY537" s="655">
        <f t="shared" si="386"/>
        <v>100.56160016356878</v>
      </c>
      <c r="AZ537" s="655">
        <f t="shared" si="387"/>
        <v>78.723404255319153</v>
      </c>
      <c r="BA537" s="655">
        <f t="shared" si="388"/>
        <v>79.165515022383943</v>
      </c>
      <c r="BB537" s="655">
        <f t="shared" si="389"/>
        <v>234.05405405405406</v>
      </c>
      <c r="BC537" s="655">
        <f t="shared" si="389"/>
        <v>100</v>
      </c>
    </row>
    <row r="538" spans="1:55" ht="12" customHeight="1">
      <c r="A538" s="52"/>
      <c r="B538" s="52"/>
      <c r="C538" s="52"/>
      <c r="D538" s="52"/>
      <c r="E538" s="52"/>
      <c r="F538" s="52"/>
      <c r="G538" s="52"/>
      <c r="H538" s="384"/>
      <c r="I538" s="120"/>
      <c r="J538" s="94"/>
      <c r="K538" s="21"/>
      <c r="L538" s="315"/>
      <c r="M538" s="315"/>
      <c r="N538" s="337"/>
      <c r="O538" s="337"/>
      <c r="P538" s="292"/>
      <c r="Q538" s="292"/>
      <c r="R538" s="441"/>
      <c r="S538" s="294">
        <f>__xlfn.XLOOKUP(H538,[2]Izvršenje_proračuna_po_pozicija!$B$2:$B$153,[2]Izvršenje_proračuna_po_pozicija!$E$2:$E$153,0)</f>
        <v>0</v>
      </c>
      <c r="T538" s="294"/>
      <c r="U538" s="294"/>
      <c r="V538" s="476"/>
      <c r="W538" s="476"/>
      <c r="X538" s="541"/>
      <c r="Y538" s="541"/>
      <c r="Z538" s="541" t="b">
        <f t="shared" si="370"/>
        <v>0</v>
      </c>
      <c r="AA538" s="522"/>
      <c r="AB538" s="523"/>
      <c r="AC538" s="523"/>
      <c r="AD538" s="524"/>
      <c r="AE538" s="524"/>
      <c r="AF538" s="524"/>
      <c r="AG538" s="524"/>
      <c r="AH538" s="522"/>
      <c r="AI538" s="541"/>
      <c r="AJ538" s="516"/>
      <c r="AK538" s="516"/>
      <c r="AL538" s="516"/>
      <c r="AM538" s="292"/>
      <c r="AO538" t="b">
        <f t="shared" si="376"/>
        <v>0</v>
      </c>
      <c r="AQ538" s="441"/>
      <c r="AS538" s="441"/>
      <c r="AT538" s="616"/>
      <c r="AU538" s="476"/>
      <c r="AV538" s="636"/>
      <c r="AW538" s="636"/>
      <c r="AX538" s="655" t="str">
        <f t="shared" si="385"/>
        <v/>
      </c>
      <c r="AY538" s="655" t="str">
        <f t="shared" si="386"/>
        <v/>
      </c>
      <c r="AZ538" s="655" t="str">
        <f t="shared" si="387"/>
        <v/>
      </c>
      <c r="BA538" s="655" t="str">
        <f t="shared" si="388"/>
        <v/>
      </c>
      <c r="BB538" s="655" t="str">
        <f t="shared" si="389"/>
        <v/>
      </c>
      <c r="BC538" s="655" t="str">
        <f t="shared" si="389"/>
        <v/>
      </c>
    </row>
    <row r="539" spans="1:55" ht="12" customHeight="1">
      <c r="A539" s="56"/>
      <c r="B539" s="56"/>
      <c r="C539" s="56"/>
      <c r="D539" s="56"/>
      <c r="E539" s="56"/>
      <c r="F539" s="56"/>
      <c r="G539" s="56"/>
      <c r="H539" s="377"/>
      <c r="I539" s="119"/>
      <c r="J539" s="116">
        <v>322</v>
      </c>
      <c r="K539" s="60" t="s">
        <v>249</v>
      </c>
      <c r="L539" s="315">
        <f t="shared" ref="L539:S539" si="405">L540+L541+L542+L543+L544+L545+L546+L547+L548+L549+L550</f>
        <v>0</v>
      </c>
      <c r="M539" s="315">
        <f t="shared" si="405"/>
        <v>0</v>
      </c>
      <c r="N539" s="337">
        <f t="shared" si="405"/>
        <v>50486</v>
      </c>
      <c r="O539" s="337">
        <f t="shared" si="405"/>
        <v>6700.6437056208106</v>
      </c>
      <c r="P539" s="292">
        <f t="shared" si="405"/>
        <v>15000</v>
      </c>
      <c r="Q539" s="292">
        <f t="shared" si="405"/>
        <v>7000</v>
      </c>
      <c r="R539" s="441">
        <f t="shared" si="405"/>
        <v>1954</v>
      </c>
      <c r="S539" s="292">
        <f t="shared" si="405"/>
        <v>0</v>
      </c>
      <c r="T539" s="292"/>
      <c r="U539" s="292"/>
      <c r="V539" s="469">
        <f>V540+V541+V542+V543+V544+V545+V546+V547+V548+V549+V550</f>
        <v>15000</v>
      </c>
      <c r="W539" s="469">
        <f>W540+W541+W542+W543+W544+W545+W546+W547+W548+W549+W550</f>
        <v>3000</v>
      </c>
      <c r="X539" s="522">
        <f>X540+X541+X542+X543+X544+X545+X546+X547+X548+X549+X550</f>
        <v>18000</v>
      </c>
      <c r="Y539" s="522">
        <f>Y540+Y541+Y542+Y543+Y544+Y545+Y546+Y547+Y548+Y549+Y550</f>
        <v>0</v>
      </c>
      <c r="Z539" s="541" t="b">
        <f t="shared" si="370"/>
        <v>1</v>
      </c>
      <c r="AA539" s="522"/>
      <c r="AB539" s="523">
        <f>AB540+AB541+AB542+AB543+AB544+AB545+AB546+AB547+AB548+AB549+AB550</f>
        <v>20000</v>
      </c>
      <c r="AC539" s="523">
        <f>AC540+AC541+AC542+AC543+AC544+AC545+AC546+AC547+AC548+AC549+AC550</f>
        <v>20000</v>
      </c>
      <c r="AD539" s="524"/>
      <c r="AE539" s="524"/>
      <c r="AF539" s="524"/>
      <c r="AG539" s="524"/>
      <c r="AH539" s="522"/>
      <c r="AI539" s="522">
        <v>18000</v>
      </c>
      <c r="AJ539" s="516">
        <f>W539/R539*100</f>
        <v>153.5312180143296</v>
      </c>
      <c r="AK539" s="516">
        <f>AT539/W539*100</f>
        <v>500</v>
      </c>
      <c r="AL539" s="516">
        <f>X539/AT539*100</f>
        <v>120</v>
      </c>
      <c r="AM539" s="292"/>
      <c r="AO539" t="b">
        <f t="shared" si="376"/>
        <v>1</v>
      </c>
      <c r="AP539" s="440">
        <f t="shared" ref="AP539:AU539" si="406">AP540+AP541+AP542+AP543+AP544+AP545+AP546+AP547+AP548+AP549+AP550</f>
        <v>0</v>
      </c>
      <c r="AQ539" s="441">
        <v>0</v>
      </c>
      <c r="AR539" s="440">
        <f>AR540+AR541+AR542+AR543+AR544+AR545+AR546+AR547+AR548+AR549+AR550</f>
        <v>0</v>
      </c>
      <c r="AS539" s="441">
        <f t="shared" si="406"/>
        <v>0</v>
      </c>
      <c r="AT539" s="612">
        <f t="shared" si="406"/>
        <v>15000</v>
      </c>
      <c r="AU539" s="469">
        <f t="shared" si="406"/>
        <v>15000</v>
      </c>
      <c r="AV539" s="636">
        <v>18000</v>
      </c>
      <c r="AW539" s="636">
        <v>18000</v>
      </c>
      <c r="AX539" s="655">
        <f t="shared" si="385"/>
        <v>767.6560900716479</v>
      </c>
      <c r="AY539" s="655" t="str">
        <f t="shared" si="386"/>
        <v/>
      </c>
      <c r="AZ539" s="655">
        <f t="shared" si="387"/>
        <v>100</v>
      </c>
      <c r="BA539" s="655" t="str">
        <f t="shared" si="388"/>
        <v/>
      </c>
      <c r="BB539" s="655">
        <f t="shared" si="389"/>
        <v>120</v>
      </c>
      <c r="BC539" s="655">
        <f t="shared" si="389"/>
        <v>100</v>
      </c>
    </row>
    <row r="540" spans="1:55" ht="12" customHeight="1">
      <c r="A540" s="36"/>
      <c r="B540" s="36"/>
      <c r="C540" s="36"/>
      <c r="D540" s="36"/>
      <c r="E540" s="36"/>
      <c r="F540" s="36"/>
      <c r="G540" s="36"/>
      <c r="H540" s="204" t="s">
        <v>250</v>
      </c>
      <c r="I540" s="118">
        <v>451</v>
      </c>
      <c r="J540" s="71">
        <v>3224</v>
      </c>
      <c r="K540" s="40" t="s">
        <v>251</v>
      </c>
      <c r="L540" s="309">
        <v>0</v>
      </c>
      <c r="M540" s="309">
        <v>0</v>
      </c>
      <c r="N540" s="339">
        <v>50486</v>
      </c>
      <c r="O540" s="339">
        <f>N540/7.5345</f>
        <v>6700.6437056208106</v>
      </c>
      <c r="P540" s="294">
        <v>15000</v>
      </c>
      <c r="Q540" s="269">
        <v>7000</v>
      </c>
      <c r="R540" s="443">
        <v>666</v>
      </c>
      <c r="S540" s="294">
        <f>__xlfn.XLOOKUP(H540,[2]Izvršenje_proračuna_po_pozicija!$B$2:$B$153,[2]Izvršenje_proračuna_po_pozicija!$E$2:$E$153,0)</f>
        <v>0</v>
      </c>
      <c r="T540" s="294"/>
      <c r="U540" s="294"/>
      <c r="V540" s="478">
        <v>15000</v>
      </c>
      <c r="W540" s="478">
        <v>3000</v>
      </c>
      <c r="X540" s="544">
        <v>18000</v>
      </c>
      <c r="Y540" s="544"/>
      <c r="Z540" s="541" t="b">
        <f t="shared" si="370"/>
        <v>0</v>
      </c>
      <c r="AA540" s="527"/>
      <c r="AB540" s="528">
        <v>20000</v>
      </c>
      <c r="AC540" s="528">
        <v>20000</v>
      </c>
      <c r="AD540" s="524"/>
      <c r="AE540" s="524"/>
      <c r="AF540" s="524"/>
      <c r="AG540" s="524"/>
      <c r="AH540" s="527"/>
      <c r="AI540" s="544">
        <v>18000</v>
      </c>
      <c r="AJ540" s="516">
        <f>W540/R540*100</f>
        <v>450.45045045045049</v>
      </c>
      <c r="AK540" s="516">
        <f>AT540/W540*100</f>
        <v>500</v>
      </c>
      <c r="AL540" s="516">
        <f>X540/AT540*100</f>
        <v>120</v>
      </c>
      <c r="AM540" s="294"/>
      <c r="AO540" t="b">
        <f t="shared" si="376"/>
        <v>0</v>
      </c>
      <c r="AQ540" s="443"/>
      <c r="AS540" s="443">
        <f>__xlfn.XLOOKUP(K540,[1]Izvršenje_proračuna_po_pozicija!$C$25:$C$149,[1]Izvršenje_proračuna_po_pozicija!$E$25:$E$149,0)</f>
        <v>0</v>
      </c>
      <c r="AT540" s="617">
        <v>15000</v>
      </c>
      <c r="AU540" s="478">
        <v>15000</v>
      </c>
      <c r="AV540" s="638">
        <v>18000</v>
      </c>
      <c r="AW540" s="638">
        <v>18000</v>
      </c>
      <c r="AX540" s="655">
        <f t="shared" si="385"/>
        <v>2252.2522522522522</v>
      </c>
      <c r="AY540" s="655" t="str">
        <f t="shared" si="386"/>
        <v/>
      </c>
      <c r="AZ540" s="655">
        <f t="shared" si="387"/>
        <v>100</v>
      </c>
      <c r="BA540" s="655" t="str">
        <f t="shared" si="388"/>
        <v/>
      </c>
      <c r="BB540" s="655">
        <f t="shared" si="389"/>
        <v>120</v>
      </c>
      <c r="BC540" s="655">
        <f t="shared" si="389"/>
        <v>100</v>
      </c>
    </row>
    <row r="541" spans="1:55" ht="12" customHeight="1">
      <c r="A541" s="36"/>
      <c r="B541" s="36"/>
      <c r="C541" s="36"/>
      <c r="D541" s="36"/>
      <c r="E541" s="36"/>
      <c r="F541" s="36"/>
      <c r="G541" s="36"/>
      <c r="H541" s="204">
        <v>78</v>
      </c>
      <c r="I541" s="118">
        <v>451</v>
      </c>
      <c r="J541" s="71">
        <v>3224</v>
      </c>
      <c r="K541" s="40" t="s">
        <v>252</v>
      </c>
      <c r="L541" s="309">
        <v>0</v>
      </c>
      <c r="M541" s="309">
        <v>0</v>
      </c>
      <c r="N541" s="339">
        <v>0</v>
      </c>
      <c r="O541" s="339">
        <v>0</v>
      </c>
      <c r="P541" s="294">
        <v>0</v>
      </c>
      <c r="Q541" s="294">
        <v>0</v>
      </c>
      <c r="R541" s="443">
        <v>0</v>
      </c>
      <c r="S541" s="294">
        <f>__xlfn.XLOOKUP(H541,[2]Izvršenje_proračuna_po_pozicija!$B$2:$B$153,[2]Izvršenje_proračuna_po_pozicija!$E$2:$E$153,0)</f>
        <v>0</v>
      </c>
      <c r="T541" s="294"/>
      <c r="U541" s="294"/>
      <c r="V541" s="478">
        <v>0</v>
      </c>
      <c r="W541" s="478"/>
      <c r="X541" s="544"/>
      <c r="Y541" s="544"/>
      <c r="Z541" s="541" t="b">
        <f t="shared" si="370"/>
        <v>0</v>
      </c>
      <c r="AA541" s="527"/>
      <c r="AB541" s="528">
        <v>0</v>
      </c>
      <c r="AC541" s="528">
        <v>0</v>
      </c>
      <c r="AD541" s="524"/>
      <c r="AE541" s="524"/>
      <c r="AF541" s="524"/>
      <c r="AG541" s="524"/>
      <c r="AH541" s="527"/>
      <c r="AI541" s="544"/>
      <c r="AJ541" s="516"/>
      <c r="AK541" s="516"/>
      <c r="AL541" s="516"/>
      <c r="AM541" s="294"/>
      <c r="AO541" t="b">
        <f t="shared" si="376"/>
        <v>0</v>
      </c>
      <c r="AQ541" s="443"/>
      <c r="AS541" s="443">
        <f>__xlfn.XLOOKUP(K541,[1]Izvršenje_proračuna_po_pozicija!$C$25:$C$149,[1]Izvršenje_proračuna_po_pozicija!$E$25:$E$149,0)</f>
        <v>0</v>
      </c>
      <c r="AT541" s="617"/>
      <c r="AU541" s="478"/>
      <c r="AV541" s="638"/>
      <c r="AW541" s="638"/>
      <c r="AX541" s="655" t="str">
        <f t="shared" si="385"/>
        <v/>
      </c>
      <c r="AY541" s="655" t="str">
        <f t="shared" si="386"/>
        <v/>
      </c>
      <c r="AZ541" s="655" t="str">
        <f t="shared" si="387"/>
        <v/>
      </c>
      <c r="BA541" s="655" t="str">
        <f t="shared" si="388"/>
        <v/>
      </c>
      <c r="BB541" s="655" t="str">
        <f t="shared" si="389"/>
        <v/>
      </c>
      <c r="BC541" s="655" t="str">
        <f t="shared" si="389"/>
        <v/>
      </c>
    </row>
    <row r="542" spans="1:55" ht="12" customHeight="1">
      <c r="A542" s="36"/>
      <c r="B542" s="36"/>
      <c r="C542" s="36"/>
      <c r="D542" s="36"/>
      <c r="E542" s="36"/>
      <c r="F542" s="36"/>
      <c r="G542" s="36"/>
      <c r="H542" s="204">
        <v>79</v>
      </c>
      <c r="I542" s="118">
        <v>451</v>
      </c>
      <c r="J542" s="71">
        <v>3224</v>
      </c>
      <c r="K542" s="40" t="s">
        <v>253</v>
      </c>
      <c r="L542" s="309">
        <v>0</v>
      </c>
      <c r="M542" s="309">
        <v>0</v>
      </c>
      <c r="N542" s="339">
        <v>0</v>
      </c>
      <c r="O542" s="339">
        <v>0</v>
      </c>
      <c r="P542" s="294">
        <v>0</v>
      </c>
      <c r="Q542" s="294">
        <v>0</v>
      </c>
      <c r="R542" s="443">
        <v>0</v>
      </c>
      <c r="S542" s="294">
        <f>__xlfn.XLOOKUP(H542,[2]Izvršenje_proračuna_po_pozicija!$B$2:$B$153,[2]Izvršenje_proračuna_po_pozicija!$E$2:$E$153,0)</f>
        <v>0</v>
      </c>
      <c r="T542" s="294"/>
      <c r="U542" s="294"/>
      <c r="V542" s="478">
        <v>0</v>
      </c>
      <c r="W542" s="478"/>
      <c r="X542" s="544"/>
      <c r="Y542" s="544"/>
      <c r="Z542" s="541" t="b">
        <f t="shared" si="370"/>
        <v>0</v>
      </c>
      <c r="AA542" s="527"/>
      <c r="AB542" s="528">
        <v>0</v>
      </c>
      <c r="AC542" s="528">
        <v>0</v>
      </c>
      <c r="AD542" s="524"/>
      <c r="AE542" s="524"/>
      <c r="AF542" s="524"/>
      <c r="AG542" s="524"/>
      <c r="AH542" s="527"/>
      <c r="AI542" s="544"/>
      <c r="AJ542" s="516"/>
      <c r="AK542" s="516"/>
      <c r="AL542" s="516"/>
      <c r="AM542" s="294"/>
      <c r="AO542" t="b">
        <f t="shared" si="376"/>
        <v>0</v>
      </c>
      <c r="AQ542" s="443"/>
      <c r="AS542" s="443">
        <f>__xlfn.XLOOKUP(K542,[1]Izvršenje_proračuna_po_pozicija!$C$25:$C$149,[1]Izvršenje_proračuna_po_pozicija!$E$25:$E$149,0)</f>
        <v>0</v>
      </c>
      <c r="AT542" s="617"/>
      <c r="AU542" s="478"/>
      <c r="AV542" s="638"/>
      <c r="AW542" s="638"/>
      <c r="AX542" s="655" t="str">
        <f t="shared" si="385"/>
        <v/>
      </c>
      <c r="AY542" s="655" t="str">
        <f t="shared" si="386"/>
        <v/>
      </c>
      <c r="AZ542" s="655" t="str">
        <f t="shared" si="387"/>
        <v/>
      </c>
      <c r="BA542" s="655" t="str">
        <f t="shared" si="388"/>
        <v/>
      </c>
      <c r="BB542" s="655" t="str">
        <f t="shared" si="389"/>
        <v/>
      </c>
      <c r="BC542" s="655" t="str">
        <f t="shared" si="389"/>
        <v/>
      </c>
    </row>
    <row r="543" spans="1:55" ht="12" customHeight="1">
      <c r="A543" s="36"/>
      <c r="B543" s="36"/>
      <c r="C543" s="36"/>
      <c r="D543" s="36"/>
      <c r="E543" s="36"/>
      <c r="F543" s="36"/>
      <c r="G543" s="36"/>
      <c r="H543" s="204">
        <v>80</v>
      </c>
      <c r="I543" s="118">
        <v>451</v>
      </c>
      <c r="J543" s="71">
        <v>3224</v>
      </c>
      <c r="K543" s="40" t="s">
        <v>254</v>
      </c>
      <c r="L543" s="309">
        <v>0</v>
      </c>
      <c r="M543" s="309">
        <v>0</v>
      </c>
      <c r="N543" s="339">
        <v>0</v>
      </c>
      <c r="O543" s="339">
        <v>0</v>
      </c>
      <c r="P543" s="294">
        <v>0</v>
      </c>
      <c r="Q543" s="294">
        <v>0</v>
      </c>
      <c r="R543" s="443">
        <v>0</v>
      </c>
      <c r="S543" s="294">
        <f>__xlfn.XLOOKUP(H543,[2]Izvršenje_proračuna_po_pozicija!$B$2:$B$153,[2]Izvršenje_proračuna_po_pozicija!$E$2:$E$153,0)</f>
        <v>0</v>
      </c>
      <c r="T543" s="294"/>
      <c r="U543" s="294"/>
      <c r="V543" s="478">
        <v>0</v>
      </c>
      <c r="W543" s="478"/>
      <c r="X543" s="544"/>
      <c r="Y543" s="544"/>
      <c r="Z543" s="541" t="b">
        <f t="shared" si="370"/>
        <v>0</v>
      </c>
      <c r="AA543" s="527"/>
      <c r="AB543" s="528">
        <v>0</v>
      </c>
      <c r="AC543" s="528">
        <v>0</v>
      </c>
      <c r="AD543" s="524"/>
      <c r="AE543" s="524"/>
      <c r="AF543" s="524"/>
      <c r="AG543" s="524"/>
      <c r="AH543" s="527"/>
      <c r="AI543" s="544"/>
      <c r="AJ543" s="516"/>
      <c r="AK543" s="516"/>
      <c r="AL543" s="516"/>
      <c r="AM543" s="294"/>
      <c r="AO543" t="b">
        <f t="shared" si="376"/>
        <v>0</v>
      </c>
      <c r="AQ543" s="443"/>
      <c r="AS543" s="443">
        <f>__xlfn.XLOOKUP(K543,[1]Izvršenje_proračuna_po_pozicija!$C$25:$C$149,[1]Izvršenje_proračuna_po_pozicija!$E$25:$E$149,0)</f>
        <v>0</v>
      </c>
      <c r="AT543" s="617"/>
      <c r="AU543" s="478"/>
      <c r="AV543" s="638"/>
      <c r="AW543" s="638"/>
      <c r="AX543" s="655" t="str">
        <f t="shared" si="385"/>
        <v/>
      </c>
      <c r="AY543" s="655" t="str">
        <f t="shared" si="386"/>
        <v/>
      </c>
      <c r="AZ543" s="655" t="str">
        <f t="shared" si="387"/>
        <v/>
      </c>
      <c r="BA543" s="655" t="str">
        <f t="shared" si="388"/>
        <v/>
      </c>
      <c r="BB543" s="655" t="str">
        <f t="shared" si="389"/>
        <v/>
      </c>
      <c r="BC543" s="655" t="str">
        <f t="shared" si="389"/>
        <v/>
      </c>
    </row>
    <row r="544" spans="1:55" ht="12" customHeight="1">
      <c r="A544" s="36"/>
      <c r="B544" s="36"/>
      <c r="C544" s="36"/>
      <c r="D544" s="36"/>
      <c r="E544" s="36"/>
      <c r="F544" s="36"/>
      <c r="G544" s="36"/>
      <c r="H544" s="204">
        <v>81</v>
      </c>
      <c r="I544" s="118">
        <v>451</v>
      </c>
      <c r="J544" s="71">
        <v>3224</v>
      </c>
      <c r="K544" s="40" t="s">
        <v>255</v>
      </c>
      <c r="L544" s="309">
        <v>0</v>
      </c>
      <c r="M544" s="309">
        <v>0</v>
      </c>
      <c r="N544" s="339">
        <v>0</v>
      </c>
      <c r="O544" s="339">
        <v>0</v>
      </c>
      <c r="P544" s="294">
        <v>0</v>
      </c>
      <c r="Q544" s="294">
        <v>0</v>
      </c>
      <c r="R544" s="443">
        <v>0</v>
      </c>
      <c r="S544" s="294">
        <f>__xlfn.XLOOKUP(H544,[2]Izvršenje_proračuna_po_pozicija!$B$2:$B$153,[2]Izvršenje_proračuna_po_pozicija!$E$2:$E$153,0)</f>
        <v>0</v>
      </c>
      <c r="T544" s="294"/>
      <c r="U544" s="294"/>
      <c r="V544" s="478">
        <v>0</v>
      </c>
      <c r="W544" s="478"/>
      <c r="X544" s="544"/>
      <c r="Y544" s="544"/>
      <c r="Z544" s="541" t="b">
        <f t="shared" si="370"/>
        <v>0</v>
      </c>
      <c r="AA544" s="527"/>
      <c r="AB544" s="528">
        <v>0</v>
      </c>
      <c r="AC544" s="528">
        <v>0</v>
      </c>
      <c r="AD544" s="524"/>
      <c r="AE544" s="524"/>
      <c r="AF544" s="524"/>
      <c r="AG544" s="524"/>
      <c r="AH544" s="527"/>
      <c r="AI544" s="544"/>
      <c r="AJ544" s="516"/>
      <c r="AK544" s="516"/>
      <c r="AL544" s="516"/>
      <c r="AM544" s="294"/>
      <c r="AO544" t="b">
        <f t="shared" si="376"/>
        <v>0</v>
      </c>
      <c r="AQ544" s="443"/>
      <c r="AS544" s="443">
        <f>__xlfn.XLOOKUP(K544,[1]Izvršenje_proračuna_po_pozicija!$C$25:$C$149,[1]Izvršenje_proračuna_po_pozicija!$E$25:$E$149,0)</f>
        <v>0</v>
      </c>
      <c r="AT544" s="617"/>
      <c r="AU544" s="478"/>
      <c r="AV544" s="638"/>
      <c r="AW544" s="638"/>
      <c r="AX544" s="655" t="str">
        <f t="shared" si="385"/>
        <v/>
      </c>
      <c r="AY544" s="655" t="str">
        <f t="shared" si="386"/>
        <v/>
      </c>
      <c r="AZ544" s="655" t="str">
        <f t="shared" si="387"/>
        <v/>
      </c>
      <c r="BA544" s="655" t="str">
        <f t="shared" si="388"/>
        <v/>
      </c>
      <c r="BB544" s="655" t="str">
        <f t="shared" si="389"/>
        <v/>
      </c>
      <c r="BC544" s="655" t="str">
        <f t="shared" si="389"/>
        <v/>
      </c>
    </row>
    <row r="545" spans="1:55" ht="12" customHeight="1">
      <c r="A545" s="36"/>
      <c r="B545" s="36"/>
      <c r="C545" s="36"/>
      <c r="D545" s="36"/>
      <c r="E545" s="36"/>
      <c r="F545" s="36"/>
      <c r="G545" s="36"/>
      <c r="H545" s="204">
        <v>82</v>
      </c>
      <c r="I545" s="118">
        <v>451</v>
      </c>
      <c r="J545" s="71">
        <v>3224</v>
      </c>
      <c r="K545" s="40" t="s">
        <v>256</v>
      </c>
      <c r="L545" s="309">
        <v>0</v>
      </c>
      <c r="M545" s="309">
        <v>0</v>
      </c>
      <c r="N545" s="339">
        <v>0</v>
      </c>
      <c r="O545" s="339">
        <v>0</v>
      </c>
      <c r="P545" s="294">
        <v>0</v>
      </c>
      <c r="Q545" s="294">
        <v>0</v>
      </c>
      <c r="R545" s="443">
        <v>0</v>
      </c>
      <c r="S545" s="294">
        <f>__xlfn.XLOOKUP(H545,[2]Izvršenje_proračuna_po_pozicija!$B$2:$B$153,[2]Izvršenje_proračuna_po_pozicija!$E$2:$E$153,0)</f>
        <v>0</v>
      </c>
      <c r="T545" s="294"/>
      <c r="U545" s="294"/>
      <c r="V545" s="478">
        <v>0</v>
      </c>
      <c r="W545" s="478"/>
      <c r="X545" s="544"/>
      <c r="Y545" s="544"/>
      <c r="Z545" s="541" t="b">
        <f t="shared" si="370"/>
        <v>0</v>
      </c>
      <c r="AA545" s="527"/>
      <c r="AB545" s="528">
        <v>0</v>
      </c>
      <c r="AC545" s="528">
        <v>0</v>
      </c>
      <c r="AD545" s="524"/>
      <c r="AE545" s="524"/>
      <c r="AF545" s="524"/>
      <c r="AG545" s="524"/>
      <c r="AH545" s="527"/>
      <c r="AI545" s="544"/>
      <c r="AJ545" s="516"/>
      <c r="AK545" s="516"/>
      <c r="AL545" s="516"/>
      <c r="AM545" s="294"/>
      <c r="AO545" t="b">
        <f t="shared" si="376"/>
        <v>0</v>
      </c>
      <c r="AQ545" s="443"/>
      <c r="AS545" s="443">
        <f>__xlfn.XLOOKUP(K545,[1]Izvršenje_proračuna_po_pozicija!$C$25:$C$149,[1]Izvršenje_proračuna_po_pozicija!$E$25:$E$149,0)</f>
        <v>0</v>
      </c>
      <c r="AT545" s="617"/>
      <c r="AU545" s="478"/>
      <c r="AV545" s="638"/>
      <c r="AW545" s="638"/>
      <c r="AX545" s="655" t="str">
        <f t="shared" si="385"/>
        <v/>
      </c>
      <c r="AY545" s="655" t="str">
        <f t="shared" si="386"/>
        <v/>
      </c>
      <c r="AZ545" s="655" t="str">
        <f t="shared" si="387"/>
        <v/>
      </c>
      <c r="BA545" s="655" t="str">
        <f t="shared" si="388"/>
        <v/>
      </c>
      <c r="BB545" s="655" t="str">
        <f t="shared" si="389"/>
        <v/>
      </c>
      <c r="BC545" s="655" t="str">
        <f t="shared" si="389"/>
        <v/>
      </c>
    </row>
    <row r="546" spans="1:55" ht="12" customHeight="1">
      <c r="A546" s="36"/>
      <c r="B546" s="36"/>
      <c r="C546" s="36"/>
      <c r="D546" s="36"/>
      <c r="E546" s="36"/>
      <c r="F546" s="36"/>
      <c r="G546" s="36"/>
      <c r="H546" s="204">
        <v>83</v>
      </c>
      <c r="I546" s="118">
        <v>451</v>
      </c>
      <c r="J546" s="71">
        <v>3224</v>
      </c>
      <c r="K546" s="40" t="s">
        <v>257</v>
      </c>
      <c r="L546" s="309">
        <v>0</v>
      </c>
      <c r="M546" s="309">
        <v>0</v>
      </c>
      <c r="N546" s="339">
        <v>0</v>
      </c>
      <c r="O546" s="339">
        <v>0</v>
      </c>
      <c r="P546" s="294">
        <v>0</v>
      </c>
      <c r="Q546" s="294">
        <v>0</v>
      </c>
      <c r="R546" s="443">
        <v>0</v>
      </c>
      <c r="S546" s="294">
        <f>__xlfn.XLOOKUP(H546,[2]Izvršenje_proračuna_po_pozicija!$B$2:$B$153,[2]Izvršenje_proračuna_po_pozicija!$E$2:$E$153,0)</f>
        <v>0</v>
      </c>
      <c r="T546" s="294"/>
      <c r="U546" s="294"/>
      <c r="V546" s="478">
        <v>0</v>
      </c>
      <c r="W546" s="478"/>
      <c r="X546" s="544"/>
      <c r="Y546" s="544"/>
      <c r="Z546" s="541" t="b">
        <f t="shared" si="370"/>
        <v>0</v>
      </c>
      <c r="AA546" s="527"/>
      <c r="AB546" s="528">
        <v>0</v>
      </c>
      <c r="AC546" s="528">
        <v>0</v>
      </c>
      <c r="AD546" s="524"/>
      <c r="AE546" s="524"/>
      <c r="AF546" s="524"/>
      <c r="AG546" s="524"/>
      <c r="AH546" s="527"/>
      <c r="AI546" s="544"/>
      <c r="AJ546" s="516"/>
      <c r="AK546" s="516"/>
      <c r="AL546" s="516"/>
      <c r="AM546" s="294"/>
      <c r="AO546" t="b">
        <f t="shared" si="376"/>
        <v>0</v>
      </c>
      <c r="AQ546" s="443"/>
      <c r="AS546" s="443">
        <f>__xlfn.XLOOKUP(K546,[1]Izvršenje_proračuna_po_pozicija!$C$25:$C$149,[1]Izvršenje_proračuna_po_pozicija!$E$25:$E$149,0)</f>
        <v>0</v>
      </c>
      <c r="AT546" s="617"/>
      <c r="AU546" s="478"/>
      <c r="AV546" s="638"/>
      <c r="AW546" s="638"/>
      <c r="AX546" s="655" t="str">
        <f t="shared" si="385"/>
        <v/>
      </c>
      <c r="AY546" s="655" t="str">
        <f t="shared" si="386"/>
        <v/>
      </c>
      <c r="AZ546" s="655" t="str">
        <f t="shared" si="387"/>
        <v/>
      </c>
      <c r="BA546" s="655" t="str">
        <f t="shared" si="388"/>
        <v/>
      </c>
      <c r="BB546" s="655" t="str">
        <f t="shared" si="389"/>
        <v/>
      </c>
      <c r="BC546" s="655" t="str">
        <f t="shared" si="389"/>
        <v/>
      </c>
    </row>
    <row r="547" spans="1:55" ht="12" customHeight="1">
      <c r="A547" s="36"/>
      <c r="B547" s="36"/>
      <c r="C547" s="36"/>
      <c r="D547" s="36"/>
      <c r="E547" s="36"/>
      <c r="F547" s="36"/>
      <c r="G547" s="36"/>
      <c r="H547" s="204">
        <v>84</v>
      </c>
      <c r="I547" s="118">
        <v>451</v>
      </c>
      <c r="J547" s="71">
        <v>3224</v>
      </c>
      <c r="K547" s="40" t="s">
        <v>258</v>
      </c>
      <c r="L547" s="309">
        <v>0</v>
      </c>
      <c r="M547" s="309">
        <v>0</v>
      </c>
      <c r="N547" s="339">
        <v>0</v>
      </c>
      <c r="O547" s="339">
        <v>0</v>
      </c>
      <c r="P547" s="294">
        <v>0</v>
      </c>
      <c r="Q547" s="294">
        <v>0</v>
      </c>
      <c r="R547" s="443">
        <v>0</v>
      </c>
      <c r="S547" s="294">
        <f>__xlfn.XLOOKUP(H547,[2]Izvršenje_proračuna_po_pozicija!$B$2:$B$153,[2]Izvršenje_proračuna_po_pozicija!$E$2:$E$153,0)</f>
        <v>0</v>
      </c>
      <c r="T547" s="294"/>
      <c r="U547" s="294"/>
      <c r="V547" s="478">
        <v>0</v>
      </c>
      <c r="W547" s="478"/>
      <c r="X547" s="544"/>
      <c r="Y547" s="544"/>
      <c r="Z547" s="541" t="b">
        <f t="shared" si="370"/>
        <v>0</v>
      </c>
      <c r="AA547" s="527"/>
      <c r="AB547" s="528">
        <v>0</v>
      </c>
      <c r="AC547" s="528">
        <v>0</v>
      </c>
      <c r="AD547" s="524"/>
      <c r="AE547" s="524"/>
      <c r="AF547" s="524"/>
      <c r="AG547" s="524"/>
      <c r="AH547" s="527"/>
      <c r="AI547" s="544"/>
      <c r="AJ547" s="516"/>
      <c r="AK547" s="516"/>
      <c r="AL547" s="516"/>
      <c r="AM547" s="294"/>
      <c r="AO547" t="b">
        <f t="shared" si="376"/>
        <v>0</v>
      </c>
      <c r="AQ547" s="443"/>
      <c r="AS547" s="443">
        <f>__xlfn.XLOOKUP(K547,[1]Izvršenje_proračuna_po_pozicija!$C$25:$C$149,[1]Izvršenje_proračuna_po_pozicija!$E$25:$E$149,0)</f>
        <v>0</v>
      </c>
      <c r="AT547" s="617"/>
      <c r="AU547" s="478"/>
      <c r="AV547" s="638"/>
      <c r="AW547" s="638"/>
      <c r="AX547" s="655" t="str">
        <f t="shared" si="385"/>
        <v/>
      </c>
      <c r="AY547" s="655" t="str">
        <f t="shared" si="386"/>
        <v/>
      </c>
      <c r="AZ547" s="655" t="str">
        <f t="shared" si="387"/>
        <v/>
      </c>
      <c r="BA547" s="655" t="str">
        <f t="shared" si="388"/>
        <v/>
      </c>
      <c r="BB547" s="655" t="str">
        <f t="shared" si="389"/>
        <v/>
      </c>
      <c r="BC547" s="655" t="str">
        <f t="shared" si="389"/>
        <v/>
      </c>
    </row>
    <row r="548" spans="1:55" ht="12" customHeight="1">
      <c r="A548" s="36"/>
      <c r="B548" s="36"/>
      <c r="C548" s="36"/>
      <c r="D548" s="36"/>
      <c r="E548" s="36"/>
      <c r="F548" s="36"/>
      <c r="G548" s="36"/>
      <c r="H548" s="204">
        <v>85</v>
      </c>
      <c r="I548" s="118">
        <v>451</v>
      </c>
      <c r="J548" s="71">
        <v>3224</v>
      </c>
      <c r="K548" s="40" t="s">
        <v>259</v>
      </c>
      <c r="L548" s="309">
        <v>0</v>
      </c>
      <c r="M548" s="309">
        <v>0</v>
      </c>
      <c r="N548" s="339">
        <v>0</v>
      </c>
      <c r="O548" s="339">
        <v>0</v>
      </c>
      <c r="P548" s="294">
        <v>0</v>
      </c>
      <c r="Q548" s="294">
        <v>0</v>
      </c>
      <c r="R548" s="443">
        <v>0</v>
      </c>
      <c r="S548" s="294">
        <f>__xlfn.XLOOKUP(H548,[2]Izvršenje_proračuna_po_pozicija!$B$2:$B$153,[2]Izvršenje_proračuna_po_pozicija!$E$2:$E$153,0)</f>
        <v>0</v>
      </c>
      <c r="T548" s="294"/>
      <c r="U548" s="294"/>
      <c r="V548" s="478">
        <v>0</v>
      </c>
      <c r="W548" s="478"/>
      <c r="X548" s="544"/>
      <c r="Y548" s="544"/>
      <c r="Z548" s="541" t="b">
        <f t="shared" si="370"/>
        <v>0</v>
      </c>
      <c r="AA548" s="527"/>
      <c r="AB548" s="528">
        <v>0</v>
      </c>
      <c r="AC548" s="528">
        <v>0</v>
      </c>
      <c r="AD548" s="524"/>
      <c r="AE548" s="524"/>
      <c r="AF548" s="524"/>
      <c r="AG548" s="524"/>
      <c r="AH548" s="527"/>
      <c r="AI548" s="544"/>
      <c r="AJ548" s="516"/>
      <c r="AK548" s="516"/>
      <c r="AL548" s="516"/>
      <c r="AM548" s="294"/>
      <c r="AO548" t="b">
        <f t="shared" si="376"/>
        <v>0</v>
      </c>
      <c r="AQ548" s="443"/>
      <c r="AS548" s="443">
        <f>__xlfn.XLOOKUP(K548,[1]Izvršenje_proračuna_po_pozicija!$C$25:$C$149,[1]Izvršenje_proračuna_po_pozicija!$E$25:$E$149,0)</f>
        <v>0</v>
      </c>
      <c r="AT548" s="617"/>
      <c r="AU548" s="478"/>
      <c r="AV548" s="638"/>
      <c r="AW548" s="638"/>
      <c r="AX548" s="655" t="str">
        <f t="shared" si="385"/>
        <v/>
      </c>
      <c r="AY548" s="655" t="str">
        <f t="shared" si="386"/>
        <v/>
      </c>
      <c r="AZ548" s="655" t="str">
        <f t="shared" si="387"/>
        <v/>
      </c>
      <c r="BA548" s="655" t="str">
        <f t="shared" si="388"/>
        <v/>
      </c>
      <c r="BB548" s="655" t="str">
        <f t="shared" si="389"/>
        <v/>
      </c>
      <c r="BC548" s="655" t="str">
        <f t="shared" si="389"/>
        <v/>
      </c>
    </row>
    <row r="549" spans="1:55" ht="12" customHeight="1">
      <c r="A549" s="36"/>
      <c r="B549" s="36"/>
      <c r="C549" s="36"/>
      <c r="D549" s="36"/>
      <c r="E549" s="36"/>
      <c r="F549" s="36"/>
      <c r="G549" s="36"/>
      <c r="H549" s="204">
        <v>86</v>
      </c>
      <c r="I549" s="118">
        <v>451</v>
      </c>
      <c r="J549" s="71">
        <v>3224</v>
      </c>
      <c r="K549" s="40" t="s">
        <v>260</v>
      </c>
      <c r="L549" s="309">
        <v>0</v>
      </c>
      <c r="M549" s="309">
        <v>0</v>
      </c>
      <c r="N549" s="339">
        <v>0</v>
      </c>
      <c r="O549" s="339">
        <v>0</v>
      </c>
      <c r="P549" s="294">
        <v>0</v>
      </c>
      <c r="Q549" s="294">
        <v>0</v>
      </c>
      <c r="R549" s="443">
        <v>0</v>
      </c>
      <c r="S549" s="294">
        <f>__xlfn.XLOOKUP(H549,[2]Izvršenje_proračuna_po_pozicija!$B$2:$B$153,[2]Izvršenje_proračuna_po_pozicija!$E$2:$E$153,0)</f>
        <v>0</v>
      </c>
      <c r="T549" s="294"/>
      <c r="U549" s="294"/>
      <c r="V549" s="478">
        <v>0</v>
      </c>
      <c r="W549" s="478"/>
      <c r="X549" s="544"/>
      <c r="Y549" s="544"/>
      <c r="Z549" s="541" t="b">
        <f t="shared" si="370"/>
        <v>0</v>
      </c>
      <c r="AA549" s="527"/>
      <c r="AB549" s="528">
        <v>0</v>
      </c>
      <c r="AC549" s="528">
        <v>0</v>
      </c>
      <c r="AD549" s="524"/>
      <c r="AE549" s="524"/>
      <c r="AF549" s="524"/>
      <c r="AG549" s="524"/>
      <c r="AH549" s="527"/>
      <c r="AI549" s="544"/>
      <c r="AJ549" s="516"/>
      <c r="AK549" s="516"/>
      <c r="AL549" s="516"/>
      <c r="AM549" s="294"/>
      <c r="AO549" t="b">
        <f t="shared" si="376"/>
        <v>0</v>
      </c>
      <c r="AQ549" s="443"/>
      <c r="AS549" s="443">
        <f>__xlfn.XLOOKUP(K549,[1]Izvršenje_proračuna_po_pozicija!$C$25:$C$149,[1]Izvršenje_proračuna_po_pozicija!$E$25:$E$149,0)</f>
        <v>0</v>
      </c>
      <c r="AT549" s="617"/>
      <c r="AU549" s="478"/>
      <c r="AV549" s="638"/>
      <c r="AW549" s="638"/>
      <c r="AX549" s="655" t="str">
        <f t="shared" si="385"/>
        <v/>
      </c>
      <c r="AY549" s="655" t="str">
        <f t="shared" si="386"/>
        <v/>
      </c>
      <c r="AZ549" s="655" t="str">
        <f t="shared" si="387"/>
        <v/>
      </c>
      <c r="BA549" s="655" t="str">
        <f t="shared" si="388"/>
        <v/>
      </c>
      <c r="BB549" s="655" t="str">
        <f t="shared" si="389"/>
        <v/>
      </c>
      <c r="BC549" s="655" t="str">
        <f t="shared" si="389"/>
        <v/>
      </c>
    </row>
    <row r="550" spans="1:55" ht="12" customHeight="1">
      <c r="A550" s="36"/>
      <c r="B550" s="36"/>
      <c r="C550" s="36"/>
      <c r="D550" s="36"/>
      <c r="E550" s="36"/>
      <c r="F550" s="36"/>
      <c r="G550" s="36"/>
      <c r="H550" s="204">
        <v>87</v>
      </c>
      <c r="I550" s="118">
        <v>451</v>
      </c>
      <c r="J550" s="71">
        <v>3224</v>
      </c>
      <c r="K550" s="40" t="s">
        <v>261</v>
      </c>
      <c r="L550" s="309">
        <v>0</v>
      </c>
      <c r="M550" s="309">
        <v>0</v>
      </c>
      <c r="N550" s="339">
        <v>0</v>
      </c>
      <c r="O550" s="339">
        <v>0</v>
      </c>
      <c r="P550" s="294">
        <v>0</v>
      </c>
      <c r="Q550" s="294">
        <v>0</v>
      </c>
      <c r="R550" s="443">
        <v>1288</v>
      </c>
      <c r="S550" s="294">
        <f>__xlfn.XLOOKUP(H550,[2]Izvršenje_proračuna_po_pozicija!$B$2:$B$153,[2]Izvršenje_proračuna_po_pozicija!$E$2:$E$153,0)</f>
        <v>0</v>
      </c>
      <c r="T550" s="294"/>
      <c r="U550" s="294"/>
      <c r="V550" s="478">
        <v>0</v>
      </c>
      <c r="W550" s="478"/>
      <c r="X550" s="544"/>
      <c r="Y550" s="544"/>
      <c r="Z550" s="541" t="b">
        <f t="shared" si="370"/>
        <v>0</v>
      </c>
      <c r="AA550" s="527"/>
      <c r="AB550" s="528">
        <v>0</v>
      </c>
      <c r="AC550" s="528">
        <v>0</v>
      </c>
      <c r="AD550" s="524"/>
      <c r="AE550" s="524"/>
      <c r="AF550" s="524"/>
      <c r="AG550" s="524"/>
      <c r="AH550" s="527"/>
      <c r="AI550" s="544"/>
      <c r="AJ550" s="516">
        <f>W550/R550*100</f>
        <v>0</v>
      </c>
      <c r="AK550" s="516"/>
      <c r="AL550" s="516"/>
      <c r="AM550" s="294"/>
      <c r="AO550" t="b">
        <f t="shared" si="376"/>
        <v>0</v>
      </c>
      <c r="AQ550" s="443"/>
      <c r="AS550" s="443">
        <f>__xlfn.XLOOKUP(K550,[1]Izvršenje_proračuna_po_pozicija!$C$25:$C$149,[1]Izvršenje_proračuna_po_pozicija!$E$25:$E$149,0)</f>
        <v>0</v>
      </c>
      <c r="AT550" s="617"/>
      <c r="AU550" s="478"/>
      <c r="AV550" s="638"/>
      <c r="AW550" s="638"/>
      <c r="AX550" s="655" t="str">
        <f t="shared" si="385"/>
        <v/>
      </c>
      <c r="AY550" s="655" t="str">
        <f t="shared" si="386"/>
        <v/>
      </c>
      <c r="AZ550" s="655" t="str">
        <f t="shared" si="387"/>
        <v/>
      </c>
      <c r="BA550" s="655" t="str">
        <f t="shared" si="388"/>
        <v/>
      </c>
      <c r="BB550" s="655" t="str">
        <f t="shared" si="389"/>
        <v/>
      </c>
      <c r="BC550" s="655" t="str">
        <f t="shared" si="389"/>
        <v/>
      </c>
    </row>
    <row r="551" spans="1:55" ht="12" customHeight="1">
      <c r="A551" s="20"/>
      <c r="B551" s="20"/>
      <c r="C551" s="20"/>
      <c r="D551" s="20"/>
      <c r="E551" s="20"/>
      <c r="F551" s="20"/>
      <c r="G551" s="20"/>
      <c r="H551" s="375"/>
      <c r="I551" s="22"/>
      <c r="J551" s="21"/>
      <c r="K551" s="19"/>
      <c r="L551" s="313">
        <v>1</v>
      </c>
      <c r="M551" s="313">
        <v>2</v>
      </c>
      <c r="N551" s="335">
        <v>3</v>
      </c>
      <c r="O551" s="335">
        <v>4</v>
      </c>
      <c r="P551" s="290">
        <v>5</v>
      </c>
      <c r="Q551" s="290">
        <v>6</v>
      </c>
      <c r="R551" s="439"/>
      <c r="S551" s="294">
        <f>__xlfn.XLOOKUP(H551,[2]Izvršenje_proračuna_po_pozicija!$B$2:$B$153,[2]Izvršenje_proračuna_po_pozicija!$E$2:$E$153,0)</f>
        <v>0</v>
      </c>
      <c r="T551" s="294"/>
      <c r="U551" s="294"/>
      <c r="V551" s="474">
        <v>5</v>
      </c>
      <c r="W551" s="474"/>
      <c r="X551" s="539"/>
      <c r="Y551" s="539"/>
      <c r="Z551" s="541" t="b">
        <f t="shared" si="370"/>
        <v>0</v>
      </c>
      <c r="AA551" s="514"/>
      <c r="AB551" s="515">
        <v>7</v>
      </c>
      <c r="AC551" s="515">
        <v>8</v>
      </c>
      <c r="AD551" s="515">
        <v>9</v>
      </c>
      <c r="AE551" s="515">
        <v>10</v>
      </c>
      <c r="AF551" s="515">
        <v>11</v>
      </c>
      <c r="AG551" s="515">
        <v>12</v>
      </c>
      <c r="AH551" s="514"/>
      <c r="AI551" s="539"/>
      <c r="AJ551" s="516"/>
      <c r="AK551" s="516"/>
      <c r="AL551" s="516"/>
      <c r="AM551" s="290"/>
      <c r="AO551" t="b">
        <f t="shared" si="376"/>
        <v>0</v>
      </c>
      <c r="AQ551" s="439"/>
      <c r="AS551" s="439">
        <f>__xlfn.XLOOKUP(K551,[1]Izvršenje_proračuna_po_pozicija!$C$25:$C$149,[1]Izvršenje_proračuna_po_pozicija!$E$25:$E$149,0)</f>
        <v>0</v>
      </c>
      <c r="AT551" s="616"/>
      <c r="AU551" s="474"/>
      <c r="AV551" s="632"/>
      <c r="AW551" s="632"/>
      <c r="AX551" s="655" t="str">
        <f t="shared" si="385"/>
        <v/>
      </c>
      <c r="AY551" s="655" t="str">
        <f t="shared" si="386"/>
        <v/>
      </c>
      <c r="AZ551" s="655" t="str">
        <f t="shared" si="387"/>
        <v/>
      </c>
      <c r="BA551" s="655" t="str">
        <f t="shared" si="388"/>
        <v/>
      </c>
      <c r="BB551" s="655" t="str">
        <f t="shared" si="389"/>
        <v/>
      </c>
      <c r="BC551" s="655" t="str">
        <f t="shared" si="389"/>
        <v/>
      </c>
    </row>
    <row r="552" spans="1:55" ht="12" customHeight="1">
      <c r="A552" s="56"/>
      <c r="B552" s="56"/>
      <c r="C552" s="56"/>
      <c r="D552" s="56"/>
      <c r="E552" s="56"/>
      <c r="F552" s="56"/>
      <c r="G552" s="56"/>
      <c r="H552" s="377"/>
      <c r="I552" s="119"/>
      <c r="J552" s="116">
        <v>323</v>
      </c>
      <c r="K552" s="60" t="s">
        <v>191</v>
      </c>
      <c r="L552" s="315">
        <f t="shared" ref="L552:S552" si="407">L553+L554+L555+L556+L558</f>
        <v>936314</v>
      </c>
      <c r="M552" s="315">
        <f t="shared" si="407"/>
        <v>124270.22363793217</v>
      </c>
      <c r="N552" s="337">
        <f t="shared" si="407"/>
        <v>763364</v>
      </c>
      <c r="O552" s="337">
        <f t="shared" si="407"/>
        <v>101315.8139226226</v>
      </c>
      <c r="P552" s="292">
        <f t="shared" si="407"/>
        <v>127000</v>
      </c>
      <c r="Q552" s="292">
        <f t="shared" si="407"/>
        <v>132000</v>
      </c>
      <c r="R552" s="441">
        <f t="shared" si="407"/>
        <v>122036</v>
      </c>
      <c r="S552" s="292">
        <f t="shared" si="407"/>
        <v>224384.1</v>
      </c>
      <c r="T552" s="292"/>
      <c r="U552" s="292"/>
      <c r="V552" s="469">
        <f>V553+V554+V555+V556+V558</f>
        <v>129000</v>
      </c>
      <c r="W552" s="469">
        <f>W553+W554+W555+W556+W558</f>
        <v>242000</v>
      </c>
      <c r="X552" s="522">
        <f>X553+X554+X555+X556+X558</f>
        <v>415000</v>
      </c>
      <c r="Y552" s="522">
        <f>Y553+Y554+Y555+Y556+Y558</f>
        <v>0</v>
      </c>
      <c r="Z552" s="541" t="b">
        <f t="shared" si="370"/>
        <v>1</v>
      </c>
      <c r="AA552" s="522"/>
      <c r="AB552" s="523">
        <f>AB553+AB554+AB555+AB556+AB558</f>
        <v>135000</v>
      </c>
      <c r="AC552" s="523">
        <f>AC553+AC554+AC555+AC556+AC558</f>
        <v>135000</v>
      </c>
      <c r="AD552" s="524">
        <f>O552/M552*100</f>
        <v>81.528632488673679</v>
      </c>
      <c r="AE552" s="524">
        <f t="shared" ref="AE552:AF554" si="408">P552/O552*100</f>
        <v>125.35061910176535</v>
      </c>
      <c r="AF552" s="524">
        <f t="shared" si="408"/>
        <v>103.93700787401573</v>
      </c>
      <c r="AG552" s="524">
        <f>AB552/Q552*100</f>
        <v>102.27272727272727</v>
      </c>
      <c r="AH552" s="522"/>
      <c r="AI552" s="522">
        <v>415000</v>
      </c>
      <c r="AJ552" s="516">
        <f>W552/R552*100</f>
        <v>198.30214035202727</v>
      </c>
      <c r="AK552" s="516">
        <f>AT552/W552*100</f>
        <v>90.909090909090907</v>
      </c>
      <c r="AL552" s="516">
        <f>X552/AT552*100</f>
        <v>188.63636363636365</v>
      </c>
      <c r="AM552" s="292"/>
      <c r="AN552" s="413"/>
      <c r="AO552" t="b">
        <f t="shared" si="376"/>
        <v>1</v>
      </c>
      <c r="AP552" s="440">
        <f t="shared" ref="AP552:AU552" si="409">AP553+AP554+AP555+AP556+AP558</f>
        <v>233687.61000000002</v>
      </c>
      <c r="AQ552" s="441">
        <v>233687.61</v>
      </c>
      <c r="AR552" s="440">
        <f>AR553+AR554+AR555+AR556+AR558</f>
        <v>233687.61000000002</v>
      </c>
      <c r="AS552" s="441">
        <f t="shared" si="409"/>
        <v>107479.5</v>
      </c>
      <c r="AT552" s="612">
        <f t="shared" si="409"/>
        <v>220000</v>
      </c>
      <c r="AU552" s="469">
        <f t="shared" si="409"/>
        <v>170000</v>
      </c>
      <c r="AV552" s="636">
        <v>415000</v>
      </c>
      <c r="AW552" s="636">
        <v>415000</v>
      </c>
      <c r="AX552" s="655">
        <f t="shared" si="385"/>
        <v>180.27467304729751</v>
      </c>
      <c r="AY552" s="655">
        <f t="shared" si="386"/>
        <v>94.142774621213348</v>
      </c>
      <c r="AZ552" s="655">
        <f t="shared" si="387"/>
        <v>77.272727272727266</v>
      </c>
      <c r="BA552" s="655">
        <f t="shared" si="388"/>
        <v>72.746689480028493</v>
      </c>
      <c r="BB552" s="655">
        <f t="shared" si="389"/>
        <v>244.11764705882354</v>
      </c>
      <c r="BC552" s="655">
        <f t="shared" si="389"/>
        <v>100</v>
      </c>
    </row>
    <row r="553" spans="1:55" ht="12" customHeight="1">
      <c r="A553" s="36"/>
      <c r="B553" s="36"/>
      <c r="C553" s="36"/>
      <c r="D553" s="36"/>
      <c r="E553" s="36"/>
      <c r="F553" s="36"/>
      <c r="G553" s="36"/>
      <c r="H553" s="380">
        <v>94</v>
      </c>
      <c r="I553" s="121">
        <v>451</v>
      </c>
      <c r="J553" s="122">
        <v>3232</v>
      </c>
      <c r="K553" s="123" t="s">
        <v>262</v>
      </c>
      <c r="L553" s="322">
        <v>477180</v>
      </c>
      <c r="M553" s="322">
        <f>477180/7.5345</f>
        <v>63332.669719291254</v>
      </c>
      <c r="N553" s="346">
        <v>397528</v>
      </c>
      <c r="O553" s="346">
        <f>N553/7.5345</f>
        <v>52761.032583449465</v>
      </c>
      <c r="P553" s="301">
        <v>53000</v>
      </c>
      <c r="Q553" s="371">
        <v>63000</v>
      </c>
      <c r="R553" s="458">
        <v>63506</v>
      </c>
      <c r="S553" s="294">
        <v>130442</v>
      </c>
      <c r="T553" s="301"/>
      <c r="U553" s="301"/>
      <c r="V553" s="480">
        <v>60000</v>
      </c>
      <c r="W553" s="480">
        <v>140000</v>
      </c>
      <c r="X553" s="548">
        <v>200000</v>
      </c>
      <c r="Y553" s="548"/>
      <c r="Z553" s="541" t="b">
        <f t="shared" si="370"/>
        <v>0</v>
      </c>
      <c r="AA553" s="533"/>
      <c r="AB553" s="534">
        <v>55000</v>
      </c>
      <c r="AC553" s="534">
        <v>55000</v>
      </c>
      <c r="AD553" s="524">
        <f>O553/M553*100</f>
        <v>83.30776646129344</v>
      </c>
      <c r="AE553" s="524">
        <f t="shared" si="408"/>
        <v>100.45292407075728</v>
      </c>
      <c r="AF553" s="524">
        <f t="shared" si="408"/>
        <v>118.86792452830188</v>
      </c>
      <c r="AG553" s="524">
        <f>AB553/Q553*100</f>
        <v>87.301587301587304</v>
      </c>
      <c r="AH553" s="533"/>
      <c r="AI553" s="548">
        <v>200000</v>
      </c>
      <c r="AJ553" s="516">
        <f>W553/R553*100</f>
        <v>220.45161087141372</v>
      </c>
      <c r="AK553" s="516">
        <f>AT553/W553*100</f>
        <v>78.571428571428569</v>
      </c>
      <c r="AL553" s="516">
        <f>X553/AT553*100</f>
        <v>181.81818181818181</v>
      </c>
      <c r="AM553" s="301"/>
      <c r="AN553" s="413"/>
      <c r="AO553" t="b">
        <f t="shared" si="376"/>
        <v>0</v>
      </c>
      <c r="AP553" s="504">
        <v>138370.54</v>
      </c>
      <c r="AQ553" s="458">
        <v>138370.54</v>
      </c>
      <c r="AR553" s="504">
        <v>138370.54</v>
      </c>
      <c r="AS553" s="458">
        <f>__xlfn.XLOOKUP(K553,[1]Izvršenje_proračuna_po_pozicija!$C$25:$C$149,[1]Izvršenje_proračuna_po_pozicija!$E$25:$E$149,0)</f>
        <v>71590.42</v>
      </c>
      <c r="AT553" s="618">
        <v>110000</v>
      </c>
      <c r="AU553" s="480">
        <v>80000</v>
      </c>
      <c r="AV553" s="641">
        <v>200000</v>
      </c>
      <c r="AW553" s="641">
        <v>200000</v>
      </c>
      <c r="AX553" s="655">
        <f t="shared" si="385"/>
        <v>173.2119799703965</v>
      </c>
      <c r="AY553" s="655">
        <f t="shared" si="386"/>
        <v>79.496690552772293</v>
      </c>
      <c r="AZ553" s="655">
        <f t="shared" si="387"/>
        <v>72.727272727272734</v>
      </c>
      <c r="BA553" s="655">
        <f t="shared" si="388"/>
        <v>57.815774947470757</v>
      </c>
      <c r="BB553" s="655">
        <f t="shared" si="389"/>
        <v>250</v>
      </c>
      <c r="BC553" s="655">
        <f t="shared" si="389"/>
        <v>100</v>
      </c>
    </row>
    <row r="554" spans="1:55" ht="12" customHeight="1">
      <c r="A554" s="36"/>
      <c r="B554" s="36"/>
      <c r="C554" s="36"/>
      <c r="D554" s="36"/>
      <c r="E554" s="36"/>
      <c r="F554" s="36"/>
      <c r="G554" s="36"/>
      <c r="H554" s="204" t="s">
        <v>263</v>
      </c>
      <c r="I554" s="118">
        <v>451</v>
      </c>
      <c r="J554" s="71">
        <v>3232</v>
      </c>
      <c r="K554" s="40" t="s">
        <v>708</v>
      </c>
      <c r="L554" s="309">
        <v>369206</v>
      </c>
      <c r="M554" s="309">
        <f>369206/7.5345</f>
        <v>49002.057203530421</v>
      </c>
      <c r="N554" s="339">
        <v>278461</v>
      </c>
      <c r="O554" s="346">
        <f>N554/7.5345</f>
        <v>36958.125953945186</v>
      </c>
      <c r="P554" s="294">
        <v>46000</v>
      </c>
      <c r="Q554" s="294">
        <v>46000</v>
      </c>
      <c r="R554" s="443">
        <v>50949</v>
      </c>
      <c r="S554" s="294">
        <f>__xlfn.XLOOKUP(H554,[2]Izvršenje_proračuna_po_pozicija!$B$2:$B$153,[2]Izvršenje_proračuna_po_pozicija!$E$2:$E$153,0)</f>
        <v>69227.66</v>
      </c>
      <c r="T554" s="294"/>
      <c r="U554" s="294"/>
      <c r="V554" s="478">
        <v>46000</v>
      </c>
      <c r="W554" s="478">
        <v>70000</v>
      </c>
      <c r="X554" s="544">
        <v>150000</v>
      </c>
      <c r="Y554" s="544"/>
      <c r="Z554" s="541" t="b">
        <f t="shared" si="370"/>
        <v>0</v>
      </c>
      <c r="AA554" s="527"/>
      <c r="AB554" s="528">
        <v>50000</v>
      </c>
      <c r="AC554" s="528">
        <v>50000</v>
      </c>
      <c r="AD554" s="524">
        <f>O554/M554*100</f>
        <v>75.421580364349452</v>
      </c>
      <c r="AE554" s="524">
        <f t="shared" si="408"/>
        <v>124.46518542991657</v>
      </c>
      <c r="AF554" s="524">
        <f t="shared" si="408"/>
        <v>100</v>
      </c>
      <c r="AG554" s="524">
        <f>AB554/Q554*100</f>
        <v>108.69565217391303</v>
      </c>
      <c r="AH554" s="527"/>
      <c r="AI554" s="544">
        <v>150000</v>
      </c>
      <c r="AJ554" s="516">
        <f>W554/R554*100</f>
        <v>137.39229425503936</v>
      </c>
      <c r="AK554" s="516">
        <f>AT554/W554*100</f>
        <v>107.14285714285714</v>
      </c>
      <c r="AL554" s="516">
        <f>X554/AT554*100</f>
        <v>200</v>
      </c>
      <c r="AM554" s="294"/>
      <c r="AN554" s="413"/>
      <c r="AO554" t="b">
        <f t="shared" si="376"/>
        <v>0</v>
      </c>
      <c r="AP554" s="493">
        <v>69227.66</v>
      </c>
      <c r="AQ554" s="443">
        <v>69227.66</v>
      </c>
      <c r="AR554" s="493">
        <v>69227.66</v>
      </c>
      <c r="AS554" s="443">
        <v>35889.08</v>
      </c>
      <c r="AT554" s="617">
        <v>75000</v>
      </c>
      <c r="AU554" s="478">
        <v>75000</v>
      </c>
      <c r="AV554" s="638">
        <v>150000</v>
      </c>
      <c r="AW554" s="638">
        <v>150000</v>
      </c>
      <c r="AX554" s="655">
        <f t="shared" si="385"/>
        <v>147.20602955897073</v>
      </c>
      <c r="AY554" s="655">
        <f t="shared" si="386"/>
        <v>108.33819892222269</v>
      </c>
      <c r="AZ554" s="655">
        <f t="shared" si="387"/>
        <v>100</v>
      </c>
      <c r="BA554" s="655">
        <f t="shared" si="388"/>
        <v>108.33819892222269</v>
      </c>
      <c r="BB554" s="655">
        <f t="shared" si="389"/>
        <v>200</v>
      </c>
      <c r="BC554" s="655">
        <f t="shared" si="389"/>
        <v>100</v>
      </c>
    </row>
    <row r="555" spans="1:55" ht="12" customHeight="1">
      <c r="A555" s="36"/>
      <c r="B555" s="36"/>
      <c r="C555" s="36"/>
      <c r="D555" s="36"/>
      <c r="E555" s="36"/>
      <c r="F555" s="36"/>
      <c r="G555" s="36"/>
      <c r="H555" s="204" t="s">
        <v>264</v>
      </c>
      <c r="I555" s="118">
        <v>451</v>
      </c>
      <c r="J555" s="71">
        <v>3232</v>
      </c>
      <c r="K555" s="40" t="s">
        <v>265</v>
      </c>
      <c r="L555" s="309">
        <v>17500</v>
      </c>
      <c r="M555" s="309">
        <f>17500/7.5345</f>
        <v>2322.649147255956</v>
      </c>
      <c r="N555" s="339">
        <v>0</v>
      </c>
      <c r="O555" s="346">
        <f>N555/7.5345</f>
        <v>0</v>
      </c>
      <c r="P555" s="294">
        <v>13000</v>
      </c>
      <c r="Q555" s="294">
        <v>13000</v>
      </c>
      <c r="R555" s="443">
        <v>0</v>
      </c>
      <c r="S555" s="294">
        <f>__xlfn.XLOOKUP(H555,[2]Izvršenje_proračuna_po_pozicija!$B$2:$B$153,[2]Izvršenje_proračuna_po_pozicija!$E$2:$E$153,0)</f>
        <v>10738.29</v>
      </c>
      <c r="T555" s="294"/>
      <c r="U555" s="294"/>
      <c r="V555" s="478">
        <v>13000</v>
      </c>
      <c r="W555" s="478">
        <v>16000</v>
      </c>
      <c r="X555" s="544">
        <v>30000</v>
      </c>
      <c r="Y555" s="544"/>
      <c r="Z555" s="541" t="b">
        <f t="shared" si="370"/>
        <v>0</v>
      </c>
      <c r="AA555" s="527"/>
      <c r="AB555" s="528">
        <v>15000</v>
      </c>
      <c r="AC555" s="528">
        <v>15000</v>
      </c>
      <c r="AD555" s="524">
        <f>O555/M555*100</f>
        <v>0</v>
      </c>
      <c r="AE555" s="524"/>
      <c r="AF555" s="524"/>
      <c r="AG555" s="524"/>
      <c r="AH555" s="527"/>
      <c r="AI555" s="544">
        <v>30000</v>
      </c>
      <c r="AJ555" s="516"/>
      <c r="AK555" s="516">
        <f>AT555/W555*100</f>
        <v>93.75</v>
      </c>
      <c r="AL555" s="516">
        <f>X555/AT555*100</f>
        <v>200</v>
      </c>
      <c r="AM555" s="294"/>
      <c r="AN555" s="413"/>
      <c r="AO555" t="b">
        <f t="shared" si="376"/>
        <v>0</v>
      </c>
      <c r="AP555" s="493">
        <v>10738.29</v>
      </c>
      <c r="AQ555" s="443">
        <v>10738.29</v>
      </c>
      <c r="AR555" s="493">
        <v>10738.29</v>
      </c>
      <c r="AS555" s="443">
        <f>__xlfn.XLOOKUP(K555,[1]Izvršenje_proračuna_po_pozicija!$C$25:$C$149,[1]Izvršenje_proračuna_po_pozicija!$E$25:$E$149,0)</f>
        <v>0</v>
      </c>
      <c r="AT555" s="617">
        <v>15000</v>
      </c>
      <c r="AU555" s="478">
        <v>10000</v>
      </c>
      <c r="AV555" s="638">
        <v>30000</v>
      </c>
      <c r="AW555" s="638">
        <v>30000</v>
      </c>
      <c r="AX555" s="655" t="str">
        <f t="shared" si="385"/>
        <v/>
      </c>
      <c r="AY555" s="655">
        <f t="shared" si="386"/>
        <v>139.68704514405923</v>
      </c>
      <c r="AZ555" s="655">
        <f t="shared" si="387"/>
        <v>66.666666666666657</v>
      </c>
      <c r="BA555" s="655">
        <f t="shared" si="388"/>
        <v>93.124696762706165</v>
      </c>
      <c r="BB555" s="655">
        <f t="shared" si="389"/>
        <v>300</v>
      </c>
      <c r="BC555" s="655">
        <f t="shared" si="389"/>
        <v>100</v>
      </c>
    </row>
    <row r="556" spans="1:55" ht="12" customHeight="1">
      <c r="A556" s="36"/>
      <c r="B556" s="36"/>
      <c r="C556" s="36"/>
      <c r="D556" s="36"/>
      <c r="E556" s="36"/>
      <c r="F556" s="36"/>
      <c r="G556" s="36"/>
      <c r="H556" s="204" t="s">
        <v>266</v>
      </c>
      <c r="I556" s="118">
        <v>451</v>
      </c>
      <c r="J556" s="71">
        <v>3232</v>
      </c>
      <c r="K556" s="40" t="s">
        <v>267</v>
      </c>
      <c r="L556" s="309">
        <v>50428</v>
      </c>
      <c r="M556" s="309">
        <f>50428/7.5345</f>
        <v>6692.9457827327624</v>
      </c>
      <c r="N556" s="339">
        <v>0</v>
      </c>
      <c r="O556" s="346">
        <f>N556/7.5345</f>
        <v>0</v>
      </c>
      <c r="P556" s="294">
        <v>5000</v>
      </c>
      <c r="Q556" s="294">
        <v>5000</v>
      </c>
      <c r="R556" s="443">
        <v>4943</v>
      </c>
      <c r="S556" s="294">
        <f>__xlfn.XLOOKUP(H556,[2]Izvršenje_proračuna_po_pozicija!$B$2:$B$153,[2]Izvršenje_proračuna_po_pozicija!$E$2:$E$153,0)</f>
        <v>13976.15</v>
      </c>
      <c r="T556" s="294"/>
      <c r="U556" s="294"/>
      <c r="V556" s="478">
        <v>5000</v>
      </c>
      <c r="W556" s="478">
        <v>15000</v>
      </c>
      <c r="X556" s="544">
        <v>30000</v>
      </c>
      <c r="Y556" s="544"/>
      <c r="Z556" s="541" t="b">
        <f t="shared" si="370"/>
        <v>0</v>
      </c>
      <c r="AA556" s="527"/>
      <c r="AB556" s="528">
        <v>5000</v>
      </c>
      <c r="AC556" s="528">
        <v>5000</v>
      </c>
      <c r="AD556" s="524">
        <f>O556/M556*100</f>
        <v>0</v>
      </c>
      <c r="AE556" s="524"/>
      <c r="AF556" s="524">
        <f>Q556/P556*100</f>
        <v>100</v>
      </c>
      <c r="AG556" s="524">
        <f>AB556/Q556*100</f>
        <v>100</v>
      </c>
      <c r="AH556" s="527"/>
      <c r="AI556" s="544">
        <v>30000</v>
      </c>
      <c r="AJ556" s="516">
        <f>W556/R556*100</f>
        <v>303.45943758850899</v>
      </c>
      <c r="AK556" s="516">
        <f>AT556/W556*100</f>
        <v>100</v>
      </c>
      <c r="AL556" s="516">
        <f>X556/AT556*100</f>
        <v>200</v>
      </c>
      <c r="AM556" s="294"/>
      <c r="AN556" s="413"/>
      <c r="AO556" t="b">
        <f t="shared" si="376"/>
        <v>0</v>
      </c>
      <c r="AP556" s="493">
        <v>13976.12</v>
      </c>
      <c r="AQ556" s="443">
        <v>13976.12</v>
      </c>
      <c r="AR556" s="493">
        <v>13976.12</v>
      </c>
      <c r="AS556" s="443">
        <f>__xlfn.XLOOKUP(K556,[1]Izvršenje_proračuna_po_pozicija!$C$25:$C$149,[1]Izvršenje_proračuna_po_pozicija!$E$25:$E$149,0)</f>
        <v>0</v>
      </c>
      <c r="AT556" s="617">
        <v>15000</v>
      </c>
      <c r="AU556" s="478">
        <v>5000</v>
      </c>
      <c r="AV556" s="638">
        <v>30000</v>
      </c>
      <c r="AW556" s="638">
        <v>30000</v>
      </c>
      <c r="AX556" s="655">
        <f t="shared" si="385"/>
        <v>303.45943758850899</v>
      </c>
      <c r="AY556" s="655">
        <f t="shared" si="386"/>
        <v>107.32592450551368</v>
      </c>
      <c r="AZ556" s="655">
        <f t="shared" si="387"/>
        <v>33.333333333333329</v>
      </c>
      <c r="BA556" s="655">
        <f t="shared" si="388"/>
        <v>35.775308168504559</v>
      </c>
      <c r="BB556" s="655">
        <f t="shared" si="389"/>
        <v>600</v>
      </c>
      <c r="BC556" s="655">
        <f t="shared" si="389"/>
        <v>100</v>
      </c>
    </row>
    <row r="557" spans="1:55" ht="12" customHeight="1">
      <c r="A557" s="36"/>
      <c r="B557" s="36"/>
      <c r="C557" s="36"/>
      <c r="D557" s="36"/>
      <c r="E557" s="36"/>
      <c r="F557" s="36"/>
      <c r="G557" s="36"/>
      <c r="H557" s="204"/>
      <c r="I557" s="118"/>
      <c r="J557" s="71"/>
      <c r="K557" s="40"/>
      <c r="L557" s="309"/>
      <c r="M557" s="309"/>
      <c r="N557" s="339"/>
      <c r="O557" s="346"/>
      <c r="P557" s="294"/>
      <c r="Q557" s="294"/>
      <c r="R557" s="443"/>
      <c r="S557" s="294">
        <f>__xlfn.XLOOKUP(H557,[2]Izvršenje_proračuna_po_pozicija!$B$2:$B$153,[2]Izvršenje_proračuna_po_pozicija!$E$2:$E$153,0)</f>
        <v>0</v>
      </c>
      <c r="T557" s="294"/>
      <c r="U557" s="294"/>
      <c r="V557" s="478"/>
      <c r="W557" s="478"/>
      <c r="X557" s="544"/>
      <c r="Y557" s="544"/>
      <c r="Z557" s="541" t="b">
        <f t="shared" si="370"/>
        <v>0</v>
      </c>
      <c r="AA557" s="527"/>
      <c r="AB557" s="528"/>
      <c r="AC557" s="528"/>
      <c r="AD557" s="524"/>
      <c r="AE557" s="524"/>
      <c r="AF557" s="524"/>
      <c r="AG557" s="524"/>
      <c r="AH557" s="527"/>
      <c r="AI557" s="544"/>
      <c r="AJ557" s="516"/>
      <c r="AK557" s="516"/>
      <c r="AL557" s="516"/>
      <c r="AM557" s="294"/>
      <c r="AO557" t="b">
        <f t="shared" si="376"/>
        <v>0</v>
      </c>
      <c r="AP557" s="493"/>
      <c r="AQ557" s="443"/>
      <c r="AR557" s="493"/>
      <c r="AS557" s="443">
        <f>__xlfn.XLOOKUP(K557,[1]Izvršenje_proračuna_po_pozicija!$C$25:$C$149,[1]Izvršenje_proračuna_po_pozicija!$E$25:$E$149,0)</f>
        <v>0</v>
      </c>
      <c r="AT557" s="617"/>
      <c r="AU557" s="478"/>
      <c r="AV557" s="638"/>
      <c r="AW557" s="638"/>
      <c r="AX557" s="655" t="str">
        <f t="shared" si="385"/>
        <v/>
      </c>
      <c r="AY557" s="655" t="str">
        <f t="shared" si="386"/>
        <v/>
      </c>
      <c r="AZ557" s="655" t="str">
        <f t="shared" si="387"/>
        <v/>
      </c>
      <c r="BA557" s="655" t="str">
        <f t="shared" si="388"/>
        <v/>
      </c>
      <c r="BB557" s="655" t="str">
        <f t="shared" si="389"/>
        <v/>
      </c>
      <c r="BC557" s="655" t="str">
        <f t="shared" si="389"/>
        <v/>
      </c>
    </row>
    <row r="558" spans="1:55" ht="12" customHeight="1">
      <c r="A558" s="36"/>
      <c r="B558" s="36"/>
      <c r="C558" s="36"/>
      <c r="D558" s="36"/>
      <c r="E558" s="36"/>
      <c r="F558" s="36"/>
      <c r="G558" s="36"/>
      <c r="H558" s="204" t="s">
        <v>268</v>
      </c>
      <c r="I558" s="118">
        <v>451</v>
      </c>
      <c r="J558" s="71">
        <v>3237</v>
      </c>
      <c r="K558" s="40" t="s">
        <v>269</v>
      </c>
      <c r="L558" s="309">
        <v>22000</v>
      </c>
      <c r="M558" s="309">
        <f>22000/7.5345</f>
        <v>2919.9017851217732</v>
      </c>
      <c r="N558" s="339">
        <v>87375</v>
      </c>
      <c r="O558" s="346">
        <f>N558/7.5345</f>
        <v>11596.65538522795</v>
      </c>
      <c r="P558" s="294">
        <v>10000</v>
      </c>
      <c r="Q558" s="269">
        <v>5000</v>
      </c>
      <c r="R558" s="443">
        <v>2638</v>
      </c>
      <c r="S558" s="294">
        <f>__xlfn.XLOOKUP(H558,[2]Izvršenje_proračuna_po_pozicija!$B$2:$B$153,[2]Izvršenje_proračuna_po_pozicija!$E$2:$E$153,0)</f>
        <v>0</v>
      </c>
      <c r="T558" s="294"/>
      <c r="U558" s="294"/>
      <c r="V558" s="478">
        <v>5000</v>
      </c>
      <c r="W558" s="478">
        <v>1000</v>
      </c>
      <c r="X558" s="544">
        <v>5000</v>
      </c>
      <c r="Y558" s="544"/>
      <c r="Z558" s="541" t="b">
        <f t="shared" si="370"/>
        <v>0</v>
      </c>
      <c r="AA558" s="527"/>
      <c r="AB558" s="528">
        <v>10000</v>
      </c>
      <c r="AC558" s="528">
        <v>10000</v>
      </c>
      <c r="AD558" s="524">
        <f>O558/M558*100</f>
        <v>397.15909090909088</v>
      </c>
      <c r="AE558" s="524">
        <f>P558/O558*100</f>
        <v>86.231759656652372</v>
      </c>
      <c r="AF558" s="524">
        <f>Q558/P558*100</f>
        <v>50</v>
      </c>
      <c r="AG558" s="524">
        <f>AB558/Q558*100</f>
        <v>200</v>
      </c>
      <c r="AH558" s="527"/>
      <c r="AI558" s="544">
        <v>5000</v>
      </c>
      <c r="AJ558" s="516">
        <f>W558/R558*100</f>
        <v>37.907505686125852</v>
      </c>
      <c r="AK558" s="516">
        <f>AT558/W558*100</f>
        <v>500</v>
      </c>
      <c r="AL558" s="516">
        <f>X558/AT558*100</f>
        <v>100</v>
      </c>
      <c r="AM558" s="294"/>
      <c r="AO558" t="b">
        <f t="shared" si="376"/>
        <v>0</v>
      </c>
      <c r="AP558" s="493">
        <v>1375</v>
      </c>
      <c r="AQ558" s="443">
        <v>1375</v>
      </c>
      <c r="AR558" s="493">
        <v>1375</v>
      </c>
      <c r="AS558" s="443">
        <f>__xlfn.XLOOKUP(K558,[1]Izvršenje_proračuna_po_pozicija!$C$25:$C$149,[1]Izvršenje_proračuna_po_pozicija!$E$25:$E$149,0)</f>
        <v>0</v>
      </c>
      <c r="AT558" s="617">
        <v>5000</v>
      </c>
      <c r="AU558" s="478"/>
      <c r="AV558" s="638">
        <v>5000</v>
      </c>
      <c r="AW558" s="638">
        <v>5000</v>
      </c>
      <c r="AX558" s="655">
        <f t="shared" si="385"/>
        <v>189.53752843062927</v>
      </c>
      <c r="AY558" s="655">
        <f t="shared" si="386"/>
        <v>363.63636363636363</v>
      </c>
      <c r="AZ558" s="655" t="str">
        <f t="shared" si="387"/>
        <v/>
      </c>
      <c r="BA558" s="655" t="str">
        <f t="shared" si="388"/>
        <v/>
      </c>
      <c r="BB558" s="655" t="str">
        <f t="shared" si="389"/>
        <v/>
      </c>
      <c r="BC558" s="655">
        <f t="shared" si="389"/>
        <v>100</v>
      </c>
    </row>
    <row r="559" spans="1:55" ht="12" customHeight="1">
      <c r="A559" s="25"/>
      <c r="B559" s="25"/>
      <c r="C559" s="25"/>
      <c r="D559" s="25"/>
      <c r="E559" s="25"/>
      <c r="F559" s="25"/>
      <c r="G559" s="25"/>
      <c r="H559" s="389"/>
      <c r="I559" s="30"/>
      <c r="J559" s="29"/>
      <c r="K559" s="29"/>
      <c r="L559" s="313"/>
      <c r="M559" s="313"/>
      <c r="N559" s="335"/>
      <c r="O559" s="335"/>
      <c r="P559" s="290"/>
      <c r="Q559" s="290"/>
      <c r="R559" s="439"/>
      <c r="S559" s="294">
        <f>__xlfn.XLOOKUP(H559,[2]Izvršenje_proračuna_po_pozicija!$B$2:$B$153,[2]Izvršenje_proračuna_po_pozicija!$E$2:$E$153,0)</f>
        <v>0</v>
      </c>
      <c r="T559" s="294"/>
      <c r="U559" s="294"/>
      <c r="V559" s="474"/>
      <c r="W559" s="474"/>
      <c r="X559" s="539"/>
      <c r="Y559" s="539"/>
      <c r="Z559" s="541" t="b">
        <f t="shared" si="370"/>
        <v>0</v>
      </c>
      <c r="AA559" s="514"/>
      <c r="AB559" s="515"/>
      <c r="AC559" s="515"/>
      <c r="AD559" s="524"/>
      <c r="AE559" s="524"/>
      <c r="AF559" s="524"/>
      <c r="AG559" s="524"/>
      <c r="AH559" s="514"/>
      <c r="AI559" s="539"/>
      <c r="AJ559" s="516"/>
      <c r="AK559" s="516"/>
      <c r="AL559" s="516"/>
      <c r="AM559" s="290"/>
      <c r="AO559" t="b">
        <f t="shared" si="376"/>
        <v>0</v>
      </c>
      <c r="AQ559" s="439"/>
      <c r="AS559" s="439">
        <f>__xlfn.XLOOKUP(K559,[1]Izvršenje_proračuna_po_pozicija!$C$25:$C$149,[1]Izvršenje_proračuna_po_pozicija!$E$25:$E$149,0)</f>
        <v>0</v>
      </c>
      <c r="AT559" s="616"/>
      <c r="AU559" s="474"/>
      <c r="AV559" s="632"/>
      <c r="AW559" s="632"/>
      <c r="AX559" s="655" t="str">
        <f t="shared" si="385"/>
        <v/>
      </c>
      <c r="AY559" s="655" t="str">
        <f t="shared" si="386"/>
        <v/>
      </c>
      <c r="AZ559" s="655" t="str">
        <f t="shared" si="387"/>
        <v/>
      </c>
      <c r="BA559" s="655" t="str">
        <f t="shared" si="388"/>
        <v/>
      </c>
      <c r="BB559" s="655" t="str">
        <f t="shared" si="389"/>
        <v/>
      </c>
      <c r="BC559" s="655" t="str">
        <f t="shared" si="389"/>
        <v/>
      </c>
    </row>
    <row r="560" spans="1:55" ht="12" customHeight="1">
      <c r="A560" s="212" t="s">
        <v>475</v>
      </c>
      <c r="B560" s="130"/>
      <c r="C560" s="130"/>
      <c r="D560" s="130"/>
      <c r="E560" s="130"/>
      <c r="F560" s="130"/>
      <c r="G560" s="130"/>
      <c r="H560" s="383"/>
      <c r="I560" s="150" t="s">
        <v>270</v>
      </c>
      <c r="J560" s="151"/>
      <c r="K560" s="45"/>
      <c r="L560" s="315">
        <f t="shared" ref="L560:S560" si="410">L564</f>
        <v>291120</v>
      </c>
      <c r="M560" s="315">
        <f t="shared" si="410"/>
        <v>38638.263985665937</v>
      </c>
      <c r="N560" s="337">
        <f t="shared" si="410"/>
        <v>97550</v>
      </c>
      <c r="O560" s="337">
        <f t="shared" si="410"/>
        <v>12947.10996084677</v>
      </c>
      <c r="P560" s="292">
        <f t="shared" si="410"/>
        <v>23000</v>
      </c>
      <c r="Q560" s="292">
        <f t="shared" si="410"/>
        <v>16000</v>
      </c>
      <c r="R560" s="441">
        <f t="shared" si="410"/>
        <v>15656</v>
      </c>
      <c r="S560" s="292">
        <f t="shared" si="410"/>
        <v>38787</v>
      </c>
      <c r="T560" s="292"/>
      <c r="U560" s="292"/>
      <c r="V560" s="469">
        <f>V564</f>
        <v>18000</v>
      </c>
      <c r="W560" s="469">
        <f>W564</f>
        <v>40000</v>
      </c>
      <c r="X560" s="522">
        <f>X564</f>
        <v>60000</v>
      </c>
      <c r="Y560" s="522">
        <f>Y564</f>
        <v>0</v>
      </c>
      <c r="Z560" s="541" t="b">
        <f t="shared" si="370"/>
        <v>1</v>
      </c>
      <c r="AA560" s="522"/>
      <c r="AB560" s="523">
        <f>AB564</f>
        <v>23000</v>
      </c>
      <c r="AC560" s="523">
        <f>AC564</f>
        <v>23000</v>
      </c>
      <c r="AD560" s="524">
        <f>O560/M560*100</f>
        <v>33.508518823852704</v>
      </c>
      <c r="AE560" s="524">
        <f>P560/O560*100</f>
        <v>177.6458226550487</v>
      </c>
      <c r="AF560" s="524">
        <f>Q560/P560*100</f>
        <v>69.565217391304344</v>
      </c>
      <c r="AG560" s="524">
        <f>AB560/Q560*100</f>
        <v>143.75</v>
      </c>
      <c r="AH560" s="522"/>
      <c r="AI560" s="522">
        <v>60000</v>
      </c>
      <c r="AJ560" s="516">
        <f>W560/R560*100</f>
        <v>255.49310168625445</v>
      </c>
      <c r="AK560" s="516">
        <f>AT560/W560*100</f>
        <v>100</v>
      </c>
      <c r="AL560" s="516">
        <f>X560/AT560*100</f>
        <v>150</v>
      </c>
      <c r="AM560" s="292"/>
      <c r="AO560" t="b">
        <f t="shared" si="376"/>
        <v>1</v>
      </c>
      <c r="AP560" s="440">
        <f t="shared" ref="AP560:AU560" si="411">AP564</f>
        <v>38787</v>
      </c>
      <c r="AQ560" s="441">
        <v>38787</v>
      </c>
      <c r="AR560" s="440">
        <f>AR564</f>
        <v>38787</v>
      </c>
      <c r="AS560" s="441">
        <f t="shared" si="411"/>
        <v>5997.88</v>
      </c>
      <c r="AT560" s="612">
        <f t="shared" si="411"/>
        <v>40000</v>
      </c>
      <c r="AU560" s="469">
        <f t="shared" si="411"/>
        <v>25000</v>
      </c>
      <c r="AV560" s="636">
        <v>60000</v>
      </c>
      <c r="AW560" s="636">
        <v>60000</v>
      </c>
      <c r="AX560" s="655">
        <f t="shared" si="385"/>
        <v>255.49310168625445</v>
      </c>
      <c r="AY560" s="655">
        <f t="shared" si="386"/>
        <v>103.1273364787171</v>
      </c>
      <c r="AZ560" s="655">
        <f t="shared" si="387"/>
        <v>62.5</v>
      </c>
      <c r="BA560" s="655">
        <f t="shared" si="388"/>
        <v>64.454585299198186</v>
      </c>
      <c r="BB560" s="655">
        <f t="shared" si="389"/>
        <v>240</v>
      </c>
      <c r="BC560" s="655">
        <f t="shared" si="389"/>
        <v>100</v>
      </c>
    </row>
    <row r="561" spans="1:55" ht="12" customHeight="1">
      <c r="A561" s="25"/>
      <c r="B561" s="25"/>
      <c r="C561" s="25"/>
      <c r="D561" s="25"/>
      <c r="E561" s="25"/>
      <c r="F561" s="25"/>
      <c r="G561" s="25"/>
      <c r="H561" s="389"/>
      <c r="I561" s="114"/>
      <c r="J561" s="94"/>
      <c r="K561" s="26"/>
      <c r="L561" s="317"/>
      <c r="M561" s="317"/>
      <c r="N561" s="341"/>
      <c r="O561" s="341"/>
      <c r="P561" s="296"/>
      <c r="Q561" s="296"/>
      <c r="R561" s="445"/>
      <c r="S561" s="294">
        <f>__xlfn.XLOOKUP(H561,[2]Izvršenje_proračuna_po_pozicija!$B$2:$B$153,[2]Izvršenje_proračuna_po_pozicija!$E$2:$E$153,0)</f>
        <v>0</v>
      </c>
      <c r="T561" s="294"/>
      <c r="U561" s="294"/>
      <c r="V561" s="481"/>
      <c r="W561" s="481"/>
      <c r="X561" s="549"/>
      <c r="Y561" s="549"/>
      <c r="Z561" s="541" t="b">
        <f t="shared" si="370"/>
        <v>0</v>
      </c>
      <c r="AA561" s="531"/>
      <c r="AB561" s="532"/>
      <c r="AC561" s="532"/>
      <c r="AD561" s="524"/>
      <c r="AE561" s="524"/>
      <c r="AF561" s="524"/>
      <c r="AG561" s="524"/>
      <c r="AH561" s="531"/>
      <c r="AI561" s="549"/>
      <c r="AJ561" s="516"/>
      <c r="AK561" s="516"/>
      <c r="AL561" s="516"/>
      <c r="AM561" s="296"/>
      <c r="AO561" t="b">
        <f t="shared" si="376"/>
        <v>0</v>
      </c>
      <c r="AQ561" s="445"/>
      <c r="AS561" s="445"/>
      <c r="AT561" s="616"/>
      <c r="AU561" s="481"/>
      <c r="AV561" s="640"/>
      <c r="AW561" s="640"/>
      <c r="AX561" s="655" t="str">
        <f t="shared" si="385"/>
        <v/>
      </c>
      <c r="AY561" s="655" t="str">
        <f t="shared" si="386"/>
        <v/>
      </c>
      <c r="AZ561" s="655" t="str">
        <f t="shared" si="387"/>
        <v/>
      </c>
      <c r="BA561" s="655" t="str">
        <f t="shared" si="388"/>
        <v/>
      </c>
      <c r="BB561" s="655" t="str">
        <f t="shared" si="389"/>
        <v/>
      </c>
      <c r="BC561" s="655" t="str">
        <f t="shared" si="389"/>
        <v/>
      </c>
    </row>
    <row r="562" spans="1:55" ht="12" customHeight="1">
      <c r="A562" s="52"/>
      <c r="B562" s="52"/>
      <c r="C562" s="52"/>
      <c r="D562" s="52"/>
      <c r="E562" s="52"/>
      <c r="F562" s="52"/>
      <c r="G562" s="52"/>
      <c r="H562" s="384"/>
      <c r="I562" s="120"/>
      <c r="J562" s="94">
        <v>3</v>
      </c>
      <c r="K562" s="21" t="s">
        <v>94</v>
      </c>
      <c r="L562" s="315">
        <f t="shared" ref="L562:S563" si="412">L563</f>
        <v>291120</v>
      </c>
      <c r="M562" s="315">
        <f t="shared" si="412"/>
        <v>38638.263985665937</v>
      </c>
      <c r="N562" s="337">
        <f t="shared" si="412"/>
        <v>97550</v>
      </c>
      <c r="O562" s="337">
        <f t="shared" si="412"/>
        <v>12947.10996084677</v>
      </c>
      <c r="P562" s="292">
        <f t="shared" si="412"/>
        <v>23000</v>
      </c>
      <c r="Q562" s="292">
        <f t="shared" si="412"/>
        <v>16000</v>
      </c>
      <c r="R562" s="441">
        <f t="shared" si="412"/>
        <v>15656</v>
      </c>
      <c r="S562" s="292">
        <f t="shared" si="412"/>
        <v>38787</v>
      </c>
      <c r="T562" s="292"/>
      <c r="U562" s="292"/>
      <c r="V562" s="469">
        <f t="shared" ref="V562:Y563" si="413">V563</f>
        <v>18000</v>
      </c>
      <c r="W562" s="469">
        <f t="shared" si="413"/>
        <v>40000</v>
      </c>
      <c r="X562" s="522">
        <f t="shared" si="413"/>
        <v>60000</v>
      </c>
      <c r="Y562" s="522">
        <f t="shared" si="413"/>
        <v>0</v>
      </c>
      <c r="Z562" s="541" t="b">
        <f t="shared" si="370"/>
        <v>1</v>
      </c>
      <c r="AA562" s="522"/>
      <c r="AB562" s="523">
        <f>AB563</f>
        <v>23000</v>
      </c>
      <c r="AC562" s="523">
        <f>AC563</f>
        <v>23000</v>
      </c>
      <c r="AD562" s="524">
        <f>O562/M562*100</f>
        <v>33.508518823852704</v>
      </c>
      <c r="AE562" s="524">
        <f t="shared" ref="AE562:AF565" si="414">P562/O562*100</f>
        <v>177.6458226550487</v>
      </c>
      <c r="AF562" s="524">
        <f t="shared" si="414"/>
        <v>69.565217391304344</v>
      </c>
      <c r="AG562" s="524">
        <f>AB562/Q562*100</f>
        <v>143.75</v>
      </c>
      <c r="AH562" s="522"/>
      <c r="AI562" s="522">
        <v>60000</v>
      </c>
      <c r="AJ562" s="516">
        <f>W562/R562*100</f>
        <v>255.49310168625445</v>
      </c>
      <c r="AK562" s="516">
        <f>AT562/W562*100</f>
        <v>100</v>
      </c>
      <c r="AL562" s="516">
        <f>X562/AT562*100</f>
        <v>150</v>
      </c>
      <c r="AM562" s="292"/>
      <c r="AO562" t="b">
        <f t="shared" si="376"/>
        <v>1</v>
      </c>
      <c r="AP562" s="440">
        <f t="shared" ref="AP562:AU563" si="415">AP563</f>
        <v>38787</v>
      </c>
      <c r="AQ562" s="441">
        <v>38787</v>
      </c>
      <c r="AR562" s="440">
        <f>AR563</f>
        <v>38787</v>
      </c>
      <c r="AS562" s="441">
        <f t="shared" si="415"/>
        <v>5997.88</v>
      </c>
      <c r="AT562" s="612">
        <f>AT563</f>
        <v>40000</v>
      </c>
      <c r="AU562" s="469">
        <f t="shared" si="415"/>
        <v>25000</v>
      </c>
      <c r="AV562" s="636">
        <v>60000</v>
      </c>
      <c r="AW562" s="636">
        <v>60000</v>
      </c>
      <c r="AX562" s="655">
        <f t="shared" si="385"/>
        <v>255.49310168625445</v>
      </c>
      <c r="AY562" s="655">
        <f t="shared" si="386"/>
        <v>103.1273364787171</v>
      </c>
      <c r="AZ562" s="655">
        <f t="shared" si="387"/>
        <v>62.5</v>
      </c>
      <c r="BA562" s="655">
        <f t="shared" si="388"/>
        <v>64.454585299198186</v>
      </c>
      <c r="BB562" s="655">
        <f t="shared" si="389"/>
        <v>240</v>
      </c>
      <c r="BC562" s="655">
        <f t="shared" si="389"/>
        <v>100</v>
      </c>
    </row>
    <row r="563" spans="1:55" ht="12" customHeight="1">
      <c r="A563" s="355"/>
      <c r="B563" s="355"/>
      <c r="C563" s="355"/>
      <c r="D563" s="355"/>
      <c r="E563" s="355"/>
      <c r="F563" s="355"/>
      <c r="G563" s="355"/>
      <c r="H563" s="379"/>
      <c r="I563" s="360"/>
      <c r="J563" s="356">
        <v>32</v>
      </c>
      <c r="K563" s="358" t="s">
        <v>103</v>
      </c>
      <c r="L563" s="315">
        <f t="shared" si="412"/>
        <v>291120</v>
      </c>
      <c r="M563" s="315">
        <f t="shared" si="412"/>
        <v>38638.263985665937</v>
      </c>
      <c r="N563" s="337">
        <f t="shared" si="412"/>
        <v>97550</v>
      </c>
      <c r="O563" s="337">
        <f t="shared" si="412"/>
        <v>12947.10996084677</v>
      </c>
      <c r="P563" s="292">
        <f t="shared" si="412"/>
        <v>23000</v>
      </c>
      <c r="Q563" s="292">
        <f t="shared" si="412"/>
        <v>16000</v>
      </c>
      <c r="R563" s="441">
        <f t="shared" si="412"/>
        <v>15656</v>
      </c>
      <c r="S563" s="292">
        <f t="shared" si="412"/>
        <v>38787</v>
      </c>
      <c r="T563" s="292"/>
      <c r="U563" s="292"/>
      <c r="V563" s="469">
        <f t="shared" si="413"/>
        <v>18000</v>
      </c>
      <c r="W563" s="469">
        <f t="shared" si="413"/>
        <v>40000</v>
      </c>
      <c r="X563" s="522">
        <f t="shared" si="413"/>
        <v>60000</v>
      </c>
      <c r="Y563" s="522">
        <f t="shared" si="413"/>
        <v>0</v>
      </c>
      <c r="Z563" s="541" t="b">
        <f t="shared" si="370"/>
        <v>1</v>
      </c>
      <c r="AA563" s="522"/>
      <c r="AB563" s="523">
        <f>AB564</f>
        <v>23000</v>
      </c>
      <c r="AC563" s="523">
        <f>AC564</f>
        <v>23000</v>
      </c>
      <c r="AD563" s="524">
        <f>O563/M563*100</f>
        <v>33.508518823852704</v>
      </c>
      <c r="AE563" s="524">
        <f t="shared" si="414"/>
        <v>177.6458226550487</v>
      </c>
      <c r="AF563" s="524">
        <f t="shared" si="414"/>
        <v>69.565217391304344</v>
      </c>
      <c r="AG563" s="524">
        <f>AB563/Q563*100</f>
        <v>143.75</v>
      </c>
      <c r="AH563" s="522"/>
      <c r="AI563" s="522">
        <v>60000</v>
      </c>
      <c r="AJ563" s="516">
        <f>W563/R563*100</f>
        <v>255.49310168625445</v>
      </c>
      <c r="AK563" s="516">
        <f>AT563/W563*100</f>
        <v>100</v>
      </c>
      <c r="AL563" s="516">
        <f>X563/AT563*100</f>
        <v>150</v>
      </c>
      <c r="AM563" s="292"/>
      <c r="AO563" t="b">
        <f t="shared" si="376"/>
        <v>1</v>
      </c>
      <c r="AP563" s="440">
        <f t="shared" si="415"/>
        <v>38787</v>
      </c>
      <c r="AQ563" s="441">
        <v>38787</v>
      </c>
      <c r="AR563" s="440">
        <f>AR564</f>
        <v>38787</v>
      </c>
      <c r="AS563" s="441">
        <f t="shared" si="415"/>
        <v>5997.88</v>
      </c>
      <c r="AT563" s="612">
        <f>AT564</f>
        <v>40000</v>
      </c>
      <c r="AU563" s="469">
        <f t="shared" si="415"/>
        <v>25000</v>
      </c>
      <c r="AV563" s="636">
        <v>60000</v>
      </c>
      <c r="AW563" s="636">
        <v>60000</v>
      </c>
      <c r="AX563" s="655">
        <f t="shared" si="385"/>
        <v>255.49310168625445</v>
      </c>
      <c r="AY563" s="655">
        <f t="shared" si="386"/>
        <v>103.1273364787171</v>
      </c>
      <c r="AZ563" s="655">
        <f t="shared" si="387"/>
        <v>62.5</v>
      </c>
      <c r="BA563" s="655">
        <f t="shared" si="388"/>
        <v>64.454585299198186</v>
      </c>
      <c r="BB563" s="655">
        <f t="shared" si="389"/>
        <v>240</v>
      </c>
      <c r="BC563" s="655">
        <f t="shared" si="389"/>
        <v>100</v>
      </c>
    </row>
    <row r="564" spans="1:55" ht="12" customHeight="1">
      <c r="A564" s="56"/>
      <c r="B564" s="56"/>
      <c r="C564" s="56"/>
      <c r="D564" s="56"/>
      <c r="E564" s="56"/>
      <c r="F564" s="56"/>
      <c r="G564" s="56"/>
      <c r="H564" s="377"/>
      <c r="I564" s="119"/>
      <c r="J564" s="116">
        <v>323</v>
      </c>
      <c r="K564" s="60" t="s">
        <v>230</v>
      </c>
      <c r="L564" s="315">
        <f t="shared" ref="L564:S564" si="416">L565+L566</f>
        <v>291120</v>
      </c>
      <c r="M564" s="315">
        <f t="shared" si="416"/>
        <v>38638.263985665937</v>
      </c>
      <c r="N564" s="337">
        <f t="shared" si="416"/>
        <v>97550</v>
      </c>
      <c r="O564" s="337">
        <f t="shared" si="416"/>
        <v>12947.10996084677</v>
      </c>
      <c r="P564" s="292">
        <f t="shared" si="416"/>
        <v>23000</v>
      </c>
      <c r="Q564" s="292">
        <f t="shared" si="416"/>
        <v>16000</v>
      </c>
      <c r="R564" s="441">
        <f t="shared" si="416"/>
        <v>15656</v>
      </c>
      <c r="S564" s="292">
        <f t="shared" si="416"/>
        <v>38787</v>
      </c>
      <c r="T564" s="292"/>
      <c r="U564" s="292"/>
      <c r="V564" s="469">
        <f>V565+V566</f>
        <v>18000</v>
      </c>
      <c r="W564" s="469">
        <f>W565+W566</f>
        <v>40000</v>
      </c>
      <c r="X564" s="522">
        <f>X565+X566</f>
        <v>60000</v>
      </c>
      <c r="Y564" s="522">
        <f>Y565+Y566</f>
        <v>0</v>
      </c>
      <c r="Z564" s="541" t="b">
        <f t="shared" si="370"/>
        <v>1</v>
      </c>
      <c r="AA564" s="522"/>
      <c r="AB564" s="523">
        <f>AB565+AB566</f>
        <v>23000</v>
      </c>
      <c r="AC564" s="523">
        <f>AC565+AC566</f>
        <v>23000</v>
      </c>
      <c r="AD564" s="524">
        <f>O564/M564*100</f>
        <v>33.508518823852704</v>
      </c>
      <c r="AE564" s="524">
        <f t="shared" si="414"/>
        <v>177.6458226550487</v>
      </c>
      <c r="AF564" s="524">
        <f t="shared" si="414"/>
        <v>69.565217391304344</v>
      </c>
      <c r="AG564" s="524">
        <f>AB564/Q564*100</f>
        <v>143.75</v>
      </c>
      <c r="AH564" s="522"/>
      <c r="AI564" s="522">
        <v>60000</v>
      </c>
      <c r="AJ564" s="516">
        <f>W564/R564*100</f>
        <v>255.49310168625445</v>
      </c>
      <c r="AK564" s="516">
        <f>AT564/W564*100</f>
        <v>100</v>
      </c>
      <c r="AL564" s="516">
        <f>X564/AT564*100</f>
        <v>150</v>
      </c>
      <c r="AM564" s="292"/>
      <c r="AO564" t="b">
        <f t="shared" si="376"/>
        <v>1</v>
      </c>
      <c r="AP564" s="440">
        <f t="shared" ref="AP564:AU564" si="417">AP565+AP566</f>
        <v>38787</v>
      </c>
      <c r="AQ564" s="441">
        <v>38787</v>
      </c>
      <c r="AR564" s="440">
        <f>AR565+AR566</f>
        <v>38787</v>
      </c>
      <c r="AS564" s="441">
        <f t="shared" si="417"/>
        <v>5997.88</v>
      </c>
      <c r="AT564" s="612">
        <f t="shared" si="417"/>
        <v>40000</v>
      </c>
      <c r="AU564" s="469">
        <f t="shared" si="417"/>
        <v>25000</v>
      </c>
      <c r="AV564" s="636">
        <v>60000</v>
      </c>
      <c r="AW564" s="636">
        <v>60000</v>
      </c>
      <c r="AX564" s="655">
        <f t="shared" si="385"/>
        <v>255.49310168625445</v>
      </c>
      <c r="AY564" s="655">
        <f t="shared" si="386"/>
        <v>103.1273364787171</v>
      </c>
      <c r="AZ564" s="655">
        <f t="shared" si="387"/>
        <v>62.5</v>
      </c>
      <c r="BA564" s="655">
        <f t="shared" si="388"/>
        <v>64.454585299198186</v>
      </c>
      <c r="BB564" s="655">
        <f t="shared" si="389"/>
        <v>240</v>
      </c>
      <c r="BC564" s="655">
        <f t="shared" si="389"/>
        <v>100</v>
      </c>
    </row>
    <row r="565" spans="1:55" ht="12" customHeight="1">
      <c r="A565" s="36"/>
      <c r="B565" s="36"/>
      <c r="C565" s="36"/>
      <c r="D565" s="36"/>
      <c r="E565" s="36"/>
      <c r="F565" s="36"/>
      <c r="G565" s="36"/>
      <c r="H565" s="204" t="s">
        <v>271</v>
      </c>
      <c r="I565" s="118">
        <v>451</v>
      </c>
      <c r="J565" s="71">
        <v>3232</v>
      </c>
      <c r="K565" s="40" t="s">
        <v>513</v>
      </c>
      <c r="L565" s="309">
        <v>291120</v>
      </c>
      <c r="M565" s="309">
        <f>291120/7.5345</f>
        <v>38638.263985665937</v>
      </c>
      <c r="N565" s="339">
        <v>97550</v>
      </c>
      <c r="O565" s="339">
        <f>N565/7.5345</f>
        <v>12947.10996084677</v>
      </c>
      <c r="P565" s="294">
        <v>16000</v>
      </c>
      <c r="Q565" s="294">
        <v>16000</v>
      </c>
      <c r="R565" s="443">
        <v>15656</v>
      </c>
      <c r="S565" s="294">
        <f>__xlfn.XLOOKUP(H565,[2]Izvršenje_proračuna_po_pozicija!$B$2:$B$153,[2]Izvršenje_proračuna_po_pozicija!$E$2:$E$153,0)</f>
        <v>38787</v>
      </c>
      <c r="T565" s="294"/>
      <c r="U565" s="294"/>
      <c r="V565" s="478">
        <v>18000</v>
      </c>
      <c r="W565" s="478">
        <v>40000</v>
      </c>
      <c r="X565" s="544">
        <v>60000</v>
      </c>
      <c r="Y565" s="544"/>
      <c r="Z565" s="541" t="b">
        <f t="shared" si="370"/>
        <v>0</v>
      </c>
      <c r="AA565" s="527"/>
      <c r="AB565" s="528">
        <v>16000</v>
      </c>
      <c r="AC565" s="528">
        <v>16000</v>
      </c>
      <c r="AD565" s="524">
        <f>O565/M565*100</f>
        <v>33.508518823852704</v>
      </c>
      <c r="AE565" s="524">
        <f t="shared" si="414"/>
        <v>123.57970271655563</v>
      </c>
      <c r="AF565" s="524">
        <f t="shared" si="414"/>
        <v>100</v>
      </c>
      <c r="AG565" s="524">
        <f>AB565/Q565*100</f>
        <v>100</v>
      </c>
      <c r="AH565" s="527"/>
      <c r="AI565" s="544">
        <v>60000</v>
      </c>
      <c r="AJ565" s="516">
        <f>W565/R565*100</f>
        <v>255.49310168625445</v>
      </c>
      <c r="AK565" s="516">
        <f>AT565/W565*100</f>
        <v>100</v>
      </c>
      <c r="AL565" s="516">
        <f>X565/AT565*100</f>
        <v>150</v>
      </c>
      <c r="AM565" s="294"/>
      <c r="AO565" t="b">
        <f t="shared" si="376"/>
        <v>0</v>
      </c>
      <c r="AP565" s="493">
        <v>38787</v>
      </c>
      <c r="AQ565" s="443">
        <v>38787</v>
      </c>
      <c r="AR565" s="493">
        <v>38787</v>
      </c>
      <c r="AS565" s="443">
        <v>5997.88</v>
      </c>
      <c r="AT565" s="617">
        <v>40000</v>
      </c>
      <c r="AU565" s="478">
        <v>25000</v>
      </c>
      <c r="AV565" s="638">
        <v>60000</v>
      </c>
      <c r="AW565" s="638">
        <v>60000</v>
      </c>
      <c r="AX565" s="655">
        <f t="shared" si="385"/>
        <v>255.49310168625445</v>
      </c>
      <c r="AY565" s="655">
        <f t="shared" si="386"/>
        <v>103.1273364787171</v>
      </c>
      <c r="AZ565" s="655">
        <f t="shared" si="387"/>
        <v>62.5</v>
      </c>
      <c r="BA565" s="655">
        <f t="shared" si="388"/>
        <v>64.454585299198186</v>
      </c>
      <c r="BB565" s="655">
        <f t="shared" si="389"/>
        <v>240</v>
      </c>
      <c r="BC565" s="655">
        <f t="shared" si="389"/>
        <v>100</v>
      </c>
    </row>
    <row r="566" spans="1:55" ht="12" customHeight="1">
      <c r="A566" s="66"/>
      <c r="B566" s="66"/>
      <c r="C566" s="66"/>
      <c r="D566" s="66"/>
      <c r="E566" s="66"/>
      <c r="F566" s="66"/>
      <c r="G566" s="66"/>
      <c r="H566" s="196" t="s">
        <v>272</v>
      </c>
      <c r="I566" s="132">
        <v>451</v>
      </c>
      <c r="J566" s="71">
        <v>3237</v>
      </c>
      <c r="K566" s="40" t="s">
        <v>273</v>
      </c>
      <c r="L566" s="309">
        <v>0</v>
      </c>
      <c r="M566" s="309">
        <v>0</v>
      </c>
      <c r="N566" s="339">
        <v>0</v>
      </c>
      <c r="O566" s="339">
        <v>0</v>
      </c>
      <c r="P566" s="294">
        <v>7000</v>
      </c>
      <c r="Q566" s="269">
        <v>0</v>
      </c>
      <c r="R566" s="443">
        <v>0</v>
      </c>
      <c r="S566" s="294">
        <f>__xlfn.XLOOKUP(H566,[2]Izvršenje_proračuna_po_pozicija!$B$2:$B$153,[2]Izvršenje_proračuna_po_pozicija!$E$2:$E$153,0)</f>
        <v>0</v>
      </c>
      <c r="T566" s="294"/>
      <c r="U566" s="294"/>
      <c r="V566" s="478">
        <v>0</v>
      </c>
      <c r="W566" s="478"/>
      <c r="X566" s="544"/>
      <c r="Y566" s="544"/>
      <c r="Z566" s="541" t="b">
        <f t="shared" si="370"/>
        <v>0</v>
      </c>
      <c r="AA566" s="527"/>
      <c r="AB566" s="528">
        <v>7000</v>
      </c>
      <c r="AC566" s="528">
        <v>7000</v>
      </c>
      <c r="AD566" s="524"/>
      <c r="AE566" s="524"/>
      <c r="AF566" s="524"/>
      <c r="AG566" s="524"/>
      <c r="AH566" s="527"/>
      <c r="AI566" s="544"/>
      <c r="AJ566" s="516"/>
      <c r="AK566" s="516"/>
      <c r="AL566" s="516"/>
      <c r="AM566" s="294"/>
      <c r="AO566" t="b">
        <f t="shared" si="376"/>
        <v>0</v>
      </c>
      <c r="AQ566" s="443"/>
      <c r="AS566" s="443">
        <f>__xlfn.XLOOKUP(K566,[1]Izvršenje_proračuna_po_pozicija!$C$25:$C$149,[1]Izvršenje_proračuna_po_pozicija!$E$25:$E$149,0)</f>
        <v>0</v>
      </c>
      <c r="AT566" s="617"/>
      <c r="AU566" s="478"/>
      <c r="AV566" s="638"/>
      <c r="AW566" s="638"/>
      <c r="AX566" s="655" t="str">
        <f t="shared" si="385"/>
        <v/>
      </c>
      <c r="AY566" s="655" t="str">
        <f t="shared" si="386"/>
        <v/>
      </c>
      <c r="AZ566" s="655" t="str">
        <f t="shared" si="387"/>
        <v/>
      </c>
      <c r="BA566" s="655" t="str">
        <f t="shared" si="388"/>
        <v/>
      </c>
      <c r="BB566" s="655" t="str">
        <f t="shared" si="389"/>
        <v/>
      </c>
      <c r="BC566" s="655" t="str">
        <f t="shared" si="389"/>
        <v/>
      </c>
    </row>
    <row r="567" spans="1:55" ht="12" customHeight="1">
      <c r="A567" s="20"/>
      <c r="B567" s="20"/>
      <c r="C567" s="20"/>
      <c r="D567" s="20"/>
      <c r="E567" s="20"/>
      <c r="F567" s="20"/>
      <c r="G567" s="20"/>
      <c r="H567" s="375"/>
      <c r="I567" s="22"/>
      <c r="J567" s="21"/>
      <c r="K567" s="19"/>
      <c r="L567" s="313"/>
      <c r="M567" s="313"/>
      <c r="N567" s="335"/>
      <c r="O567" s="335"/>
      <c r="P567" s="290"/>
      <c r="Q567" s="290"/>
      <c r="R567" s="439"/>
      <c r="S567" s="294">
        <f>__xlfn.XLOOKUP(H567,[2]Izvršenje_proračuna_po_pozicija!$B$2:$B$153,[2]Izvršenje_proračuna_po_pozicija!$E$2:$E$153,0)</f>
        <v>0</v>
      </c>
      <c r="T567" s="294"/>
      <c r="U567" s="294"/>
      <c r="V567" s="474"/>
      <c r="W567" s="474"/>
      <c r="X567" s="539"/>
      <c r="Y567" s="539"/>
      <c r="Z567" s="541" t="b">
        <f t="shared" si="370"/>
        <v>0</v>
      </c>
      <c r="AA567" s="514"/>
      <c r="AB567" s="515"/>
      <c r="AC567" s="515"/>
      <c r="AD567" s="524"/>
      <c r="AE567" s="524"/>
      <c r="AF567" s="524"/>
      <c r="AG567" s="524"/>
      <c r="AH567" s="514"/>
      <c r="AI567" s="539"/>
      <c r="AJ567" s="516"/>
      <c r="AK567" s="516"/>
      <c r="AL567" s="516"/>
      <c r="AM567" s="290"/>
      <c r="AO567" t="b">
        <f t="shared" si="376"/>
        <v>0</v>
      </c>
      <c r="AQ567" s="439"/>
      <c r="AS567" s="439">
        <f>__xlfn.XLOOKUP(K567,[1]Izvršenje_proračuna_po_pozicija!$C$25:$C$149,[1]Izvršenje_proračuna_po_pozicija!$E$25:$E$149,0)</f>
        <v>0</v>
      </c>
      <c r="AT567" s="616"/>
      <c r="AU567" s="474"/>
      <c r="AV567" s="632"/>
      <c r="AW567" s="632"/>
      <c r="AX567" s="655" t="str">
        <f t="shared" si="385"/>
        <v/>
      </c>
      <c r="AY567" s="655" t="str">
        <f t="shared" si="386"/>
        <v/>
      </c>
      <c r="AZ567" s="655" t="str">
        <f t="shared" si="387"/>
        <v/>
      </c>
      <c r="BA567" s="655" t="str">
        <f t="shared" si="388"/>
        <v/>
      </c>
      <c r="BB567" s="655" t="str">
        <f t="shared" si="389"/>
        <v/>
      </c>
      <c r="BC567" s="655" t="str">
        <f t="shared" si="389"/>
        <v/>
      </c>
    </row>
    <row r="568" spans="1:55" ht="12" customHeight="1">
      <c r="A568" s="212" t="s">
        <v>476</v>
      </c>
      <c r="B568" s="130"/>
      <c r="C568" s="130"/>
      <c r="D568" s="130"/>
      <c r="E568" s="130"/>
      <c r="F568" s="130"/>
      <c r="G568" s="130"/>
      <c r="H568" s="383"/>
      <c r="I568" s="150" t="s">
        <v>274</v>
      </c>
      <c r="J568" s="151"/>
      <c r="K568" s="45"/>
      <c r="L568" s="315">
        <f t="shared" ref="L568:S568" si="418">L570+L578</f>
        <v>5271635</v>
      </c>
      <c r="M568" s="315">
        <f t="shared" si="418"/>
        <v>699666.20213683718</v>
      </c>
      <c r="N568" s="337">
        <f t="shared" si="418"/>
        <v>4658599</v>
      </c>
      <c r="O568" s="337">
        <f t="shared" si="418"/>
        <v>618302.34255756845</v>
      </c>
      <c r="P568" s="292">
        <f t="shared" si="418"/>
        <v>692000</v>
      </c>
      <c r="Q568" s="292">
        <f t="shared" si="418"/>
        <v>705000</v>
      </c>
      <c r="R568" s="441">
        <f t="shared" si="418"/>
        <v>689952</v>
      </c>
      <c r="S568" s="292">
        <f t="shared" si="418"/>
        <v>608486.61</v>
      </c>
      <c r="T568" s="292"/>
      <c r="U568" s="292"/>
      <c r="V568" s="469">
        <f>V570+V578</f>
        <v>780000</v>
      </c>
      <c r="W568" s="469">
        <f>W570+W578</f>
        <v>815000</v>
      </c>
      <c r="X568" s="522">
        <f>X570+X578</f>
        <v>1475000</v>
      </c>
      <c r="Y568" s="522">
        <f>Y570+Y578</f>
        <v>0</v>
      </c>
      <c r="Z568" s="541" t="b">
        <f t="shared" si="370"/>
        <v>1</v>
      </c>
      <c r="AA568" s="522"/>
      <c r="AB568" s="523">
        <f>AB570+AB578</f>
        <v>635000</v>
      </c>
      <c r="AC568" s="523">
        <f>AC570+AC578</f>
        <v>635000</v>
      </c>
      <c r="AD568" s="524">
        <f>O568/M568*100</f>
        <v>88.371046174479076</v>
      </c>
      <c r="AE568" s="524">
        <f>P568/O568*100</f>
        <v>111.91935601239773</v>
      </c>
      <c r="AF568" s="524">
        <f>Q568/P568*100</f>
        <v>101.878612716763</v>
      </c>
      <c r="AG568" s="524">
        <f>AB568/Q568*100</f>
        <v>90.070921985815602</v>
      </c>
      <c r="AH568" s="522"/>
      <c r="AI568" s="522">
        <v>1475000</v>
      </c>
      <c r="AJ568" s="516">
        <f>W568/R568*100</f>
        <v>118.12415936181068</v>
      </c>
      <c r="AK568" s="516">
        <f>AT568/W568*100</f>
        <v>149.69325153374234</v>
      </c>
      <c r="AL568" s="516">
        <f>X568/AT568*100</f>
        <v>120.90163934426231</v>
      </c>
      <c r="AM568" s="292"/>
      <c r="AO568" t="b">
        <f t="shared" si="376"/>
        <v>1</v>
      </c>
      <c r="AP568" s="440">
        <f t="shared" ref="AP568:AU568" si="419">AP570+AP578</f>
        <v>816130.36</v>
      </c>
      <c r="AQ568" s="441">
        <v>691130.36</v>
      </c>
      <c r="AR568" s="440">
        <f>AR570+AR578</f>
        <v>816130.36</v>
      </c>
      <c r="AS568" s="441">
        <f t="shared" si="419"/>
        <v>460538.61</v>
      </c>
      <c r="AT568" s="612">
        <f t="shared" si="419"/>
        <v>1220000</v>
      </c>
      <c r="AU568" s="469">
        <f t="shared" si="419"/>
        <v>673000</v>
      </c>
      <c r="AV568" s="636">
        <v>1475000</v>
      </c>
      <c r="AW568" s="636">
        <v>1475000</v>
      </c>
      <c r="AX568" s="655">
        <f t="shared" si="385"/>
        <v>176.82389499559389</v>
      </c>
      <c r="AY568" s="655">
        <f t="shared" si="386"/>
        <v>176.5224146715245</v>
      </c>
      <c r="AZ568" s="655">
        <f t="shared" si="387"/>
        <v>55.16393442622951</v>
      </c>
      <c r="BA568" s="655">
        <f t="shared" si="388"/>
        <v>97.376709076996704</v>
      </c>
      <c r="BB568" s="655">
        <f t="shared" si="389"/>
        <v>219.16790490341756</v>
      </c>
      <c r="BC568" s="655">
        <f t="shared" si="389"/>
        <v>100</v>
      </c>
    </row>
    <row r="569" spans="1:55" ht="12" customHeight="1">
      <c r="A569" s="36"/>
      <c r="B569" s="36"/>
      <c r="C569" s="36"/>
      <c r="D569" s="36"/>
      <c r="E569" s="36"/>
      <c r="F569" s="36"/>
      <c r="G569" s="36"/>
      <c r="H569" s="204"/>
      <c r="I569" s="118"/>
      <c r="J569" s="71"/>
      <c r="K569" s="40"/>
      <c r="L569" s="316"/>
      <c r="M569" s="316"/>
      <c r="N569" s="338"/>
      <c r="O569" s="338"/>
      <c r="P569" s="293"/>
      <c r="Q569" s="293"/>
      <c r="R569" s="442"/>
      <c r="S569" s="294">
        <f>__xlfn.XLOOKUP(H569,[2]Izvršenje_proračuna_po_pozicija!$B$2:$B$153,[2]Izvršenje_proračuna_po_pozicija!$E$2:$E$153,0)</f>
        <v>0</v>
      </c>
      <c r="T569" s="294"/>
      <c r="U569" s="294"/>
      <c r="V569" s="475"/>
      <c r="W569" s="475"/>
      <c r="X569" s="540"/>
      <c r="Y569" s="540"/>
      <c r="Z569" s="541" t="b">
        <f t="shared" si="370"/>
        <v>0</v>
      </c>
      <c r="AA569" s="525"/>
      <c r="AB569" s="526"/>
      <c r="AC569" s="526"/>
      <c r="AD569" s="524"/>
      <c r="AE569" s="524"/>
      <c r="AF569" s="524"/>
      <c r="AG569" s="524"/>
      <c r="AH569" s="525"/>
      <c r="AI569" s="540"/>
      <c r="AJ569" s="516"/>
      <c r="AK569" s="516"/>
      <c r="AL569" s="516"/>
      <c r="AM569" s="293"/>
      <c r="AO569" t="b">
        <f t="shared" si="376"/>
        <v>0</v>
      </c>
      <c r="AQ569" s="442"/>
      <c r="AS569" s="442"/>
      <c r="AT569" s="617"/>
      <c r="AU569" s="475"/>
      <c r="AV569" s="637"/>
      <c r="AW569" s="637"/>
      <c r="AX569" s="655" t="str">
        <f t="shared" si="385"/>
        <v/>
      </c>
      <c r="AY569" s="655" t="str">
        <f t="shared" si="386"/>
        <v/>
      </c>
      <c r="AZ569" s="655" t="str">
        <f t="shared" si="387"/>
        <v/>
      </c>
      <c r="BA569" s="655" t="str">
        <f t="shared" si="388"/>
        <v/>
      </c>
      <c r="BB569" s="655" t="str">
        <f t="shared" si="389"/>
        <v/>
      </c>
      <c r="BC569" s="655" t="str">
        <f t="shared" si="389"/>
        <v/>
      </c>
    </row>
    <row r="570" spans="1:55" ht="12" customHeight="1">
      <c r="A570" s="52"/>
      <c r="B570" s="52"/>
      <c r="C570" s="52"/>
      <c r="D570" s="52"/>
      <c r="E570" s="52"/>
      <c r="F570" s="52"/>
      <c r="G570" s="52"/>
      <c r="H570" s="384"/>
      <c r="I570" s="120"/>
      <c r="J570" s="94">
        <v>3</v>
      </c>
      <c r="K570" s="21" t="s">
        <v>94</v>
      </c>
      <c r="L570" s="315">
        <f t="shared" ref="L570:AC571" si="420">L571</f>
        <v>4285000</v>
      </c>
      <c r="M570" s="315">
        <f t="shared" si="420"/>
        <v>568717.23405667255</v>
      </c>
      <c r="N570" s="337">
        <f t="shared" si="420"/>
        <v>4637866</v>
      </c>
      <c r="O570" s="337">
        <f t="shared" si="420"/>
        <v>615550.60057070805</v>
      </c>
      <c r="P570" s="292">
        <f t="shared" si="420"/>
        <v>631000</v>
      </c>
      <c r="Q570" s="292">
        <f t="shared" si="420"/>
        <v>665000</v>
      </c>
      <c r="R570" s="441">
        <f t="shared" si="420"/>
        <v>653971</v>
      </c>
      <c r="S570" s="292">
        <f t="shared" si="420"/>
        <v>552000</v>
      </c>
      <c r="T570" s="292"/>
      <c r="U570" s="292"/>
      <c r="V570" s="469">
        <f t="shared" si="420"/>
        <v>660000</v>
      </c>
      <c r="W570" s="469">
        <f t="shared" si="420"/>
        <v>750000</v>
      </c>
      <c r="X570" s="522">
        <f t="shared" si="420"/>
        <v>1250000</v>
      </c>
      <c r="Y570" s="522">
        <f t="shared" si="420"/>
        <v>0</v>
      </c>
      <c r="Z570" s="541" t="b">
        <f t="shared" si="370"/>
        <v>1</v>
      </c>
      <c r="AA570" s="522"/>
      <c r="AB570" s="523">
        <f t="shared" si="420"/>
        <v>610000</v>
      </c>
      <c r="AC570" s="523">
        <f t="shared" si="420"/>
        <v>610000</v>
      </c>
      <c r="AD570" s="524">
        <f>O570/M570*100</f>
        <v>108.23491248541426</v>
      </c>
      <c r="AE570" s="524">
        <f t="shared" ref="AE570:AF573" si="421">P570/O570*100</f>
        <v>102.50985043552359</v>
      </c>
      <c r="AF570" s="524">
        <f t="shared" si="421"/>
        <v>105.38827258320127</v>
      </c>
      <c r="AG570" s="524">
        <f>AB570/Q570*100</f>
        <v>91.729323308270665</v>
      </c>
      <c r="AH570" s="522"/>
      <c r="AI570" s="522">
        <v>1250000</v>
      </c>
      <c r="AJ570" s="516">
        <f>W570/R570*100</f>
        <v>114.68398445802643</v>
      </c>
      <c r="AK570" s="516">
        <f>AT570/W570*100</f>
        <v>140</v>
      </c>
      <c r="AL570" s="516"/>
      <c r="AM570" s="292"/>
      <c r="AO570" t="b">
        <f t="shared" si="376"/>
        <v>1</v>
      </c>
      <c r="AP570" s="440">
        <f t="shared" ref="AP570:AU571" si="422">AP571</f>
        <v>750975</v>
      </c>
      <c r="AQ570" s="441">
        <v>625975</v>
      </c>
      <c r="AR570" s="440">
        <f>AR571</f>
        <v>750975</v>
      </c>
      <c r="AS570" s="441">
        <f t="shared" si="422"/>
        <v>444116.61</v>
      </c>
      <c r="AT570" s="612">
        <f>AT571</f>
        <v>1050000</v>
      </c>
      <c r="AU570" s="469">
        <f t="shared" si="422"/>
        <v>653000</v>
      </c>
      <c r="AV570" s="636">
        <v>1250000</v>
      </c>
      <c r="AW570" s="636">
        <v>1250000</v>
      </c>
      <c r="AX570" s="655">
        <f t="shared" si="385"/>
        <v>160.557578241237</v>
      </c>
      <c r="AY570" s="655">
        <f t="shared" si="386"/>
        <v>167.73832820799552</v>
      </c>
      <c r="AZ570" s="655">
        <f t="shared" si="387"/>
        <v>62.190476190476197</v>
      </c>
      <c r="BA570" s="655">
        <f t="shared" si="388"/>
        <v>104.31726506649626</v>
      </c>
      <c r="BB570" s="655">
        <f t="shared" si="389"/>
        <v>191.42419601837673</v>
      </c>
      <c r="BC570" s="655">
        <f t="shared" si="389"/>
        <v>100</v>
      </c>
    </row>
    <row r="571" spans="1:55" ht="12" customHeight="1">
      <c r="A571" s="355"/>
      <c r="B571" s="355"/>
      <c r="C571" s="355"/>
      <c r="D571" s="355"/>
      <c r="E571" s="355"/>
      <c r="F571" s="355"/>
      <c r="G571" s="355"/>
      <c r="H571" s="379"/>
      <c r="I571" s="360"/>
      <c r="J571" s="356">
        <v>38</v>
      </c>
      <c r="K571" s="358" t="s">
        <v>144</v>
      </c>
      <c r="L571" s="315">
        <f t="shared" si="420"/>
        <v>4285000</v>
      </c>
      <c r="M571" s="315">
        <f t="shared" si="420"/>
        <v>568717.23405667255</v>
      </c>
      <c r="N571" s="337">
        <f t="shared" si="420"/>
        <v>4637866</v>
      </c>
      <c r="O571" s="337">
        <f t="shared" si="420"/>
        <v>615550.60057070805</v>
      </c>
      <c r="P571" s="292">
        <f t="shared" si="420"/>
        <v>631000</v>
      </c>
      <c r="Q571" s="292">
        <f t="shared" si="420"/>
        <v>665000</v>
      </c>
      <c r="R571" s="441">
        <f t="shared" si="420"/>
        <v>653971</v>
      </c>
      <c r="S571" s="292">
        <f t="shared" si="420"/>
        <v>552000</v>
      </c>
      <c r="T571" s="292"/>
      <c r="U571" s="292"/>
      <c r="V571" s="469">
        <f t="shared" si="420"/>
        <v>660000</v>
      </c>
      <c r="W571" s="469">
        <f t="shared" si="420"/>
        <v>750000</v>
      </c>
      <c r="X571" s="522">
        <f t="shared" si="420"/>
        <v>1250000</v>
      </c>
      <c r="Y571" s="522">
        <f t="shared" si="420"/>
        <v>0</v>
      </c>
      <c r="Z571" s="541" t="b">
        <f t="shared" si="370"/>
        <v>1</v>
      </c>
      <c r="AA571" s="522"/>
      <c r="AB571" s="523">
        <f t="shared" si="420"/>
        <v>610000</v>
      </c>
      <c r="AC571" s="523">
        <f t="shared" si="420"/>
        <v>610000</v>
      </c>
      <c r="AD571" s="524">
        <f>O571/M571*100</f>
        <v>108.23491248541426</v>
      </c>
      <c r="AE571" s="524">
        <f t="shared" si="421"/>
        <v>102.50985043552359</v>
      </c>
      <c r="AF571" s="524">
        <f t="shared" si="421"/>
        <v>105.38827258320127</v>
      </c>
      <c r="AG571" s="524">
        <f>AB571/Q571*100</f>
        <v>91.729323308270665</v>
      </c>
      <c r="AH571" s="522"/>
      <c r="AI571" s="522">
        <v>1250000</v>
      </c>
      <c r="AJ571" s="516">
        <f>W571/R571*100</f>
        <v>114.68398445802643</v>
      </c>
      <c r="AK571" s="516">
        <f>AT571/W571*100</f>
        <v>140</v>
      </c>
      <c r="AL571" s="516"/>
      <c r="AM571" s="292"/>
      <c r="AO571" t="b">
        <f t="shared" si="376"/>
        <v>1</v>
      </c>
      <c r="AP571" s="440">
        <f t="shared" si="422"/>
        <v>750975</v>
      </c>
      <c r="AQ571" s="441">
        <v>625975</v>
      </c>
      <c r="AR571" s="440">
        <f>AR572</f>
        <v>750975</v>
      </c>
      <c r="AS571" s="441">
        <f t="shared" si="422"/>
        <v>444116.61</v>
      </c>
      <c r="AT571" s="612">
        <f>AT572</f>
        <v>1050000</v>
      </c>
      <c r="AU571" s="469">
        <f t="shared" si="422"/>
        <v>653000</v>
      </c>
      <c r="AV571" s="636">
        <v>1250000</v>
      </c>
      <c r="AW571" s="636">
        <v>1250000</v>
      </c>
      <c r="AX571" s="655">
        <f t="shared" si="385"/>
        <v>160.557578241237</v>
      </c>
      <c r="AY571" s="655">
        <f t="shared" si="386"/>
        <v>167.73832820799552</v>
      </c>
      <c r="AZ571" s="655">
        <f t="shared" si="387"/>
        <v>62.190476190476197</v>
      </c>
      <c r="BA571" s="655">
        <f t="shared" si="388"/>
        <v>104.31726506649626</v>
      </c>
      <c r="BB571" s="655">
        <f t="shared" si="389"/>
        <v>191.42419601837673</v>
      </c>
      <c r="BC571" s="655">
        <f t="shared" si="389"/>
        <v>100</v>
      </c>
    </row>
    <row r="572" spans="1:55" ht="12" customHeight="1">
      <c r="A572" s="56"/>
      <c r="B572" s="56"/>
      <c r="C572" s="56"/>
      <c r="D572" s="56"/>
      <c r="E572" s="56"/>
      <c r="F572" s="56"/>
      <c r="G572" s="56"/>
      <c r="H572" s="377"/>
      <c r="I572" s="119"/>
      <c r="J572" s="116">
        <v>386</v>
      </c>
      <c r="K572" s="60" t="s">
        <v>275</v>
      </c>
      <c r="L572" s="315">
        <f t="shared" ref="L572:S572" si="423">L573+L574+L575+L576</f>
        <v>4285000</v>
      </c>
      <c r="M572" s="315">
        <f t="shared" si="423"/>
        <v>568717.23405667255</v>
      </c>
      <c r="N572" s="337">
        <f t="shared" si="423"/>
        <v>4637866</v>
      </c>
      <c r="O572" s="337">
        <f t="shared" si="423"/>
        <v>615550.60057070805</v>
      </c>
      <c r="P572" s="292">
        <f t="shared" si="423"/>
        <v>631000</v>
      </c>
      <c r="Q572" s="292">
        <f t="shared" si="423"/>
        <v>665000</v>
      </c>
      <c r="R572" s="441">
        <f t="shared" si="423"/>
        <v>653971</v>
      </c>
      <c r="S572" s="292">
        <f t="shared" si="423"/>
        <v>552000</v>
      </c>
      <c r="T572" s="292"/>
      <c r="U572" s="292"/>
      <c r="V572" s="469">
        <f>V573+V574+V575+V576</f>
        <v>660000</v>
      </c>
      <c r="W572" s="469">
        <f>W573+W574+W575+W576</f>
        <v>750000</v>
      </c>
      <c r="X572" s="522">
        <f>X573+X574+X575+X576</f>
        <v>1250000</v>
      </c>
      <c r="Y572" s="522">
        <f>Y573+Y574+Y575+Y576</f>
        <v>0</v>
      </c>
      <c r="Z572" s="541" t="b">
        <f t="shared" ref="Z572:Z587" si="424">__xlfn.ISFORMULA(R572)</f>
        <v>1</v>
      </c>
      <c r="AA572" s="522"/>
      <c r="AB572" s="523">
        <f>AB573+AB574+AB575+AB576</f>
        <v>610000</v>
      </c>
      <c r="AC572" s="523">
        <f>AC573+AC574+AC575+AC576</f>
        <v>610000</v>
      </c>
      <c r="AD572" s="524">
        <f>O572/M572*100</f>
        <v>108.23491248541426</v>
      </c>
      <c r="AE572" s="524">
        <f t="shared" si="421"/>
        <v>102.50985043552359</v>
      </c>
      <c r="AF572" s="524">
        <f t="shared" si="421"/>
        <v>105.38827258320127</v>
      </c>
      <c r="AG572" s="524">
        <f>AB572/Q572*100</f>
        <v>91.729323308270665</v>
      </c>
      <c r="AH572" s="522"/>
      <c r="AI572" s="522">
        <v>1250000</v>
      </c>
      <c r="AJ572" s="516">
        <f>W572/R572*100</f>
        <v>114.68398445802643</v>
      </c>
      <c r="AK572" s="516">
        <f>AT572/W572*100</f>
        <v>140</v>
      </c>
      <c r="AL572" s="516"/>
      <c r="AM572" s="292"/>
      <c r="AO572" t="b">
        <f t="shared" ref="AO572:AO587" si="425">__xlfn.ISFORMULA(AT572)</f>
        <v>1</v>
      </c>
      <c r="AP572" s="440">
        <f t="shared" ref="AP572:AU572" si="426">AP573+AP574+AP575+AP576</f>
        <v>750975</v>
      </c>
      <c r="AQ572" s="441">
        <v>625975</v>
      </c>
      <c r="AR572" s="440">
        <f>AR573+AR574+AR575+AR576</f>
        <v>750975</v>
      </c>
      <c r="AS572" s="441">
        <f t="shared" si="426"/>
        <v>444116.61</v>
      </c>
      <c r="AT572" s="612">
        <f t="shared" si="426"/>
        <v>1050000</v>
      </c>
      <c r="AU572" s="469">
        <f t="shared" si="426"/>
        <v>653000</v>
      </c>
      <c r="AV572" s="636">
        <v>1250000</v>
      </c>
      <c r="AW572" s="636">
        <v>1250000</v>
      </c>
      <c r="AX572" s="655">
        <f t="shared" si="385"/>
        <v>160.557578241237</v>
      </c>
      <c r="AY572" s="655">
        <f t="shared" si="386"/>
        <v>167.73832820799552</v>
      </c>
      <c r="AZ572" s="655">
        <f t="shared" si="387"/>
        <v>62.190476190476197</v>
      </c>
      <c r="BA572" s="655">
        <f t="shared" si="388"/>
        <v>104.31726506649626</v>
      </c>
      <c r="BB572" s="655">
        <f t="shared" si="389"/>
        <v>191.42419601837673</v>
      </c>
      <c r="BC572" s="655">
        <f t="shared" si="389"/>
        <v>100</v>
      </c>
    </row>
    <row r="573" spans="1:55" ht="12" customHeight="1">
      <c r="A573" s="36"/>
      <c r="B573" s="36"/>
      <c r="C573" s="36"/>
      <c r="D573" s="36"/>
      <c r="E573" s="36"/>
      <c r="F573" s="36"/>
      <c r="G573" s="36"/>
      <c r="H573" s="204" t="s">
        <v>276</v>
      </c>
      <c r="I573" s="118">
        <v>451</v>
      </c>
      <c r="J573" s="71">
        <v>3861</v>
      </c>
      <c r="K573" s="155" t="s">
        <v>814</v>
      </c>
      <c r="L573" s="309">
        <v>950000</v>
      </c>
      <c r="M573" s="309">
        <f>950000/7.5345</f>
        <v>126086.66799389475</v>
      </c>
      <c r="N573" s="339">
        <v>1100000</v>
      </c>
      <c r="O573" s="339">
        <f>N573/7.5345</f>
        <v>145995.08925608866</v>
      </c>
      <c r="P573" s="294">
        <v>142000</v>
      </c>
      <c r="Q573" s="269">
        <v>420000</v>
      </c>
      <c r="R573" s="443">
        <v>398790</v>
      </c>
      <c r="S573" s="294">
        <f>__xlfn.XLOOKUP(H573,[2]Izvršenje_proračuna_po_pozicija!$B$2:$B$153,[2]Izvršenje_proračuna_po_pozicija!$E$2:$E$153,0)</f>
        <v>305000</v>
      </c>
      <c r="T573" s="294"/>
      <c r="U573" s="294"/>
      <c r="V573" s="478">
        <v>120000</v>
      </c>
      <c r="W573" s="478">
        <v>350000</v>
      </c>
      <c r="X573" s="544">
        <v>400000</v>
      </c>
      <c r="Y573" s="544"/>
      <c r="Z573" s="541" t="b">
        <f t="shared" si="424"/>
        <v>0</v>
      </c>
      <c r="AA573" s="527"/>
      <c r="AB573" s="528">
        <v>150000</v>
      </c>
      <c r="AC573" s="528">
        <v>150000</v>
      </c>
      <c r="AD573" s="524">
        <f>O573/M573*100</f>
        <v>115.78947368421053</v>
      </c>
      <c r="AE573" s="524">
        <f t="shared" si="421"/>
        <v>97.263545454545451</v>
      </c>
      <c r="AF573" s="524">
        <f t="shared" si="421"/>
        <v>295.77464788732397</v>
      </c>
      <c r="AG573" s="524">
        <f>AB573/Q573*100</f>
        <v>35.714285714285715</v>
      </c>
      <c r="AH573" s="527"/>
      <c r="AI573" s="544">
        <v>400000</v>
      </c>
      <c r="AJ573" s="516">
        <f>W573/R573*100</f>
        <v>87.765490609092495</v>
      </c>
      <c r="AK573" s="516">
        <f>AT573/W573*100</f>
        <v>71.428571428571431</v>
      </c>
      <c r="AL573" s="516"/>
      <c r="AM573" s="294"/>
      <c r="AO573" t="b">
        <f t="shared" si="425"/>
        <v>0</v>
      </c>
      <c r="AP573" s="493">
        <v>314000</v>
      </c>
      <c r="AQ573" s="443">
        <v>289000</v>
      </c>
      <c r="AR573" s="493">
        <v>314000</v>
      </c>
      <c r="AS573" s="443">
        <v>203778.44</v>
      </c>
      <c r="AT573" s="617">
        <v>250000</v>
      </c>
      <c r="AU573" s="478">
        <v>348000</v>
      </c>
      <c r="AV573" s="638">
        <v>400000</v>
      </c>
      <c r="AW573" s="638">
        <v>400000</v>
      </c>
      <c r="AX573" s="655">
        <f t="shared" si="385"/>
        <v>62.689636149351792</v>
      </c>
      <c r="AY573" s="655">
        <f t="shared" si="386"/>
        <v>86.505190311418687</v>
      </c>
      <c r="AZ573" s="655">
        <f t="shared" si="387"/>
        <v>139.19999999999999</v>
      </c>
      <c r="BA573" s="655">
        <f t="shared" si="388"/>
        <v>120.41522491349481</v>
      </c>
      <c r="BB573" s="655">
        <f t="shared" si="389"/>
        <v>114.94252873563218</v>
      </c>
      <c r="BC573" s="655">
        <f t="shared" si="389"/>
        <v>100</v>
      </c>
    </row>
    <row r="574" spans="1:55" ht="12" customHeight="1">
      <c r="A574" s="36"/>
      <c r="B574" s="36"/>
      <c r="C574" s="36"/>
      <c r="D574" s="36"/>
      <c r="E574" s="36"/>
      <c r="F574" s="36"/>
      <c r="G574" s="36"/>
      <c r="H574" s="204" t="s">
        <v>277</v>
      </c>
      <c r="I574" s="118">
        <v>451</v>
      </c>
      <c r="J574" s="71">
        <v>3861</v>
      </c>
      <c r="K574" s="155" t="s">
        <v>815</v>
      </c>
      <c r="L574" s="309">
        <v>0</v>
      </c>
      <c r="M574" s="309">
        <v>0</v>
      </c>
      <c r="N574" s="339">
        <v>0</v>
      </c>
      <c r="O574" s="339">
        <f>N574/7.5345</f>
        <v>0</v>
      </c>
      <c r="P574" s="294">
        <v>0</v>
      </c>
      <c r="Q574" s="294">
        <v>0</v>
      </c>
      <c r="R574" s="443">
        <v>0</v>
      </c>
      <c r="S574" s="294">
        <f>__xlfn.XLOOKUP(H574,[2]Izvršenje_proračuna_po_pozicija!$B$2:$B$153,[2]Izvršenje_proračuna_po_pozicija!$E$2:$E$153,0)</f>
        <v>0</v>
      </c>
      <c r="T574" s="294"/>
      <c r="U574" s="294"/>
      <c r="V574" s="478">
        <v>0</v>
      </c>
      <c r="W574" s="478"/>
      <c r="X574" s="544"/>
      <c r="Y574" s="544"/>
      <c r="Z574" s="541" t="b">
        <f t="shared" si="424"/>
        <v>0</v>
      </c>
      <c r="AA574" s="527"/>
      <c r="AB574" s="528">
        <v>0</v>
      </c>
      <c r="AC574" s="528">
        <v>0</v>
      </c>
      <c r="AD574" s="524"/>
      <c r="AE574" s="524"/>
      <c r="AF574" s="524"/>
      <c r="AG574" s="524"/>
      <c r="AH574" s="527"/>
      <c r="AI574" s="544"/>
      <c r="AJ574" s="516"/>
      <c r="AK574" s="516"/>
      <c r="AL574" s="516"/>
      <c r="AM574" s="294"/>
      <c r="AO574" t="b">
        <f t="shared" si="425"/>
        <v>0</v>
      </c>
      <c r="AQ574" s="443"/>
      <c r="AS574" s="443">
        <f>__xlfn.XLOOKUP(K574,[1]Izvršenje_proračuna_po_pozicija!$C$25:$C$149,[1]Izvršenje_proračuna_po_pozicija!$E$25:$E$149,0)</f>
        <v>0</v>
      </c>
      <c r="AT574" s="617"/>
      <c r="AU574" s="478"/>
      <c r="AV574" s="638"/>
      <c r="AW574" s="638"/>
      <c r="AX574" s="655" t="str">
        <f t="shared" si="385"/>
        <v/>
      </c>
      <c r="AY574" s="655" t="str">
        <f t="shared" si="386"/>
        <v/>
      </c>
      <c r="AZ574" s="655" t="str">
        <f t="shared" si="387"/>
        <v/>
      </c>
      <c r="BA574" s="655" t="str">
        <f t="shared" si="388"/>
        <v/>
      </c>
      <c r="BB574" s="655" t="str">
        <f t="shared" si="389"/>
        <v/>
      </c>
      <c r="BC574" s="655" t="str">
        <f t="shared" si="389"/>
        <v/>
      </c>
    </row>
    <row r="575" spans="1:55" ht="12" customHeight="1">
      <c r="A575" s="36"/>
      <c r="B575" s="36"/>
      <c r="C575" s="36"/>
      <c r="D575" s="36"/>
      <c r="E575" s="36"/>
      <c r="F575" s="36"/>
      <c r="G575" s="36"/>
      <c r="H575" s="204" t="s">
        <v>278</v>
      </c>
      <c r="I575" s="118">
        <v>451</v>
      </c>
      <c r="J575" s="71">
        <v>3861</v>
      </c>
      <c r="K575" s="40" t="s">
        <v>799</v>
      </c>
      <c r="L575" s="309">
        <v>1210000</v>
      </c>
      <c r="M575" s="309">
        <f>1210000/7.5345</f>
        <v>160594.59818169751</v>
      </c>
      <c r="N575" s="339">
        <v>2657866</v>
      </c>
      <c r="O575" s="339">
        <f>N575/7.5345</f>
        <v>352759.43990974844</v>
      </c>
      <c r="P575" s="294">
        <v>489000</v>
      </c>
      <c r="Q575" s="269">
        <v>245000</v>
      </c>
      <c r="R575" s="443">
        <v>240181</v>
      </c>
      <c r="S575" s="294">
        <f>__xlfn.XLOOKUP(H575,[2]Izvršenje_proračuna_po_pozicija!$B$2:$B$153,[2]Izvršenje_proračuna_po_pozicija!$E$2:$E$153,0)</f>
        <v>247000</v>
      </c>
      <c r="T575" s="294"/>
      <c r="U575" s="294"/>
      <c r="V575" s="478">
        <v>540000</v>
      </c>
      <c r="W575" s="478">
        <v>400000</v>
      </c>
      <c r="X575" s="544">
        <v>850000</v>
      </c>
      <c r="Y575" s="544"/>
      <c r="Z575" s="541" t="b">
        <f t="shared" si="424"/>
        <v>0</v>
      </c>
      <c r="AA575" s="527"/>
      <c r="AB575" s="528">
        <v>460000</v>
      </c>
      <c r="AC575" s="528">
        <v>460000</v>
      </c>
      <c r="AD575" s="524">
        <f t="shared" ref="AD575:AD580" si="427">O575/M575*100</f>
        <v>219.65834710743798</v>
      </c>
      <c r="AE575" s="524">
        <f>P575/O575*100</f>
        <v>138.62137895589925</v>
      </c>
      <c r="AF575" s="524">
        <f>Q575/P575*100</f>
        <v>50.102249488752562</v>
      </c>
      <c r="AG575" s="524">
        <f>AB575/Q575*100</f>
        <v>187.75510204081633</v>
      </c>
      <c r="AH575" s="527"/>
      <c r="AI575" s="544">
        <v>850000</v>
      </c>
      <c r="AJ575" s="516">
        <f>W575/R575*100</f>
        <v>166.54106694534539</v>
      </c>
      <c r="AK575" s="516">
        <f>AT575/W575*100</f>
        <v>200</v>
      </c>
      <c r="AL575" s="516"/>
      <c r="AM575" s="294"/>
      <c r="AO575" t="b">
        <f t="shared" si="425"/>
        <v>0</v>
      </c>
      <c r="AP575" s="493">
        <v>436975</v>
      </c>
      <c r="AQ575" s="443">
        <v>336975</v>
      </c>
      <c r="AR575" s="493">
        <v>436975</v>
      </c>
      <c r="AS575" s="443">
        <f>__xlfn.XLOOKUP(K575,[1]Izvršenje_proračuna_po_pozicija!$C$25:$C$149,[1]Izvršenje_proračuna_po_pozicija!$E$25:$E$149,0)</f>
        <v>240338.17</v>
      </c>
      <c r="AT575" s="617">
        <v>800000</v>
      </c>
      <c r="AU575" s="478">
        <v>305000</v>
      </c>
      <c r="AV575" s="638">
        <v>850000</v>
      </c>
      <c r="AW575" s="638">
        <v>850000</v>
      </c>
      <c r="AX575" s="655">
        <f t="shared" si="385"/>
        <v>333.08213389069078</v>
      </c>
      <c r="AY575" s="655">
        <f t="shared" si="386"/>
        <v>237.40633578158619</v>
      </c>
      <c r="AZ575" s="655">
        <f t="shared" si="387"/>
        <v>38.125</v>
      </c>
      <c r="BA575" s="655">
        <f t="shared" si="388"/>
        <v>90.511165516729733</v>
      </c>
      <c r="BB575" s="655">
        <f t="shared" si="389"/>
        <v>278.68852459016392</v>
      </c>
      <c r="BC575" s="655">
        <f t="shared" si="389"/>
        <v>100</v>
      </c>
    </row>
    <row r="576" spans="1:55" ht="12" customHeight="1">
      <c r="A576" s="20"/>
      <c r="B576" s="20"/>
      <c r="C576" s="20"/>
      <c r="D576" s="20"/>
      <c r="E576" s="20"/>
      <c r="F576" s="20"/>
      <c r="G576" s="20"/>
      <c r="H576" s="204" t="s">
        <v>793</v>
      </c>
      <c r="I576" s="118">
        <v>451</v>
      </c>
      <c r="J576" s="71">
        <v>3861</v>
      </c>
      <c r="K576" s="40" t="s">
        <v>699</v>
      </c>
      <c r="L576" s="310">
        <v>2125000</v>
      </c>
      <c r="M576" s="310">
        <f>2125000/7.5345</f>
        <v>282035.96788108035</v>
      </c>
      <c r="N576" s="340">
        <v>880000</v>
      </c>
      <c r="O576" s="339">
        <f>N576/7.5345</f>
        <v>116796.07140487092</v>
      </c>
      <c r="P576" s="295">
        <v>0</v>
      </c>
      <c r="Q576" s="295">
        <v>0</v>
      </c>
      <c r="R576" s="444">
        <v>15000</v>
      </c>
      <c r="S576" s="294">
        <f>__xlfn.XLOOKUP(H576,[2]Izvršenje_proračuna_po_pozicija!$B$2:$B$153,[2]Izvršenje_proračuna_po_pozicija!$E$2:$E$153,0)</f>
        <v>0</v>
      </c>
      <c r="T576" s="294"/>
      <c r="U576" s="294"/>
      <c r="V576" s="482">
        <v>0</v>
      </c>
      <c r="W576" s="482"/>
      <c r="X576" s="550"/>
      <c r="Y576" s="550"/>
      <c r="Z576" s="541" t="b">
        <f t="shared" si="424"/>
        <v>0</v>
      </c>
      <c r="AA576" s="529"/>
      <c r="AB576" s="530"/>
      <c r="AC576" s="530"/>
      <c r="AD576" s="524">
        <f t="shared" si="427"/>
        <v>41.411764705882355</v>
      </c>
      <c r="AE576" s="524">
        <f>P576/O576*100</f>
        <v>0</v>
      </c>
      <c r="AF576" s="524"/>
      <c r="AG576" s="524"/>
      <c r="AH576" s="529"/>
      <c r="AI576" s="550"/>
      <c r="AJ576" s="516">
        <f>W576/R576*100</f>
        <v>0</v>
      </c>
      <c r="AK576" s="516"/>
      <c r="AL576" s="516"/>
      <c r="AM576" s="295"/>
      <c r="AO576" t="b">
        <f t="shared" si="425"/>
        <v>0</v>
      </c>
      <c r="AQ576" s="444"/>
      <c r="AS576" s="444">
        <f>__xlfn.XLOOKUP(K576,[1]Izvršenje_proračuna_po_pozicija!$C$25:$C$149,[1]Izvršenje_proračuna_po_pozicija!$E$25:$E$149,0)</f>
        <v>0</v>
      </c>
      <c r="AT576" s="617"/>
      <c r="AU576" s="482"/>
      <c r="AV576" s="639"/>
      <c r="AW576" s="639"/>
      <c r="AX576" s="655" t="str">
        <f t="shared" si="385"/>
        <v/>
      </c>
      <c r="AY576" s="655" t="str">
        <f t="shared" si="386"/>
        <v/>
      </c>
      <c r="AZ576" s="655" t="str">
        <f t="shared" si="387"/>
        <v/>
      </c>
      <c r="BA576" s="655" t="str">
        <f t="shared" si="388"/>
        <v/>
      </c>
      <c r="BB576" s="655" t="str">
        <f t="shared" si="389"/>
        <v/>
      </c>
      <c r="BC576" s="655" t="str">
        <f t="shared" si="389"/>
        <v/>
      </c>
    </row>
    <row r="577" spans="1:55" ht="12" customHeight="1">
      <c r="A577" s="52"/>
      <c r="B577" s="52"/>
      <c r="C577" s="52"/>
      <c r="D577" s="52"/>
      <c r="E577" s="52"/>
      <c r="F577" s="52"/>
      <c r="G577" s="52"/>
      <c r="H577" s="384"/>
      <c r="I577" s="120"/>
      <c r="J577" s="94">
        <v>4</v>
      </c>
      <c r="K577" s="21" t="s">
        <v>241</v>
      </c>
      <c r="L577" s="315">
        <f t="shared" ref="L577:AC578" si="428">L578</f>
        <v>986635</v>
      </c>
      <c r="M577" s="315">
        <f t="shared" si="428"/>
        <v>130948.96808016457</v>
      </c>
      <c r="N577" s="337">
        <f t="shared" si="428"/>
        <v>20733</v>
      </c>
      <c r="O577" s="337">
        <f t="shared" si="428"/>
        <v>2751.741986860442</v>
      </c>
      <c r="P577" s="292">
        <f t="shared" si="428"/>
        <v>61000</v>
      </c>
      <c r="Q577" s="292">
        <f t="shared" si="428"/>
        <v>40000</v>
      </c>
      <c r="R577" s="441">
        <f t="shared" si="428"/>
        <v>35981</v>
      </c>
      <c r="S577" s="292">
        <f t="shared" si="428"/>
        <v>56486.61</v>
      </c>
      <c r="T577" s="292"/>
      <c r="U577" s="292"/>
      <c r="V577" s="469">
        <f t="shared" si="428"/>
        <v>120000</v>
      </c>
      <c r="W577" s="469">
        <f t="shared" si="428"/>
        <v>65000</v>
      </c>
      <c r="X577" s="522">
        <f t="shared" si="428"/>
        <v>225000</v>
      </c>
      <c r="Y577" s="522">
        <f t="shared" si="428"/>
        <v>0</v>
      </c>
      <c r="Z577" s="541" t="b">
        <f t="shared" si="424"/>
        <v>1</v>
      </c>
      <c r="AA577" s="522"/>
      <c r="AB577" s="523">
        <f t="shared" si="428"/>
        <v>25000</v>
      </c>
      <c r="AC577" s="523">
        <f t="shared" si="428"/>
        <v>25000</v>
      </c>
      <c r="AD577" s="524">
        <f t="shared" si="427"/>
        <v>2.1013850106675722</v>
      </c>
      <c r="AE577" s="524"/>
      <c r="AF577" s="524">
        <f>Q577/P577*100</f>
        <v>65.573770491803273</v>
      </c>
      <c r="AG577" s="524">
        <f>AB577/Q577*100</f>
        <v>62.5</v>
      </c>
      <c r="AH577" s="522"/>
      <c r="AI577" s="522">
        <v>225000</v>
      </c>
      <c r="AJ577" s="516">
        <f>W577/R577*100</f>
        <v>180.65089908562854</v>
      </c>
      <c r="AK577" s="516">
        <f>AT577/W577*100</f>
        <v>261.53846153846155</v>
      </c>
      <c r="AL577" s="516">
        <f>X577/AT577*100</f>
        <v>132.35294117647058</v>
      </c>
      <c r="AM577" s="292"/>
      <c r="AO577" t="b">
        <f t="shared" si="425"/>
        <v>1</v>
      </c>
      <c r="AP577" s="440">
        <f t="shared" ref="AP577:AU578" si="429">AP578</f>
        <v>65155.360000000001</v>
      </c>
      <c r="AQ577" s="441">
        <v>65155.360000000001</v>
      </c>
      <c r="AR577" s="440">
        <f>AR578</f>
        <v>65155.360000000001</v>
      </c>
      <c r="AS577" s="441">
        <f t="shared" si="429"/>
        <v>16422</v>
      </c>
      <c r="AT577" s="612">
        <f>AT578</f>
        <v>170000</v>
      </c>
      <c r="AU577" s="469">
        <f t="shared" si="429"/>
        <v>20000</v>
      </c>
      <c r="AV577" s="636">
        <v>225000</v>
      </c>
      <c r="AW577" s="636">
        <v>225000</v>
      </c>
      <c r="AX577" s="655">
        <f t="shared" si="385"/>
        <v>472.47158222395154</v>
      </c>
      <c r="AY577" s="655">
        <f t="shared" si="386"/>
        <v>260.9148349422058</v>
      </c>
      <c r="AZ577" s="655">
        <f t="shared" si="387"/>
        <v>11.76470588235294</v>
      </c>
      <c r="BA577" s="655">
        <f t="shared" si="388"/>
        <v>30.695862934377153</v>
      </c>
      <c r="BB577" s="655">
        <f t="shared" si="389"/>
        <v>1125</v>
      </c>
      <c r="BC577" s="655">
        <f t="shared" si="389"/>
        <v>100</v>
      </c>
    </row>
    <row r="578" spans="1:55" ht="12" customHeight="1">
      <c r="A578" s="355"/>
      <c r="B578" s="355"/>
      <c r="C578" s="355"/>
      <c r="D578" s="355"/>
      <c r="E578" s="355"/>
      <c r="F578" s="355"/>
      <c r="G578" s="355"/>
      <c r="H578" s="379"/>
      <c r="I578" s="360"/>
      <c r="J578" s="356">
        <v>42</v>
      </c>
      <c r="K578" s="358" t="s">
        <v>279</v>
      </c>
      <c r="L578" s="315">
        <f t="shared" si="428"/>
        <v>986635</v>
      </c>
      <c r="M578" s="315">
        <f t="shared" si="428"/>
        <v>130948.96808016457</v>
      </c>
      <c r="N578" s="337">
        <f t="shared" si="428"/>
        <v>20733</v>
      </c>
      <c r="O578" s="337">
        <f t="shared" si="428"/>
        <v>2751.741986860442</v>
      </c>
      <c r="P578" s="292">
        <f t="shared" si="428"/>
        <v>61000</v>
      </c>
      <c r="Q578" s="292">
        <f t="shared" si="428"/>
        <v>40000</v>
      </c>
      <c r="R578" s="441">
        <f t="shared" si="428"/>
        <v>35981</v>
      </c>
      <c r="S578" s="292">
        <f t="shared" si="428"/>
        <v>56486.61</v>
      </c>
      <c r="T578" s="292"/>
      <c r="U578" s="292"/>
      <c r="V578" s="469">
        <f t="shared" si="428"/>
        <v>120000</v>
      </c>
      <c r="W578" s="469">
        <f t="shared" si="428"/>
        <v>65000</v>
      </c>
      <c r="X578" s="522">
        <f t="shared" si="428"/>
        <v>225000</v>
      </c>
      <c r="Y578" s="522">
        <f t="shared" si="428"/>
        <v>0</v>
      </c>
      <c r="Z578" s="541" t="b">
        <f t="shared" si="424"/>
        <v>1</v>
      </c>
      <c r="AA578" s="522"/>
      <c r="AB578" s="523">
        <f t="shared" si="428"/>
        <v>25000</v>
      </c>
      <c r="AC578" s="523">
        <f t="shared" si="428"/>
        <v>25000</v>
      </c>
      <c r="AD578" s="524">
        <f t="shared" si="427"/>
        <v>2.1013850106675722</v>
      </c>
      <c r="AE578" s="524"/>
      <c r="AF578" s="524">
        <f>Q578/P578*100</f>
        <v>65.573770491803273</v>
      </c>
      <c r="AG578" s="524">
        <f>AB578/Q578*100</f>
        <v>62.5</v>
      </c>
      <c r="AH578" s="522"/>
      <c r="AI578" s="522">
        <v>225000</v>
      </c>
      <c r="AJ578" s="516">
        <f>W578/R578*100</f>
        <v>180.65089908562854</v>
      </c>
      <c r="AK578" s="516">
        <f>AT578/W578*100</f>
        <v>261.53846153846155</v>
      </c>
      <c r="AL578" s="516">
        <f>X578/AT578*100</f>
        <v>132.35294117647058</v>
      </c>
      <c r="AM578" s="292"/>
      <c r="AO578" t="b">
        <f t="shared" si="425"/>
        <v>1</v>
      </c>
      <c r="AP578" s="440">
        <f t="shared" si="429"/>
        <v>65155.360000000001</v>
      </c>
      <c r="AQ578" s="441">
        <v>65155.360000000001</v>
      </c>
      <c r="AR578" s="440">
        <f>AR579</f>
        <v>65155.360000000001</v>
      </c>
      <c r="AS578" s="441">
        <f t="shared" si="429"/>
        <v>16422</v>
      </c>
      <c r="AT578" s="612">
        <f>AT579</f>
        <v>170000</v>
      </c>
      <c r="AU578" s="469">
        <f t="shared" si="429"/>
        <v>20000</v>
      </c>
      <c r="AV578" s="636">
        <v>225000</v>
      </c>
      <c r="AW578" s="636">
        <v>225000</v>
      </c>
      <c r="AX578" s="655">
        <f t="shared" si="385"/>
        <v>472.47158222395154</v>
      </c>
      <c r="AY578" s="655">
        <f t="shared" si="386"/>
        <v>260.9148349422058</v>
      </c>
      <c r="AZ578" s="655">
        <f t="shared" si="387"/>
        <v>11.76470588235294</v>
      </c>
      <c r="BA578" s="655">
        <f t="shared" si="388"/>
        <v>30.695862934377153</v>
      </c>
      <c r="BB578" s="655">
        <f t="shared" si="389"/>
        <v>1125</v>
      </c>
      <c r="BC578" s="655">
        <f t="shared" si="389"/>
        <v>100</v>
      </c>
    </row>
    <row r="579" spans="1:55" ht="12" customHeight="1">
      <c r="A579" s="56"/>
      <c r="B579" s="56"/>
      <c r="C579" s="56"/>
      <c r="D579" s="56"/>
      <c r="E579" s="56"/>
      <c r="F579" s="56"/>
      <c r="G579" s="56"/>
      <c r="H579" s="377"/>
      <c r="I579" s="119"/>
      <c r="J579" s="116">
        <v>421</v>
      </c>
      <c r="K579" s="60" t="s">
        <v>243</v>
      </c>
      <c r="L579" s="315">
        <f t="shared" ref="L579:S579" si="430">L580+L581+L582+L583+L584</f>
        <v>986635</v>
      </c>
      <c r="M579" s="315">
        <f t="shared" si="430"/>
        <v>130948.96808016457</v>
      </c>
      <c r="N579" s="337">
        <f t="shared" si="430"/>
        <v>20733</v>
      </c>
      <c r="O579" s="337">
        <f t="shared" si="430"/>
        <v>2751.741986860442</v>
      </c>
      <c r="P579" s="292">
        <f t="shared" si="430"/>
        <v>61000</v>
      </c>
      <c r="Q579" s="292">
        <f t="shared" si="430"/>
        <v>40000</v>
      </c>
      <c r="R579" s="441">
        <f t="shared" si="430"/>
        <v>35981</v>
      </c>
      <c r="S579" s="292">
        <f t="shared" si="430"/>
        <v>56486.61</v>
      </c>
      <c r="T579" s="292"/>
      <c r="U579" s="292"/>
      <c r="V579" s="469">
        <f>V580+V581+V582+V583+V584</f>
        <v>120000</v>
      </c>
      <c r="W579" s="469">
        <f>W580+W581+W582+W583+W584</f>
        <v>65000</v>
      </c>
      <c r="X579" s="522">
        <f>X580+X581+X582+X583+X584</f>
        <v>225000</v>
      </c>
      <c r="Y579" s="522">
        <f>Y580+Y581+Y582+Y583+Y584</f>
        <v>0</v>
      </c>
      <c r="Z579" s="541" t="b">
        <f t="shared" si="424"/>
        <v>1</v>
      </c>
      <c r="AA579" s="522"/>
      <c r="AB579" s="523">
        <f>AB580+AB581+AB582+AB583+AB584</f>
        <v>25000</v>
      </c>
      <c r="AC579" s="523">
        <f>AC580+AC581+AC582+AC583+AC584</f>
        <v>25000</v>
      </c>
      <c r="AD579" s="524">
        <f t="shared" si="427"/>
        <v>2.1013850106675722</v>
      </c>
      <c r="AE579" s="524"/>
      <c r="AF579" s="524">
        <f>Q579/P579*100</f>
        <v>65.573770491803273</v>
      </c>
      <c r="AG579" s="524">
        <f>AB579/Q579*100</f>
        <v>62.5</v>
      </c>
      <c r="AH579" s="522"/>
      <c r="AI579" s="522">
        <v>225000</v>
      </c>
      <c r="AJ579" s="516">
        <f>W579/R579*100</f>
        <v>180.65089908562854</v>
      </c>
      <c r="AK579" s="516">
        <f>AT579/W579*100</f>
        <v>261.53846153846155</v>
      </c>
      <c r="AL579" s="516">
        <f>X579/AT579*100</f>
        <v>132.35294117647058</v>
      </c>
      <c r="AM579" s="292"/>
      <c r="AO579" t="b">
        <f t="shared" si="425"/>
        <v>1</v>
      </c>
      <c r="AP579" s="440">
        <f t="shared" ref="AP579:AU579" si="431">AP580+AP581+AP582+AP583+AP584</f>
        <v>65155.360000000001</v>
      </c>
      <c r="AQ579" s="441">
        <v>65155.360000000001</v>
      </c>
      <c r="AR579" s="440">
        <f>AR580+AR581+AR582+AR583+AR584</f>
        <v>65155.360000000001</v>
      </c>
      <c r="AS579" s="441">
        <f t="shared" si="431"/>
        <v>16422</v>
      </c>
      <c r="AT579" s="612">
        <f t="shared" si="431"/>
        <v>170000</v>
      </c>
      <c r="AU579" s="469">
        <f t="shared" si="431"/>
        <v>20000</v>
      </c>
      <c r="AV579" s="636">
        <v>225000</v>
      </c>
      <c r="AW579" s="636">
        <v>225000</v>
      </c>
      <c r="AX579" s="655">
        <f t="shared" si="385"/>
        <v>472.47158222395154</v>
      </c>
      <c r="AY579" s="655">
        <f t="shared" si="386"/>
        <v>260.9148349422058</v>
      </c>
      <c r="AZ579" s="655">
        <f t="shared" si="387"/>
        <v>11.76470588235294</v>
      </c>
      <c r="BA579" s="655">
        <f t="shared" si="388"/>
        <v>30.695862934377153</v>
      </c>
      <c r="BB579" s="655">
        <f t="shared" si="389"/>
        <v>1125</v>
      </c>
      <c r="BC579" s="655">
        <f t="shared" si="389"/>
        <v>100</v>
      </c>
    </row>
    <row r="580" spans="1:55" s="198" customFormat="1" ht="12" customHeight="1">
      <c r="A580" s="36"/>
      <c r="B580" s="36"/>
      <c r="C580" s="36"/>
      <c r="D580" s="36"/>
      <c r="E580" s="36"/>
      <c r="F580" s="36"/>
      <c r="G580" s="36"/>
      <c r="H580" s="204" t="s">
        <v>280</v>
      </c>
      <c r="I580" s="118">
        <v>451</v>
      </c>
      <c r="J580" s="71">
        <v>4213</v>
      </c>
      <c r="K580" s="40" t="s">
        <v>698</v>
      </c>
      <c r="L580" s="309">
        <v>322407</v>
      </c>
      <c r="M580" s="309">
        <f>322407/7.5345</f>
        <v>42790.762492534341</v>
      </c>
      <c r="N580" s="339">
        <v>0</v>
      </c>
      <c r="O580" s="339">
        <f>N580/7.5345</f>
        <v>0</v>
      </c>
      <c r="P580" s="294">
        <v>10000</v>
      </c>
      <c r="Q580" s="269">
        <v>0</v>
      </c>
      <c r="R580" s="443">
        <v>0</v>
      </c>
      <c r="S580" s="294">
        <f>__xlfn.XLOOKUP(H580,[2]Izvršenje_proračuna_po_pozicija!$B$2:$B$153,[2]Izvršenje_proračuna_po_pozicija!$E$2:$E$153,0)</f>
        <v>37225.360000000001</v>
      </c>
      <c r="T580" s="294"/>
      <c r="U580" s="294"/>
      <c r="V580" s="478">
        <v>14000</v>
      </c>
      <c r="W580" s="478">
        <v>40000</v>
      </c>
      <c r="X580" s="544">
        <v>25000</v>
      </c>
      <c r="Y580" s="544"/>
      <c r="Z580" s="541" t="b">
        <f t="shared" si="424"/>
        <v>0</v>
      </c>
      <c r="AA580" s="527"/>
      <c r="AB580" s="528">
        <v>10000</v>
      </c>
      <c r="AC580" s="528">
        <v>10000</v>
      </c>
      <c r="AD580" s="524">
        <f t="shared" si="427"/>
        <v>0</v>
      </c>
      <c r="AE580" s="524"/>
      <c r="AF580" s="524">
        <f>Q580/P580*100</f>
        <v>0</v>
      </c>
      <c r="AG580" s="524"/>
      <c r="AH580" s="527"/>
      <c r="AI580" s="544">
        <v>25000</v>
      </c>
      <c r="AJ580" s="516"/>
      <c r="AK580" s="516">
        <f>AT580/W580*100</f>
        <v>50</v>
      </c>
      <c r="AL580" s="516">
        <f>X580/AT580*100</f>
        <v>125</v>
      </c>
      <c r="AM580" s="294"/>
      <c r="AO580" t="b">
        <f t="shared" si="425"/>
        <v>0</v>
      </c>
      <c r="AP580" s="493">
        <v>49581.61</v>
      </c>
      <c r="AQ580" s="443">
        <v>49581.61</v>
      </c>
      <c r="AR580" s="493">
        <v>49581.61</v>
      </c>
      <c r="AS580" s="443">
        <v>16422</v>
      </c>
      <c r="AT580" s="617">
        <v>20000</v>
      </c>
      <c r="AU580" s="478">
        <v>20000</v>
      </c>
      <c r="AV580" s="638">
        <v>25000</v>
      </c>
      <c r="AW580" s="638">
        <v>25000</v>
      </c>
      <c r="AX580" s="655" t="str">
        <f t="shared" si="385"/>
        <v/>
      </c>
      <c r="AY580" s="655">
        <f t="shared" si="386"/>
        <v>40.337536437400885</v>
      </c>
      <c r="AZ580" s="655">
        <f t="shared" si="387"/>
        <v>100</v>
      </c>
      <c r="BA580" s="655">
        <f t="shared" si="388"/>
        <v>40.337536437400885</v>
      </c>
      <c r="BB580" s="655">
        <f t="shared" si="389"/>
        <v>125</v>
      </c>
      <c r="BC580" s="655">
        <f t="shared" si="389"/>
        <v>100</v>
      </c>
    </row>
    <row r="581" spans="1:55" ht="12" customHeight="1">
      <c r="A581" s="124"/>
      <c r="B581" s="124"/>
      <c r="C581" s="124"/>
      <c r="D581" s="124"/>
      <c r="E581" s="124"/>
      <c r="F581" s="124"/>
      <c r="G581" s="124"/>
      <c r="H581" s="378" t="s">
        <v>702</v>
      </c>
      <c r="I581" s="118">
        <v>451</v>
      </c>
      <c r="J581" s="261">
        <v>4213</v>
      </c>
      <c r="K581" s="71" t="s">
        <v>699</v>
      </c>
      <c r="L581" s="310"/>
      <c r="M581" s="310"/>
      <c r="N581" s="340"/>
      <c r="O581" s="339">
        <f>N581/7.5345</f>
        <v>0</v>
      </c>
      <c r="P581" s="295"/>
      <c r="Q581" s="295"/>
      <c r="R581" s="444"/>
      <c r="S581" s="294">
        <f>__xlfn.XLOOKUP(H581,[2]Izvršenje_proračuna_po_pozicija!$B$2:$B$153,[2]Izvršenje_proračuna_po_pozicija!$E$2:$E$153,0)</f>
        <v>0</v>
      </c>
      <c r="T581" s="294"/>
      <c r="U581" s="294"/>
      <c r="V581" s="482"/>
      <c r="W581" s="482"/>
      <c r="X581" s="550"/>
      <c r="Y581" s="550"/>
      <c r="Z581" s="541" t="b">
        <f t="shared" si="424"/>
        <v>0</v>
      </c>
      <c r="AA581" s="529"/>
      <c r="AB581" s="530"/>
      <c r="AC581" s="530"/>
      <c r="AD581" s="524"/>
      <c r="AE581" s="524"/>
      <c r="AF581" s="524"/>
      <c r="AG581" s="524"/>
      <c r="AH581" s="529"/>
      <c r="AI581" s="550"/>
      <c r="AJ581" s="516"/>
      <c r="AK581" s="516"/>
      <c r="AL581" s="516"/>
      <c r="AM581" s="295"/>
      <c r="AO581" t="b">
        <f t="shared" si="425"/>
        <v>0</v>
      </c>
      <c r="AQ581" s="444"/>
      <c r="AS581" s="444">
        <f>__xlfn.XLOOKUP(K581,[1]Izvršenje_proračuna_po_pozicija!$C$25:$C$149,[1]Izvršenje_proračuna_po_pozicija!$E$25:$E$149,0)</f>
        <v>0</v>
      </c>
      <c r="AT581" s="617"/>
      <c r="AU581" s="482"/>
      <c r="AV581" s="639"/>
      <c r="AW581" s="639"/>
      <c r="AX581" s="655" t="str">
        <f t="shared" si="385"/>
        <v/>
      </c>
      <c r="AY581" s="655" t="str">
        <f t="shared" si="386"/>
        <v/>
      </c>
      <c r="AZ581" s="655" t="str">
        <f t="shared" si="387"/>
        <v/>
      </c>
      <c r="BA581" s="655" t="str">
        <f t="shared" si="388"/>
        <v/>
      </c>
      <c r="BB581" s="655" t="str">
        <f t="shared" si="389"/>
        <v/>
      </c>
      <c r="BC581" s="655" t="str">
        <f t="shared" si="389"/>
        <v/>
      </c>
    </row>
    <row r="582" spans="1:55" ht="12" customHeight="1">
      <c r="A582" s="36"/>
      <c r="B582" s="36"/>
      <c r="C582" s="36"/>
      <c r="D582" s="36"/>
      <c r="E582" s="36"/>
      <c r="F582" s="36"/>
      <c r="G582" s="36"/>
      <c r="H582" s="204" t="s">
        <v>281</v>
      </c>
      <c r="I582" s="118">
        <v>451</v>
      </c>
      <c r="J582" s="71">
        <v>4214</v>
      </c>
      <c r="K582" s="40" t="s">
        <v>282</v>
      </c>
      <c r="L582" s="309">
        <v>0</v>
      </c>
      <c r="M582" s="309">
        <v>0</v>
      </c>
      <c r="N582" s="339">
        <v>0</v>
      </c>
      <c r="O582" s="339">
        <f>N582/7.5345</f>
        <v>0</v>
      </c>
      <c r="P582" s="294">
        <v>0</v>
      </c>
      <c r="Q582" s="294">
        <v>0</v>
      </c>
      <c r="R582" s="443">
        <v>0</v>
      </c>
      <c r="S582" s="294">
        <f>__xlfn.XLOOKUP(H582,[2]Izvršenje_proračuna_po_pozicija!$B$2:$B$153,[2]Izvršenje_proračuna_po_pozicija!$E$2:$E$153,0)</f>
        <v>0</v>
      </c>
      <c r="T582" s="294"/>
      <c r="U582" s="294"/>
      <c r="V582" s="478">
        <v>0</v>
      </c>
      <c r="W582" s="478"/>
      <c r="X582" s="544"/>
      <c r="Y582" s="544"/>
      <c r="Z582" s="541" t="b">
        <f t="shared" si="424"/>
        <v>0</v>
      </c>
      <c r="AA582" s="527"/>
      <c r="AB582" s="528">
        <v>0</v>
      </c>
      <c r="AC582" s="528">
        <v>0</v>
      </c>
      <c r="AD582" s="524"/>
      <c r="AE582" s="524"/>
      <c r="AF582" s="524"/>
      <c r="AG582" s="524"/>
      <c r="AH582" s="527"/>
      <c r="AI582" s="544"/>
      <c r="AJ582" s="516"/>
      <c r="AK582" s="516"/>
      <c r="AL582" s="516"/>
      <c r="AM582" s="294"/>
      <c r="AO582" t="b">
        <f t="shared" si="425"/>
        <v>0</v>
      </c>
      <c r="AQ582" s="443"/>
      <c r="AS582" s="443">
        <f>__xlfn.XLOOKUP(K582,[1]Izvršenje_proračuna_po_pozicija!$C$25:$C$149,[1]Izvršenje_proračuna_po_pozicija!$E$25:$E$149,0)</f>
        <v>0</v>
      </c>
      <c r="AT582" s="617"/>
      <c r="AU582" s="478"/>
      <c r="AV582" s="638"/>
      <c r="AW582" s="638"/>
      <c r="AX582" s="655" t="str">
        <f t="shared" si="385"/>
        <v/>
      </c>
      <c r="AY582" s="655" t="str">
        <f t="shared" si="386"/>
        <v/>
      </c>
      <c r="AZ582" s="655" t="str">
        <f t="shared" si="387"/>
        <v/>
      </c>
      <c r="BA582" s="655" t="str">
        <f t="shared" si="388"/>
        <v/>
      </c>
      <c r="BB582" s="655" t="str">
        <f t="shared" si="389"/>
        <v/>
      </c>
      <c r="BC582" s="655" t="str">
        <f t="shared" si="389"/>
        <v/>
      </c>
    </row>
    <row r="583" spans="1:55" ht="12" customHeight="1">
      <c r="A583" s="36"/>
      <c r="B583" s="36"/>
      <c r="C583" s="36"/>
      <c r="D583" s="36"/>
      <c r="E583" s="36"/>
      <c r="F583" s="36"/>
      <c r="G583" s="36"/>
      <c r="H583" s="204" t="s">
        <v>283</v>
      </c>
      <c r="I583" s="118">
        <v>451</v>
      </c>
      <c r="J583" s="71">
        <v>4214</v>
      </c>
      <c r="K583" s="40" t="s">
        <v>643</v>
      </c>
      <c r="L583" s="309">
        <v>0</v>
      </c>
      <c r="M583" s="309">
        <v>0</v>
      </c>
      <c r="N583" s="339">
        <v>0</v>
      </c>
      <c r="O583" s="339">
        <f>N583/7.5345</f>
        <v>0</v>
      </c>
      <c r="P583" s="294">
        <v>51000</v>
      </c>
      <c r="Q583" s="269">
        <v>40000</v>
      </c>
      <c r="R583" s="443">
        <v>35660</v>
      </c>
      <c r="S583" s="294">
        <f>__xlfn.XLOOKUP(H583,[2]Izvršenje_proračuna_po_pozicija!$B$2:$B$153,[2]Izvršenje_proračuna_po_pozicija!$E$2:$E$153,0)</f>
        <v>19261.25</v>
      </c>
      <c r="T583" s="294"/>
      <c r="U583" s="294"/>
      <c r="V583" s="478">
        <v>106000</v>
      </c>
      <c r="W583" s="478">
        <v>25000</v>
      </c>
      <c r="X583" s="544">
        <v>200000</v>
      </c>
      <c r="Y583" s="544"/>
      <c r="Z583" s="541" t="b">
        <f t="shared" si="424"/>
        <v>0</v>
      </c>
      <c r="AA583" s="527"/>
      <c r="AB583" s="528">
        <v>15000</v>
      </c>
      <c r="AC583" s="528">
        <v>15000</v>
      </c>
      <c r="AD583" s="524"/>
      <c r="AE583" s="524"/>
      <c r="AF583" s="524"/>
      <c r="AG583" s="524"/>
      <c r="AH583" s="527"/>
      <c r="AI583" s="544">
        <v>200000</v>
      </c>
      <c r="AJ583" s="516">
        <f>W583/R583*100</f>
        <v>70.106561974200787</v>
      </c>
      <c r="AK583" s="516">
        <f>AT583/W583*100</f>
        <v>600</v>
      </c>
      <c r="AL583" s="516">
        <f>X583/AT583*100</f>
        <v>133.33333333333331</v>
      </c>
      <c r="AM583" s="294"/>
      <c r="AO583" t="b">
        <f t="shared" si="425"/>
        <v>0</v>
      </c>
      <c r="AP583" s="493">
        <v>15573.75</v>
      </c>
      <c r="AQ583" s="443">
        <v>15573.75</v>
      </c>
      <c r="AR583" s="493">
        <v>15573.75</v>
      </c>
      <c r="AS583" s="443">
        <f>__xlfn.XLOOKUP(K583,[1]Izvršenje_proračuna_po_pozicija!$C$25:$C$149,[1]Izvršenje_proračuna_po_pozicija!$E$25:$E$149,0)</f>
        <v>0</v>
      </c>
      <c r="AT583" s="617">
        <v>150000</v>
      </c>
      <c r="AU583" s="478"/>
      <c r="AV583" s="638">
        <v>200000</v>
      </c>
      <c r="AW583" s="638">
        <v>200000</v>
      </c>
      <c r="AX583" s="655">
        <f t="shared" si="385"/>
        <v>420.63937184520472</v>
      </c>
      <c r="AY583" s="655">
        <f t="shared" si="386"/>
        <v>963.15916205152905</v>
      </c>
      <c r="AZ583" s="655" t="str">
        <f t="shared" si="387"/>
        <v/>
      </c>
      <c r="BA583" s="655" t="str">
        <f t="shared" si="388"/>
        <v/>
      </c>
      <c r="BB583" s="655" t="str">
        <f t="shared" si="389"/>
        <v/>
      </c>
      <c r="BC583" s="655">
        <f t="shared" si="389"/>
        <v>100</v>
      </c>
    </row>
    <row r="584" spans="1:55" ht="12" customHeight="1">
      <c r="A584" s="36"/>
      <c r="B584" s="36"/>
      <c r="C584" s="36"/>
      <c r="D584" s="36"/>
      <c r="E584" s="36"/>
      <c r="F584" s="36"/>
      <c r="G584" s="36"/>
      <c r="H584" s="204" t="s">
        <v>709</v>
      </c>
      <c r="I584" s="118">
        <v>451</v>
      </c>
      <c r="J584" s="71">
        <v>4214</v>
      </c>
      <c r="K584" s="40" t="s">
        <v>710</v>
      </c>
      <c r="L584" s="309">
        <v>664228</v>
      </c>
      <c r="M584" s="309">
        <f>664228/7.5345</f>
        <v>88158.205587630233</v>
      </c>
      <c r="N584" s="339">
        <v>20733</v>
      </c>
      <c r="O584" s="339">
        <f>N584/7.5345</f>
        <v>2751.741986860442</v>
      </c>
      <c r="P584" s="294">
        <v>0</v>
      </c>
      <c r="Q584" s="294">
        <v>0</v>
      </c>
      <c r="R584" s="443">
        <v>321</v>
      </c>
      <c r="S584" s="294">
        <f>__xlfn.XLOOKUP(H584,[2]Izvršenje_proračuna_po_pozicija!$B$2:$B$153,[2]Izvršenje_proračuna_po_pozicija!$E$2:$E$153,0)</f>
        <v>0</v>
      </c>
      <c r="T584" s="294"/>
      <c r="U584" s="294"/>
      <c r="V584" s="478">
        <v>0</v>
      </c>
      <c r="W584" s="478"/>
      <c r="X584" s="544"/>
      <c r="Y584" s="544"/>
      <c r="Z584" s="541" t="b">
        <f t="shared" si="424"/>
        <v>0</v>
      </c>
      <c r="AA584" s="527"/>
      <c r="AB584" s="528"/>
      <c r="AC584" s="528"/>
      <c r="AD584" s="524">
        <f>O584/M584*100</f>
        <v>3.1213679640123573</v>
      </c>
      <c r="AE584" s="524"/>
      <c r="AF584" s="524"/>
      <c r="AG584" s="524"/>
      <c r="AH584" s="527"/>
      <c r="AI584" s="544"/>
      <c r="AJ584" s="516">
        <f>W584/R584*100</f>
        <v>0</v>
      </c>
      <c r="AK584" s="516"/>
      <c r="AL584" s="516"/>
      <c r="AM584" s="294"/>
      <c r="AO584" t="b">
        <f t="shared" si="425"/>
        <v>0</v>
      </c>
      <c r="AQ584" s="443"/>
      <c r="AS584" s="443">
        <f>__xlfn.XLOOKUP(K584,[1]Izvršenje_proračuna_po_pozicija!$C$25:$C$149,[1]Izvršenje_proračuna_po_pozicija!$E$25:$E$149,0)</f>
        <v>0</v>
      </c>
      <c r="AT584" s="617"/>
      <c r="AU584" s="478"/>
      <c r="AV584" s="638"/>
      <c r="AW584" s="638"/>
      <c r="AX584" s="655" t="str">
        <f t="shared" si="385"/>
        <v/>
      </c>
      <c r="AY584" s="655" t="str">
        <f t="shared" si="386"/>
        <v/>
      </c>
      <c r="AZ584" s="655" t="str">
        <f t="shared" si="387"/>
        <v/>
      </c>
      <c r="BA584" s="655" t="str">
        <f t="shared" si="388"/>
        <v/>
      </c>
      <c r="BB584" s="655" t="str">
        <f t="shared" si="389"/>
        <v/>
      </c>
      <c r="BC584" s="655" t="str">
        <f t="shared" si="389"/>
        <v/>
      </c>
    </row>
    <row r="585" spans="1:55" ht="12" customHeight="1">
      <c r="A585" s="36"/>
      <c r="B585" s="36"/>
      <c r="C585" s="36"/>
      <c r="D585" s="36"/>
      <c r="E585" s="36"/>
      <c r="F585" s="36"/>
      <c r="G585" s="36"/>
      <c r="H585" s="204"/>
      <c r="I585" s="118"/>
      <c r="J585" s="71"/>
      <c r="K585" s="40"/>
      <c r="L585" s="309"/>
      <c r="M585" s="309"/>
      <c r="N585" s="339"/>
      <c r="O585" s="339"/>
      <c r="P585" s="294"/>
      <c r="Q585" s="294"/>
      <c r="R585" s="443"/>
      <c r="S585" s="294">
        <f>__xlfn.XLOOKUP(H585,[2]Izvršenje_proračuna_po_pozicija!$B$2:$B$153,[2]Izvršenje_proračuna_po_pozicija!$E$2:$E$153,0)</f>
        <v>0</v>
      </c>
      <c r="T585" s="294"/>
      <c r="U585" s="294"/>
      <c r="V585" s="478"/>
      <c r="W585" s="478"/>
      <c r="X585" s="544"/>
      <c r="Y585" s="544"/>
      <c r="Z585" s="541" t="b">
        <f t="shared" si="424"/>
        <v>0</v>
      </c>
      <c r="AA585" s="527"/>
      <c r="AB585" s="528"/>
      <c r="AC585" s="528"/>
      <c r="AD585" s="524"/>
      <c r="AE585" s="524"/>
      <c r="AF585" s="524"/>
      <c r="AG585" s="524"/>
      <c r="AH585" s="527"/>
      <c r="AI585" s="544"/>
      <c r="AJ585" s="516"/>
      <c r="AK585" s="516"/>
      <c r="AL585" s="516"/>
      <c r="AM585" s="294"/>
      <c r="AO585" t="b">
        <f t="shared" si="425"/>
        <v>0</v>
      </c>
      <c r="AQ585" s="443"/>
      <c r="AS585" s="443">
        <f>__xlfn.XLOOKUP(K585,[1]Izvršenje_proračuna_po_pozicija!$C$25:$C$149,[1]Izvršenje_proračuna_po_pozicija!$E$25:$E$149,0)</f>
        <v>0</v>
      </c>
      <c r="AT585" s="617"/>
      <c r="AU585" s="478"/>
      <c r="AV585" s="638"/>
      <c r="AW585" s="638"/>
      <c r="AX585" s="655" t="str">
        <f t="shared" si="385"/>
        <v/>
      </c>
      <c r="AY585" s="655" t="str">
        <f t="shared" si="386"/>
        <v/>
      </c>
      <c r="AZ585" s="655" t="str">
        <f t="shared" si="387"/>
        <v/>
      </c>
      <c r="BA585" s="655" t="str">
        <f t="shared" si="388"/>
        <v/>
      </c>
      <c r="BB585" s="655" t="str">
        <f t="shared" si="389"/>
        <v/>
      </c>
      <c r="BC585" s="655" t="str">
        <f t="shared" si="389"/>
        <v/>
      </c>
    </row>
    <row r="586" spans="1:55" ht="12" customHeight="1">
      <c r="A586" s="212" t="s">
        <v>481</v>
      </c>
      <c r="B586" s="130"/>
      <c r="C586" s="130"/>
      <c r="D586" s="130"/>
      <c r="E586" s="130"/>
      <c r="F586" s="130"/>
      <c r="G586" s="130"/>
      <c r="H586" s="383"/>
      <c r="I586" s="150" t="s">
        <v>700</v>
      </c>
      <c r="J586" s="151"/>
      <c r="K586" s="45"/>
      <c r="L586" s="315">
        <f t="shared" ref="L586:S586" si="432">L588+L594</f>
        <v>0</v>
      </c>
      <c r="M586" s="315">
        <f t="shared" si="432"/>
        <v>0</v>
      </c>
      <c r="N586" s="337">
        <f t="shared" si="432"/>
        <v>130000</v>
      </c>
      <c r="O586" s="337">
        <f t="shared" si="432"/>
        <v>17253.965093901385</v>
      </c>
      <c r="P586" s="292">
        <f t="shared" si="432"/>
        <v>45000</v>
      </c>
      <c r="Q586" s="292">
        <f t="shared" si="432"/>
        <v>40000</v>
      </c>
      <c r="R586" s="441">
        <f t="shared" si="432"/>
        <v>40000</v>
      </c>
      <c r="S586" s="292">
        <f t="shared" si="432"/>
        <v>0</v>
      </c>
      <c r="T586" s="292"/>
      <c r="U586" s="292"/>
      <c r="V586" s="469">
        <f>V588+V594</f>
        <v>50000</v>
      </c>
      <c r="W586" s="469">
        <f>W588+W594</f>
        <v>50000</v>
      </c>
      <c r="X586" s="522">
        <f>X588+X594</f>
        <v>250000</v>
      </c>
      <c r="Y586" s="522">
        <f>Y588+Y594</f>
        <v>0</v>
      </c>
      <c r="Z586" s="541" t="b">
        <f t="shared" si="424"/>
        <v>1</v>
      </c>
      <c r="AA586" s="522"/>
      <c r="AB586" s="523">
        <f>AB588+AB594</f>
        <v>45000</v>
      </c>
      <c r="AC586" s="523">
        <f>AC588+AC594</f>
        <v>45000</v>
      </c>
      <c r="AD586" s="524"/>
      <c r="AE586" s="524">
        <f>P586/O586*100</f>
        <v>260.80961538461543</v>
      </c>
      <c r="AF586" s="524">
        <f>Q586/P586*100</f>
        <v>88.888888888888886</v>
      </c>
      <c r="AG586" s="524">
        <f>AB586/Q586*100</f>
        <v>112.5</v>
      </c>
      <c r="AH586" s="522"/>
      <c r="AI586" s="522">
        <v>250000</v>
      </c>
      <c r="AJ586" s="516">
        <f>W586/R586*100</f>
        <v>125</v>
      </c>
      <c r="AK586" s="516">
        <f>AT586/W586*100</f>
        <v>400</v>
      </c>
      <c r="AL586" s="516">
        <f>X586/AT586*100</f>
        <v>125</v>
      </c>
      <c r="AM586" s="292"/>
      <c r="AO586" t="b">
        <f t="shared" si="425"/>
        <v>1</v>
      </c>
      <c r="AP586" s="440">
        <f t="shared" ref="AP586:AU586" si="433">AP588+AP594</f>
        <v>30000</v>
      </c>
      <c r="AQ586" s="441">
        <v>30000</v>
      </c>
      <c r="AR586" s="440">
        <f>AR588+AR594</f>
        <v>30000</v>
      </c>
      <c r="AS586" s="441">
        <f t="shared" si="433"/>
        <v>0</v>
      </c>
      <c r="AT586" s="612">
        <f t="shared" si="433"/>
        <v>200000</v>
      </c>
      <c r="AU586" s="469">
        <f t="shared" si="433"/>
        <v>53500</v>
      </c>
      <c r="AV586" s="636">
        <v>250000</v>
      </c>
      <c r="AW586" s="636">
        <v>250000</v>
      </c>
      <c r="AX586" s="655">
        <f t="shared" si="385"/>
        <v>500</v>
      </c>
      <c r="AY586" s="655">
        <f t="shared" si="386"/>
        <v>666.66666666666674</v>
      </c>
      <c r="AZ586" s="655">
        <f t="shared" si="387"/>
        <v>26.75</v>
      </c>
      <c r="BA586" s="655">
        <f t="shared" si="388"/>
        <v>178.33333333333334</v>
      </c>
      <c r="BB586" s="655">
        <f t="shared" si="389"/>
        <v>467.28971962616822</v>
      </c>
      <c r="BC586" s="655">
        <f t="shared" si="389"/>
        <v>100</v>
      </c>
    </row>
    <row r="587" spans="1:55" ht="12" customHeight="1">
      <c r="A587" s="20"/>
      <c r="B587" s="20"/>
      <c r="C587" s="20"/>
      <c r="D587" s="20"/>
      <c r="E587" s="20"/>
      <c r="F587" s="20"/>
      <c r="G587" s="20"/>
      <c r="H587" s="375"/>
      <c r="I587" s="22"/>
      <c r="J587" s="21"/>
      <c r="K587" s="19"/>
      <c r="L587" s="313">
        <v>1</v>
      </c>
      <c r="M587" s="313">
        <v>2</v>
      </c>
      <c r="N587" s="335">
        <v>3</v>
      </c>
      <c r="O587" s="335">
        <v>4</v>
      </c>
      <c r="P587" s="290">
        <v>5</v>
      </c>
      <c r="Q587" s="290">
        <v>6</v>
      </c>
      <c r="R587" s="439"/>
      <c r="S587" s="294">
        <f>__xlfn.XLOOKUP(H587,[2]Izvršenje_proračuna_po_pozicija!$B$2:$B$153,[2]Izvršenje_proračuna_po_pozicija!$E$2:$E$153,0)</f>
        <v>0</v>
      </c>
      <c r="T587" s="294"/>
      <c r="U587" s="294"/>
      <c r="V587" s="474">
        <v>5</v>
      </c>
      <c r="W587" s="474"/>
      <c r="X587" s="539"/>
      <c r="Y587" s="539"/>
      <c r="Z587" s="541" t="b">
        <f t="shared" si="424"/>
        <v>0</v>
      </c>
      <c r="AA587" s="514"/>
      <c r="AB587" s="515">
        <v>7</v>
      </c>
      <c r="AC587" s="515">
        <v>8</v>
      </c>
      <c r="AD587" s="515">
        <v>9</v>
      </c>
      <c r="AE587" s="515">
        <v>10</v>
      </c>
      <c r="AF587" s="515">
        <v>11</v>
      </c>
      <c r="AG587" s="515">
        <v>12</v>
      </c>
      <c r="AH587" s="514"/>
      <c r="AI587" s="539"/>
      <c r="AJ587" s="516"/>
      <c r="AK587" s="516"/>
      <c r="AL587" s="516"/>
      <c r="AM587" s="290"/>
      <c r="AO587" t="b">
        <f t="shared" si="425"/>
        <v>0</v>
      </c>
      <c r="AQ587" s="439"/>
      <c r="AS587" s="439"/>
      <c r="AT587" s="616"/>
      <c r="AU587" s="474"/>
      <c r="AV587" s="632"/>
      <c r="AW587" s="632"/>
      <c r="AX587" s="655" t="str">
        <f t="shared" ref="AX587:AX650" si="434">IF(AND(ISNUMBER(AT587), ISNUMBER(R587), R587&lt;&gt;0), (AT587/R587)*100, "")</f>
        <v/>
      </c>
      <c r="AY587" s="655" t="str">
        <f t="shared" ref="AY587:AY650" si="435">IF(AND(ISNUMBER(AT587), ISNUMBER(AQ587), AQ587&lt;&gt;0), (AT587/AQ587)*100, "")</f>
        <v/>
      </c>
      <c r="AZ587" s="655" t="str">
        <f t="shared" ref="AZ587:AZ650" si="436">IF(AND(ISNUMBER(AU587), ISNUMBER(AT587), AT587&lt;&gt;0), (AU587/AT587)*100, "")</f>
        <v/>
      </c>
      <c r="BA587" s="655" t="str">
        <f t="shared" ref="BA587:BA650" si="437">IF(AND(ISNUMBER(AU587), ISNUMBER(AQ587), AQ587&lt;&gt;0), (AU587/AQ587)*100, "")</f>
        <v/>
      </c>
      <c r="BB587" s="655" t="str">
        <f t="shared" ref="BB587:BC650" si="438">IF(AND(ISNUMBER(AV587), ISNUMBER(AU587), AU587&lt;&gt;0), (AV587/AU587)*100, "")</f>
        <v/>
      </c>
      <c r="BC587" s="655" t="str">
        <f t="shared" si="438"/>
        <v/>
      </c>
    </row>
    <row r="588" spans="1:55" ht="12" customHeight="1">
      <c r="A588" s="52"/>
      <c r="B588" s="52"/>
      <c r="C588" s="52"/>
      <c r="D588" s="52"/>
      <c r="E588" s="52"/>
      <c r="F588" s="52"/>
      <c r="G588" s="52"/>
      <c r="H588" s="384"/>
      <c r="I588" s="120"/>
      <c r="J588" s="94">
        <v>3</v>
      </c>
      <c r="K588" s="21" t="s">
        <v>94</v>
      </c>
      <c r="L588" s="315">
        <f t="shared" ref="L588:S590" si="439">L589</f>
        <v>0</v>
      </c>
      <c r="M588" s="315">
        <f t="shared" si="439"/>
        <v>0</v>
      </c>
      <c r="N588" s="337">
        <f t="shared" si="439"/>
        <v>130000</v>
      </c>
      <c r="O588" s="337">
        <f t="shared" si="439"/>
        <v>17253.965093901385</v>
      </c>
      <c r="P588" s="292">
        <f t="shared" si="439"/>
        <v>40000</v>
      </c>
      <c r="Q588" s="292">
        <f t="shared" si="439"/>
        <v>40000</v>
      </c>
      <c r="R588" s="441">
        <f t="shared" si="439"/>
        <v>40000</v>
      </c>
      <c r="S588" s="292">
        <f t="shared" si="439"/>
        <v>0</v>
      </c>
      <c r="T588" s="292"/>
      <c r="U588" s="292"/>
      <c r="V588" s="469">
        <f t="shared" ref="V588:AK590" si="440">V589</f>
        <v>20000</v>
      </c>
      <c r="W588" s="469">
        <f t="shared" si="440"/>
        <v>50000</v>
      </c>
      <c r="X588" s="440">
        <f t="shared" si="440"/>
        <v>250000</v>
      </c>
      <c r="Y588" s="440">
        <f t="shared" si="440"/>
        <v>0</v>
      </c>
      <c r="Z588" s="440" t="b">
        <f t="shared" si="440"/>
        <v>0</v>
      </c>
      <c r="AA588" s="440">
        <f t="shared" si="440"/>
        <v>0</v>
      </c>
      <c r="AB588" s="440">
        <f t="shared" si="440"/>
        <v>40000</v>
      </c>
      <c r="AC588" s="440">
        <f t="shared" si="440"/>
        <v>40000</v>
      </c>
      <c r="AD588" s="440">
        <f t="shared" si="440"/>
        <v>0</v>
      </c>
      <c r="AE588" s="440">
        <f t="shared" si="440"/>
        <v>231.83076923076928</v>
      </c>
      <c r="AF588" s="440">
        <f t="shared" si="440"/>
        <v>100</v>
      </c>
      <c r="AG588" s="440">
        <f t="shared" si="440"/>
        <v>100</v>
      </c>
      <c r="AH588" s="440">
        <f t="shared" si="440"/>
        <v>0</v>
      </c>
      <c r="AI588" s="440">
        <f t="shared" si="440"/>
        <v>250000</v>
      </c>
      <c r="AJ588" s="440">
        <f t="shared" si="440"/>
        <v>125</v>
      </c>
      <c r="AK588" s="440">
        <f t="shared" si="440"/>
        <v>400</v>
      </c>
      <c r="AL588" s="440">
        <f t="shared" ref="AL588:AU590" si="441">AL589</f>
        <v>125</v>
      </c>
      <c r="AM588" s="440">
        <f t="shared" si="441"/>
        <v>0</v>
      </c>
      <c r="AN588" s="440">
        <f t="shared" si="441"/>
        <v>0</v>
      </c>
      <c r="AO588" s="440" t="b">
        <f t="shared" si="441"/>
        <v>0</v>
      </c>
      <c r="AP588" s="440">
        <f t="shared" si="441"/>
        <v>30000</v>
      </c>
      <c r="AQ588" s="441">
        <v>30000</v>
      </c>
      <c r="AR588" s="440">
        <f>AR589</f>
        <v>30000</v>
      </c>
      <c r="AS588" s="440">
        <f t="shared" si="441"/>
        <v>0</v>
      </c>
      <c r="AT588" s="612">
        <f>AT589</f>
        <v>200000</v>
      </c>
      <c r="AU588" s="469">
        <f t="shared" si="441"/>
        <v>53500</v>
      </c>
      <c r="AV588" s="636">
        <v>250000</v>
      </c>
      <c r="AW588" s="636">
        <v>250000</v>
      </c>
      <c r="AX588" s="655">
        <f t="shared" si="434"/>
        <v>500</v>
      </c>
      <c r="AY588" s="655">
        <f t="shared" si="435"/>
        <v>666.66666666666674</v>
      </c>
      <c r="AZ588" s="655">
        <f t="shared" si="436"/>
        <v>26.75</v>
      </c>
      <c r="BA588" s="655">
        <f t="shared" si="437"/>
        <v>178.33333333333334</v>
      </c>
      <c r="BB588" s="655">
        <f t="shared" si="438"/>
        <v>467.28971962616822</v>
      </c>
      <c r="BC588" s="655">
        <f t="shared" si="438"/>
        <v>100</v>
      </c>
    </row>
    <row r="589" spans="1:55" ht="12" customHeight="1">
      <c r="A589" s="355"/>
      <c r="B589" s="355"/>
      <c r="C589" s="355"/>
      <c r="D589" s="355"/>
      <c r="E589" s="355"/>
      <c r="F589" s="355"/>
      <c r="G589" s="355"/>
      <c r="H589" s="379"/>
      <c r="I589" s="360"/>
      <c r="J589" s="356">
        <v>38</v>
      </c>
      <c r="K589" s="358" t="s">
        <v>144</v>
      </c>
      <c r="L589" s="315">
        <f t="shared" si="439"/>
        <v>0</v>
      </c>
      <c r="M589" s="315">
        <f t="shared" si="439"/>
        <v>0</v>
      </c>
      <c r="N589" s="337">
        <f t="shared" si="439"/>
        <v>130000</v>
      </c>
      <c r="O589" s="337">
        <f t="shared" si="439"/>
        <v>17253.965093901385</v>
      </c>
      <c r="P589" s="292">
        <f t="shared" si="439"/>
        <v>40000</v>
      </c>
      <c r="Q589" s="292">
        <f t="shared" si="439"/>
        <v>40000</v>
      </c>
      <c r="R589" s="441">
        <f t="shared" si="439"/>
        <v>40000</v>
      </c>
      <c r="S589" s="292">
        <f t="shared" si="439"/>
        <v>0</v>
      </c>
      <c r="T589" s="292"/>
      <c r="U589" s="292"/>
      <c r="V589" s="469">
        <f t="shared" si="440"/>
        <v>20000</v>
      </c>
      <c r="W589" s="469">
        <f t="shared" si="440"/>
        <v>50000</v>
      </c>
      <c r="X589" s="440">
        <f t="shared" si="440"/>
        <v>250000</v>
      </c>
      <c r="Y589" s="440">
        <f t="shared" si="440"/>
        <v>0</v>
      </c>
      <c r="Z589" s="440" t="b">
        <f t="shared" si="440"/>
        <v>0</v>
      </c>
      <c r="AA589" s="440">
        <f t="shared" si="440"/>
        <v>0</v>
      </c>
      <c r="AB589" s="440">
        <f t="shared" si="440"/>
        <v>40000</v>
      </c>
      <c r="AC589" s="440">
        <f t="shared" si="440"/>
        <v>40000</v>
      </c>
      <c r="AD589" s="440">
        <f t="shared" si="440"/>
        <v>0</v>
      </c>
      <c r="AE589" s="440">
        <f t="shared" si="440"/>
        <v>231.83076923076928</v>
      </c>
      <c r="AF589" s="440">
        <f t="shared" si="440"/>
        <v>100</v>
      </c>
      <c r="AG589" s="440">
        <f t="shared" si="440"/>
        <v>100</v>
      </c>
      <c r="AH589" s="440">
        <f t="shared" si="440"/>
        <v>0</v>
      </c>
      <c r="AI589" s="440">
        <f t="shared" si="440"/>
        <v>250000</v>
      </c>
      <c r="AJ589" s="440">
        <f t="shared" si="440"/>
        <v>125</v>
      </c>
      <c r="AK589" s="440">
        <f t="shared" si="440"/>
        <v>400</v>
      </c>
      <c r="AL589" s="440">
        <f t="shared" si="441"/>
        <v>125</v>
      </c>
      <c r="AM589" s="440">
        <f t="shared" si="441"/>
        <v>0</v>
      </c>
      <c r="AN589" s="440">
        <f t="shared" si="441"/>
        <v>0</v>
      </c>
      <c r="AO589" s="440" t="b">
        <f t="shared" si="441"/>
        <v>0</v>
      </c>
      <c r="AP589" s="440">
        <f t="shared" si="441"/>
        <v>30000</v>
      </c>
      <c r="AQ589" s="441">
        <v>30000</v>
      </c>
      <c r="AR589" s="440">
        <f>AR590</f>
        <v>30000</v>
      </c>
      <c r="AS589" s="440">
        <f t="shared" si="441"/>
        <v>0</v>
      </c>
      <c r="AT589" s="612">
        <f>AT590</f>
        <v>200000</v>
      </c>
      <c r="AU589" s="469">
        <f t="shared" si="441"/>
        <v>53500</v>
      </c>
      <c r="AV589" s="636">
        <v>250000</v>
      </c>
      <c r="AW589" s="636">
        <v>250000</v>
      </c>
      <c r="AX589" s="655">
        <f t="shared" si="434"/>
        <v>500</v>
      </c>
      <c r="AY589" s="655">
        <f t="shared" si="435"/>
        <v>666.66666666666674</v>
      </c>
      <c r="AZ589" s="655">
        <f t="shared" si="436"/>
        <v>26.75</v>
      </c>
      <c r="BA589" s="655">
        <f t="shared" si="437"/>
        <v>178.33333333333334</v>
      </c>
      <c r="BB589" s="655">
        <f t="shared" si="438"/>
        <v>467.28971962616822</v>
      </c>
      <c r="BC589" s="655">
        <f t="shared" si="438"/>
        <v>100</v>
      </c>
    </row>
    <row r="590" spans="1:55" ht="12" customHeight="1">
      <c r="A590" s="56"/>
      <c r="B590" s="56"/>
      <c r="C590" s="56"/>
      <c r="D590" s="56"/>
      <c r="E590" s="56"/>
      <c r="F590" s="56"/>
      <c r="G590" s="56"/>
      <c r="H590" s="377"/>
      <c r="I590" s="119"/>
      <c r="J590" s="116">
        <v>386</v>
      </c>
      <c r="K590" s="60" t="s">
        <v>275</v>
      </c>
      <c r="L590" s="315">
        <f t="shared" si="439"/>
        <v>0</v>
      </c>
      <c r="M590" s="315">
        <f t="shared" si="439"/>
        <v>0</v>
      </c>
      <c r="N590" s="337">
        <f t="shared" si="439"/>
        <v>130000</v>
      </c>
      <c r="O590" s="337">
        <f t="shared" si="439"/>
        <v>17253.965093901385</v>
      </c>
      <c r="P590" s="292">
        <f t="shared" si="439"/>
        <v>40000</v>
      </c>
      <c r="Q590" s="292">
        <f t="shared" si="439"/>
        <v>40000</v>
      </c>
      <c r="R590" s="441">
        <f t="shared" si="439"/>
        <v>40000</v>
      </c>
      <c r="S590" s="292">
        <f t="shared" si="439"/>
        <v>0</v>
      </c>
      <c r="T590" s="292"/>
      <c r="U590" s="292"/>
      <c r="V590" s="469">
        <f t="shared" si="440"/>
        <v>20000</v>
      </c>
      <c r="W590" s="469">
        <f t="shared" si="440"/>
        <v>50000</v>
      </c>
      <c r="X590" s="440">
        <f t="shared" si="440"/>
        <v>250000</v>
      </c>
      <c r="Y590" s="440">
        <f t="shared" si="440"/>
        <v>0</v>
      </c>
      <c r="Z590" s="440" t="b">
        <f t="shared" si="440"/>
        <v>0</v>
      </c>
      <c r="AA590" s="440">
        <f t="shared" si="440"/>
        <v>0</v>
      </c>
      <c r="AB590" s="440">
        <f t="shared" si="440"/>
        <v>40000</v>
      </c>
      <c r="AC590" s="440">
        <f t="shared" si="440"/>
        <v>40000</v>
      </c>
      <c r="AD590" s="440">
        <f t="shared" si="440"/>
        <v>0</v>
      </c>
      <c r="AE590" s="440">
        <f t="shared" si="440"/>
        <v>231.83076923076928</v>
      </c>
      <c r="AF590" s="440">
        <f t="shared" si="440"/>
        <v>100</v>
      </c>
      <c r="AG590" s="440">
        <f t="shared" si="440"/>
        <v>100</v>
      </c>
      <c r="AH590" s="440">
        <f t="shared" si="440"/>
        <v>0</v>
      </c>
      <c r="AI590" s="440">
        <f t="shared" si="440"/>
        <v>250000</v>
      </c>
      <c r="AJ590" s="440">
        <f t="shared" si="440"/>
        <v>125</v>
      </c>
      <c r="AK590" s="440">
        <f t="shared" si="440"/>
        <v>400</v>
      </c>
      <c r="AL590" s="440">
        <f t="shared" si="441"/>
        <v>125</v>
      </c>
      <c r="AM590" s="440">
        <f t="shared" si="441"/>
        <v>0</v>
      </c>
      <c r="AN590" s="440">
        <f t="shared" si="441"/>
        <v>0</v>
      </c>
      <c r="AO590" s="440" t="b">
        <f t="shared" si="441"/>
        <v>0</v>
      </c>
      <c r="AP590" s="440">
        <f t="shared" si="441"/>
        <v>30000</v>
      </c>
      <c r="AQ590" s="441">
        <v>30000</v>
      </c>
      <c r="AR590" s="440">
        <f>AR591</f>
        <v>30000</v>
      </c>
      <c r="AS590" s="440">
        <f t="shared" si="441"/>
        <v>0</v>
      </c>
      <c r="AT590" s="612">
        <f>AT591</f>
        <v>200000</v>
      </c>
      <c r="AU590" s="469">
        <f t="shared" si="441"/>
        <v>53500</v>
      </c>
      <c r="AV590" s="636">
        <v>250000</v>
      </c>
      <c r="AW590" s="636">
        <v>250000</v>
      </c>
      <c r="AX590" s="655">
        <f t="shared" si="434"/>
        <v>500</v>
      </c>
      <c r="AY590" s="655">
        <f t="shared" si="435"/>
        <v>666.66666666666674</v>
      </c>
      <c r="AZ590" s="655">
        <f t="shared" si="436"/>
        <v>26.75</v>
      </c>
      <c r="BA590" s="655">
        <f t="shared" si="437"/>
        <v>178.33333333333334</v>
      </c>
      <c r="BB590" s="655">
        <f t="shared" si="438"/>
        <v>467.28971962616822</v>
      </c>
      <c r="BC590" s="655">
        <f t="shared" si="438"/>
        <v>100</v>
      </c>
    </row>
    <row r="591" spans="1:55" ht="12" customHeight="1">
      <c r="A591" s="36"/>
      <c r="B591" s="36"/>
      <c r="C591" s="36"/>
      <c r="D591" s="36"/>
      <c r="E591" s="36"/>
      <c r="F591" s="36"/>
      <c r="G591" s="36"/>
      <c r="H591" s="204" t="s">
        <v>284</v>
      </c>
      <c r="I591" s="118">
        <v>451</v>
      </c>
      <c r="J591" s="71">
        <v>3861</v>
      </c>
      <c r="K591" s="40" t="s">
        <v>701</v>
      </c>
      <c r="L591" s="309">
        <v>0</v>
      </c>
      <c r="M591" s="309">
        <v>0</v>
      </c>
      <c r="N591" s="339">
        <v>130000</v>
      </c>
      <c r="O591" s="339">
        <f>N591/7.5345</f>
        <v>17253.965093901385</v>
      </c>
      <c r="P591" s="294">
        <v>40000</v>
      </c>
      <c r="Q591" s="294">
        <v>40000</v>
      </c>
      <c r="R591" s="443">
        <v>40000</v>
      </c>
      <c r="S591" s="294">
        <f>__xlfn.XLOOKUP(H591,[2]Izvršenje_proračuna_po_pozicija!$B$2:$B$153,[2]Izvršenje_proračuna_po_pozicija!$E$2:$E$153,0)</f>
        <v>0</v>
      </c>
      <c r="T591" s="294"/>
      <c r="U591" s="294"/>
      <c r="V591" s="478">
        <v>20000</v>
      </c>
      <c r="W591" s="478">
        <v>50000</v>
      </c>
      <c r="X591" s="544">
        <v>250000</v>
      </c>
      <c r="Y591" s="544"/>
      <c r="Z591" s="541" t="b">
        <f>__xlfn.ISFORMULA(R591)</f>
        <v>0</v>
      </c>
      <c r="AA591" s="527"/>
      <c r="AB591" s="528">
        <v>40000</v>
      </c>
      <c r="AC591" s="528">
        <v>40000</v>
      </c>
      <c r="AD591" s="524"/>
      <c r="AE591" s="524">
        <f>P591/O591*100</f>
        <v>231.83076923076928</v>
      </c>
      <c r="AF591" s="524">
        <f>Q591/P591*100</f>
        <v>100</v>
      </c>
      <c r="AG591" s="524">
        <f>AB591/Q591*100</f>
        <v>100</v>
      </c>
      <c r="AH591" s="527"/>
      <c r="AI591" s="544">
        <v>250000</v>
      </c>
      <c r="AJ591" s="516">
        <f>W591/R591*100</f>
        <v>125</v>
      </c>
      <c r="AK591" s="516">
        <f>AT591/W591*100</f>
        <v>400</v>
      </c>
      <c r="AL591" s="516">
        <f>X591/AT591*100</f>
        <v>125</v>
      </c>
      <c r="AM591" s="294"/>
      <c r="AO591" t="b">
        <f>__xlfn.ISFORMULA(AT591)</f>
        <v>0</v>
      </c>
      <c r="AP591" s="493">
        <v>30000</v>
      </c>
      <c r="AQ591" s="443">
        <v>30000</v>
      </c>
      <c r="AR591" s="493">
        <v>30000</v>
      </c>
      <c r="AS591" s="443">
        <f>__xlfn.XLOOKUP(K591,[1]Izvršenje_proračuna_po_pozicija!$C$25:$C$149,[1]Izvršenje_proračuna_po_pozicija!$E$25:$E$149,0)</f>
        <v>0</v>
      </c>
      <c r="AT591" s="617">
        <v>200000</v>
      </c>
      <c r="AU591" s="478">
        <v>53500</v>
      </c>
      <c r="AV591" s="638">
        <v>250000</v>
      </c>
      <c r="AW591" s="638">
        <v>250000</v>
      </c>
      <c r="AX591" s="655">
        <f t="shared" si="434"/>
        <v>500</v>
      </c>
      <c r="AY591" s="655">
        <f t="shared" si="435"/>
        <v>666.66666666666674</v>
      </c>
      <c r="AZ591" s="655">
        <f t="shared" si="436"/>
        <v>26.75</v>
      </c>
      <c r="BA591" s="655">
        <f t="shared" si="437"/>
        <v>178.33333333333334</v>
      </c>
      <c r="BB591" s="655">
        <f t="shared" si="438"/>
        <v>467.28971962616822</v>
      </c>
      <c r="BC591" s="655">
        <f t="shared" si="438"/>
        <v>100</v>
      </c>
    </row>
    <row r="592" spans="1:55" ht="12" customHeight="1">
      <c r="A592" s="36"/>
      <c r="B592" s="36"/>
      <c r="C592" s="36"/>
      <c r="D592" s="36"/>
      <c r="E592" s="36"/>
      <c r="F592" s="36"/>
      <c r="G592" s="36"/>
      <c r="H592" s="204"/>
      <c r="I592" s="118"/>
      <c r="J592" s="71"/>
      <c r="K592" s="155"/>
      <c r="L592" s="309"/>
      <c r="M592" s="309"/>
      <c r="N592" s="339"/>
      <c r="O592" s="339"/>
      <c r="P592" s="294"/>
      <c r="Q592" s="294"/>
      <c r="R592" s="443"/>
      <c r="S592" s="294">
        <f>__xlfn.XLOOKUP(H592,[2]Izvršenje_proračuna_po_pozicija!$B$2:$B$153,[2]Izvršenje_proračuna_po_pozicija!$E$2:$E$153,0)</f>
        <v>0</v>
      </c>
      <c r="T592" s="294"/>
      <c r="U592" s="294"/>
      <c r="V592" s="478"/>
      <c r="W592" s="478"/>
      <c r="X592" s="544"/>
      <c r="Y592" s="544"/>
      <c r="Z592" s="541" t="b">
        <f>__xlfn.ISFORMULA(R592)</f>
        <v>0</v>
      </c>
      <c r="AA592" s="527"/>
      <c r="AB592" s="528"/>
      <c r="AC592" s="528"/>
      <c r="AD592" s="524"/>
      <c r="AE592" s="524"/>
      <c r="AF592" s="524"/>
      <c r="AG592" s="524"/>
      <c r="AH592" s="527"/>
      <c r="AI592" s="544"/>
      <c r="AJ592" s="516"/>
      <c r="AK592" s="516"/>
      <c r="AL592" s="516"/>
      <c r="AM592" s="294"/>
      <c r="AO592" t="b">
        <f>__xlfn.ISFORMULA(AT592)</f>
        <v>0</v>
      </c>
      <c r="AQ592" s="443"/>
      <c r="AS592" s="443">
        <f>__xlfn.XLOOKUP(K592,[1]Izvršenje_proračuna_po_pozicija!$C$25:$C$149,[1]Izvršenje_proračuna_po_pozicija!$E$25:$E$149,0)</f>
        <v>0</v>
      </c>
      <c r="AT592" s="617"/>
      <c r="AU592" s="478"/>
      <c r="AV592" s="638"/>
      <c r="AW592" s="638"/>
      <c r="AX592" s="655" t="str">
        <f t="shared" si="434"/>
        <v/>
      </c>
      <c r="AY592" s="655" t="str">
        <f t="shared" si="435"/>
        <v/>
      </c>
      <c r="AZ592" s="655" t="str">
        <f t="shared" si="436"/>
        <v/>
      </c>
      <c r="BA592" s="655" t="str">
        <f t="shared" si="437"/>
        <v/>
      </c>
      <c r="BB592" s="655" t="str">
        <f t="shared" si="438"/>
        <v/>
      </c>
      <c r="BC592" s="655" t="str">
        <f t="shared" si="438"/>
        <v/>
      </c>
    </row>
    <row r="593" spans="1:55" ht="12" customHeight="1">
      <c r="A593" s="52"/>
      <c r="B593" s="52"/>
      <c r="C593" s="52"/>
      <c r="D593" s="52"/>
      <c r="E593" s="52"/>
      <c r="F593" s="52"/>
      <c r="G593" s="52"/>
      <c r="H593" s="384"/>
      <c r="I593" s="120"/>
      <c r="J593" s="94">
        <v>4</v>
      </c>
      <c r="K593" s="21" t="s">
        <v>241</v>
      </c>
      <c r="L593" s="315">
        <f t="shared" ref="L593:Q594" si="442">L594</f>
        <v>0</v>
      </c>
      <c r="M593" s="315">
        <f t="shared" si="442"/>
        <v>0</v>
      </c>
      <c r="N593" s="337">
        <f t="shared" si="442"/>
        <v>0</v>
      </c>
      <c r="O593" s="337">
        <f t="shared" si="442"/>
        <v>0</v>
      </c>
      <c r="P593" s="292">
        <f t="shared" si="442"/>
        <v>5000</v>
      </c>
      <c r="Q593" s="292">
        <f t="shared" si="442"/>
        <v>0</v>
      </c>
      <c r="R593" s="441">
        <f>R594</f>
        <v>0</v>
      </c>
      <c r="S593" s="292">
        <f>S594</f>
        <v>0</v>
      </c>
      <c r="T593" s="292"/>
      <c r="U593" s="292"/>
      <c r="V593" s="469">
        <f>V594</f>
        <v>30000</v>
      </c>
      <c r="W593" s="469">
        <f>W594</f>
        <v>0</v>
      </c>
      <c r="X593" s="440">
        <f t="shared" ref="X593:AU594" si="443">X594</f>
        <v>0</v>
      </c>
      <c r="Y593" s="440">
        <f t="shared" si="443"/>
        <v>0</v>
      </c>
      <c r="Z593" s="440">
        <f t="shared" si="443"/>
        <v>0</v>
      </c>
      <c r="AA593" s="440">
        <f t="shared" si="443"/>
        <v>0</v>
      </c>
      <c r="AB593" s="440">
        <f t="shared" si="443"/>
        <v>5000</v>
      </c>
      <c r="AC593" s="440">
        <f t="shared" si="443"/>
        <v>5000</v>
      </c>
      <c r="AD593" s="440">
        <f t="shared" si="443"/>
        <v>0</v>
      </c>
      <c r="AE593" s="440">
        <f t="shared" si="443"/>
        <v>0</v>
      </c>
      <c r="AF593" s="440">
        <f t="shared" si="443"/>
        <v>0</v>
      </c>
      <c r="AG593" s="440">
        <f t="shared" si="443"/>
        <v>0</v>
      </c>
      <c r="AH593" s="440">
        <f t="shared" si="443"/>
        <v>0</v>
      </c>
      <c r="AI593" s="440">
        <f t="shared" si="443"/>
        <v>0</v>
      </c>
      <c r="AJ593" s="440">
        <f t="shared" si="443"/>
        <v>0</v>
      </c>
      <c r="AK593" s="440">
        <f t="shared" si="443"/>
        <v>0</v>
      </c>
      <c r="AL593" s="440">
        <f t="shared" si="443"/>
        <v>0</v>
      </c>
      <c r="AM593" s="440">
        <f t="shared" si="443"/>
        <v>0</v>
      </c>
      <c r="AN593" s="440">
        <f t="shared" si="443"/>
        <v>0</v>
      </c>
      <c r="AO593" s="440">
        <f t="shared" si="443"/>
        <v>0</v>
      </c>
      <c r="AP593" s="440">
        <f t="shared" si="443"/>
        <v>0</v>
      </c>
      <c r="AQ593" s="441">
        <v>0</v>
      </c>
      <c r="AR593" s="440">
        <f>AR594</f>
        <v>0</v>
      </c>
      <c r="AS593" s="440">
        <f t="shared" si="443"/>
        <v>0</v>
      </c>
      <c r="AT593" s="612">
        <f>AT594</f>
        <v>0</v>
      </c>
      <c r="AU593" s="469">
        <f t="shared" si="443"/>
        <v>0</v>
      </c>
      <c r="AV593" s="636">
        <v>0</v>
      </c>
      <c r="AW593" s="636">
        <v>0</v>
      </c>
      <c r="AX593" s="655" t="str">
        <f t="shared" si="434"/>
        <v/>
      </c>
      <c r="AY593" s="655" t="str">
        <f t="shared" si="435"/>
        <v/>
      </c>
      <c r="AZ593" s="655" t="str">
        <f t="shared" si="436"/>
        <v/>
      </c>
      <c r="BA593" s="655" t="str">
        <f t="shared" si="437"/>
        <v/>
      </c>
      <c r="BB593" s="655" t="str">
        <f t="shared" si="438"/>
        <v/>
      </c>
      <c r="BC593" s="655" t="str">
        <f t="shared" si="438"/>
        <v/>
      </c>
    </row>
    <row r="594" spans="1:55" ht="12" customHeight="1">
      <c r="A594" s="355"/>
      <c r="B594" s="355"/>
      <c r="C594" s="355"/>
      <c r="D594" s="355"/>
      <c r="E594" s="355"/>
      <c r="F594" s="355"/>
      <c r="G594" s="355"/>
      <c r="H594" s="379"/>
      <c r="I594" s="360"/>
      <c r="J594" s="356">
        <v>42</v>
      </c>
      <c r="K594" s="358" t="s">
        <v>279</v>
      </c>
      <c r="L594" s="315">
        <f t="shared" si="442"/>
        <v>0</v>
      </c>
      <c r="M594" s="315">
        <f t="shared" si="442"/>
        <v>0</v>
      </c>
      <c r="N594" s="337">
        <f t="shared" si="442"/>
        <v>0</v>
      </c>
      <c r="O594" s="337">
        <f t="shared" si="442"/>
        <v>0</v>
      </c>
      <c r="P594" s="292">
        <f t="shared" si="442"/>
        <v>5000</v>
      </c>
      <c r="Q594" s="292">
        <f t="shared" si="442"/>
        <v>0</v>
      </c>
      <c r="R594" s="441">
        <f>R595</f>
        <v>0</v>
      </c>
      <c r="S594" s="292">
        <f>S595</f>
        <v>0</v>
      </c>
      <c r="T594" s="292"/>
      <c r="U594" s="292"/>
      <c r="V594" s="469">
        <f>V595</f>
        <v>30000</v>
      </c>
      <c r="W594" s="469">
        <f>W595</f>
        <v>0</v>
      </c>
      <c r="X594" s="440">
        <f t="shared" si="443"/>
        <v>0</v>
      </c>
      <c r="Y594" s="440">
        <f t="shared" si="443"/>
        <v>0</v>
      </c>
      <c r="Z594" s="440">
        <f t="shared" si="443"/>
        <v>0</v>
      </c>
      <c r="AA594" s="440">
        <f t="shared" si="443"/>
        <v>0</v>
      </c>
      <c r="AB594" s="440">
        <f t="shared" si="443"/>
        <v>5000</v>
      </c>
      <c r="AC594" s="440">
        <f t="shared" si="443"/>
        <v>5000</v>
      </c>
      <c r="AD594" s="440">
        <f t="shared" si="443"/>
        <v>0</v>
      </c>
      <c r="AE594" s="440">
        <f t="shared" si="443"/>
        <v>0</v>
      </c>
      <c r="AF594" s="440">
        <f t="shared" si="443"/>
        <v>0</v>
      </c>
      <c r="AG594" s="440">
        <f t="shared" si="443"/>
        <v>0</v>
      </c>
      <c r="AH594" s="440">
        <f t="shared" si="443"/>
        <v>0</v>
      </c>
      <c r="AI594" s="440">
        <f t="shared" si="443"/>
        <v>0</v>
      </c>
      <c r="AJ594" s="440">
        <f t="shared" si="443"/>
        <v>0</v>
      </c>
      <c r="AK594" s="440">
        <f t="shared" si="443"/>
        <v>0</v>
      </c>
      <c r="AL594" s="440">
        <f t="shared" si="443"/>
        <v>0</v>
      </c>
      <c r="AM594" s="440">
        <f t="shared" si="443"/>
        <v>0</v>
      </c>
      <c r="AN594" s="440">
        <f t="shared" si="443"/>
        <v>0</v>
      </c>
      <c r="AO594" s="440">
        <f t="shared" si="443"/>
        <v>0</v>
      </c>
      <c r="AP594" s="440">
        <f t="shared" si="443"/>
        <v>0</v>
      </c>
      <c r="AQ594" s="441">
        <v>0</v>
      </c>
      <c r="AR594" s="440">
        <f>AR595</f>
        <v>0</v>
      </c>
      <c r="AS594" s="440">
        <f t="shared" si="443"/>
        <v>0</v>
      </c>
      <c r="AT594" s="612">
        <f>AT595</f>
        <v>0</v>
      </c>
      <c r="AU594" s="469">
        <f t="shared" si="443"/>
        <v>0</v>
      </c>
      <c r="AV594" s="636">
        <v>0</v>
      </c>
      <c r="AW594" s="636">
        <v>0</v>
      </c>
      <c r="AX594" s="655" t="str">
        <f t="shared" si="434"/>
        <v/>
      </c>
      <c r="AY594" s="655" t="str">
        <f t="shared" si="435"/>
        <v/>
      </c>
      <c r="AZ594" s="655" t="str">
        <f t="shared" si="436"/>
        <v/>
      </c>
      <c r="BA594" s="655" t="str">
        <f t="shared" si="437"/>
        <v/>
      </c>
      <c r="BB594" s="655" t="str">
        <f t="shared" si="438"/>
        <v/>
      </c>
      <c r="BC594" s="655" t="str">
        <f t="shared" si="438"/>
        <v/>
      </c>
    </row>
    <row r="595" spans="1:55" ht="12" customHeight="1">
      <c r="A595" s="56"/>
      <c r="B595" s="56"/>
      <c r="C595" s="56"/>
      <c r="D595" s="56"/>
      <c r="E595" s="56"/>
      <c r="F595" s="56"/>
      <c r="G595" s="56"/>
      <c r="H595" s="377"/>
      <c r="I595" s="119"/>
      <c r="J595" s="116">
        <v>421</v>
      </c>
      <c r="K595" s="60" t="s">
        <v>243</v>
      </c>
      <c r="L595" s="315">
        <f t="shared" ref="L595:S595" si="444">L596+L597</f>
        <v>0</v>
      </c>
      <c r="M595" s="315">
        <f t="shared" si="444"/>
        <v>0</v>
      </c>
      <c r="N595" s="337">
        <f t="shared" si="444"/>
        <v>0</v>
      </c>
      <c r="O595" s="337">
        <f t="shared" si="444"/>
        <v>0</v>
      </c>
      <c r="P595" s="292">
        <f t="shared" si="444"/>
        <v>5000</v>
      </c>
      <c r="Q595" s="292">
        <f t="shared" si="444"/>
        <v>0</v>
      </c>
      <c r="R595" s="441">
        <f t="shared" si="444"/>
        <v>0</v>
      </c>
      <c r="S595" s="292">
        <f t="shared" si="444"/>
        <v>0</v>
      </c>
      <c r="T595" s="292"/>
      <c r="U595" s="292"/>
      <c r="V595" s="469">
        <f>V596+V597</f>
        <v>30000</v>
      </c>
      <c r="W595" s="469">
        <f>W596+W597</f>
        <v>0</v>
      </c>
      <c r="X595" s="440">
        <f t="shared" ref="X595:AU595" si="445">X596+X597</f>
        <v>0</v>
      </c>
      <c r="Y595" s="440">
        <f t="shared" si="445"/>
        <v>0</v>
      </c>
      <c r="Z595" s="440">
        <f t="shared" si="445"/>
        <v>0</v>
      </c>
      <c r="AA595" s="440">
        <f t="shared" si="445"/>
        <v>0</v>
      </c>
      <c r="AB595" s="440">
        <f t="shared" si="445"/>
        <v>5000</v>
      </c>
      <c r="AC595" s="440">
        <f t="shared" si="445"/>
        <v>5000</v>
      </c>
      <c r="AD595" s="440">
        <f t="shared" si="445"/>
        <v>0</v>
      </c>
      <c r="AE595" s="440">
        <f t="shared" si="445"/>
        <v>0</v>
      </c>
      <c r="AF595" s="440">
        <f t="shared" si="445"/>
        <v>0</v>
      </c>
      <c r="AG595" s="440">
        <f t="shared" si="445"/>
        <v>0</v>
      </c>
      <c r="AH595" s="440">
        <f t="shared" si="445"/>
        <v>0</v>
      </c>
      <c r="AI595" s="440">
        <f t="shared" si="445"/>
        <v>0</v>
      </c>
      <c r="AJ595" s="440">
        <f t="shared" si="445"/>
        <v>0</v>
      </c>
      <c r="AK595" s="440">
        <f t="shared" si="445"/>
        <v>0</v>
      </c>
      <c r="AL595" s="440">
        <f t="shared" si="445"/>
        <v>0</v>
      </c>
      <c r="AM595" s="440">
        <f t="shared" si="445"/>
        <v>0</v>
      </c>
      <c r="AN595" s="440">
        <f t="shared" si="445"/>
        <v>0</v>
      </c>
      <c r="AO595" s="440">
        <f t="shared" si="445"/>
        <v>0</v>
      </c>
      <c r="AP595" s="440">
        <f t="shared" si="445"/>
        <v>0</v>
      </c>
      <c r="AQ595" s="441">
        <v>0</v>
      </c>
      <c r="AR595" s="440">
        <f>AR596+AR597</f>
        <v>0</v>
      </c>
      <c r="AS595" s="440">
        <f t="shared" si="445"/>
        <v>0</v>
      </c>
      <c r="AT595" s="612">
        <f t="shared" si="445"/>
        <v>0</v>
      </c>
      <c r="AU595" s="469">
        <f t="shared" si="445"/>
        <v>0</v>
      </c>
      <c r="AV595" s="636">
        <v>0</v>
      </c>
      <c r="AW595" s="636">
        <v>0</v>
      </c>
      <c r="AX595" s="655" t="str">
        <f t="shared" si="434"/>
        <v/>
      </c>
      <c r="AY595" s="655" t="str">
        <f t="shared" si="435"/>
        <v/>
      </c>
      <c r="AZ595" s="655" t="str">
        <f t="shared" si="436"/>
        <v/>
      </c>
      <c r="BA595" s="655" t="str">
        <f t="shared" si="437"/>
        <v/>
      </c>
      <c r="BB595" s="655" t="str">
        <f t="shared" si="438"/>
        <v/>
      </c>
      <c r="BC595" s="655" t="str">
        <f t="shared" si="438"/>
        <v/>
      </c>
    </row>
    <row r="596" spans="1:55" s="198" customFormat="1" ht="12" customHeight="1">
      <c r="A596" s="36"/>
      <c r="B596" s="36"/>
      <c r="C596" s="36"/>
      <c r="D596" s="36"/>
      <c r="E596" s="36"/>
      <c r="F596" s="36"/>
      <c r="G596" s="36"/>
      <c r="H596" s="204">
        <v>174</v>
      </c>
      <c r="I596" s="118">
        <v>451</v>
      </c>
      <c r="J596" s="71">
        <v>4214</v>
      </c>
      <c r="K596" s="40" t="s">
        <v>777</v>
      </c>
      <c r="L596" s="309">
        <v>0</v>
      </c>
      <c r="M596" s="309">
        <v>0</v>
      </c>
      <c r="N596" s="339">
        <v>0</v>
      </c>
      <c r="O596" s="339">
        <v>0</v>
      </c>
      <c r="P596" s="294">
        <v>5000</v>
      </c>
      <c r="Q596" s="269">
        <v>0</v>
      </c>
      <c r="R596" s="443">
        <v>0</v>
      </c>
      <c r="S596" s="294">
        <f>__xlfn.XLOOKUP(H596,[2]Izvršenje_proračuna_po_pozicija!$B$2:$B$153,[2]Izvršenje_proračuna_po_pozicija!$E$2:$E$153,0)</f>
        <v>0</v>
      </c>
      <c r="T596" s="294"/>
      <c r="U596" s="294"/>
      <c r="V596" s="478">
        <v>30000</v>
      </c>
      <c r="W596" s="478"/>
      <c r="X596" s="544"/>
      <c r="Y596" s="544"/>
      <c r="Z596" s="541" t="b">
        <f>__xlfn.ISFORMULA(R596)</f>
        <v>0</v>
      </c>
      <c r="AA596" s="527"/>
      <c r="AB596" s="528">
        <v>5000</v>
      </c>
      <c r="AC596" s="528">
        <v>5000</v>
      </c>
      <c r="AD596" s="524"/>
      <c r="AE596" s="524"/>
      <c r="AF596" s="524"/>
      <c r="AG596" s="524"/>
      <c r="AH596" s="527"/>
      <c r="AI596" s="544"/>
      <c r="AJ596" s="516"/>
      <c r="AK596" s="516"/>
      <c r="AL596" s="516"/>
      <c r="AM596" s="294"/>
      <c r="AO596" t="b">
        <f>__xlfn.ISFORMULA(AT596)</f>
        <v>0</v>
      </c>
      <c r="AQ596" s="443"/>
      <c r="AS596" s="443">
        <f>__xlfn.XLOOKUP(K596,[1]Izvršenje_proračuna_po_pozicija!$C$25:$C$149,[1]Izvršenje_proračuna_po_pozicija!$E$25:$E$149,0)</f>
        <v>0</v>
      </c>
      <c r="AT596" s="617"/>
      <c r="AU596" s="478"/>
      <c r="AV596" s="638"/>
      <c r="AW596" s="638"/>
      <c r="AX596" s="655" t="str">
        <f t="shared" si="434"/>
        <v/>
      </c>
      <c r="AY596" s="655" t="str">
        <f t="shared" si="435"/>
        <v/>
      </c>
      <c r="AZ596" s="655" t="str">
        <f t="shared" si="436"/>
        <v/>
      </c>
      <c r="BA596" s="655" t="str">
        <f t="shared" si="437"/>
        <v/>
      </c>
      <c r="BB596" s="655" t="str">
        <f t="shared" si="438"/>
        <v/>
      </c>
      <c r="BC596" s="655" t="str">
        <f t="shared" si="438"/>
        <v/>
      </c>
    </row>
    <row r="597" spans="1:55" ht="12" customHeight="1">
      <c r="A597" s="124"/>
      <c r="B597" s="124"/>
      <c r="C597" s="124"/>
      <c r="D597" s="124"/>
      <c r="E597" s="124"/>
      <c r="F597" s="124"/>
      <c r="G597" s="124"/>
      <c r="H597" s="385"/>
      <c r="I597" s="159"/>
      <c r="J597" s="261"/>
      <c r="K597" s="71"/>
      <c r="L597" s="321"/>
      <c r="M597" s="321"/>
      <c r="N597" s="345"/>
      <c r="O597" s="345"/>
      <c r="P597" s="300"/>
      <c r="Q597" s="300"/>
      <c r="R597" s="457"/>
      <c r="S597" s="294">
        <f>__xlfn.XLOOKUP(H597,[2]Izvršenje_proračuna_po_pozicija!$B$2:$B$153,[2]Izvršenje_proračuna_po_pozicija!$E$2:$E$153,0)</f>
        <v>0</v>
      </c>
      <c r="T597" s="294"/>
      <c r="U597" s="294"/>
      <c r="V597" s="479"/>
      <c r="W597" s="479"/>
      <c r="X597" s="545"/>
      <c r="Y597" s="545"/>
      <c r="Z597" s="541" t="b">
        <f>__xlfn.ISFORMULA(R597)</f>
        <v>0</v>
      </c>
      <c r="AA597" s="546"/>
      <c r="AB597" s="547"/>
      <c r="AC597" s="547"/>
      <c r="AD597" s="524"/>
      <c r="AE597" s="524"/>
      <c r="AF597" s="524"/>
      <c r="AG597" s="524"/>
      <c r="AH597" s="546"/>
      <c r="AI597" s="545"/>
      <c r="AJ597" s="516"/>
      <c r="AK597" s="516"/>
      <c r="AL597" s="516"/>
      <c r="AM597" s="300"/>
      <c r="AO597" t="b">
        <f>__xlfn.ISFORMULA(AT597)</f>
        <v>0</v>
      </c>
      <c r="AQ597" s="457"/>
      <c r="AS597" s="457">
        <f>__xlfn.XLOOKUP(K597,[1]Izvršenje_proračuna_po_pozicija!$C$25:$C$149,[1]Izvršenje_proračuna_po_pozicija!$E$25:$E$149,0)</f>
        <v>0</v>
      </c>
      <c r="AT597" s="617"/>
      <c r="AU597" s="479"/>
      <c r="AV597" s="644"/>
      <c r="AW597" s="644"/>
      <c r="AX597" s="655" t="str">
        <f t="shared" si="434"/>
        <v/>
      </c>
      <c r="AY597" s="655" t="str">
        <f t="shared" si="435"/>
        <v/>
      </c>
      <c r="AZ597" s="655" t="str">
        <f t="shared" si="436"/>
        <v/>
      </c>
      <c r="BA597" s="655" t="str">
        <f t="shared" si="437"/>
        <v/>
      </c>
      <c r="BB597" s="655" t="str">
        <f t="shared" si="438"/>
        <v/>
      </c>
      <c r="BC597" s="655" t="str">
        <f t="shared" si="438"/>
        <v/>
      </c>
    </row>
    <row r="598" spans="1:55" ht="12" customHeight="1">
      <c r="A598" s="142"/>
      <c r="B598" s="142"/>
      <c r="C598" s="142"/>
      <c r="D598" s="142"/>
      <c r="E598" s="142"/>
      <c r="F598" s="142"/>
      <c r="G598" s="142"/>
      <c r="H598" s="390"/>
      <c r="I598" s="153" t="s">
        <v>482</v>
      </c>
      <c r="J598" s="154"/>
      <c r="K598" s="51"/>
      <c r="L598" s="315">
        <f t="shared" ref="L598:S598" si="446">L599+L606</f>
        <v>39000</v>
      </c>
      <c r="M598" s="315">
        <f t="shared" si="446"/>
        <v>5176.1895281704155</v>
      </c>
      <c r="N598" s="337">
        <f t="shared" si="446"/>
        <v>0</v>
      </c>
      <c r="O598" s="337">
        <f t="shared" si="446"/>
        <v>0</v>
      </c>
      <c r="P598" s="292">
        <f t="shared" si="446"/>
        <v>9000</v>
      </c>
      <c r="Q598" s="292">
        <f t="shared" si="446"/>
        <v>0</v>
      </c>
      <c r="R598" s="441">
        <f t="shared" si="446"/>
        <v>0</v>
      </c>
      <c r="S598" s="292">
        <f t="shared" si="446"/>
        <v>0</v>
      </c>
      <c r="T598" s="292"/>
      <c r="U598" s="292"/>
      <c r="V598" s="469">
        <f>V599+V606</f>
        <v>9000</v>
      </c>
      <c r="W598" s="469">
        <f>W599+W606</f>
        <v>0</v>
      </c>
      <c r="X598" s="440">
        <f t="shared" ref="X598:AU598" si="447">X599+X606</f>
        <v>9000</v>
      </c>
      <c r="Y598" s="440">
        <f t="shared" si="447"/>
        <v>0</v>
      </c>
      <c r="Z598" s="440">
        <f t="shared" si="447"/>
        <v>0</v>
      </c>
      <c r="AA598" s="440">
        <f t="shared" si="447"/>
        <v>0</v>
      </c>
      <c r="AB598" s="440">
        <f t="shared" si="447"/>
        <v>11000</v>
      </c>
      <c r="AC598" s="440">
        <f t="shared" si="447"/>
        <v>11000</v>
      </c>
      <c r="AD598" s="440">
        <f t="shared" si="447"/>
        <v>0</v>
      </c>
      <c r="AE598" s="440">
        <f t="shared" si="447"/>
        <v>0</v>
      </c>
      <c r="AF598" s="440">
        <f t="shared" si="447"/>
        <v>0</v>
      </c>
      <c r="AG598" s="440">
        <f t="shared" si="447"/>
        <v>0</v>
      </c>
      <c r="AH598" s="440">
        <f t="shared" si="447"/>
        <v>0</v>
      </c>
      <c r="AI598" s="440">
        <f t="shared" si="447"/>
        <v>9000</v>
      </c>
      <c r="AJ598" s="440">
        <f t="shared" si="447"/>
        <v>0</v>
      </c>
      <c r="AK598" s="440">
        <f t="shared" si="447"/>
        <v>0</v>
      </c>
      <c r="AL598" s="440">
        <f t="shared" si="447"/>
        <v>200</v>
      </c>
      <c r="AM598" s="440">
        <f t="shared" si="447"/>
        <v>0</v>
      </c>
      <c r="AN598" s="440">
        <f t="shared" si="447"/>
        <v>0</v>
      </c>
      <c r="AO598" s="440">
        <f t="shared" si="447"/>
        <v>0</v>
      </c>
      <c r="AP598" s="440">
        <f t="shared" si="447"/>
        <v>0</v>
      </c>
      <c r="AQ598" s="441">
        <v>0</v>
      </c>
      <c r="AR598" s="440">
        <f>AR599+AR606</f>
        <v>0</v>
      </c>
      <c r="AS598" s="440">
        <f t="shared" si="447"/>
        <v>0</v>
      </c>
      <c r="AT598" s="612">
        <f>AT599+AT606</f>
        <v>9000</v>
      </c>
      <c r="AU598" s="469">
        <f t="shared" si="447"/>
        <v>0</v>
      </c>
      <c r="AV598" s="636">
        <v>9000</v>
      </c>
      <c r="AW598" s="636">
        <v>9000</v>
      </c>
      <c r="AX598" s="655" t="str">
        <f t="shared" si="434"/>
        <v/>
      </c>
      <c r="AY598" s="655" t="str">
        <f t="shared" si="435"/>
        <v/>
      </c>
      <c r="AZ598" s="655">
        <f t="shared" si="436"/>
        <v>0</v>
      </c>
      <c r="BA598" s="655" t="str">
        <f t="shared" si="437"/>
        <v/>
      </c>
      <c r="BB598" s="655" t="str">
        <f t="shared" si="438"/>
        <v/>
      </c>
      <c r="BC598" s="655">
        <f t="shared" si="438"/>
        <v>100</v>
      </c>
    </row>
    <row r="599" spans="1:55" ht="12" customHeight="1">
      <c r="A599" s="212" t="s">
        <v>474</v>
      </c>
      <c r="B599" s="130"/>
      <c r="C599" s="130"/>
      <c r="D599" s="130"/>
      <c r="E599" s="130"/>
      <c r="F599" s="130"/>
      <c r="G599" s="130"/>
      <c r="H599" s="383"/>
      <c r="I599" s="150" t="s">
        <v>285</v>
      </c>
      <c r="J599" s="151"/>
      <c r="K599" s="45"/>
      <c r="L599" s="315">
        <f t="shared" ref="L599:S599" si="448">L601</f>
        <v>39000</v>
      </c>
      <c r="M599" s="315">
        <f t="shared" si="448"/>
        <v>5176.1895281704155</v>
      </c>
      <c r="N599" s="337">
        <f t="shared" si="448"/>
        <v>0</v>
      </c>
      <c r="O599" s="337">
        <f t="shared" si="448"/>
        <v>0</v>
      </c>
      <c r="P599" s="292">
        <f t="shared" si="448"/>
        <v>5000</v>
      </c>
      <c r="Q599" s="292">
        <f t="shared" si="448"/>
        <v>0</v>
      </c>
      <c r="R599" s="441">
        <f t="shared" si="448"/>
        <v>0</v>
      </c>
      <c r="S599" s="292">
        <f t="shared" si="448"/>
        <v>0</v>
      </c>
      <c r="T599" s="292"/>
      <c r="U599" s="292"/>
      <c r="V599" s="469">
        <f>V601</f>
        <v>5000</v>
      </c>
      <c r="W599" s="469">
        <f>W601</f>
        <v>0</v>
      </c>
      <c r="X599" s="440">
        <f t="shared" ref="X599:AU599" si="449">X601</f>
        <v>5000</v>
      </c>
      <c r="Y599" s="440">
        <f t="shared" si="449"/>
        <v>0</v>
      </c>
      <c r="Z599" s="440" t="b">
        <f t="shared" si="449"/>
        <v>0</v>
      </c>
      <c r="AA599" s="440">
        <f t="shared" si="449"/>
        <v>0</v>
      </c>
      <c r="AB599" s="440">
        <f t="shared" si="449"/>
        <v>6000</v>
      </c>
      <c r="AC599" s="440">
        <f t="shared" si="449"/>
        <v>6000</v>
      </c>
      <c r="AD599" s="440">
        <f t="shared" si="449"/>
        <v>0</v>
      </c>
      <c r="AE599" s="440">
        <f t="shared" si="449"/>
        <v>0</v>
      </c>
      <c r="AF599" s="440">
        <f t="shared" si="449"/>
        <v>0</v>
      </c>
      <c r="AG599" s="440">
        <f t="shared" si="449"/>
        <v>0</v>
      </c>
      <c r="AH599" s="440">
        <f t="shared" si="449"/>
        <v>0</v>
      </c>
      <c r="AI599" s="440">
        <f t="shared" si="449"/>
        <v>5000</v>
      </c>
      <c r="AJ599" s="440">
        <f t="shared" si="449"/>
        <v>0</v>
      </c>
      <c r="AK599" s="440">
        <f t="shared" si="449"/>
        <v>0</v>
      </c>
      <c r="AL599" s="440">
        <f t="shared" si="449"/>
        <v>100</v>
      </c>
      <c r="AM599" s="440">
        <f t="shared" si="449"/>
        <v>0</v>
      </c>
      <c r="AN599" s="440">
        <f t="shared" si="449"/>
        <v>0</v>
      </c>
      <c r="AO599" s="440" t="b">
        <f t="shared" si="449"/>
        <v>0</v>
      </c>
      <c r="AP599" s="440">
        <f t="shared" si="449"/>
        <v>0</v>
      </c>
      <c r="AQ599" s="441">
        <v>0</v>
      </c>
      <c r="AR599" s="440">
        <f>AR601</f>
        <v>0</v>
      </c>
      <c r="AS599" s="440">
        <f t="shared" si="449"/>
        <v>0</v>
      </c>
      <c r="AT599" s="612">
        <f>AT601</f>
        <v>5000</v>
      </c>
      <c r="AU599" s="469">
        <f t="shared" si="449"/>
        <v>0</v>
      </c>
      <c r="AV599" s="636">
        <v>5000</v>
      </c>
      <c r="AW599" s="636">
        <v>5000</v>
      </c>
      <c r="AX599" s="655" t="str">
        <f t="shared" si="434"/>
        <v/>
      </c>
      <c r="AY599" s="655" t="str">
        <f t="shared" si="435"/>
        <v/>
      </c>
      <c r="AZ599" s="655">
        <f t="shared" si="436"/>
        <v>0</v>
      </c>
      <c r="BA599" s="655" t="str">
        <f t="shared" si="437"/>
        <v/>
      </c>
      <c r="BB599" s="655" t="str">
        <f t="shared" si="438"/>
        <v/>
      </c>
      <c r="BC599" s="655">
        <f t="shared" si="438"/>
        <v>100</v>
      </c>
    </row>
    <row r="600" spans="1:55" ht="12" customHeight="1">
      <c r="A600" s="20"/>
      <c r="B600" s="20"/>
      <c r="C600" s="20"/>
      <c r="D600" s="20"/>
      <c r="E600" s="20"/>
      <c r="F600" s="20"/>
      <c r="G600" s="20"/>
      <c r="H600" s="375"/>
      <c r="I600" s="22"/>
      <c r="J600" s="21"/>
      <c r="K600" s="19"/>
      <c r="L600" s="313"/>
      <c r="M600" s="313"/>
      <c r="N600" s="335"/>
      <c r="O600" s="335"/>
      <c r="P600" s="290"/>
      <c r="Q600" s="290"/>
      <c r="R600" s="439"/>
      <c r="S600" s="294">
        <f>__xlfn.XLOOKUP(H600,[2]Izvršenje_proračuna_po_pozicija!$B$2:$B$153,[2]Izvršenje_proračuna_po_pozicija!$E$2:$E$153,0)</f>
        <v>0</v>
      </c>
      <c r="T600" s="294"/>
      <c r="U600" s="294"/>
      <c r="V600" s="474"/>
      <c r="W600" s="474"/>
      <c r="X600" s="539"/>
      <c r="Y600" s="539"/>
      <c r="Z600" s="541" t="b">
        <f>__xlfn.ISFORMULA(R600)</f>
        <v>0</v>
      </c>
      <c r="AA600" s="514"/>
      <c r="AB600" s="515"/>
      <c r="AC600" s="515"/>
      <c r="AD600" s="524"/>
      <c r="AE600" s="524"/>
      <c r="AF600" s="524"/>
      <c r="AG600" s="524"/>
      <c r="AH600" s="514"/>
      <c r="AI600" s="539"/>
      <c r="AJ600" s="516"/>
      <c r="AK600" s="516"/>
      <c r="AL600" s="516"/>
      <c r="AM600" s="290"/>
      <c r="AO600" t="b">
        <f>__xlfn.ISFORMULA(AT600)</f>
        <v>0</v>
      </c>
      <c r="AQ600" s="439"/>
      <c r="AS600" s="439">
        <f>__xlfn.XLOOKUP(K600,[1]Izvršenje_proračuna_po_pozicija!$C$25:$C$149,[1]Izvršenje_proračuna_po_pozicija!$E$25:$E$149,0)</f>
        <v>0</v>
      </c>
      <c r="AT600" s="616"/>
      <c r="AU600" s="474"/>
      <c r="AV600" s="632"/>
      <c r="AW600" s="632"/>
      <c r="AX600" s="655" t="str">
        <f t="shared" si="434"/>
        <v/>
      </c>
      <c r="AY600" s="655" t="str">
        <f t="shared" si="435"/>
        <v/>
      </c>
      <c r="AZ600" s="655" t="str">
        <f t="shared" si="436"/>
        <v/>
      </c>
      <c r="BA600" s="655" t="str">
        <f t="shared" si="437"/>
        <v/>
      </c>
      <c r="BB600" s="655" t="str">
        <f t="shared" si="438"/>
        <v/>
      </c>
      <c r="BC600" s="655" t="str">
        <f t="shared" si="438"/>
        <v/>
      </c>
    </row>
    <row r="601" spans="1:55" ht="12" customHeight="1">
      <c r="A601" s="52"/>
      <c r="B601" s="52"/>
      <c r="C601" s="52"/>
      <c r="D601" s="52"/>
      <c r="E601" s="52"/>
      <c r="F601" s="52"/>
      <c r="G601" s="52"/>
      <c r="H601" s="384"/>
      <c r="I601" s="120"/>
      <c r="J601" s="94">
        <v>3</v>
      </c>
      <c r="K601" s="21" t="s">
        <v>94</v>
      </c>
      <c r="L601" s="315">
        <f t="shared" ref="L601:AC603" si="450">L602</f>
        <v>39000</v>
      </c>
      <c r="M601" s="315">
        <f t="shared" si="450"/>
        <v>5176.1895281704155</v>
      </c>
      <c r="N601" s="337">
        <f t="shared" si="450"/>
        <v>0</v>
      </c>
      <c r="O601" s="337">
        <f t="shared" si="450"/>
        <v>0</v>
      </c>
      <c r="P601" s="292">
        <f t="shared" si="450"/>
        <v>5000</v>
      </c>
      <c r="Q601" s="292">
        <f t="shared" si="450"/>
        <v>0</v>
      </c>
      <c r="R601" s="441">
        <f t="shared" si="450"/>
        <v>0</v>
      </c>
      <c r="S601" s="292">
        <f t="shared" si="450"/>
        <v>0</v>
      </c>
      <c r="T601" s="292"/>
      <c r="U601" s="292"/>
      <c r="V601" s="469">
        <f t="shared" si="450"/>
        <v>5000</v>
      </c>
      <c r="W601" s="469">
        <f t="shared" si="450"/>
        <v>0</v>
      </c>
      <c r="X601" s="440">
        <f t="shared" si="450"/>
        <v>5000</v>
      </c>
      <c r="Y601" s="440">
        <f t="shared" si="450"/>
        <v>0</v>
      </c>
      <c r="Z601" s="440" t="b">
        <f t="shared" si="450"/>
        <v>0</v>
      </c>
      <c r="AA601" s="440">
        <f t="shared" si="450"/>
        <v>0</v>
      </c>
      <c r="AB601" s="440">
        <f t="shared" si="450"/>
        <v>6000</v>
      </c>
      <c r="AC601" s="440">
        <f t="shared" si="450"/>
        <v>6000</v>
      </c>
      <c r="AD601" s="440">
        <f t="shared" ref="AD601:AU603" si="451">AD602</f>
        <v>0</v>
      </c>
      <c r="AE601" s="440">
        <f t="shared" si="451"/>
        <v>0</v>
      </c>
      <c r="AF601" s="440">
        <f t="shared" si="451"/>
        <v>0</v>
      </c>
      <c r="AG601" s="440">
        <f t="shared" si="451"/>
        <v>0</v>
      </c>
      <c r="AH601" s="440">
        <f t="shared" si="451"/>
        <v>0</v>
      </c>
      <c r="AI601" s="440">
        <f t="shared" si="451"/>
        <v>5000</v>
      </c>
      <c r="AJ601" s="440">
        <f t="shared" si="451"/>
        <v>0</v>
      </c>
      <c r="AK601" s="440">
        <f t="shared" si="451"/>
        <v>0</v>
      </c>
      <c r="AL601" s="440">
        <f t="shared" si="451"/>
        <v>100</v>
      </c>
      <c r="AM601" s="440">
        <f t="shared" si="451"/>
        <v>0</v>
      </c>
      <c r="AN601" s="440">
        <f t="shared" si="451"/>
        <v>0</v>
      </c>
      <c r="AO601" s="440" t="b">
        <f t="shared" si="451"/>
        <v>0</v>
      </c>
      <c r="AP601" s="440">
        <f t="shared" si="451"/>
        <v>0</v>
      </c>
      <c r="AQ601" s="441">
        <v>0</v>
      </c>
      <c r="AR601" s="440">
        <f>AR602</f>
        <v>0</v>
      </c>
      <c r="AS601" s="440">
        <f t="shared" si="451"/>
        <v>0</v>
      </c>
      <c r="AT601" s="612">
        <f>AT602</f>
        <v>5000</v>
      </c>
      <c r="AU601" s="469">
        <f t="shared" si="451"/>
        <v>0</v>
      </c>
      <c r="AV601" s="636">
        <v>5000</v>
      </c>
      <c r="AW601" s="636">
        <v>5000</v>
      </c>
      <c r="AX601" s="655" t="str">
        <f t="shared" si="434"/>
        <v/>
      </c>
      <c r="AY601" s="655" t="str">
        <f t="shared" si="435"/>
        <v/>
      </c>
      <c r="AZ601" s="655">
        <f t="shared" si="436"/>
        <v>0</v>
      </c>
      <c r="BA601" s="655" t="str">
        <f t="shared" si="437"/>
        <v/>
      </c>
      <c r="BB601" s="655" t="str">
        <f t="shared" si="438"/>
        <v/>
      </c>
      <c r="BC601" s="655">
        <f t="shared" si="438"/>
        <v>100</v>
      </c>
    </row>
    <row r="602" spans="1:55" ht="12" customHeight="1">
      <c r="A602" s="355"/>
      <c r="B602" s="355"/>
      <c r="C602" s="355"/>
      <c r="D602" s="355"/>
      <c r="E602" s="355"/>
      <c r="F602" s="355"/>
      <c r="G602" s="355"/>
      <c r="H602" s="379"/>
      <c r="I602" s="359"/>
      <c r="J602" s="356">
        <v>32</v>
      </c>
      <c r="K602" s="358" t="s">
        <v>103</v>
      </c>
      <c r="L602" s="315">
        <f t="shared" si="450"/>
        <v>39000</v>
      </c>
      <c r="M602" s="315">
        <f t="shared" si="450"/>
        <v>5176.1895281704155</v>
      </c>
      <c r="N602" s="337">
        <f t="shared" si="450"/>
        <v>0</v>
      </c>
      <c r="O602" s="337">
        <f t="shared" si="450"/>
        <v>0</v>
      </c>
      <c r="P602" s="292">
        <f t="shared" si="450"/>
        <v>5000</v>
      </c>
      <c r="Q602" s="292">
        <f t="shared" si="450"/>
        <v>0</v>
      </c>
      <c r="R602" s="441">
        <f t="shared" si="450"/>
        <v>0</v>
      </c>
      <c r="S602" s="292">
        <f t="shared" si="450"/>
        <v>0</v>
      </c>
      <c r="T602" s="292"/>
      <c r="U602" s="292"/>
      <c r="V602" s="469">
        <f t="shared" si="450"/>
        <v>5000</v>
      </c>
      <c r="W602" s="469">
        <f t="shared" si="450"/>
        <v>0</v>
      </c>
      <c r="X602" s="440">
        <f t="shared" si="450"/>
        <v>5000</v>
      </c>
      <c r="Y602" s="440">
        <f t="shared" si="450"/>
        <v>0</v>
      </c>
      <c r="Z602" s="440" t="b">
        <f t="shared" si="450"/>
        <v>0</v>
      </c>
      <c r="AA602" s="440">
        <f t="shared" si="450"/>
        <v>0</v>
      </c>
      <c r="AB602" s="440">
        <f t="shared" si="450"/>
        <v>6000</v>
      </c>
      <c r="AC602" s="440">
        <f t="shared" si="450"/>
        <v>6000</v>
      </c>
      <c r="AD602" s="440">
        <f t="shared" si="451"/>
        <v>0</v>
      </c>
      <c r="AE602" s="440">
        <f t="shared" si="451"/>
        <v>0</v>
      </c>
      <c r="AF602" s="440">
        <f t="shared" si="451"/>
        <v>0</v>
      </c>
      <c r="AG602" s="440">
        <f t="shared" si="451"/>
        <v>0</v>
      </c>
      <c r="AH602" s="440">
        <f t="shared" si="451"/>
        <v>0</v>
      </c>
      <c r="AI602" s="440">
        <f t="shared" si="451"/>
        <v>5000</v>
      </c>
      <c r="AJ602" s="440">
        <f t="shared" si="451"/>
        <v>0</v>
      </c>
      <c r="AK602" s="440">
        <f t="shared" si="451"/>
        <v>0</v>
      </c>
      <c r="AL602" s="440">
        <f t="shared" si="451"/>
        <v>100</v>
      </c>
      <c r="AM602" s="440">
        <f t="shared" si="451"/>
        <v>0</v>
      </c>
      <c r="AN602" s="440">
        <f t="shared" si="451"/>
        <v>0</v>
      </c>
      <c r="AO602" s="440" t="b">
        <f t="shared" si="451"/>
        <v>0</v>
      </c>
      <c r="AP602" s="440">
        <f t="shared" si="451"/>
        <v>0</v>
      </c>
      <c r="AQ602" s="441">
        <v>0</v>
      </c>
      <c r="AR602" s="440">
        <f>AR603</f>
        <v>0</v>
      </c>
      <c r="AS602" s="440">
        <f t="shared" si="451"/>
        <v>0</v>
      </c>
      <c r="AT602" s="612">
        <f>AT603</f>
        <v>5000</v>
      </c>
      <c r="AU602" s="469">
        <f t="shared" si="451"/>
        <v>0</v>
      </c>
      <c r="AV602" s="636">
        <v>5000</v>
      </c>
      <c r="AW602" s="636">
        <v>5000</v>
      </c>
      <c r="AX602" s="655" t="str">
        <f t="shared" si="434"/>
        <v/>
      </c>
      <c r="AY602" s="655" t="str">
        <f t="shared" si="435"/>
        <v/>
      </c>
      <c r="AZ602" s="655">
        <f t="shared" si="436"/>
        <v>0</v>
      </c>
      <c r="BA602" s="655" t="str">
        <f t="shared" si="437"/>
        <v/>
      </c>
      <c r="BB602" s="655" t="str">
        <f t="shared" si="438"/>
        <v/>
      </c>
      <c r="BC602" s="655">
        <f t="shared" si="438"/>
        <v>100</v>
      </c>
    </row>
    <row r="603" spans="1:55" ht="12" customHeight="1">
      <c r="A603" s="56"/>
      <c r="B603" s="56"/>
      <c r="C603" s="56"/>
      <c r="D603" s="56"/>
      <c r="E603" s="56"/>
      <c r="F603" s="56"/>
      <c r="G603" s="56"/>
      <c r="H603" s="377"/>
      <c r="I603" s="157"/>
      <c r="J603" s="116">
        <v>323</v>
      </c>
      <c r="K603" s="60" t="s">
        <v>191</v>
      </c>
      <c r="L603" s="315">
        <f t="shared" si="450"/>
        <v>39000</v>
      </c>
      <c r="M603" s="315">
        <f t="shared" si="450"/>
        <v>5176.1895281704155</v>
      </c>
      <c r="N603" s="337">
        <f t="shared" si="450"/>
        <v>0</v>
      </c>
      <c r="O603" s="337">
        <f t="shared" si="450"/>
        <v>0</v>
      </c>
      <c r="P603" s="292">
        <f t="shared" si="450"/>
        <v>5000</v>
      </c>
      <c r="Q603" s="292">
        <f t="shared" si="450"/>
        <v>0</v>
      </c>
      <c r="R603" s="441">
        <f t="shared" si="450"/>
        <v>0</v>
      </c>
      <c r="S603" s="292">
        <f t="shared" si="450"/>
        <v>0</v>
      </c>
      <c r="T603" s="292"/>
      <c r="U603" s="292"/>
      <c r="V603" s="469">
        <f t="shared" si="450"/>
        <v>5000</v>
      </c>
      <c r="W603" s="469">
        <f t="shared" si="450"/>
        <v>0</v>
      </c>
      <c r="X603" s="440">
        <f t="shared" si="450"/>
        <v>5000</v>
      </c>
      <c r="Y603" s="440">
        <f t="shared" si="450"/>
        <v>0</v>
      </c>
      <c r="Z603" s="440" t="b">
        <f t="shared" si="450"/>
        <v>0</v>
      </c>
      <c r="AA603" s="440">
        <f t="shared" si="450"/>
        <v>0</v>
      </c>
      <c r="AB603" s="440">
        <f t="shared" si="450"/>
        <v>6000</v>
      </c>
      <c r="AC603" s="440">
        <f t="shared" si="450"/>
        <v>6000</v>
      </c>
      <c r="AD603" s="440">
        <f t="shared" si="451"/>
        <v>0</v>
      </c>
      <c r="AE603" s="440">
        <f t="shared" si="451"/>
        <v>0</v>
      </c>
      <c r="AF603" s="440">
        <f t="shared" si="451"/>
        <v>0</v>
      </c>
      <c r="AG603" s="440">
        <f t="shared" si="451"/>
        <v>0</v>
      </c>
      <c r="AH603" s="440">
        <f t="shared" si="451"/>
        <v>0</v>
      </c>
      <c r="AI603" s="440">
        <f t="shared" si="451"/>
        <v>5000</v>
      </c>
      <c r="AJ603" s="440">
        <f t="shared" si="451"/>
        <v>0</v>
      </c>
      <c r="AK603" s="440">
        <f t="shared" si="451"/>
        <v>0</v>
      </c>
      <c r="AL603" s="440">
        <f t="shared" si="451"/>
        <v>100</v>
      </c>
      <c r="AM603" s="440">
        <f t="shared" si="451"/>
        <v>0</v>
      </c>
      <c r="AN603" s="440">
        <f t="shared" si="451"/>
        <v>0</v>
      </c>
      <c r="AO603" s="440" t="b">
        <f t="shared" si="451"/>
        <v>0</v>
      </c>
      <c r="AP603" s="440">
        <f t="shared" si="451"/>
        <v>0</v>
      </c>
      <c r="AQ603" s="441">
        <v>0</v>
      </c>
      <c r="AR603" s="440">
        <f>AR604</f>
        <v>0</v>
      </c>
      <c r="AS603" s="440">
        <f t="shared" si="451"/>
        <v>0</v>
      </c>
      <c r="AT603" s="612">
        <f>AT604</f>
        <v>5000</v>
      </c>
      <c r="AU603" s="469">
        <f t="shared" si="451"/>
        <v>0</v>
      </c>
      <c r="AV603" s="636">
        <v>5000</v>
      </c>
      <c r="AW603" s="636">
        <v>5000</v>
      </c>
      <c r="AX603" s="655" t="str">
        <f t="shared" si="434"/>
        <v/>
      </c>
      <c r="AY603" s="655" t="str">
        <f t="shared" si="435"/>
        <v/>
      </c>
      <c r="AZ603" s="655">
        <f t="shared" si="436"/>
        <v>0</v>
      </c>
      <c r="BA603" s="655" t="str">
        <f t="shared" si="437"/>
        <v/>
      </c>
      <c r="BB603" s="655" t="str">
        <f t="shared" si="438"/>
        <v/>
      </c>
      <c r="BC603" s="655">
        <f t="shared" si="438"/>
        <v>100</v>
      </c>
    </row>
    <row r="604" spans="1:55" ht="12" customHeight="1">
      <c r="A604" s="36"/>
      <c r="B604" s="36"/>
      <c r="C604" s="36"/>
      <c r="D604" s="36"/>
      <c r="E604" s="36"/>
      <c r="F604" s="36"/>
      <c r="G604" s="36"/>
      <c r="H604" s="204" t="s">
        <v>286</v>
      </c>
      <c r="I604" s="132">
        <v>473</v>
      </c>
      <c r="J604" s="71">
        <v>3233</v>
      </c>
      <c r="K604" s="40" t="s">
        <v>287</v>
      </c>
      <c r="L604" s="309">
        <v>39000</v>
      </c>
      <c r="M604" s="309">
        <f>39000/7.5345</f>
        <v>5176.1895281704155</v>
      </c>
      <c r="N604" s="339">
        <v>0</v>
      </c>
      <c r="O604" s="339">
        <v>0</v>
      </c>
      <c r="P604" s="294">
        <v>5000</v>
      </c>
      <c r="Q604" s="269">
        <v>0</v>
      </c>
      <c r="R604" s="443">
        <v>0</v>
      </c>
      <c r="S604" s="294">
        <f>__xlfn.XLOOKUP(H604,[2]Izvršenje_proračuna_po_pozicija!$B$2:$B$153,[2]Izvršenje_proračuna_po_pozicija!$E$2:$E$153,0)</f>
        <v>0</v>
      </c>
      <c r="T604" s="294"/>
      <c r="U604" s="294"/>
      <c r="V604" s="478">
        <v>5000</v>
      </c>
      <c r="W604" s="478">
        <v>0</v>
      </c>
      <c r="X604" s="544">
        <v>5000</v>
      </c>
      <c r="Y604" s="544"/>
      <c r="Z604" s="541" t="b">
        <f>__xlfn.ISFORMULA(R604)</f>
        <v>0</v>
      </c>
      <c r="AA604" s="527"/>
      <c r="AB604" s="528">
        <v>6000</v>
      </c>
      <c r="AC604" s="528">
        <v>6000</v>
      </c>
      <c r="AD604" s="524">
        <f>O604/M604*100</f>
        <v>0</v>
      </c>
      <c r="AE604" s="524"/>
      <c r="AF604" s="524"/>
      <c r="AG604" s="524"/>
      <c r="AH604" s="527"/>
      <c r="AI604" s="544">
        <v>5000</v>
      </c>
      <c r="AJ604" s="516"/>
      <c r="AK604" s="516"/>
      <c r="AL604" s="516">
        <f>X604/AT604*100</f>
        <v>100</v>
      </c>
      <c r="AM604" s="294"/>
      <c r="AO604" t="b">
        <f>__xlfn.ISFORMULA(AT604)</f>
        <v>0</v>
      </c>
      <c r="AQ604" s="443"/>
      <c r="AS604" s="443">
        <f>__xlfn.XLOOKUP(K604,[1]Izvršenje_proračuna_po_pozicija!$C$25:$C$149,[1]Izvršenje_proračuna_po_pozicija!$E$25:$E$149,0)</f>
        <v>0</v>
      </c>
      <c r="AT604" s="617">
        <v>5000</v>
      </c>
      <c r="AU604" s="478"/>
      <c r="AV604" s="638">
        <v>5000</v>
      </c>
      <c r="AW604" s="638">
        <v>5000</v>
      </c>
      <c r="AX604" s="655" t="str">
        <f t="shared" si="434"/>
        <v/>
      </c>
      <c r="AY604" s="655" t="str">
        <f t="shared" si="435"/>
        <v/>
      </c>
      <c r="AZ604" s="655" t="str">
        <f t="shared" si="436"/>
        <v/>
      </c>
      <c r="BA604" s="655" t="str">
        <f t="shared" si="437"/>
        <v/>
      </c>
      <c r="BB604" s="655" t="str">
        <f t="shared" si="438"/>
        <v/>
      </c>
      <c r="BC604" s="655">
        <f t="shared" si="438"/>
        <v>100</v>
      </c>
    </row>
    <row r="605" spans="1:55" ht="12" customHeight="1">
      <c r="A605" s="20"/>
      <c r="B605" s="20"/>
      <c r="C605" s="20"/>
      <c r="D605" s="20"/>
      <c r="E605" s="20"/>
      <c r="F605" s="20"/>
      <c r="G605" s="20"/>
      <c r="H605" s="375"/>
      <c r="I605" s="22"/>
      <c r="J605" s="21"/>
      <c r="K605" s="19"/>
      <c r="L605" s="313"/>
      <c r="M605" s="313"/>
      <c r="N605" s="335"/>
      <c r="O605" s="335"/>
      <c r="P605" s="290"/>
      <c r="Q605" s="290"/>
      <c r="R605" s="439"/>
      <c r="S605" s="294">
        <f>__xlfn.XLOOKUP(H605,[2]Izvršenje_proračuna_po_pozicija!$B$2:$B$153,[2]Izvršenje_proračuna_po_pozicija!$E$2:$E$153,0)</f>
        <v>0</v>
      </c>
      <c r="T605" s="294"/>
      <c r="U605" s="294"/>
      <c r="V605" s="474"/>
      <c r="W605" s="474"/>
      <c r="X605" s="539"/>
      <c r="Y605" s="539"/>
      <c r="Z605" s="541" t="b">
        <f>__xlfn.ISFORMULA(R605)</f>
        <v>0</v>
      </c>
      <c r="AA605" s="514"/>
      <c r="AB605" s="515"/>
      <c r="AC605" s="515"/>
      <c r="AD605" s="524"/>
      <c r="AE605" s="524"/>
      <c r="AF605" s="524"/>
      <c r="AG605" s="524"/>
      <c r="AH605" s="514"/>
      <c r="AI605" s="539"/>
      <c r="AJ605" s="516"/>
      <c r="AK605" s="516"/>
      <c r="AL605" s="516"/>
      <c r="AM605" s="290"/>
      <c r="AO605" t="b">
        <f>__xlfn.ISFORMULA(AT605)</f>
        <v>0</v>
      </c>
      <c r="AQ605" s="439"/>
      <c r="AS605" s="439">
        <f>__xlfn.XLOOKUP(K605,[1]Izvršenje_proračuna_po_pozicija!$C$25:$C$149,[1]Izvršenje_proračuna_po_pozicija!$E$25:$E$149,0)</f>
        <v>0</v>
      </c>
      <c r="AT605" s="616"/>
      <c r="AU605" s="474"/>
      <c r="AV605" s="632"/>
      <c r="AW605" s="632"/>
      <c r="AX605" s="655" t="str">
        <f t="shared" si="434"/>
        <v/>
      </c>
      <c r="AY605" s="655" t="str">
        <f t="shared" si="435"/>
        <v/>
      </c>
      <c r="AZ605" s="655" t="str">
        <f t="shared" si="436"/>
        <v/>
      </c>
      <c r="BA605" s="655" t="str">
        <f t="shared" si="437"/>
        <v/>
      </c>
      <c r="BB605" s="655" t="str">
        <f t="shared" si="438"/>
        <v/>
      </c>
      <c r="BC605" s="655" t="str">
        <f t="shared" si="438"/>
        <v/>
      </c>
    </row>
    <row r="606" spans="1:55" ht="12" customHeight="1">
      <c r="A606" s="41" t="s">
        <v>483</v>
      </c>
      <c r="B606" s="41"/>
      <c r="C606" s="41"/>
      <c r="D606" s="41"/>
      <c r="E606" s="41"/>
      <c r="F606" s="41"/>
      <c r="G606" s="41"/>
      <c r="H606" s="392"/>
      <c r="I606" s="158" t="s">
        <v>288</v>
      </c>
      <c r="J606" s="151"/>
      <c r="K606" s="151"/>
      <c r="L606" s="314">
        <f t="shared" ref="L606:S606" si="452">L608</f>
        <v>0</v>
      </c>
      <c r="M606" s="314">
        <f t="shared" si="452"/>
        <v>0</v>
      </c>
      <c r="N606" s="336">
        <f t="shared" si="452"/>
        <v>0</v>
      </c>
      <c r="O606" s="336">
        <f t="shared" si="452"/>
        <v>0</v>
      </c>
      <c r="P606" s="291">
        <f t="shared" si="452"/>
        <v>4000</v>
      </c>
      <c r="Q606" s="291">
        <f t="shared" si="452"/>
        <v>0</v>
      </c>
      <c r="R606" s="440">
        <f t="shared" si="452"/>
        <v>0</v>
      </c>
      <c r="S606" s="291">
        <f t="shared" si="452"/>
        <v>0</v>
      </c>
      <c r="T606" s="291"/>
      <c r="U606" s="291"/>
      <c r="V606" s="468">
        <f>V608</f>
        <v>4000</v>
      </c>
      <c r="W606" s="468">
        <f>W608</f>
        <v>0</v>
      </c>
      <c r="X606" s="440">
        <f t="shared" ref="X606:AU606" si="453">X608</f>
        <v>4000</v>
      </c>
      <c r="Y606" s="440">
        <f t="shared" si="453"/>
        <v>0</v>
      </c>
      <c r="Z606" s="440" t="b">
        <f t="shared" si="453"/>
        <v>0</v>
      </c>
      <c r="AA606" s="440">
        <f t="shared" si="453"/>
        <v>0</v>
      </c>
      <c r="AB606" s="440">
        <f t="shared" si="453"/>
        <v>5000</v>
      </c>
      <c r="AC606" s="440">
        <f t="shared" si="453"/>
        <v>5000</v>
      </c>
      <c r="AD606" s="440">
        <f t="shared" si="453"/>
        <v>0</v>
      </c>
      <c r="AE606" s="440">
        <f t="shared" si="453"/>
        <v>0</v>
      </c>
      <c r="AF606" s="440">
        <f t="shared" si="453"/>
        <v>0</v>
      </c>
      <c r="AG606" s="440">
        <f t="shared" si="453"/>
        <v>0</v>
      </c>
      <c r="AH606" s="440">
        <f t="shared" si="453"/>
        <v>0</v>
      </c>
      <c r="AI606" s="440">
        <f t="shared" si="453"/>
        <v>4000</v>
      </c>
      <c r="AJ606" s="440">
        <f t="shared" si="453"/>
        <v>0</v>
      </c>
      <c r="AK606" s="440">
        <f t="shared" si="453"/>
        <v>0</v>
      </c>
      <c r="AL606" s="440">
        <f t="shared" si="453"/>
        <v>100</v>
      </c>
      <c r="AM606" s="440">
        <f t="shared" si="453"/>
        <v>0</v>
      </c>
      <c r="AN606" s="440">
        <f t="shared" si="453"/>
        <v>0</v>
      </c>
      <c r="AO606" s="440" t="b">
        <f t="shared" si="453"/>
        <v>0</v>
      </c>
      <c r="AP606" s="440">
        <f t="shared" si="453"/>
        <v>0</v>
      </c>
      <c r="AQ606" s="440">
        <v>0</v>
      </c>
      <c r="AR606" s="440">
        <f>AR608</f>
        <v>0</v>
      </c>
      <c r="AS606" s="440">
        <f t="shared" si="453"/>
        <v>0</v>
      </c>
      <c r="AT606" s="612">
        <f>AT608</f>
        <v>4000</v>
      </c>
      <c r="AU606" s="468">
        <f t="shared" si="453"/>
        <v>0</v>
      </c>
      <c r="AV606" s="633">
        <v>4000</v>
      </c>
      <c r="AW606" s="633">
        <v>4000</v>
      </c>
      <c r="AX606" s="655" t="str">
        <f t="shared" si="434"/>
        <v/>
      </c>
      <c r="AY606" s="655" t="str">
        <f t="shared" si="435"/>
        <v/>
      </c>
      <c r="AZ606" s="655">
        <f t="shared" si="436"/>
        <v>0</v>
      </c>
      <c r="BA606" s="655" t="str">
        <f t="shared" si="437"/>
        <v/>
      </c>
      <c r="BB606" s="655" t="str">
        <f t="shared" si="438"/>
        <v/>
      </c>
      <c r="BC606" s="655">
        <f t="shared" si="438"/>
        <v>100</v>
      </c>
    </row>
    <row r="607" spans="1:55" ht="12" customHeight="1">
      <c r="A607" s="36"/>
      <c r="B607" s="36"/>
      <c r="C607" s="36"/>
      <c r="D607" s="36"/>
      <c r="E607" s="36"/>
      <c r="F607" s="36"/>
      <c r="G607" s="36"/>
      <c r="H607" s="204"/>
      <c r="I607" s="132"/>
      <c r="J607" s="71"/>
      <c r="K607" s="40"/>
      <c r="L607" s="315"/>
      <c r="M607" s="315"/>
      <c r="N607" s="337"/>
      <c r="O607" s="337"/>
      <c r="P607" s="292"/>
      <c r="Q607" s="292"/>
      <c r="R607" s="441"/>
      <c r="S607" s="294">
        <f>__xlfn.XLOOKUP(H607,[2]Izvršenje_proračuna_po_pozicija!$B$2:$B$153,[2]Izvršenje_proračuna_po_pozicija!$E$2:$E$153,0)</f>
        <v>0</v>
      </c>
      <c r="T607" s="294"/>
      <c r="U607" s="294"/>
      <c r="V607" s="476"/>
      <c r="W607" s="476"/>
      <c r="X607" s="502"/>
      <c r="Y607" s="502"/>
      <c r="Z607" s="502"/>
      <c r="AA607" s="502"/>
      <c r="AB607" s="502"/>
      <c r="AC607" s="502"/>
      <c r="AD607" s="502"/>
      <c r="AE607" s="502"/>
      <c r="AF607" s="502"/>
      <c r="AG607" s="502"/>
      <c r="AH607" s="502"/>
      <c r="AI607" s="502"/>
      <c r="AJ607" s="502"/>
      <c r="AK607" s="502"/>
      <c r="AL607" s="502"/>
      <c r="AM607" s="502"/>
      <c r="AN607" s="502"/>
      <c r="AO607" s="502"/>
      <c r="AP607" s="502"/>
      <c r="AQ607" s="441"/>
      <c r="AS607" s="502"/>
      <c r="AT607" s="616"/>
      <c r="AU607" s="476"/>
      <c r="AV607" s="636"/>
      <c r="AW607" s="636"/>
      <c r="AX607" s="655" t="str">
        <f t="shared" si="434"/>
        <v/>
      </c>
      <c r="AY607" s="655" t="str">
        <f t="shared" si="435"/>
        <v/>
      </c>
      <c r="AZ607" s="655" t="str">
        <f t="shared" si="436"/>
        <v/>
      </c>
      <c r="BA607" s="655" t="str">
        <f t="shared" si="437"/>
        <v/>
      </c>
      <c r="BB607" s="655" t="str">
        <f t="shared" si="438"/>
        <v/>
      </c>
      <c r="BC607" s="655" t="str">
        <f t="shared" si="438"/>
        <v/>
      </c>
    </row>
    <row r="608" spans="1:55" ht="12" customHeight="1">
      <c r="A608" s="52"/>
      <c r="B608" s="52"/>
      <c r="C608" s="52"/>
      <c r="D608" s="52"/>
      <c r="E608" s="52"/>
      <c r="F608" s="52"/>
      <c r="G608" s="52"/>
      <c r="H608" s="384"/>
      <c r="I608" s="156"/>
      <c r="J608" s="94">
        <v>3</v>
      </c>
      <c r="K608" s="21" t="s">
        <v>94</v>
      </c>
      <c r="L608" s="315">
        <f t="shared" ref="L608:AC610" si="454">L609</f>
        <v>0</v>
      </c>
      <c r="M608" s="315">
        <f t="shared" si="454"/>
        <v>0</v>
      </c>
      <c r="N608" s="337">
        <f t="shared" si="454"/>
        <v>0</v>
      </c>
      <c r="O608" s="337">
        <f t="shared" si="454"/>
        <v>0</v>
      </c>
      <c r="P608" s="292">
        <f t="shared" si="454"/>
        <v>4000</v>
      </c>
      <c r="Q608" s="292">
        <f t="shared" si="454"/>
        <v>0</v>
      </c>
      <c r="R608" s="441">
        <f t="shared" si="454"/>
        <v>0</v>
      </c>
      <c r="S608" s="292">
        <f t="shared" si="454"/>
        <v>0</v>
      </c>
      <c r="T608" s="292"/>
      <c r="U608" s="292"/>
      <c r="V608" s="469">
        <f t="shared" si="454"/>
        <v>4000</v>
      </c>
      <c r="W608" s="469">
        <f t="shared" si="454"/>
        <v>0</v>
      </c>
      <c r="X608" s="440">
        <f t="shared" si="454"/>
        <v>4000</v>
      </c>
      <c r="Y608" s="440">
        <f t="shared" si="454"/>
        <v>0</v>
      </c>
      <c r="Z608" s="440" t="b">
        <f t="shared" si="454"/>
        <v>0</v>
      </c>
      <c r="AA608" s="440">
        <f t="shared" si="454"/>
        <v>0</v>
      </c>
      <c r="AB608" s="440">
        <f t="shared" si="454"/>
        <v>5000</v>
      </c>
      <c r="AC608" s="440">
        <f t="shared" si="454"/>
        <v>5000</v>
      </c>
      <c r="AD608" s="440">
        <f t="shared" ref="AD608:AU610" si="455">AD609</f>
        <v>0</v>
      </c>
      <c r="AE608" s="440">
        <f t="shared" si="455"/>
        <v>0</v>
      </c>
      <c r="AF608" s="440">
        <f t="shared" si="455"/>
        <v>0</v>
      </c>
      <c r="AG608" s="440">
        <f t="shared" si="455"/>
        <v>0</v>
      </c>
      <c r="AH608" s="440">
        <f t="shared" si="455"/>
        <v>0</v>
      </c>
      <c r="AI608" s="440">
        <f t="shared" si="455"/>
        <v>4000</v>
      </c>
      <c r="AJ608" s="440">
        <f t="shared" si="455"/>
        <v>0</v>
      </c>
      <c r="AK608" s="440">
        <f t="shared" si="455"/>
        <v>0</v>
      </c>
      <c r="AL608" s="440">
        <f t="shared" si="455"/>
        <v>100</v>
      </c>
      <c r="AM608" s="440">
        <f t="shared" si="455"/>
        <v>0</v>
      </c>
      <c r="AN608" s="440">
        <f t="shared" si="455"/>
        <v>0</v>
      </c>
      <c r="AO608" s="440" t="b">
        <f t="shared" si="455"/>
        <v>0</v>
      </c>
      <c r="AP608" s="440">
        <f t="shared" si="455"/>
        <v>0</v>
      </c>
      <c r="AQ608" s="441">
        <v>0</v>
      </c>
      <c r="AR608" s="440">
        <f>AR609</f>
        <v>0</v>
      </c>
      <c r="AS608" s="440">
        <f t="shared" si="455"/>
        <v>0</v>
      </c>
      <c r="AT608" s="612">
        <f>AT609</f>
        <v>4000</v>
      </c>
      <c r="AU608" s="469">
        <f t="shared" si="455"/>
        <v>0</v>
      </c>
      <c r="AV608" s="636">
        <v>4000</v>
      </c>
      <c r="AW608" s="636">
        <v>4000</v>
      </c>
      <c r="AX608" s="655" t="str">
        <f t="shared" si="434"/>
        <v/>
      </c>
      <c r="AY608" s="655" t="str">
        <f t="shared" si="435"/>
        <v/>
      </c>
      <c r="AZ608" s="655">
        <f t="shared" si="436"/>
        <v>0</v>
      </c>
      <c r="BA608" s="655" t="str">
        <f t="shared" si="437"/>
        <v/>
      </c>
      <c r="BB608" s="655" t="str">
        <f t="shared" si="438"/>
        <v/>
      </c>
      <c r="BC608" s="655">
        <f t="shared" si="438"/>
        <v>100</v>
      </c>
    </row>
    <row r="609" spans="1:55" ht="12" customHeight="1">
      <c r="A609" s="355"/>
      <c r="B609" s="355"/>
      <c r="C609" s="355"/>
      <c r="D609" s="355"/>
      <c r="E609" s="355"/>
      <c r="F609" s="355"/>
      <c r="G609" s="355"/>
      <c r="H609" s="379"/>
      <c r="I609" s="359"/>
      <c r="J609" s="356">
        <v>38</v>
      </c>
      <c r="K609" s="358" t="s">
        <v>144</v>
      </c>
      <c r="L609" s="315">
        <f t="shared" si="454"/>
        <v>0</v>
      </c>
      <c r="M609" s="315">
        <f t="shared" si="454"/>
        <v>0</v>
      </c>
      <c r="N609" s="337">
        <f t="shared" si="454"/>
        <v>0</v>
      </c>
      <c r="O609" s="337">
        <f t="shared" si="454"/>
        <v>0</v>
      </c>
      <c r="P609" s="292">
        <f t="shared" si="454"/>
        <v>4000</v>
      </c>
      <c r="Q609" s="292">
        <f t="shared" si="454"/>
        <v>0</v>
      </c>
      <c r="R609" s="441">
        <f t="shared" si="454"/>
        <v>0</v>
      </c>
      <c r="S609" s="292">
        <f t="shared" si="454"/>
        <v>0</v>
      </c>
      <c r="T609" s="292"/>
      <c r="U609" s="292"/>
      <c r="V609" s="469">
        <f t="shared" si="454"/>
        <v>4000</v>
      </c>
      <c r="W609" s="469">
        <f t="shared" si="454"/>
        <v>0</v>
      </c>
      <c r="X609" s="440">
        <f t="shared" si="454"/>
        <v>4000</v>
      </c>
      <c r="Y609" s="440">
        <f t="shared" si="454"/>
        <v>0</v>
      </c>
      <c r="Z609" s="440" t="b">
        <f t="shared" si="454"/>
        <v>0</v>
      </c>
      <c r="AA609" s="440">
        <f t="shared" si="454"/>
        <v>0</v>
      </c>
      <c r="AB609" s="440">
        <f t="shared" si="454"/>
        <v>5000</v>
      </c>
      <c r="AC609" s="440">
        <f t="shared" si="454"/>
        <v>5000</v>
      </c>
      <c r="AD609" s="440">
        <f t="shared" si="455"/>
        <v>0</v>
      </c>
      <c r="AE609" s="440">
        <f t="shared" si="455"/>
        <v>0</v>
      </c>
      <c r="AF609" s="440">
        <f t="shared" si="455"/>
        <v>0</v>
      </c>
      <c r="AG609" s="440">
        <f t="shared" si="455"/>
        <v>0</v>
      </c>
      <c r="AH609" s="440">
        <f t="shared" si="455"/>
        <v>0</v>
      </c>
      <c r="AI609" s="440">
        <f t="shared" si="455"/>
        <v>4000</v>
      </c>
      <c r="AJ609" s="440">
        <f t="shared" si="455"/>
        <v>0</v>
      </c>
      <c r="AK609" s="440">
        <f t="shared" si="455"/>
        <v>0</v>
      </c>
      <c r="AL609" s="440">
        <f t="shared" si="455"/>
        <v>100</v>
      </c>
      <c r="AM609" s="440">
        <f t="shared" si="455"/>
        <v>0</v>
      </c>
      <c r="AN609" s="440">
        <f t="shared" si="455"/>
        <v>0</v>
      </c>
      <c r="AO609" s="440" t="b">
        <f t="shared" si="455"/>
        <v>0</v>
      </c>
      <c r="AP609" s="440">
        <f t="shared" si="455"/>
        <v>0</v>
      </c>
      <c r="AQ609" s="441">
        <v>0</v>
      </c>
      <c r="AR609" s="440">
        <f>AR610</f>
        <v>0</v>
      </c>
      <c r="AS609" s="440">
        <f t="shared" si="455"/>
        <v>0</v>
      </c>
      <c r="AT609" s="612">
        <f>AT610</f>
        <v>4000</v>
      </c>
      <c r="AU609" s="469">
        <f t="shared" si="455"/>
        <v>0</v>
      </c>
      <c r="AV609" s="636">
        <v>4000</v>
      </c>
      <c r="AW609" s="636">
        <v>4000</v>
      </c>
      <c r="AX609" s="655" t="str">
        <f t="shared" si="434"/>
        <v/>
      </c>
      <c r="AY609" s="655" t="str">
        <f t="shared" si="435"/>
        <v/>
      </c>
      <c r="AZ609" s="655">
        <f t="shared" si="436"/>
        <v>0</v>
      </c>
      <c r="BA609" s="655" t="str">
        <f t="shared" si="437"/>
        <v/>
      </c>
      <c r="BB609" s="655" t="str">
        <f t="shared" si="438"/>
        <v/>
      </c>
      <c r="BC609" s="655">
        <f t="shared" si="438"/>
        <v>100</v>
      </c>
    </row>
    <row r="610" spans="1:55" ht="12" customHeight="1">
      <c r="A610" s="56"/>
      <c r="B610" s="56"/>
      <c r="C610" s="56"/>
      <c r="D610" s="56"/>
      <c r="E610" s="56"/>
      <c r="F610" s="56"/>
      <c r="G610" s="56"/>
      <c r="H610" s="377"/>
      <c r="I610" s="157"/>
      <c r="J610" s="116">
        <v>382</v>
      </c>
      <c r="K610" s="60" t="s">
        <v>289</v>
      </c>
      <c r="L610" s="315">
        <f t="shared" si="454"/>
        <v>0</v>
      </c>
      <c r="M610" s="315">
        <f t="shared" si="454"/>
        <v>0</v>
      </c>
      <c r="N610" s="337">
        <f t="shared" si="454"/>
        <v>0</v>
      </c>
      <c r="O610" s="337">
        <f t="shared" si="454"/>
        <v>0</v>
      </c>
      <c r="P610" s="292">
        <f t="shared" si="454"/>
        <v>4000</v>
      </c>
      <c r="Q610" s="292">
        <f t="shared" si="454"/>
        <v>0</v>
      </c>
      <c r="R610" s="441">
        <f t="shared" si="454"/>
        <v>0</v>
      </c>
      <c r="S610" s="292">
        <f t="shared" si="454"/>
        <v>0</v>
      </c>
      <c r="T610" s="292"/>
      <c r="U610" s="292"/>
      <c r="V610" s="469">
        <f t="shared" si="454"/>
        <v>4000</v>
      </c>
      <c r="W610" s="469">
        <f t="shared" si="454"/>
        <v>0</v>
      </c>
      <c r="X610" s="440">
        <f t="shared" si="454"/>
        <v>4000</v>
      </c>
      <c r="Y610" s="440">
        <f t="shared" si="454"/>
        <v>0</v>
      </c>
      <c r="Z610" s="440" t="b">
        <f t="shared" si="454"/>
        <v>0</v>
      </c>
      <c r="AA610" s="440">
        <f t="shared" si="454"/>
        <v>0</v>
      </c>
      <c r="AB610" s="440">
        <f t="shared" si="454"/>
        <v>5000</v>
      </c>
      <c r="AC610" s="440">
        <f t="shared" si="454"/>
        <v>5000</v>
      </c>
      <c r="AD610" s="440">
        <f t="shared" si="455"/>
        <v>0</v>
      </c>
      <c r="AE610" s="440">
        <f t="shared" si="455"/>
        <v>0</v>
      </c>
      <c r="AF610" s="440">
        <f t="shared" si="455"/>
        <v>0</v>
      </c>
      <c r="AG610" s="440">
        <f t="shared" si="455"/>
        <v>0</v>
      </c>
      <c r="AH610" s="440">
        <f t="shared" si="455"/>
        <v>0</v>
      </c>
      <c r="AI610" s="440">
        <f t="shared" si="455"/>
        <v>4000</v>
      </c>
      <c r="AJ610" s="440">
        <f t="shared" si="455"/>
        <v>0</v>
      </c>
      <c r="AK610" s="440">
        <f t="shared" si="455"/>
        <v>0</v>
      </c>
      <c r="AL610" s="440">
        <f t="shared" si="455"/>
        <v>100</v>
      </c>
      <c r="AM610" s="440">
        <f t="shared" si="455"/>
        <v>0</v>
      </c>
      <c r="AN610" s="440">
        <f t="shared" si="455"/>
        <v>0</v>
      </c>
      <c r="AO610" s="440" t="b">
        <f t="shared" si="455"/>
        <v>0</v>
      </c>
      <c r="AP610" s="440">
        <f t="shared" si="455"/>
        <v>0</v>
      </c>
      <c r="AQ610" s="441">
        <v>0</v>
      </c>
      <c r="AR610" s="440">
        <f>AR611</f>
        <v>0</v>
      </c>
      <c r="AS610" s="440">
        <f t="shared" si="455"/>
        <v>0</v>
      </c>
      <c r="AT610" s="612">
        <f>AT611</f>
        <v>4000</v>
      </c>
      <c r="AU610" s="469">
        <f t="shared" si="455"/>
        <v>0</v>
      </c>
      <c r="AV610" s="636">
        <v>4000</v>
      </c>
      <c r="AW610" s="636">
        <v>4000</v>
      </c>
      <c r="AX610" s="655" t="str">
        <f t="shared" si="434"/>
        <v/>
      </c>
      <c r="AY610" s="655" t="str">
        <f t="shared" si="435"/>
        <v/>
      </c>
      <c r="AZ610" s="655">
        <f t="shared" si="436"/>
        <v>0</v>
      </c>
      <c r="BA610" s="655" t="str">
        <f t="shared" si="437"/>
        <v/>
      </c>
      <c r="BB610" s="655" t="str">
        <f t="shared" si="438"/>
        <v/>
      </c>
      <c r="BC610" s="655">
        <f t="shared" si="438"/>
        <v>100</v>
      </c>
    </row>
    <row r="611" spans="1:55" ht="12" customHeight="1">
      <c r="A611" s="36"/>
      <c r="B611" s="36"/>
      <c r="C611" s="36"/>
      <c r="D611" s="36"/>
      <c r="E611" s="36"/>
      <c r="F611" s="36"/>
      <c r="G611" s="36"/>
      <c r="H611" s="204" t="s">
        <v>290</v>
      </c>
      <c r="I611" s="132">
        <v>473</v>
      </c>
      <c r="J611" s="71">
        <v>3821</v>
      </c>
      <c r="K611" s="40" t="s">
        <v>291</v>
      </c>
      <c r="L611" s="309">
        <v>0</v>
      </c>
      <c r="M611" s="309">
        <v>0</v>
      </c>
      <c r="N611" s="339">
        <v>0</v>
      </c>
      <c r="O611" s="339">
        <v>0</v>
      </c>
      <c r="P611" s="294">
        <v>4000</v>
      </c>
      <c r="Q611" s="269">
        <v>0</v>
      </c>
      <c r="R611" s="443">
        <v>0</v>
      </c>
      <c r="S611" s="294">
        <f>__xlfn.XLOOKUP(H611,[2]Izvršenje_proračuna_po_pozicija!$B$2:$B$153,[2]Izvršenje_proračuna_po_pozicija!$E$2:$E$153,0)</f>
        <v>0</v>
      </c>
      <c r="T611" s="294"/>
      <c r="U611" s="294"/>
      <c r="V611" s="478">
        <v>4000</v>
      </c>
      <c r="W611" s="478">
        <v>0</v>
      </c>
      <c r="X611" s="544">
        <v>4000</v>
      </c>
      <c r="Y611" s="544"/>
      <c r="Z611" s="541" t="b">
        <f t="shared" ref="Z611:Z674" si="456">__xlfn.ISFORMULA(R611)</f>
        <v>0</v>
      </c>
      <c r="AA611" s="527"/>
      <c r="AB611" s="528">
        <v>5000</v>
      </c>
      <c r="AC611" s="528">
        <v>5000</v>
      </c>
      <c r="AD611" s="524"/>
      <c r="AE611" s="524"/>
      <c r="AF611" s="524"/>
      <c r="AG611" s="524"/>
      <c r="AH611" s="527"/>
      <c r="AI611" s="544">
        <v>4000</v>
      </c>
      <c r="AJ611" s="516"/>
      <c r="AK611" s="516"/>
      <c r="AL611" s="516">
        <f>X611/AT611*100</f>
        <v>100</v>
      </c>
      <c r="AM611" s="294"/>
      <c r="AO611" t="b">
        <f t="shared" ref="AO611:AO674" si="457">__xlfn.ISFORMULA(AT611)</f>
        <v>0</v>
      </c>
      <c r="AQ611" s="443"/>
      <c r="AS611" s="443">
        <f>__xlfn.XLOOKUP(K611,[1]Izvršenje_proračuna_po_pozicija!$C$25:$C$149,[1]Izvršenje_proračuna_po_pozicija!$E$25:$E$149,0)</f>
        <v>0</v>
      </c>
      <c r="AT611" s="617">
        <v>4000</v>
      </c>
      <c r="AU611" s="478"/>
      <c r="AV611" s="638">
        <v>4000</v>
      </c>
      <c r="AW611" s="638">
        <v>4000</v>
      </c>
      <c r="AX611" s="655" t="str">
        <f t="shared" si="434"/>
        <v/>
      </c>
      <c r="AY611" s="655" t="str">
        <f t="shared" si="435"/>
        <v/>
      </c>
      <c r="AZ611" s="655" t="str">
        <f t="shared" si="436"/>
        <v/>
      </c>
      <c r="BA611" s="655" t="str">
        <f t="shared" si="437"/>
        <v/>
      </c>
      <c r="BB611" s="655" t="str">
        <f t="shared" si="438"/>
        <v/>
      </c>
      <c r="BC611" s="655">
        <f t="shared" si="438"/>
        <v>100</v>
      </c>
    </row>
    <row r="612" spans="1:55" ht="12" customHeight="1">
      <c r="A612" s="20"/>
      <c r="B612" s="20"/>
      <c r="C612" s="20"/>
      <c r="D612" s="20"/>
      <c r="E612" s="20"/>
      <c r="F612" s="20"/>
      <c r="G612" s="20"/>
      <c r="H612" s="375"/>
      <c r="I612" s="22"/>
      <c r="J612" s="21"/>
      <c r="K612" s="94"/>
      <c r="L612" s="313"/>
      <c r="M612" s="313"/>
      <c r="N612" s="335"/>
      <c r="O612" s="335"/>
      <c r="P612" s="290"/>
      <c r="Q612" s="290"/>
      <c r="R612" s="439"/>
      <c r="S612" s="294">
        <f>__xlfn.XLOOKUP(H612,[2]Izvršenje_proračuna_po_pozicija!$B$2:$B$153,[2]Izvršenje_proračuna_po_pozicija!$E$2:$E$153,0)</f>
        <v>0</v>
      </c>
      <c r="T612" s="294"/>
      <c r="U612" s="294"/>
      <c r="V612" s="474"/>
      <c r="W612" s="474"/>
      <c r="X612" s="539"/>
      <c r="Y612" s="539"/>
      <c r="Z612" s="541" t="b">
        <f t="shared" si="456"/>
        <v>0</v>
      </c>
      <c r="AA612" s="514"/>
      <c r="AB612" s="515"/>
      <c r="AC612" s="515"/>
      <c r="AD612" s="524"/>
      <c r="AE612" s="524"/>
      <c r="AF612" s="524"/>
      <c r="AG612" s="524"/>
      <c r="AH612" s="514"/>
      <c r="AI612" s="539"/>
      <c r="AJ612" s="516"/>
      <c r="AK612" s="516"/>
      <c r="AL612" s="516"/>
      <c r="AM612" s="290"/>
      <c r="AO612" t="b">
        <f t="shared" si="457"/>
        <v>0</v>
      </c>
      <c r="AQ612" s="439"/>
      <c r="AS612" s="439">
        <f>__xlfn.XLOOKUP(K612,[1]Izvršenje_proračuna_po_pozicija!$C$25:$C$149,[1]Izvršenje_proračuna_po_pozicija!$E$25:$E$149,0)</f>
        <v>0</v>
      </c>
      <c r="AT612" s="616"/>
      <c r="AU612" s="474"/>
      <c r="AV612" s="632"/>
      <c r="AW612" s="632"/>
      <c r="AX612" s="655" t="str">
        <f t="shared" si="434"/>
        <v/>
      </c>
      <c r="AY612" s="655" t="str">
        <f t="shared" si="435"/>
        <v/>
      </c>
      <c r="AZ612" s="655" t="str">
        <f t="shared" si="436"/>
        <v/>
      </c>
      <c r="BA612" s="655" t="str">
        <f t="shared" si="437"/>
        <v/>
      </c>
      <c r="BB612" s="655" t="str">
        <f t="shared" si="438"/>
        <v/>
      </c>
      <c r="BC612" s="655" t="str">
        <f t="shared" si="438"/>
        <v/>
      </c>
    </row>
    <row r="613" spans="1:55" ht="12" customHeight="1">
      <c r="A613" s="252"/>
      <c r="B613" s="252"/>
      <c r="C613" s="252"/>
      <c r="D613" s="252"/>
      <c r="E613" s="252"/>
      <c r="F613" s="252"/>
      <c r="G613" s="252"/>
      <c r="H613" s="391"/>
      <c r="I613" s="147" t="s">
        <v>484</v>
      </c>
      <c r="J613" s="148"/>
      <c r="K613" s="149"/>
      <c r="L613" s="320">
        <f t="shared" ref="L613:S613" si="458">L614+L628+L647</f>
        <v>881928</v>
      </c>
      <c r="M613" s="320">
        <f t="shared" si="458"/>
        <v>117051.96097949432</v>
      </c>
      <c r="N613" s="344">
        <f t="shared" si="458"/>
        <v>1340707</v>
      </c>
      <c r="O613" s="344">
        <f t="shared" si="458"/>
        <v>177942.39830114806</v>
      </c>
      <c r="P613" s="299">
        <f t="shared" si="458"/>
        <v>395400</v>
      </c>
      <c r="Q613" s="299">
        <f t="shared" si="458"/>
        <v>191600</v>
      </c>
      <c r="R613" s="447">
        <f t="shared" si="458"/>
        <v>136899</v>
      </c>
      <c r="S613" s="299">
        <f t="shared" si="458"/>
        <v>80331.63</v>
      </c>
      <c r="T613" s="299"/>
      <c r="U613" s="299"/>
      <c r="V613" s="477">
        <f>V614+V628+V647</f>
        <v>229000</v>
      </c>
      <c r="W613" s="477">
        <f>W614+W628+W647</f>
        <v>102500</v>
      </c>
      <c r="X613" s="542">
        <f>X614+X628+X647</f>
        <v>264000</v>
      </c>
      <c r="Y613" s="542">
        <f>Y614+Y628+Y647</f>
        <v>0</v>
      </c>
      <c r="Z613" s="541" t="b">
        <f t="shared" si="456"/>
        <v>1</v>
      </c>
      <c r="AA613" s="542"/>
      <c r="AB613" s="542">
        <f>AB614+AB628+AB647</f>
        <v>334000</v>
      </c>
      <c r="AC613" s="542">
        <f>AC614+AC628+AC647</f>
        <v>334000</v>
      </c>
      <c r="AD613" s="524">
        <f>O613/M613*100</f>
        <v>152.02000616830401</v>
      </c>
      <c r="AE613" s="524">
        <f>P613/O613*100</f>
        <v>222.20673868339614</v>
      </c>
      <c r="AF613" s="524">
        <f>Q613/P613*100</f>
        <v>48.457258472432976</v>
      </c>
      <c r="AG613" s="524">
        <f>AB613/Q613*100</f>
        <v>174.32150313152403</v>
      </c>
      <c r="AH613" s="542"/>
      <c r="AI613" s="542">
        <v>264000</v>
      </c>
      <c r="AJ613" s="516">
        <f>W613/R613*100</f>
        <v>74.872716382150344</v>
      </c>
      <c r="AK613" s="516">
        <f>AT613/W613*100</f>
        <v>229.26829268292681</v>
      </c>
      <c r="AL613" s="516">
        <f>X613/AT613*100</f>
        <v>112.3404255319149</v>
      </c>
      <c r="AM613" s="299"/>
      <c r="AO613" t="b">
        <f t="shared" si="457"/>
        <v>1</v>
      </c>
      <c r="AP613" s="503">
        <f>AP614+AP628+AP647</f>
        <v>124502.3</v>
      </c>
      <c r="AQ613" s="447">
        <v>124502.3</v>
      </c>
      <c r="AR613" s="503">
        <f>AR614+AR628+AR647</f>
        <v>124502.3</v>
      </c>
      <c r="AS613" s="447">
        <f>__xlfn.XLOOKUP(K613,[1]Izvršenje_proračuna_po_pozicija!$C$25:$C$149,[1]Izvršenje_proračuna_po_pozicija!$E$25:$E$149,0)</f>
        <v>0</v>
      </c>
      <c r="AT613" s="611">
        <f>AT614+AT628+AT647</f>
        <v>235000</v>
      </c>
      <c r="AU613" s="469">
        <f>AU614+AU628+AU647</f>
        <v>197000</v>
      </c>
      <c r="AV613" s="643">
        <v>264000</v>
      </c>
      <c r="AW613" s="643">
        <v>264000</v>
      </c>
      <c r="AX613" s="655">
        <f t="shared" si="434"/>
        <v>171.65939853468615</v>
      </c>
      <c r="AY613" s="655">
        <f t="shared" si="435"/>
        <v>188.75153310420771</v>
      </c>
      <c r="AZ613" s="655">
        <f t="shared" si="436"/>
        <v>83.829787234042556</v>
      </c>
      <c r="BA613" s="655">
        <f t="shared" si="437"/>
        <v>158.23000860225071</v>
      </c>
      <c r="BB613" s="655">
        <f t="shared" si="438"/>
        <v>134.01015228426397</v>
      </c>
      <c r="BC613" s="655">
        <f t="shared" si="438"/>
        <v>100</v>
      </c>
    </row>
    <row r="614" spans="1:55" ht="12" customHeight="1">
      <c r="A614" s="212" t="s">
        <v>474</v>
      </c>
      <c r="B614" s="130"/>
      <c r="C614" s="130"/>
      <c r="D614" s="130"/>
      <c r="E614" s="130"/>
      <c r="F614" s="130"/>
      <c r="G614" s="130"/>
      <c r="H614" s="383"/>
      <c r="I614" s="150" t="s">
        <v>292</v>
      </c>
      <c r="J614" s="151"/>
      <c r="K614" s="45"/>
      <c r="L614" s="315">
        <f t="shared" ref="L614:S614" si="459">L616</f>
        <v>553069</v>
      </c>
      <c r="M614" s="315">
        <f t="shared" si="459"/>
        <v>73404.870927068812</v>
      </c>
      <c r="N614" s="337">
        <f t="shared" si="459"/>
        <v>231250</v>
      </c>
      <c r="O614" s="337">
        <f t="shared" si="459"/>
        <v>30692.149445882274</v>
      </c>
      <c r="P614" s="292">
        <f t="shared" si="459"/>
        <v>84000</v>
      </c>
      <c r="Q614" s="292">
        <f t="shared" si="459"/>
        <v>84000</v>
      </c>
      <c r="R614" s="441">
        <f t="shared" si="459"/>
        <v>31964</v>
      </c>
      <c r="S614" s="292">
        <f t="shared" si="459"/>
        <v>27396.6</v>
      </c>
      <c r="T614" s="292"/>
      <c r="U614" s="292"/>
      <c r="V614" s="469">
        <f>V616</f>
        <v>84000</v>
      </c>
      <c r="W614" s="469">
        <f>W616</f>
        <v>81000</v>
      </c>
      <c r="X614" s="522">
        <f>X616</f>
        <v>109000</v>
      </c>
      <c r="Y614" s="522">
        <f>Y616</f>
        <v>0</v>
      </c>
      <c r="Z614" s="541" t="b">
        <f t="shared" si="456"/>
        <v>1</v>
      </c>
      <c r="AA614" s="522"/>
      <c r="AB614" s="523">
        <f>AB616</f>
        <v>89000</v>
      </c>
      <c r="AC614" s="523">
        <f>AC616</f>
        <v>89000</v>
      </c>
      <c r="AD614" s="524">
        <f>O614/M614*100</f>
        <v>41.812142788693635</v>
      </c>
      <c r="AE614" s="524">
        <f>P614/O614*100</f>
        <v>273.68562162162164</v>
      </c>
      <c r="AF614" s="524">
        <f>Q614/P614*100</f>
        <v>100</v>
      </c>
      <c r="AG614" s="524">
        <f>AB614/Q614*100</f>
        <v>105.95238095238095</v>
      </c>
      <c r="AH614" s="522"/>
      <c r="AI614" s="522">
        <v>109000</v>
      </c>
      <c r="AJ614" s="516">
        <f>W614/R614*100</f>
        <v>253.41008634714055</v>
      </c>
      <c r="AK614" s="516">
        <f>AT614/W614*100</f>
        <v>111.11111111111111</v>
      </c>
      <c r="AL614" s="516">
        <f>X614/AT614*100</f>
        <v>121.1111111111111</v>
      </c>
      <c r="AM614" s="292"/>
      <c r="AO614" t="b">
        <f t="shared" si="457"/>
        <v>1</v>
      </c>
      <c r="AP614" s="440">
        <f>AP616</f>
        <v>63664.800000000003</v>
      </c>
      <c r="AQ614" s="441">
        <v>63664.800000000003</v>
      </c>
      <c r="AR614" s="440">
        <f>AR616</f>
        <v>63664.800000000003</v>
      </c>
      <c r="AS614" s="441">
        <f>__xlfn.XLOOKUP(K614,[1]Izvršenje_proračuna_po_pozicija!$C$25:$C$149,[1]Izvršenje_proračuna_po_pozicija!$E$25:$E$149,0)</f>
        <v>0</v>
      </c>
      <c r="AT614" s="612">
        <f>AT616</f>
        <v>90000</v>
      </c>
      <c r="AU614" s="469">
        <f>AU616</f>
        <v>67000</v>
      </c>
      <c r="AV614" s="636">
        <v>109000</v>
      </c>
      <c r="AW614" s="636">
        <v>109000</v>
      </c>
      <c r="AX614" s="655">
        <f t="shared" si="434"/>
        <v>281.56676260793392</v>
      </c>
      <c r="AY614" s="655">
        <f t="shared" si="435"/>
        <v>141.36540128925245</v>
      </c>
      <c r="AZ614" s="655">
        <f t="shared" si="436"/>
        <v>74.444444444444443</v>
      </c>
      <c r="BA614" s="655">
        <f t="shared" si="437"/>
        <v>105.23868762644348</v>
      </c>
      <c r="BB614" s="655">
        <f t="shared" si="438"/>
        <v>162.68656716417911</v>
      </c>
      <c r="BC614" s="655">
        <f t="shared" si="438"/>
        <v>100</v>
      </c>
    </row>
    <row r="615" spans="1:55" ht="12" customHeight="1">
      <c r="A615" s="36"/>
      <c r="B615" s="36"/>
      <c r="C615" s="36"/>
      <c r="D615" s="36"/>
      <c r="E615" s="36"/>
      <c r="F615" s="36"/>
      <c r="G615" s="36"/>
      <c r="H615" s="204"/>
      <c r="I615" s="118"/>
      <c r="J615" s="71"/>
      <c r="K615" s="40"/>
      <c r="L615" s="326"/>
      <c r="M615" s="326"/>
      <c r="N615" s="350"/>
      <c r="O615" s="350"/>
      <c r="P615" s="305"/>
      <c r="Q615" s="305"/>
      <c r="R615" s="461"/>
      <c r="S615" s="294">
        <f>__xlfn.XLOOKUP(H615,[2]Izvršenje_proračuna_po_pozicija!$B$2:$B$153,[2]Izvršenje_proračuna_po_pozicija!$E$2:$E$153,0)</f>
        <v>0</v>
      </c>
      <c r="T615" s="294"/>
      <c r="U615" s="294"/>
      <c r="V615" s="486"/>
      <c r="W615" s="486"/>
      <c r="X615" s="559"/>
      <c r="Y615" s="559"/>
      <c r="Z615" s="541" t="b">
        <f t="shared" si="456"/>
        <v>0</v>
      </c>
      <c r="AA615" s="560"/>
      <c r="AB615" s="561"/>
      <c r="AC615" s="561"/>
      <c r="AD615" s="524"/>
      <c r="AE615" s="524"/>
      <c r="AF615" s="524"/>
      <c r="AG615" s="524"/>
      <c r="AH615" s="560"/>
      <c r="AI615" s="559"/>
      <c r="AJ615" s="516"/>
      <c r="AK615" s="516"/>
      <c r="AL615" s="516"/>
      <c r="AM615" s="305"/>
      <c r="AO615" t="b">
        <f t="shared" si="457"/>
        <v>0</v>
      </c>
      <c r="AQ615" s="461"/>
      <c r="AS615" s="461">
        <f>__xlfn.XLOOKUP(K615,[1]Izvršenje_proračuna_po_pozicija!$C$25:$C$149,[1]Izvršenje_proračuna_po_pozicija!$E$25:$E$149,0)</f>
        <v>0</v>
      </c>
      <c r="AT615" s="616"/>
      <c r="AU615" s="486"/>
      <c r="AV615" s="648"/>
      <c r="AW615" s="648"/>
      <c r="AX615" s="655" t="str">
        <f t="shared" si="434"/>
        <v/>
      </c>
      <c r="AY615" s="655" t="str">
        <f t="shared" si="435"/>
        <v/>
      </c>
      <c r="AZ615" s="655" t="str">
        <f t="shared" si="436"/>
        <v/>
      </c>
      <c r="BA615" s="655" t="str">
        <f t="shared" si="437"/>
        <v/>
      </c>
      <c r="BB615" s="655" t="str">
        <f t="shared" si="438"/>
        <v/>
      </c>
      <c r="BC615" s="655" t="str">
        <f t="shared" si="438"/>
        <v/>
      </c>
    </row>
    <row r="616" spans="1:55" ht="12" customHeight="1">
      <c r="A616" s="52"/>
      <c r="B616" s="52"/>
      <c r="C616" s="52"/>
      <c r="D616" s="52"/>
      <c r="E616" s="52"/>
      <c r="F616" s="52"/>
      <c r="G616" s="52"/>
      <c r="H616" s="384"/>
      <c r="I616" s="120"/>
      <c r="J616" s="94">
        <v>3</v>
      </c>
      <c r="K616" s="21" t="s">
        <v>94</v>
      </c>
      <c r="L616" s="315">
        <f t="shared" ref="L616:AC617" si="460">L617</f>
        <v>553069</v>
      </c>
      <c r="M616" s="315">
        <f t="shared" si="460"/>
        <v>73404.870927068812</v>
      </c>
      <c r="N616" s="337">
        <f t="shared" si="460"/>
        <v>231250</v>
      </c>
      <c r="O616" s="337">
        <f t="shared" si="460"/>
        <v>30692.149445882274</v>
      </c>
      <c r="P616" s="292">
        <f t="shared" si="460"/>
        <v>84000</v>
      </c>
      <c r="Q616" s="292">
        <f t="shared" si="460"/>
        <v>84000</v>
      </c>
      <c r="R616" s="441">
        <f t="shared" si="460"/>
        <v>31964</v>
      </c>
      <c r="S616" s="292">
        <f t="shared" si="460"/>
        <v>27396.6</v>
      </c>
      <c r="T616" s="292"/>
      <c r="U616" s="292"/>
      <c r="V616" s="469">
        <f t="shared" si="460"/>
        <v>84000</v>
      </c>
      <c r="W616" s="469">
        <f t="shared" si="460"/>
        <v>81000</v>
      </c>
      <c r="X616" s="522">
        <f t="shared" si="460"/>
        <v>109000</v>
      </c>
      <c r="Y616" s="522">
        <f t="shared" si="460"/>
        <v>0</v>
      </c>
      <c r="Z616" s="541" t="b">
        <f t="shared" si="456"/>
        <v>1</v>
      </c>
      <c r="AA616" s="522"/>
      <c r="AB616" s="523">
        <f t="shared" si="460"/>
        <v>89000</v>
      </c>
      <c r="AC616" s="523">
        <f t="shared" si="460"/>
        <v>89000</v>
      </c>
      <c r="AD616" s="524">
        <f t="shared" ref="AD616:AD623" si="461">O616/M616*100</f>
        <v>41.812142788693635</v>
      </c>
      <c r="AE616" s="524">
        <f t="shared" ref="AE616:AF620" si="462">P616/O616*100</f>
        <v>273.68562162162164</v>
      </c>
      <c r="AF616" s="524">
        <f t="shared" si="462"/>
        <v>100</v>
      </c>
      <c r="AG616" s="524">
        <f t="shared" ref="AG616:AG623" si="463">AB616/Q616*100</f>
        <v>105.95238095238095</v>
      </c>
      <c r="AH616" s="522"/>
      <c r="AI616" s="522">
        <v>109000</v>
      </c>
      <c r="AJ616" s="516">
        <f>W616/R616*100</f>
        <v>253.41008634714055</v>
      </c>
      <c r="AK616" s="516">
        <f t="shared" ref="AK616:AK623" si="464">AT616/W616*100</f>
        <v>111.11111111111111</v>
      </c>
      <c r="AL616" s="516">
        <f t="shared" ref="AL616:AL623" si="465">X616/AT616*100</f>
        <v>121.1111111111111</v>
      </c>
      <c r="AM616" s="292"/>
      <c r="AO616" t="b">
        <f t="shared" si="457"/>
        <v>1</v>
      </c>
      <c r="AP616" s="440">
        <f t="shared" ref="AP616:AU617" si="466">AP617</f>
        <v>63664.800000000003</v>
      </c>
      <c r="AQ616" s="441">
        <v>63664.800000000003</v>
      </c>
      <c r="AR616" s="440">
        <f>AR617</f>
        <v>63664.800000000003</v>
      </c>
      <c r="AS616" s="441">
        <f t="shared" si="466"/>
        <v>16091.130000000001</v>
      </c>
      <c r="AT616" s="612">
        <f>AT617</f>
        <v>90000</v>
      </c>
      <c r="AU616" s="469">
        <f t="shared" si="466"/>
        <v>67000</v>
      </c>
      <c r="AV616" s="636">
        <v>109000</v>
      </c>
      <c r="AW616" s="636">
        <v>109000</v>
      </c>
      <c r="AX616" s="655">
        <f t="shared" si="434"/>
        <v>281.56676260793392</v>
      </c>
      <c r="AY616" s="655">
        <f t="shared" si="435"/>
        <v>141.36540128925245</v>
      </c>
      <c r="AZ616" s="655">
        <f t="shared" si="436"/>
        <v>74.444444444444443</v>
      </c>
      <c r="BA616" s="655">
        <f t="shared" si="437"/>
        <v>105.23868762644348</v>
      </c>
      <c r="BB616" s="655">
        <f t="shared" si="438"/>
        <v>162.68656716417911</v>
      </c>
      <c r="BC616" s="655">
        <f t="shared" si="438"/>
        <v>100</v>
      </c>
    </row>
    <row r="617" spans="1:55" ht="12" customHeight="1">
      <c r="A617" s="355"/>
      <c r="B617" s="355"/>
      <c r="C617" s="355"/>
      <c r="D617" s="355"/>
      <c r="E617" s="355"/>
      <c r="F617" s="355"/>
      <c r="G617" s="355"/>
      <c r="H617" s="379"/>
      <c r="I617" s="360"/>
      <c r="J617" s="356">
        <v>32</v>
      </c>
      <c r="K617" s="358" t="s">
        <v>103</v>
      </c>
      <c r="L617" s="315">
        <f t="shared" si="460"/>
        <v>553069</v>
      </c>
      <c r="M617" s="315">
        <f t="shared" si="460"/>
        <v>73404.870927068812</v>
      </c>
      <c r="N617" s="337">
        <f t="shared" si="460"/>
        <v>231250</v>
      </c>
      <c r="O617" s="337">
        <f t="shared" si="460"/>
        <v>30692.149445882274</v>
      </c>
      <c r="P617" s="292">
        <f t="shared" si="460"/>
        <v>84000</v>
      </c>
      <c r="Q617" s="292">
        <f t="shared" si="460"/>
        <v>84000</v>
      </c>
      <c r="R617" s="441">
        <f t="shared" si="460"/>
        <v>31964</v>
      </c>
      <c r="S617" s="292">
        <f t="shared" si="460"/>
        <v>27396.6</v>
      </c>
      <c r="T617" s="292"/>
      <c r="U617" s="292"/>
      <c r="V617" s="469">
        <f t="shared" si="460"/>
        <v>84000</v>
      </c>
      <c r="W617" s="469">
        <f t="shared" si="460"/>
        <v>81000</v>
      </c>
      <c r="X617" s="522">
        <f t="shared" si="460"/>
        <v>109000</v>
      </c>
      <c r="Y617" s="522">
        <f t="shared" si="460"/>
        <v>0</v>
      </c>
      <c r="Z617" s="541" t="b">
        <f t="shared" si="456"/>
        <v>1</v>
      </c>
      <c r="AA617" s="522"/>
      <c r="AB617" s="523">
        <f t="shared" si="460"/>
        <v>89000</v>
      </c>
      <c r="AC617" s="523">
        <f t="shared" si="460"/>
        <v>89000</v>
      </c>
      <c r="AD617" s="524">
        <f t="shared" si="461"/>
        <v>41.812142788693635</v>
      </c>
      <c r="AE617" s="524">
        <f t="shared" si="462"/>
        <v>273.68562162162164</v>
      </c>
      <c r="AF617" s="524">
        <f t="shared" si="462"/>
        <v>100</v>
      </c>
      <c r="AG617" s="524">
        <f t="shared" si="463"/>
        <v>105.95238095238095</v>
      </c>
      <c r="AH617" s="522"/>
      <c r="AI617" s="522">
        <v>109000</v>
      </c>
      <c r="AJ617" s="516">
        <f>W617/R617*100</f>
        <v>253.41008634714055</v>
      </c>
      <c r="AK617" s="516">
        <f t="shared" si="464"/>
        <v>111.11111111111111</v>
      </c>
      <c r="AL617" s="516">
        <f t="shared" si="465"/>
        <v>121.1111111111111</v>
      </c>
      <c r="AM617" s="292"/>
      <c r="AO617" t="b">
        <f t="shared" si="457"/>
        <v>1</v>
      </c>
      <c r="AP617" s="440">
        <f t="shared" si="466"/>
        <v>63664.800000000003</v>
      </c>
      <c r="AQ617" s="441">
        <v>63664.800000000003</v>
      </c>
      <c r="AR617" s="440">
        <f>AR618</f>
        <v>63664.800000000003</v>
      </c>
      <c r="AS617" s="441">
        <f t="shared" si="466"/>
        <v>16091.130000000001</v>
      </c>
      <c r="AT617" s="612">
        <f>AT618</f>
        <v>90000</v>
      </c>
      <c r="AU617" s="469">
        <f t="shared" si="466"/>
        <v>67000</v>
      </c>
      <c r="AV617" s="636">
        <v>109000</v>
      </c>
      <c r="AW617" s="636">
        <v>109000</v>
      </c>
      <c r="AX617" s="655">
        <f t="shared" si="434"/>
        <v>281.56676260793392</v>
      </c>
      <c r="AY617" s="655">
        <f t="shared" si="435"/>
        <v>141.36540128925245</v>
      </c>
      <c r="AZ617" s="655">
        <f t="shared" si="436"/>
        <v>74.444444444444443</v>
      </c>
      <c r="BA617" s="655">
        <f t="shared" si="437"/>
        <v>105.23868762644348</v>
      </c>
      <c r="BB617" s="655">
        <f t="shared" si="438"/>
        <v>162.68656716417911</v>
      </c>
      <c r="BC617" s="655">
        <f t="shared" si="438"/>
        <v>100</v>
      </c>
    </row>
    <row r="618" spans="1:55" ht="12" customHeight="1">
      <c r="A618" s="56"/>
      <c r="B618" s="56"/>
      <c r="C618" s="56"/>
      <c r="D618" s="56"/>
      <c r="E618" s="56"/>
      <c r="F618" s="56"/>
      <c r="G618" s="56"/>
      <c r="H618" s="377"/>
      <c r="I618" s="119"/>
      <c r="J618" s="116">
        <v>323</v>
      </c>
      <c r="K618" s="60" t="s">
        <v>191</v>
      </c>
      <c r="L618" s="315">
        <f t="shared" ref="L618:S618" si="467">L619+L625+L626</f>
        <v>553069</v>
      </c>
      <c r="M618" s="315">
        <f t="shared" si="467"/>
        <v>73404.870927068812</v>
      </c>
      <c r="N618" s="337">
        <f t="shared" si="467"/>
        <v>231250</v>
      </c>
      <c r="O618" s="337">
        <f t="shared" si="467"/>
        <v>30692.149445882274</v>
      </c>
      <c r="P618" s="292">
        <f t="shared" si="467"/>
        <v>84000</v>
      </c>
      <c r="Q618" s="292">
        <f t="shared" si="467"/>
        <v>84000</v>
      </c>
      <c r="R618" s="441">
        <f t="shared" si="467"/>
        <v>31964</v>
      </c>
      <c r="S618" s="292">
        <f t="shared" si="467"/>
        <v>27396.6</v>
      </c>
      <c r="T618" s="292"/>
      <c r="U618" s="292"/>
      <c r="V618" s="469">
        <f>V619+V625+V626</f>
        <v>84000</v>
      </c>
      <c r="W618" s="469">
        <f>W619+W625+W626</f>
        <v>81000</v>
      </c>
      <c r="X618" s="522">
        <f>X619+X625+X626</f>
        <v>109000</v>
      </c>
      <c r="Y618" s="522">
        <f>Y619+Y625+Y626</f>
        <v>0</v>
      </c>
      <c r="Z618" s="541" t="b">
        <f t="shared" si="456"/>
        <v>1</v>
      </c>
      <c r="AA618" s="522"/>
      <c r="AB618" s="523">
        <f>AB619+AB625+AB626</f>
        <v>89000</v>
      </c>
      <c r="AC618" s="523">
        <f>AC619+AC625+AC626</f>
        <v>89000</v>
      </c>
      <c r="AD618" s="524">
        <f t="shared" si="461"/>
        <v>41.812142788693635</v>
      </c>
      <c r="AE618" s="524">
        <f t="shared" si="462"/>
        <v>273.68562162162164</v>
      </c>
      <c r="AF618" s="524">
        <f t="shared" si="462"/>
        <v>100</v>
      </c>
      <c r="AG618" s="524">
        <f t="shared" si="463"/>
        <v>105.95238095238095</v>
      </c>
      <c r="AH618" s="522"/>
      <c r="AI618" s="522">
        <v>109000</v>
      </c>
      <c r="AJ618" s="516">
        <f>W618/R618*100</f>
        <v>253.41008634714055</v>
      </c>
      <c r="AK618" s="516">
        <f t="shared" si="464"/>
        <v>111.11111111111111</v>
      </c>
      <c r="AL618" s="516">
        <f t="shared" si="465"/>
        <v>121.1111111111111</v>
      </c>
      <c r="AM618" s="292"/>
      <c r="AO618" t="b">
        <f t="shared" si="457"/>
        <v>1</v>
      </c>
      <c r="AP618" s="440">
        <f t="shared" ref="AP618:AU618" si="468">AP619+AP625+AP626</f>
        <v>63664.800000000003</v>
      </c>
      <c r="AQ618" s="441">
        <v>63664.800000000003</v>
      </c>
      <c r="AR618" s="440">
        <f>AR619+AR625+AR626</f>
        <v>63664.800000000003</v>
      </c>
      <c r="AS618" s="441">
        <f t="shared" si="468"/>
        <v>16091.130000000001</v>
      </c>
      <c r="AT618" s="612">
        <f t="shared" si="468"/>
        <v>90000</v>
      </c>
      <c r="AU618" s="469">
        <f t="shared" si="468"/>
        <v>67000</v>
      </c>
      <c r="AV618" s="636">
        <v>109000</v>
      </c>
      <c r="AW618" s="636">
        <v>109000</v>
      </c>
      <c r="AX618" s="655">
        <f t="shared" si="434"/>
        <v>281.56676260793392</v>
      </c>
      <c r="AY618" s="655">
        <f t="shared" si="435"/>
        <v>141.36540128925245</v>
      </c>
      <c r="AZ618" s="655">
        <f t="shared" si="436"/>
        <v>74.444444444444443</v>
      </c>
      <c r="BA618" s="655">
        <f t="shared" si="437"/>
        <v>105.23868762644348</v>
      </c>
      <c r="BB618" s="655">
        <f t="shared" si="438"/>
        <v>162.68656716417911</v>
      </c>
      <c r="BC618" s="655">
        <f t="shared" si="438"/>
        <v>100</v>
      </c>
    </row>
    <row r="619" spans="1:55" ht="12" customHeight="1">
      <c r="A619" s="36"/>
      <c r="B619" s="36"/>
      <c r="C619" s="36"/>
      <c r="D619" s="36"/>
      <c r="E619" s="36"/>
      <c r="F619" s="36"/>
      <c r="G619" s="36"/>
      <c r="H619" s="204"/>
      <c r="I619" s="118"/>
      <c r="J619" s="71">
        <v>3234</v>
      </c>
      <c r="K619" s="40" t="s">
        <v>117</v>
      </c>
      <c r="L619" s="315">
        <f t="shared" ref="L619:S619" si="469">L620+L621+L622+L623</f>
        <v>540850</v>
      </c>
      <c r="M619" s="315">
        <f t="shared" si="469"/>
        <v>71783.130931050502</v>
      </c>
      <c r="N619" s="337">
        <f t="shared" si="469"/>
        <v>231250</v>
      </c>
      <c r="O619" s="337">
        <f t="shared" si="469"/>
        <v>30692.149445882274</v>
      </c>
      <c r="P619" s="292">
        <f t="shared" si="469"/>
        <v>84000</v>
      </c>
      <c r="Q619" s="292">
        <f t="shared" si="469"/>
        <v>84000</v>
      </c>
      <c r="R619" s="441">
        <f t="shared" si="469"/>
        <v>31964</v>
      </c>
      <c r="S619" s="292">
        <f t="shared" si="469"/>
        <v>27396.6</v>
      </c>
      <c r="T619" s="292"/>
      <c r="U619" s="292"/>
      <c r="V619" s="469">
        <f>V620+V621+V622+V623</f>
        <v>84000</v>
      </c>
      <c r="W619" s="469">
        <f>W620+W621+W622+W623</f>
        <v>81000</v>
      </c>
      <c r="X619" s="522">
        <f>X620+X621+X622+X623</f>
        <v>109000</v>
      </c>
      <c r="Y619" s="522">
        <f>Y620+Y621+Y622+Y623</f>
        <v>0</v>
      </c>
      <c r="Z619" s="541" t="b">
        <f t="shared" si="456"/>
        <v>1</v>
      </c>
      <c r="AA619" s="522"/>
      <c r="AB619" s="523">
        <f>AB620+AB621+AB622+AB623</f>
        <v>87000</v>
      </c>
      <c r="AC619" s="523">
        <f>AC620+AC621+AC622+AC623</f>
        <v>87000</v>
      </c>
      <c r="AD619" s="524">
        <f t="shared" si="461"/>
        <v>42.756771748174174</v>
      </c>
      <c r="AE619" s="524">
        <f t="shared" si="462"/>
        <v>273.68562162162164</v>
      </c>
      <c r="AF619" s="524">
        <f t="shared" si="462"/>
        <v>100</v>
      </c>
      <c r="AG619" s="524">
        <f t="shared" si="463"/>
        <v>103.57142857142858</v>
      </c>
      <c r="AH619" s="522"/>
      <c r="AI619" s="522">
        <v>109000</v>
      </c>
      <c r="AJ619" s="516">
        <f>W619/R619*100</f>
        <v>253.41008634714055</v>
      </c>
      <c r="AK619" s="516">
        <f t="shared" si="464"/>
        <v>111.11111111111111</v>
      </c>
      <c r="AL619" s="516">
        <f t="shared" si="465"/>
        <v>121.1111111111111</v>
      </c>
      <c r="AM619" s="292"/>
      <c r="AO619" t="b">
        <f t="shared" si="457"/>
        <v>1</v>
      </c>
      <c r="AP619" s="440">
        <f t="shared" ref="AP619:AU619" si="470">AP620+AP621+AP622+AP623</f>
        <v>63664.800000000003</v>
      </c>
      <c r="AQ619" s="441">
        <v>63664.800000000003</v>
      </c>
      <c r="AR619" s="440">
        <f>AR620+AR621+AR622+AR623</f>
        <v>63664.800000000003</v>
      </c>
      <c r="AS619" s="441">
        <f t="shared" si="470"/>
        <v>16091.130000000001</v>
      </c>
      <c r="AT619" s="612">
        <f t="shared" si="470"/>
        <v>90000</v>
      </c>
      <c r="AU619" s="469">
        <f t="shared" si="470"/>
        <v>67000</v>
      </c>
      <c r="AV619" s="636">
        <v>109000</v>
      </c>
      <c r="AW619" s="636">
        <v>109000</v>
      </c>
      <c r="AX619" s="655">
        <f t="shared" si="434"/>
        <v>281.56676260793392</v>
      </c>
      <c r="AY619" s="655">
        <f t="shared" si="435"/>
        <v>141.36540128925245</v>
      </c>
      <c r="AZ619" s="655">
        <f t="shared" si="436"/>
        <v>74.444444444444443</v>
      </c>
      <c r="BA619" s="655">
        <f t="shared" si="437"/>
        <v>105.23868762644348</v>
      </c>
      <c r="BB619" s="655">
        <f t="shared" si="438"/>
        <v>162.68656716417911</v>
      </c>
      <c r="BC619" s="655">
        <f t="shared" si="438"/>
        <v>100</v>
      </c>
    </row>
    <row r="620" spans="1:55" ht="12" customHeight="1">
      <c r="A620" s="36"/>
      <c r="B620" s="36"/>
      <c r="C620" s="36"/>
      <c r="D620" s="36"/>
      <c r="E620" s="36"/>
      <c r="F620" s="36"/>
      <c r="G620" s="36"/>
      <c r="H620" s="204">
        <v>111</v>
      </c>
      <c r="I620" s="118">
        <v>510</v>
      </c>
      <c r="J620" s="71">
        <v>3234</v>
      </c>
      <c r="K620" s="40" t="s">
        <v>293</v>
      </c>
      <c r="L620" s="309">
        <v>127500</v>
      </c>
      <c r="M620" s="309">
        <f>127500/7.5345</f>
        <v>16922.158072864822</v>
      </c>
      <c r="N620" s="339">
        <v>132500</v>
      </c>
      <c r="O620" s="339">
        <f>N620/7.5345</f>
        <v>17585.77211493795</v>
      </c>
      <c r="P620" s="294">
        <v>18000</v>
      </c>
      <c r="Q620" s="294">
        <v>18000</v>
      </c>
      <c r="R620" s="443">
        <v>18111</v>
      </c>
      <c r="S620" s="294">
        <f>__xlfn.XLOOKUP(H620,[2]Izvršenje_proračuna_po_pozicija!$B$2:$B$153,[2]Izvršenje_proračuna_po_pozicija!$E$2:$E$153,0)</f>
        <v>0</v>
      </c>
      <c r="T620" s="294"/>
      <c r="U620" s="294"/>
      <c r="V620" s="478">
        <v>18000</v>
      </c>
      <c r="W620" s="478">
        <v>20000</v>
      </c>
      <c r="X620" s="544">
        <v>25000</v>
      </c>
      <c r="Y620" s="544"/>
      <c r="Z620" s="541" t="b">
        <f t="shared" si="456"/>
        <v>0</v>
      </c>
      <c r="AA620" s="527"/>
      <c r="AB620" s="528">
        <v>19000</v>
      </c>
      <c r="AC620" s="528">
        <v>19000</v>
      </c>
      <c r="AD620" s="524">
        <f t="shared" si="461"/>
        <v>103.92156862745097</v>
      </c>
      <c r="AE620" s="524">
        <f t="shared" si="462"/>
        <v>102.35547169811321</v>
      </c>
      <c r="AF620" s="524">
        <f t="shared" si="462"/>
        <v>100</v>
      </c>
      <c r="AG620" s="524">
        <f t="shared" si="463"/>
        <v>105.55555555555556</v>
      </c>
      <c r="AH620" s="527"/>
      <c r="AI620" s="544">
        <v>25000</v>
      </c>
      <c r="AJ620" s="516">
        <f>W620/R620*100</f>
        <v>110.43012533819225</v>
      </c>
      <c r="AK620" s="516">
        <f t="shared" si="464"/>
        <v>100</v>
      </c>
      <c r="AL620" s="516">
        <f t="shared" si="465"/>
        <v>125</v>
      </c>
      <c r="AM620" s="294"/>
      <c r="AN620" s="413"/>
      <c r="AO620" t="b">
        <f t="shared" si="457"/>
        <v>0</v>
      </c>
      <c r="AP620" s="493">
        <v>18111.25</v>
      </c>
      <c r="AQ620" s="443">
        <v>18111.25</v>
      </c>
      <c r="AR620" s="493">
        <v>18111.25</v>
      </c>
      <c r="AS620" s="443">
        <v>8243.75</v>
      </c>
      <c r="AT620" s="617">
        <v>20000</v>
      </c>
      <c r="AU620" s="478">
        <v>20000</v>
      </c>
      <c r="AV620" s="638">
        <v>25000</v>
      </c>
      <c r="AW620" s="638">
        <v>25000</v>
      </c>
      <c r="AX620" s="655">
        <f t="shared" si="434"/>
        <v>110.43012533819225</v>
      </c>
      <c r="AY620" s="655">
        <f t="shared" si="435"/>
        <v>110.42860100766099</v>
      </c>
      <c r="AZ620" s="655">
        <f t="shared" si="436"/>
        <v>100</v>
      </c>
      <c r="BA620" s="655">
        <f t="shared" si="437"/>
        <v>110.42860100766099</v>
      </c>
      <c r="BB620" s="655">
        <f t="shared" si="438"/>
        <v>125</v>
      </c>
      <c r="BC620" s="655">
        <f t="shared" si="438"/>
        <v>100</v>
      </c>
    </row>
    <row r="621" spans="1:55" ht="12" customHeight="1">
      <c r="A621" s="36"/>
      <c r="B621" s="36"/>
      <c r="C621" s="36"/>
      <c r="D621" s="36"/>
      <c r="E621" s="36"/>
      <c r="F621" s="36"/>
      <c r="G621" s="36"/>
      <c r="H621" s="204" t="s">
        <v>294</v>
      </c>
      <c r="I621" s="118">
        <v>510</v>
      </c>
      <c r="J621" s="71">
        <v>3234</v>
      </c>
      <c r="K621" s="40" t="s">
        <v>295</v>
      </c>
      <c r="L621" s="309">
        <v>299975</v>
      </c>
      <c r="M621" s="309">
        <f>299975/7.5345</f>
        <v>39813.524454177445</v>
      </c>
      <c r="N621" s="339">
        <v>0</v>
      </c>
      <c r="O621" s="339">
        <f>N621/7.5345</f>
        <v>0</v>
      </c>
      <c r="P621" s="294">
        <v>40000</v>
      </c>
      <c r="Q621" s="294">
        <v>40000</v>
      </c>
      <c r="R621" s="443">
        <v>0</v>
      </c>
      <c r="S621" s="294">
        <f>__xlfn.XLOOKUP(H621,[2]Izvršenje_proračuna_po_pozicija!$B$2:$B$153,[2]Izvršenje_proračuna_po_pozicija!$E$2:$E$153,0)</f>
        <v>18784.599999999999</v>
      </c>
      <c r="T621" s="294"/>
      <c r="U621" s="294"/>
      <c r="V621" s="478">
        <v>40000</v>
      </c>
      <c r="W621" s="478">
        <v>35000</v>
      </c>
      <c r="X621" s="544">
        <v>50000</v>
      </c>
      <c r="Y621" s="544"/>
      <c r="Z621" s="541" t="b">
        <f t="shared" si="456"/>
        <v>0</v>
      </c>
      <c r="AA621" s="527"/>
      <c r="AB621" s="528">
        <v>40000</v>
      </c>
      <c r="AC621" s="528">
        <v>40000</v>
      </c>
      <c r="AD621" s="524">
        <f t="shared" si="461"/>
        <v>0</v>
      </c>
      <c r="AE621" s="524"/>
      <c r="AF621" s="524">
        <f>Q621/P621*100</f>
        <v>100</v>
      </c>
      <c r="AG621" s="524">
        <f t="shared" si="463"/>
        <v>100</v>
      </c>
      <c r="AH621" s="527"/>
      <c r="AI621" s="544">
        <v>50000</v>
      </c>
      <c r="AJ621" s="516"/>
      <c r="AK621" s="516">
        <f t="shared" si="464"/>
        <v>114.28571428571428</v>
      </c>
      <c r="AL621" s="516">
        <f t="shared" si="465"/>
        <v>125</v>
      </c>
      <c r="AM621" s="294"/>
      <c r="AN621" s="413"/>
      <c r="AO621" t="b">
        <f t="shared" si="457"/>
        <v>0</v>
      </c>
      <c r="AP621" s="493">
        <v>34784.6</v>
      </c>
      <c r="AQ621" s="443">
        <v>34784.6</v>
      </c>
      <c r="AR621" s="493">
        <v>34784.6</v>
      </c>
      <c r="AS621" s="443">
        <f>__xlfn.XLOOKUP(K621,[1]Izvršenje_proračuna_po_pozicija!$C$25:$C$149,[1]Izvršenje_proračuna_po_pozicija!$E$25:$E$149,0)</f>
        <v>0</v>
      </c>
      <c r="AT621" s="617">
        <v>40000</v>
      </c>
      <c r="AU621" s="478">
        <v>32000</v>
      </c>
      <c r="AV621" s="638">
        <v>50000</v>
      </c>
      <c r="AW621" s="638">
        <v>50000</v>
      </c>
      <c r="AX621" s="655" t="str">
        <f t="shared" si="434"/>
        <v/>
      </c>
      <c r="AY621" s="655">
        <f t="shared" si="435"/>
        <v>114.99341662689811</v>
      </c>
      <c r="AZ621" s="655">
        <f t="shared" si="436"/>
        <v>80</v>
      </c>
      <c r="BA621" s="655">
        <f t="shared" si="437"/>
        <v>91.994733301518494</v>
      </c>
      <c r="BB621" s="655">
        <f t="shared" si="438"/>
        <v>156.25</v>
      </c>
      <c r="BC621" s="655">
        <f t="shared" si="438"/>
        <v>100</v>
      </c>
    </row>
    <row r="622" spans="1:55" ht="12" customHeight="1">
      <c r="A622" s="36"/>
      <c r="B622" s="36"/>
      <c r="C622" s="36"/>
      <c r="D622" s="36"/>
      <c r="E622" s="36"/>
      <c r="F622" s="36"/>
      <c r="G622" s="36"/>
      <c r="H622" s="204" t="s">
        <v>296</v>
      </c>
      <c r="I622" s="118">
        <v>510</v>
      </c>
      <c r="J622" s="71">
        <v>3234</v>
      </c>
      <c r="K622" s="40" t="s">
        <v>297</v>
      </c>
      <c r="L622" s="309">
        <v>94625</v>
      </c>
      <c r="M622" s="309">
        <f>94625/7.5345</f>
        <v>12558.895746233989</v>
      </c>
      <c r="N622" s="339">
        <v>80000</v>
      </c>
      <c r="O622" s="339">
        <f>N622/7.5345</f>
        <v>10617.824673170084</v>
      </c>
      <c r="P622" s="294">
        <v>13000</v>
      </c>
      <c r="Q622" s="294">
        <v>13000</v>
      </c>
      <c r="R622" s="443">
        <v>11364</v>
      </c>
      <c r="S622" s="294">
        <v>6912</v>
      </c>
      <c r="T622" s="294"/>
      <c r="U622" s="294"/>
      <c r="V622" s="478">
        <v>13000</v>
      </c>
      <c r="W622" s="478">
        <v>13000</v>
      </c>
      <c r="X622" s="544">
        <v>17000</v>
      </c>
      <c r="Y622" s="544"/>
      <c r="Z622" s="541" t="b">
        <f t="shared" si="456"/>
        <v>0</v>
      </c>
      <c r="AA622" s="527"/>
      <c r="AB622" s="528">
        <v>15000</v>
      </c>
      <c r="AC622" s="528">
        <v>15000</v>
      </c>
      <c r="AD622" s="524">
        <f t="shared" si="461"/>
        <v>84.544253632760899</v>
      </c>
      <c r="AE622" s="524">
        <f>P622/O622*100</f>
        <v>122.435625</v>
      </c>
      <c r="AF622" s="524">
        <f>Q622/P622*100</f>
        <v>100</v>
      </c>
      <c r="AG622" s="524">
        <f t="shared" si="463"/>
        <v>115.38461538461537</v>
      </c>
      <c r="AH622" s="527"/>
      <c r="AI622" s="544">
        <v>17000</v>
      </c>
      <c r="AJ622" s="516">
        <f>W622/R622*100</f>
        <v>114.39633931714187</v>
      </c>
      <c r="AK622" s="516">
        <f t="shared" si="464"/>
        <v>115.38461538461537</v>
      </c>
      <c r="AL622" s="516">
        <f t="shared" si="465"/>
        <v>113.33333333333333</v>
      </c>
      <c r="AM622" s="294"/>
      <c r="AN622" s="413"/>
      <c r="AO622" t="b">
        <f t="shared" si="457"/>
        <v>0</v>
      </c>
      <c r="AP622" s="493">
        <v>9068.9500000000007</v>
      </c>
      <c r="AQ622" s="443">
        <v>9068.9500000000007</v>
      </c>
      <c r="AR622" s="493">
        <v>9068.9500000000007</v>
      </c>
      <c r="AS622" s="443">
        <f>__xlfn.XLOOKUP(K622,[1]Izvršenje_proračuna_po_pozicija!$C$25:$C$149,[1]Izvršenje_proračuna_po_pozicija!$E$25:$E$149,0)</f>
        <v>5358.83</v>
      </c>
      <c r="AT622" s="617">
        <v>15000</v>
      </c>
      <c r="AU622" s="478">
        <v>7500</v>
      </c>
      <c r="AV622" s="638">
        <v>17000</v>
      </c>
      <c r="AW622" s="638">
        <v>17000</v>
      </c>
      <c r="AX622" s="655">
        <f t="shared" si="434"/>
        <v>131.99577613516368</v>
      </c>
      <c r="AY622" s="655">
        <f t="shared" si="435"/>
        <v>165.39952254671158</v>
      </c>
      <c r="AZ622" s="655">
        <f t="shared" si="436"/>
        <v>50</v>
      </c>
      <c r="BA622" s="655">
        <f t="shared" si="437"/>
        <v>82.69976127335579</v>
      </c>
      <c r="BB622" s="655">
        <f t="shared" si="438"/>
        <v>226.66666666666666</v>
      </c>
      <c r="BC622" s="655">
        <f t="shared" si="438"/>
        <v>100</v>
      </c>
    </row>
    <row r="623" spans="1:55" ht="12" customHeight="1">
      <c r="A623" s="36"/>
      <c r="B623" s="36"/>
      <c r="C623" s="36"/>
      <c r="D623" s="36"/>
      <c r="E623" s="36"/>
      <c r="F623" s="36"/>
      <c r="G623" s="36"/>
      <c r="H623" s="204" t="s">
        <v>455</v>
      </c>
      <c r="I623" s="118">
        <v>510</v>
      </c>
      <c r="J623" s="71">
        <v>3234</v>
      </c>
      <c r="K623" s="40" t="s">
        <v>456</v>
      </c>
      <c r="L623" s="309">
        <v>18750</v>
      </c>
      <c r="M623" s="309">
        <f>18750/7.5345</f>
        <v>2488.5526577742385</v>
      </c>
      <c r="N623" s="339">
        <v>18750</v>
      </c>
      <c r="O623" s="339">
        <f>N623/7.5345</f>
        <v>2488.5526577742385</v>
      </c>
      <c r="P623" s="294">
        <v>13000</v>
      </c>
      <c r="Q623" s="294">
        <v>13000</v>
      </c>
      <c r="R623" s="443">
        <v>2489</v>
      </c>
      <c r="S623" s="294">
        <v>1700</v>
      </c>
      <c r="T623" s="294"/>
      <c r="U623" s="294"/>
      <c r="V623" s="478">
        <v>13000</v>
      </c>
      <c r="W623" s="478">
        <v>13000</v>
      </c>
      <c r="X623" s="544">
        <v>17000</v>
      </c>
      <c r="Y623" s="544"/>
      <c r="Z623" s="541" t="b">
        <f t="shared" si="456"/>
        <v>0</v>
      </c>
      <c r="AA623" s="527"/>
      <c r="AB623" s="528">
        <v>13000</v>
      </c>
      <c r="AC623" s="528">
        <v>13000</v>
      </c>
      <c r="AD623" s="524">
        <f t="shared" si="461"/>
        <v>100</v>
      </c>
      <c r="AE623" s="524">
        <f>P623/O623*100</f>
        <v>522.39199999999994</v>
      </c>
      <c r="AF623" s="524">
        <f>Q623/P623*100</f>
        <v>100</v>
      </c>
      <c r="AG623" s="524">
        <f t="shared" si="463"/>
        <v>100</v>
      </c>
      <c r="AH623" s="527"/>
      <c r="AI623" s="544">
        <v>17000</v>
      </c>
      <c r="AJ623" s="516">
        <f>W623/R623*100</f>
        <v>522.29811169144239</v>
      </c>
      <c r="AK623" s="516">
        <f t="shared" si="464"/>
        <v>115.38461538461537</v>
      </c>
      <c r="AL623" s="516">
        <f t="shared" si="465"/>
        <v>113.33333333333333</v>
      </c>
      <c r="AM623" s="294"/>
      <c r="AO623" t="b">
        <f t="shared" si="457"/>
        <v>0</v>
      </c>
      <c r="AP623" s="493">
        <v>1700</v>
      </c>
      <c r="AQ623" s="443">
        <v>1700</v>
      </c>
      <c r="AR623" s="493">
        <v>1700</v>
      </c>
      <c r="AS623" s="443">
        <f>__xlfn.XLOOKUP(K623,[1]Izvršenje_proračuna_po_pozicija!$C$25:$C$149,[1]Izvršenje_proračuna_po_pozicija!$E$25:$E$149,0)</f>
        <v>2488.5500000000002</v>
      </c>
      <c r="AT623" s="617">
        <v>15000</v>
      </c>
      <c r="AU623" s="478">
        <v>7500</v>
      </c>
      <c r="AV623" s="638">
        <v>17000</v>
      </c>
      <c r="AW623" s="638">
        <v>17000</v>
      </c>
      <c r="AX623" s="655">
        <f t="shared" si="434"/>
        <v>602.65166733627962</v>
      </c>
      <c r="AY623" s="655">
        <f t="shared" si="435"/>
        <v>882.35294117647061</v>
      </c>
      <c r="AZ623" s="655">
        <f t="shared" si="436"/>
        <v>50</v>
      </c>
      <c r="BA623" s="655">
        <f t="shared" si="437"/>
        <v>441.1764705882353</v>
      </c>
      <c r="BB623" s="655">
        <f t="shared" si="438"/>
        <v>226.66666666666666</v>
      </c>
      <c r="BC623" s="655">
        <f t="shared" si="438"/>
        <v>100</v>
      </c>
    </row>
    <row r="624" spans="1:55" ht="12" customHeight="1">
      <c r="A624" s="20"/>
      <c r="B624" s="20"/>
      <c r="C624" s="20"/>
      <c r="D624" s="20"/>
      <c r="E624" s="20"/>
      <c r="F624" s="20"/>
      <c r="G624" s="20"/>
      <c r="H624" s="375"/>
      <c r="I624" s="22"/>
      <c r="J624" s="21"/>
      <c r="K624" s="19"/>
      <c r="L624" s="313">
        <v>1</v>
      </c>
      <c r="M624" s="313">
        <v>2</v>
      </c>
      <c r="N624" s="335">
        <v>3</v>
      </c>
      <c r="O624" s="335">
        <v>4</v>
      </c>
      <c r="P624" s="290">
        <v>5</v>
      </c>
      <c r="Q624" s="290">
        <v>6</v>
      </c>
      <c r="R624" s="439"/>
      <c r="S624" s="294">
        <f>__xlfn.XLOOKUP(H624,[2]Izvršenje_proračuna_po_pozicija!$B$2:$B$153,[2]Izvršenje_proračuna_po_pozicija!$E$2:$E$153,0)</f>
        <v>0</v>
      </c>
      <c r="T624" s="294"/>
      <c r="U624" s="294"/>
      <c r="V624" s="474">
        <v>5</v>
      </c>
      <c r="W624" s="474"/>
      <c r="X624" s="539"/>
      <c r="Y624" s="539"/>
      <c r="Z624" s="541" t="b">
        <f t="shared" si="456"/>
        <v>0</v>
      </c>
      <c r="AA624" s="514"/>
      <c r="AB624" s="515">
        <v>7</v>
      </c>
      <c r="AC624" s="515">
        <v>8</v>
      </c>
      <c r="AD624" s="515">
        <v>9</v>
      </c>
      <c r="AE624" s="515">
        <v>10</v>
      </c>
      <c r="AF624" s="515">
        <v>11</v>
      </c>
      <c r="AG624" s="515">
        <v>12</v>
      </c>
      <c r="AH624" s="514"/>
      <c r="AI624" s="539"/>
      <c r="AJ624" s="516"/>
      <c r="AK624" s="516"/>
      <c r="AL624" s="516"/>
      <c r="AM624" s="290"/>
      <c r="AO624" t="b">
        <f t="shared" si="457"/>
        <v>0</v>
      </c>
      <c r="AQ624" s="439"/>
      <c r="AS624" s="439">
        <f>__xlfn.XLOOKUP(K624,[1]Izvršenje_proračuna_po_pozicija!$C$25:$C$149,[1]Izvršenje_proračuna_po_pozicija!$E$25:$E$149,0)</f>
        <v>0</v>
      </c>
      <c r="AT624" s="616"/>
      <c r="AU624" s="474"/>
      <c r="AV624" s="632"/>
      <c r="AW624" s="632"/>
      <c r="AX624" s="655" t="str">
        <f t="shared" si="434"/>
        <v/>
      </c>
      <c r="AY624" s="655" t="str">
        <f t="shared" si="435"/>
        <v/>
      </c>
      <c r="AZ624" s="655" t="str">
        <f t="shared" si="436"/>
        <v/>
      </c>
      <c r="BA624" s="655" t="str">
        <f t="shared" si="437"/>
        <v/>
      </c>
      <c r="BB624" s="655" t="str">
        <f t="shared" si="438"/>
        <v/>
      </c>
      <c r="BC624" s="655" t="str">
        <f t="shared" si="438"/>
        <v/>
      </c>
    </row>
    <row r="625" spans="1:55" ht="12" customHeight="1">
      <c r="A625" s="36"/>
      <c r="B625" s="36"/>
      <c r="C625" s="36"/>
      <c r="D625" s="36"/>
      <c r="E625" s="36"/>
      <c r="F625" s="36"/>
      <c r="G625" s="36"/>
      <c r="H625" s="204" t="s">
        <v>298</v>
      </c>
      <c r="I625" s="118">
        <v>510</v>
      </c>
      <c r="J625" s="71">
        <v>3236</v>
      </c>
      <c r="K625" s="152" t="s">
        <v>119</v>
      </c>
      <c r="L625" s="309">
        <v>0</v>
      </c>
      <c r="M625" s="309">
        <v>0</v>
      </c>
      <c r="N625" s="339">
        <v>0</v>
      </c>
      <c r="O625" s="339">
        <v>0</v>
      </c>
      <c r="P625" s="294">
        <v>0</v>
      </c>
      <c r="Q625" s="294">
        <v>0</v>
      </c>
      <c r="R625" s="443">
        <v>0</v>
      </c>
      <c r="S625" s="294">
        <f>__xlfn.XLOOKUP(H625,[2]Izvršenje_proračuna_po_pozicija!$B$2:$B$153,[2]Izvršenje_proračuna_po_pozicija!$E$2:$E$153,0)</f>
        <v>0</v>
      </c>
      <c r="T625" s="294"/>
      <c r="U625" s="294"/>
      <c r="V625" s="478">
        <v>0</v>
      </c>
      <c r="W625" s="478"/>
      <c r="X625" s="544"/>
      <c r="Y625" s="544"/>
      <c r="Z625" s="541" t="b">
        <f t="shared" si="456"/>
        <v>0</v>
      </c>
      <c r="AA625" s="527"/>
      <c r="AB625" s="528">
        <v>0</v>
      </c>
      <c r="AC625" s="528">
        <v>0</v>
      </c>
      <c r="AD625" s="524"/>
      <c r="AE625" s="524"/>
      <c r="AF625" s="524"/>
      <c r="AG625" s="524"/>
      <c r="AH625" s="527"/>
      <c r="AI625" s="544"/>
      <c r="AJ625" s="516"/>
      <c r="AK625" s="516"/>
      <c r="AL625" s="516"/>
      <c r="AM625" s="294"/>
      <c r="AO625" t="b">
        <f t="shared" si="457"/>
        <v>0</v>
      </c>
      <c r="AQ625" s="443"/>
      <c r="AS625" s="443">
        <f>__xlfn.XLOOKUP(K625,[1]Izvršenje_proračuna_po_pozicija!$C$25:$C$149,[1]Izvršenje_proračuna_po_pozicija!$E$25:$E$149,0)</f>
        <v>0</v>
      </c>
      <c r="AT625" s="617"/>
      <c r="AU625" s="478"/>
      <c r="AV625" s="638"/>
      <c r="AW625" s="638"/>
      <c r="AX625" s="655" t="str">
        <f t="shared" si="434"/>
        <v/>
      </c>
      <c r="AY625" s="655" t="str">
        <f t="shared" si="435"/>
        <v/>
      </c>
      <c r="AZ625" s="655" t="str">
        <f t="shared" si="436"/>
        <v/>
      </c>
      <c r="BA625" s="655" t="str">
        <f t="shared" si="437"/>
        <v/>
      </c>
      <c r="BB625" s="655" t="str">
        <f t="shared" si="438"/>
        <v/>
      </c>
      <c r="BC625" s="655" t="str">
        <f t="shared" si="438"/>
        <v/>
      </c>
    </row>
    <row r="626" spans="1:55" ht="12" customHeight="1">
      <c r="A626" s="124"/>
      <c r="B626" s="124"/>
      <c r="C626" s="124"/>
      <c r="D626" s="124"/>
      <c r="E626" s="124"/>
      <c r="F626" s="124"/>
      <c r="G626" s="124"/>
      <c r="H626" s="393" t="s">
        <v>299</v>
      </c>
      <c r="I626" s="160">
        <v>510</v>
      </c>
      <c r="J626" s="71">
        <v>3239</v>
      </c>
      <c r="K626" s="37" t="s">
        <v>300</v>
      </c>
      <c r="L626" s="327">
        <v>12219</v>
      </c>
      <c r="M626" s="327">
        <f>12219/7.5345</f>
        <v>1621.7399960183157</v>
      </c>
      <c r="N626" s="351">
        <v>0</v>
      </c>
      <c r="O626" s="351">
        <v>0</v>
      </c>
      <c r="P626" s="306">
        <v>0</v>
      </c>
      <c r="Q626" s="306">
        <v>0</v>
      </c>
      <c r="R626" s="462">
        <v>0</v>
      </c>
      <c r="S626" s="294">
        <f>__xlfn.XLOOKUP(H626,[2]Izvršenje_proračuna_po_pozicija!$B$2:$B$153,[2]Izvršenje_proračuna_po_pozicija!$E$2:$E$153,0)</f>
        <v>0</v>
      </c>
      <c r="T626" s="294"/>
      <c r="U626" s="294"/>
      <c r="V626" s="487">
        <v>0</v>
      </c>
      <c r="W626" s="487"/>
      <c r="X626" s="562"/>
      <c r="Y626" s="562"/>
      <c r="Z626" s="541" t="b">
        <f t="shared" si="456"/>
        <v>0</v>
      </c>
      <c r="AA626" s="563"/>
      <c r="AB626" s="524">
        <v>2000</v>
      </c>
      <c r="AC626" s="524">
        <v>2000</v>
      </c>
      <c r="AD626" s="524">
        <f>O626/M626*100</f>
        <v>0</v>
      </c>
      <c r="AE626" s="524"/>
      <c r="AF626" s="524"/>
      <c r="AG626" s="524"/>
      <c r="AH626" s="563"/>
      <c r="AI626" s="562"/>
      <c r="AJ626" s="516"/>
      <c r="AK626" s="516"/>
      <c r="AL626" s="516"/>
      <c r="AM626" s="306"/>
      <c r="AO626" t="b">
        <f t="shared" si="457"/>
        <v>0</v>
      </c>
      <c r="AQ626" s="462"/>
      <c r="AS626" s="462">
        <f>__xlfn.XLOOKUP(K626,[1]Izvršenje_proračuna_po_pozicija!$C$25:$C$149,[1]Izvršenje_proračuna_po_pozicija!$E$25:$E$149,0)</f>
        <v>0</v>
      </c>
      <c r="AT626" s="617"/>
      <c r="AU626" s="487"/>
      <c r="AV626" s="649"/>
      <c r="AW626" s="649"/>
      <c r="AX626" s="655" t="str">
        <f t="shared" si="434"/>
        <v/>
      </c>
      <c r="AY626" s="655" t="str">
        <f t="shared" si="435"/>
        <v/>
      </c>
      <c r="AZ626" s="655" t="str">
        <f t="shared" si="436"/>
        <v/>
      </c>
      <c r="BA626" s="655" t="str">
        <f t="shared" si="437"/>
        <v/>
      </c>
      <c r="BB626" s="655" t="str">
        <f t="shared" si="438"/>
        <v/>
      </c>
      <c r="BC626" s="655" t="str">
        <f t="shared" si="438"/>
        <v/>
      </c>
    </row>
    <row r="627" spans="1:55" ht="12" customHeight="1">
      <c r="A627" s="20"/>
      <c r="B627" s="20"/>
      <c r="C627" s="20"/>
      <c r="D627" s="20"/>
      <c r="E627" s="20"/>
      <c r="F627" s="20"/>
      <c r="G627" s="20"/>
      <c r="H627" s="375"/>
      <c r="I627" s="22"/>
      <c r="J627" s="21"/>
      <c r="K627" s="19"/>
      <c r="L627" s="313"/>
      <c r="M627" s="313"/>
      <c r="N627" s="335"/>
      <c r="O627" s="335"/>
      <c r="P627" s="290"/>
      <c r="Q627" s="290"/>
      <c r="R627" s="439"/>
      <c r="S627" s="294">
        <f>__xlfn.XLOOKUP(H627,[2]Izvršenje_proračuna_po_pozicija!$B$2:$B$153,[2]Izvršenje_proračuna_po_pozicija!$E$2:$E$153,0)</f>
        <v>0</v>
      </c>
      <c r="T627" s="294"/>
      <c r="U627" s="294"/>
      <c r="V627" s="474"/>
      <c r="W627" s="474"/>
      <c r="X627" s="539"/>
      <c r="Y627" s="539"/>
      <c r="Z627" s="541" t="b">
        <f t="shared" si="456"/>
        <v>0</v>
      </c>
      <c r="AA627" s="514"/>
      <c r="AB627" s="515"/>
      <c r="AC627" s="515"/>
      <c r="AD627" s="524"/>
      <c r="AE627" s="524"/>
      <c r="AF627" s="524"/>
      <c r="AG627" s="524"/>
      <c r="AH627" s="514"/>
      <c r="AI627" s="539"/>
      <c r="AJ627" s="516"/>
      <c r="AK627" s="516"/>
      <c r="AL627" s="516"/>
      <c r="AM627" s="290"/>
      <c r="AO627" t="b">
        <f t="shared" si="457"/>
        <v>0</v>
      </c>
      <c r="AQ627" s="439"/>
      <c r="AS627" s="439">
        <f>__xlfn.XLOOKUP(K627,[1]Izvršenje_proračuna_po_pozicija!$C$25:$C$149,[1]Izvršenje_proračuna_po_pozicija!$E$25:$E$149,0)</f>
        <v>0</v>
      </c>
      <c r="AT627" s="616"/>
      <c r="AU627" s="474"/>
      <c r="AV627" s="632"/>
      <c r="AW627" s="632"/>
      <c r="AX627" s="655" t="str">
        <f t="shared" si="434"/>
        <v/>
      </c>
      <c r="AY627" s="655" t="str">
        <f t="shared" si="435"/>
        <v/>
      </c>
      <c r="AZ627" s="655" t="str">
        <f t="shared" si="436"/>
        <v/>
      </c>
      <c r="BA627" s="655" t="str">
        <f t="shared" si="437"/>
        <v/>
      </c>
      <c r="BB627" s="655" t="str">
        <f t="shared" si="438"/>
        <v/>
      </c>
      <c r="BC627" s="655" t="str">
        <f t="shared" si="438"/>
        <v/>
      </c>
    </row>
    <row r="628" spans="1:55" ht="12" customHeight="1">
      <c r="A628" s="212" t="s">
        <v>483</v>
      </c>
      <c r="B628" s="130"/>
      <c r="C628" s="130"/>
      <c r="D628" s="130"/>
      <c r="E628" s="130"/>
      <c r="F628" s="130"/>
      <c r="G628" s="130"/>
      <c r="H628" s="383"/>
      <c r="I628" s="150" t="s">
        <v>301</v>
      </c>
      <c r="J628" s="151"/>
      <c r="K628" s="45"/>
      <c r="L628" s="315">
        <f t="shared" ref="L628:S628" si="471">L630+L638</f>
        <v>328859</v>
      </c>
      <c r="M628" s="315">
        <f t="shared" si="471"/>
        <v>43647.090052425505</v>
      </c>
      <c r="N628" s="337">
        <f t="shared" si="471"/>
        <v>1109457</v>
      </c>
      <c r="O628" s="337">
        <f t="shared" si="471"/>
        <v>147250.24885526579</v>
      </c>
      <c r="P628" s="292">
        <f t="shared" si="471"/>
        <v>245000</v>
      </c>
      <c r="Q628" s="292">
        <f t="shared" si="471"/>
        <v>107600</v>
      </c>
      <c r="R628" s="441">
        <f t="shared" si="471"/>
        <v>104935</v>
      </c>
      <c r="S628" s="292">
        <f t="shared" si="471"/>
        <v>52935.03</v>
      </c>
      <c r="T628" s="292"/>
      <c r="U628" s="292"/>
      <c r="V628" s="469">
        <f>V630+V638</f>
        <v>145000</v>
      </c>
      <c r="W628" s="469">
        <f>W630+W638</f>
        <v>21500</v>
      </c>
      <c r="X628" s="522">
        <f>X630+X638</f>
        <v>155000</v>
      </c>
      <c r="Y628" s="522">
        <f>Y630+Y638</f>
        <v>0</v>
      </c>
      <c r="Z628" s="541" t="b">
        <f t="shared" si="456"/>
        <v>1</v>
      </c>
      <c r="AA628" s="522"/>
      <c r="AB628" s="523">
        <f>AB630+AB638</f>
        <v>245000</v>
      </c>
      <c r="AC628" s="523">
        <f>AC630+AC638</f>
        <v>245000</v>
      </c>
      <c r="AD628" s="524">
        <f>O628/M628*100</f>
        <v>337.36555788346988</v>
      </c>
      <c r="AE628" s="524">
        <f>P628/O628*100</f>
        <v>166.38341999735005</v>
      </c>
      <c r="AF628" s="524">
        <f>Q628/P628*100</f>
        <v>43.918367346938773</v>
      </c>
      <c r="AG628" s="524">
        <f>AB628/Q628*100</f>
        <v>227.69516728624538</v>
      </c>
      <c r="AH628" s="522"/>
      <c r="AI628" s="522">
        <v>155000</v>
      </c>
      <c r="AJ628" s="516">
        <f>W628/R628*100</f>
        <v>20.488874064897317</v>
      </c>
      <c r="AK628" s="516">
        <f>AT628/W628*100</f>
        <v>674.41860465116281</v>
      </c>
      <c r="AL628" s="516">
        <f>X628/AT628*100</f>
        <v>106.89655172413792</v>
      </c>
      <c r="AM628" s="292"/>
      <c r="AO628" t="b">
        <f t="shared" si="457"/>
        <v>1</v>
      </c>
      <c r="AP628" s="440">
        <f t="shared" ref="AP628:AU628" si="472">AP630+AP638</f>
        <v>60837.5</v>
      </c>
      <c r="AQ628" s="441">
        <v>60837.5</v>
      </c>
      <c r="AR628" s="440">
        <f>AR630+AR638</f>
        <v>60837.5</v>
      </c>
      <c r="AS628" s="441">
        <f t="shared" si="472"/>
        <v>18338.72</v>
      </c>
      <c r="AT628" s="612">
        <f t="shared" si="472"/>
        <v>145000</v>
      </c>
      <c r="AU628" s="469">
        <f t="shared" si="472"/>
        <v>130000</v>
      </c>
      <c r="AV628" s="636">
        <v>155000</v>
      </c>
      <c r="AW628" s="636">
        <v>155000</v>
      </c>
      <c r="AX628" s="655">
        <f t="shared" si="434"/>
        <v>138.18077857721448</v>
      </c>
      <c r="AY628" s="655">
        <f t="shared" si="435"/>
        <v>238.33983973700433</v>
      </c>
      <c r="AZ628" s="655">
        <f t="shared" si="436"/>
        <v>89.65517241379311</v>
      </c>
      <c r="BA628" s="655">
        <f t="shared" si="437"/>
        <v>213.68399424696941</v>
      </c>
      <c r="BB628" s="655">
        <f t="shared" si="438"/>
        <v>119.23076923076923</v>
      </c>
      <c r="BC628" s="655">
        <f t="shared" si="438"/>
        <v>100</v>
      </c>
    </row>
    <row r="629" spans="1:55" ht="12" customHeight="1">
      <c r="A629" s="36"/>
      <c r="B629" s="36"/>
      <c r="C629" s="36"/>
      <c r="D629" s="36"/>
      <c r="E629" s="36"/>
      <c r="F629" s="36"/>
      <c r="G629" s="36"/>
      <c r="H629" s="204"/>
      <c r="I629" s="118"/>
      <c r="J629" s="71"/>
      <c r="K629" s="40"/>
      <c r="L629" s="326"/>
      <c r="M629" s="326"/>
      <c r="N629" s="350"/>
      <c r="O629" s="350"/>
      <c r="P629" s="305"/>
      <c r="Q629" s="305"/>
      <c r="R629" s="461"/>
      <c r="S629" s="294">
        <f>__xlfn.XLOOKUP(H629,[2]Izvršenje_proračuna_po_pozicija!$B$2:$B$153,[2]Izvršenje_proračuna_po_pozicija!$E$2:$E$153,0)</f>
        <v>0</v>
      </c>
      <c r="T629" s="294"/>
      <c r="U629" s="294"/>
      <c r="V629" s="486"/>
      <c r="W629" s="486"/>
      <c r="X629" s="559"/>
      <c r="Y629" s="559"/>
      <c r="Z629" s="541" t="b">
        <f t="shared" si="456"/>
        <v>0</v>
      </c>
      <c r="AA629" s="560"/>
      <c r="AB629" s="561"/>
      <c r="AC629" s="561"/>
      <c r="AD629" s="524"/>
      <c r="AE629" s="524"/>
      <c r="AF629" s="524"/>
      <c r="AG629" s="524"/>
      <c r="AH629" s="560"/>
      <c r="AI629" s="559"/>
      <c r="AJ629" s="516"/>
      <c r="AK629" s="516"/>
      <c r="AL629" s="516"/>
      <c r="AM629" s="305"/>
      <c r="AO629" t="b">
        <f t="shared" si="457"/>
        <v>0</v>
      </c>
      <c r="AQ629" s="461"/>
      <c r="AS629" s="461"/>
      <c r="AT629" s="616"/>
      <c r="AU629" s="486"/>
      <c r="AV629" s="648"/>
      <c r="AW629" s="648"/>
      <c r="AX629" s="655" t="str">
        <f t="shared" si="434"/>
        <v/>
      </c>
      <c r="AY629" s="655" t="str">
        <f t="shared" si="435"/>
        <v/>
      </c>
      <c r="AZ629" s="655" t="str">
        <f t="shared" si="436"/>
        <v/>
      </c>
      <c r="BA629" s="655" t="str">
        <f t="shared" si="437"/>
        <v/>
      </c>
      <c r="BB629" s="655" t="str">
        <f t="shared" si="438"/>
        <v/>
      </c>
      <c r="BC629" s="655" t="str">
        <f t="shared" si="438"/>
        <v/>
      </c>
    </row>
    <row r="630" spans="1:55" ht="12" customHeight="1">
      <c r="A630" s="52"/>
      <c r="B630" s="52"/>
      <c r="C630" s="52"/>
      <c r="D630" s="52"/>
      <c r="E630" s="52"/>
      <c r="F630" s="52"/>
      <c r="G630" s="52"/>
      <c r="H630" s="384"/>
      <c r="I630" s="120"/>
      <c r="J630" s="94">
        <v>3</v>
      </c>
      <c r="K630" s="21" t="s">
        <v>94</v>
      </c>
      <c r="L630" s="315">
        <f t="shared" ref="L630:AC631" si="473">L631</f>
        <v>205000</v>
      </c>
      <c r="M630" s="315">
        <f t="shared" si="473"/>
        <v>27208.175724998338</v>
      </c>
      <c r="N630" s="337">
        <f t="shared" si="473"/>
        <v>775000</v>
      </c>
      <c r="O630" s="337">
        <f t="shared" si="473"/>
        <v>102860.17652133519</v>
      </c>
      <c r="P630" s="292">
        <f t="shared" si="473"/>
        <v>40000</v>
      </c>
      <c r="Q630" s="292">
        <f t="shared" si="473"/>
        <v>106600</v>
      </c>
      <c r="R630" s="441">
        <f t="shared" si="473"/>
        <v>103272</v>
      </c>
      <c r="S630" s="292">
        <f t="shared" si="473"/>
        <v>51597.53</v>
      </c>
      <c r="T630" s="292"/>
      <c r="U630" s="292"/>
      <c r="V630" s="469">
        <f t="shared" si="473"/>
        <v>40000</v>
      </c>
      <c r="W630" s="469">
        <f t="shared" si="473"/>
        <v>20000</v>
      </c>
      <c r="X630" s="522">
        <f t="shared" si="473"/>
        <v>50000</v>
      </c>
      <c r="Y630" s="522">
        <f t="shared" si="473"/>
        <v>0</v>
      </c>
      <c r="Z630" s="541" t="b">
        <f t="shared" si="456"/>
        <v>1</v>
      </c>
      <c r="AA630" s="522"/>
      <c r="AB630" s="523">
        <f t="shared" si="473"/>
        <v>40000</v>
      </c>
      <c r="AC630" s="523">
        <f t="shared" si="473"/>
        <v>40000</v>
      </c>
      <c r="AD630" s="524">
        <f>O630/M630*100</f>
        <v>378.04878048780489</v>
      </c>
      <c r="AE630" s="524"/>
      <c r="AF630" s="524"/>
      <c r="AG630" s="524"/>
      <c r="AH630" s="522"/>
      <c r="AI630" s="522">
        <v>50000</v>
      </c>
      <c r="AJ630" s="516">
        <f>W630/R630*100</f>
        <v>19.366333565729335</v>
      </c>
      <c r="AK630" s="516">
        <f>AT630/W630*100</f>
        <v>200</v>
      </c>
      <c r="AL630" s="516">
        <f>X630/AT630*100</f>
        <v>125</v>
      </c>
      <c r="AM630" s="292"/>
      <c r="AO630" t="b">
        <f t="shared" si="457"/>
        <v>1</v>
      </c>
      <c r="AP630" s="440">
        <f t="shared" ref="AP630:AU631" si="474">AP631</f>
        <v>60000</v>
      </c>
      <c r="AQ630" s="441">
        <v>60000</v>
      </c>
      <c r="AR630" s="440">
        <f>AR631</f>
        <v>60000</v>
      </c>
      <c r="AS630" s="441">
        <f t="shared" si="474"/>
        <v>17338.72</v>
      </c>
      <c r="AT630" s="612">
        <f>AT631</f>
        <v>40000</v>
      </c>
      <c r="AU630" s="469">
        <f t="shared" si="474"/>
        <v>30000</v>
      </c>
      <c r="AV630" s="636">
        <v>50000</v>
      </c>
      <c r="AW630" s="636">
        <v>50000</v>
      </c>
      <c r="AX630" s="655">
        <f t="shared" si="434"/>
        <v>38.732667131458669</v>
      </c>
      <c r="AY630" s="655">
        <f t="shared" si="435"/>
        <v>66.666666666666657</v>
      </c>
      <c r="AZ630" s="655">
        <f t="shared" si="436"/>
        <v>75</v>
      </c>
      <c r="BA630" s="655">
        <f t="shared" si="437"/>
        <v>50</v>
      </c>
      <c r="BB630" s="655">
        <f t="shared" si="438"/>
        <v>166.66666666666669</v>
      </c>
      <c r="BC630" s="655">
        <f t="shared" si="438"/>
        <v>100</v>
      </c>
    </row>
    <row r="631" spans="1:55" ht="12" customHeight="1">
      <c r="A631" s="355"/>
      <c r="B631" s="355"/>
      <c r="C631" s="355"/>
      <c r="D631" s="355"/>
      <c r="E631" s="355"/>
      <c r="F631" s="355"/>
      <c r="G631" s="355"/>
      <c r="H631" s="379"/>
      <c r="I631" s="360"/>
      <c r="J631" s="356">
        <v>38</v>
      </c>
      <c r="K631" s="358" t="s">
        <v>144</v>
      </c>
      <c r="L631" s="315">
        <f t="shared" si="473"/>
        <v>205000</v>
      </c>
      <c r="M631" s="315">
        <f t="shared" si="473"/>
        <v>27208.175724998338</v>
      </c>
      <c r="N631" s="337">
        <f t="shared" si="473"/>
        <v>775000</v>
      </c>
      <c r="O631" s="337">
        <f t="shared" si="473"/>
        <v>102860.17652133519</v>
      </c>
      <c r="P631" s="292">
        <f t="shared" si="473"/>
        <v>40000</v>
      </c>
      <c r="Q631" s="292">
        <f t="shared" si="473"/>
        <v>106600</v>
      </c>
      <c r="R631" s="441">
        <f t="shared" si="473"/>
        <v>103272</v>
      </c>
      <c r="S631" s="292">
        <f t="shared" si="473"/>
        <v>51597.53</v>
      </c>
      <c r="T631" s="292"/>
      <c r="U631" s="292"/>
      <c r="V631" s="469">
        <f t="shared" si="473"/>
        <v>40000</v>
      </c>
      <c r="W631" s="469">
        <f t="shared" si="473"/>
        <v>20000</v>
      </c>
      <c r="X631" s="522">
        <f t="shared" si="473"/>
        <v>50000</v>
      </c>
      <c r="Y631" s="522">
        <f t="shared" si="473"/>
        <v>0</v>
      </c>
      <c r="Z631" s="541" t="b">
        <f t="shared" si="456"/>
        <v>1</v>
      </c>
      <c r="AA631" s="522"/>
      <c r="AB631" s="523">
        <f t="shared" si="473"/>
        <v>40000</v>
      </c>
      <c r="AC631" s="523">
        <f t="shared" si="473"/>
        <v>40000</v>
      </c>
      <c r="AD631" s="524">
        <f>O631/M631*100</f>
        <v>378.04878048780489</v>
      </c>
      <c r="AE631" s="524"/>
      <c r="AF631" s="524"/>
      <c r="AG631" s="524"/>
      <c r="AH631" s="522"/>
      <c r="AI631" s="522">
        <v>50000</v>
      </c>
      <c r="AJ631" s="516">
        <f>W631/R631*100</f>
        <v>19.366333565729335</v>
      </c>
      <c r="AK631" s="516">
        <f>AT631/W631*100</f>
        <v>200</v>
      </c>
      <c r="AL631" s="516">
        <f>X631/AT631*100</f>
        <v>125</v>
      </c>
      <c r="AM631" s="292"/>
      <c r="AN631" s="413"/>
      <c r="AO631" t="b">
        <f t="shared" si="457"/>
        <v>1</v>
      </c>
      <c r="AP631" s="440">
        <f t="shared" si="474"/>
        <v>60000</v>
      </c>
      <c r="AQ631" s="441">
        <v>60000</v>
      </c>
      <c r="AR631" s="440">
        <f>AR632</f>
        <v>60000</v>
      </c>
      <c r="AS631" s="441">
        <f t="shared" si="474"/>
        <v>17338.72</v>
      </c>
      <c r="AT631" s="612">
        <f>AT632</f>
        <v>40000</v>
      </c>
      <c r="AU631" s="469">
        <f t="shared" si="474"/>
        <v>30000</v>
      </c>
      <c r="AV631" s="636">
        <v>50000</v>
      </c>
      <c r="AW631" s="636">
        <v>50000</v>
      </c>
      <c r="AX631" s="655">
        <f t="shared" si="434"/>
        <v>38.732667131458669</v>
      </c>
      <c r="AY631" s="655">
        <f t="shared" si="435"/>
        <v>66.666666666666657</v>
      </c>
      <c r="AZ631" s="655">
        <f t="shared" si="436"/>
        <v>75</v>
      </c>
      <c r="BA631" s="655">
        <f t="shared" si="437"/>
        <v>50</v>
      </c>
      <c r="BB631" s="655">
        <f t="shared" si="438"/>
        <v>166.66666666666669</v>
      </c>
      <c r="BC631" s="655">
        <f t="shared" si="438"/>
        <v>100</v>
      </c>
    </row>
    <row r="632" spans="1:55" ht="12" customHeight="1">
      <c r="A632" s="56"/>
      <c r="B632" s="56"/>
      <c r="C632" s="56"/>
      <c r="D632" s="56"/>
      <c r="E632" s="56"/>
      <c r="F632" s="56"/>
      <c r="G632" s="56"/>
      <c r="H632" s="377"/>
      <c r="I632" s="119"/>
      <c r="J632" s="116">
        <v>386</v>
      </c>
      <c r="K632" s="60" t="s">
        <v>275</v>
      </c>
      <c r="L632" s="315">
        <f t="shared" ref="L632:S632" si="475">L633+L634+L635+L636</f>
        <v>205000</v>
      </c>
      <c r="M632" s="315">
        <f t="shared" si="475"/>
        <v>27208.175724998338</v>
      </c>
      <c r="N632" s="337">
        <f t="shared" si="475"/>
        <v>775000</v>
      </c>
      <c r="O632" s="337">
        <f t="shared" si="475"/>
        <v>102860.17652133519</v>
      </c>
      <c r="P632" s="292">
        <f t="shared" si="475"/>
        <v>40000</v>
      </c>
      <c r="Q632" s="292">
        <f t="shared" si="475"/>
        <v>106600</v>
      </c>
      <c r="R632" s="441">
        <f t="shared" si="475"/>
        <v>103272</v>
      </c>
      <c r="S632" s="292">
        <f t="shared" si="475"/>
        <v>51597.53</v>
      </c>
      <c r="T632" s="292"/>
      <c r="U632" s="292"/>
      <c r="V632" s="469">
        <f>V633+V634+V635+V636</f>
        <v>40000</v>
      </c>
      <c r="W632" s="469">
        <f>W633+W634+W635+W636</f>
        <v>20000</v>
      </c>
      <c r="X632" s="522">
        <f>X633+X634+X635+X636</f>
        <v>50000</v>
      </c>
      <c r="Y632" s="522">
        <f>Y633+Y634+Y635+Y636</f>
        <v>0</v>
      </c>
      <c r="Z632" s="541" t="b">
        <f t="shared" si="456"/>
        <v>1</v>
      </c>
      <c r="AA632" s="522"/>
      <c r="AB632" s="523">
        <f>AB633+AB634+AB635+AB636</f>
        <v>40000</v>
      </c>
      <c r="AC632" s="523">
        <f>AC633+AC634+AC635+AC636</f>
        <v>40000</v>
      </c>
      <c r="AD632" s="524">
        <f>O632/M632*100</f>
        <v>378.04878048780489</v>
      </c>
      <c r="AE632" s="524"/>
      <c r="AF632" s="524"/>
      <c r="AG632" s="524"/>
      <c r="AH632" s="522"/>
      <c r="AI632" s="522">
        <v>50000</v>
      </c>
      <c r="AJ632" s="516">
        <f>W632/R632*100</f>
        <v>19.366333565729335</v>
      </c>
      <c r="AK632" s="516">
        <f>AT632/W632*100</f>
        <v>200</v>
      </c>
      <c r="AL632" s="516">
        <f>X632/AT632*100</f>
        <v>125</v>
      </c>
      <c r="AM632" s="292"/>
      <c r="AN632" s="413"/>
      <c r="AO632" t="b">
        <f t="shared" si="457"/>
        <v>1</v>
      </c>
      <c r="AP632" s="440">
        <f t="shared" ref="AP632:AU632" si="476">AP633+AP634+AP635+AP636</f>
        <v>60000</v>
      </c>
      <c r="AQ632" s="441">
        <v>60000</v>
      </c>
      <c r="AR632" s="440">
        <f>AR633+AR634+AR635+AR636</f>
        <v>60000</v>
      </c>
      <c r="AS632" s="441">
        <f t="shared" si="476"/>
        <v>17338.72</v>
      </c>
      <c r="AT632" s="612">
        <f t="shared" si="476"/>
        <v>40000</v>
      </c>
      <c r="AU632" s="469">
        <f t="shared" si="476"/>
        <v>30000</v>
      </c>
      <c r="AV632" s="636">
        <v>50000</v>
      </c>
      <c r="AW632" s="636">
        <v>50000</v>
      </c>
      <c r="AX632" s="655">
        <f t="shared" si="434"/>
        <v>38.732667131458669</v>
      </c>
      <c r="AY632" s="655">
        <f t="shared" si="435"/>
        <v>66.666666666666657</v>
      </c>
      <c r="AZ632" s="655">
        <f t="shared" si="436"/>
        <v>75</v>
      </c>
      <c r="BA632" s="655">
        <f t="shared" si="437"/>
        <v>50</v>
      </c>
      <c r="BB632" s="655">
        <f t="shared" si="438"/>
        <v>166.66666666666669</v>
      </c>
      <c r="BC632" s="655">
        <f t="shared" si="438"/>
        <v>100</v>
      </c>
    </row>
    <row r="633" spans="1:55" ht="12" customHeight="1">
      <c r="A633" s="36"/>
      <c r="B633" s="36"/>
      <c r="C633" s="36"/>
      <c r="D633" s="36"/>
      <c r="E633" s="36"/>
      <c r="F633" s="36"/>
      <c r="G633" s="36"/>
      <c r="H633" s="204">
        <v>169</v>
      </c>
      <c r="I633" s="118">
        <v>510</v>
      </c>
      <c r="J633" s="71">
        <v>3861</v>
      </c>
      <c r="K633" s="155" t="s">
        <v>446</v>
      </c>
      <c r="L633" s="309">
        <v>0</v>
      </c>
      <c r="M633" s="309">
        <v>0</v>
      </c>
      <c r="N633" s="339">
        <v>0</v>
      </c>
      <c r="O633" s="339">
        <v>0</v>
      </c>
      <c r="P633" s="294">
        <v>0</v>
      </c>
      <c r="Q633" s="294">
        <v>0</v>
      </c>
      <c r="R633" s="443">
        <v>0</v>
      </c>
      <c r="S633" s="294">
        <f>__xlfn.XLOOKUP(H633,[2]Izvršenje_proračuna_po_pozicija!$B$2:$B$153,[2]Izvršenje_proračuna_po_pozicija!$E$2:$E$153,0)</f>
        <v>0</v>
      </c>
      <c r="T633" s="294"/>
      <c r="U633" s="294"/>
      <c r="V633" s="478">
        <v>0</v>
      </c>
      <c r="W633" s="478"/>
      <c r="X633" s="544"/>
      <c r="Y633" s="544"/>
      <c r="Z633" s="541" t="b">
        <f t="shared" si="456"/>
        <v>0</v>
      </c>
      <c r="AA633" s="527"/>
      <c r="AB633" s="528">
        <v>0</v>
      </c>
      <c r="AC633" s="528">
        <v>0</v>
      </c>
      <c r="AD633" s="524"/>
      <c r="AE633" s="524"/>
      <c r="AF633" s="524"/>
      <c r="AG633" s="524"/>
      <c r="AH633" s="527"/>
      <c r="AI633" s="544"/>
      <c r="AJ633" s="516"/>
      <c r="AK633" s="516"/>
      <c r="AL633" s="516"/>
      <c r="AM633" s="294"/>
      <c r="AN633" s="413"/>
      <c r="AO633" t="b">
        <f t="shared" si="457"/>
        <v>0</v>
      </c>
      <c r="AQ633" s="443"/>
      <c r="AS633" s="443">
        <f>__xlfn.XLOOKUP(K633,[1]Izvršenje_proračuna_po_pozicija!$C$25:$C$149,[1]Izvršenje_proračuna_po_pozicija!$E$25:$E$149,0)</f>
        <v>0</v>
      </c>
      <c r="AT633" s="617"/>
      <c r="AU633" s="478"/>
      <c r="AV633" s="638"/>
      <c r="AW633" s="638"/>
      <c r="AX633" s="655" t="str">
        <f t="shared" si="434"/>
        <v/>
      </c>
      <c r="AY633" s="655" t="str">
        <f t="shared" si="435"/>
        <v/>
      </c>
      <c r="AZ633" s="655" t="str">
        <f t="shared" si="436"/>
        <v/>
      </c>
      <c r="BA633" s="655" t="str">
        <f t="shared" si="437"/>
        <v/>
      </c>
      <c r="BB633" s="655" t="str">
        <f t="shared" si="438"/>
        <v/>
      </c>
      <c r="BC633" s="655" t="str">
        <f t="shared" si="438"/>
        <v/>
      </c>
    </row>
    <row r="634" spans="1:55" ht="12" customHeight="1">
      <c r="A634" s="36"/>
      <c r="B634" s="36"/>
      <c r="C634" s="36"/>
      <c r="D634" s="36"/>
      <c r="E634" s="36"/>
      <c r="F634" s="36"/>
      <c r="G634" s="36"/>
      <c r="H634" s="204" t="s">
        <v>637</v>
      </c>
      <c r="I634" s="118">
        <v>510</v>
      </c>
      <c r="J634" s="71">
        <v>3861</v>
      </c>
      <c r="K634" s="155" t="s">
        <v>638</v>
      </c>
      <c r="L634" s="309">
        <v>0</v>
      </c>
      <c r="M634" s="309">
        <v>0</v>
      </c>
      <c r="N634" s="339">
        <v>0</v>
      </c>
      <c r="O634" s="339">
        <v>0</v>
      </c>
      <c r="P634" s="294">
        <v>0</v>
      </c>
      <c r="Q634" s="294">
        <v>0</v>
      </c>
      <c r="R634" s="443">
        <v>0</v>
      </c>
      <c r="S634" s="294">
        <f>__xlfn.XLOOKUP(H634,[2]Izvršenje_proračuna_po_pozicija!$B$2:$B$153,[2]Izvršenje_proračuna_po_pozicija!$E$2:$E$153,0)</f>
        <v>0</v>
      </c>
      <c r="T634" s="294"/>
      <c r="U634" s="294"/>
      <c r="V634" s="478">
        <v>0</v>
      </c>
      <c r="W634" s="478"/>
      <c r="X634" s="544"/>
      <c r="Y634" s="544"/>
      <c r="Z634" s="541" t="b">
        <f t="shared" si="456"/>
        <v>0</v>
      </c>
      <c r="AA634" s="527"/>
      <c r="AB634" s="528"/>
      <c r="AC634" s="528"/>
      <c r="AD634" s="524"/>
      <c r="AE634" s="524"/>
      <c r="AF634" s="524"/>
      <c r="AG634" s="524"/>
      <c r="AH634" s="527"/>
      <c r="AI634" s="544"/>
      <c r="AJ634" s="516"/>
      <c r="AK634" s="516"/>
      <c r="AL634" s="516"/>
      <c r="AM634" s="294"/>
      <c r="AN634" s="413"/>
      <c r="AO634" t="b">
        <f t="shared" si="457"/>
        <v>0</v>
      </c>
      <c r="AQ634" s="443"/>
      <c r="AS634" s="443">
        <f>__xlfn.XLOOKUP(K634,[1]Izvršenje_proračuna_po_pozicija!$C$25:$C$149,[1]Izvršenje_proračuna_po_pozicija!$E$25:$E$149,0)</f>
        <v>0</v>
      </c>
      <c r="AT634" s="617"/>
      <c r="AU634" s="478"/>
      <c r="AV634" s="638"/>
      <c r="AW634" s="638"/>
      <c r="AX634" s="655" t="str">
        <f t="shared" si="434"/>
        <v/>
      </c>
      <c r="AY634" s="655" t="str">
        <f t="shared" si="435"/>
        <v/>
      </c>
      <c r="AZ634" s="655" t="str">
        <f t="shared" si="436"/>
        <v/>
      </c>
      <c r="BA634" s="655" t="str">
        <f t="shared" si="437"/>
        <v/>
      </c>
      <c r="BB634" s="655" t="str">
        <f t="shared" si="438"/>
        <v/>
      </c>
      <c r="BC634" s="655" t="str">
        <f t="shared" si="438"/>
        <v/>
      </c>
    </row>
    <row r="635" spans="1:55" ht="12" customHeight="1">
      <c r="A635" s="36"/>
      <c r="B635" s="36"/>
      <c r="C635" s="36"/>
      <c r="D635" s="36"/>
      <c r="E635" s="36"/>
      <c r="F635" s="36"/>
      <c r="G635" s="36"/>
      <c r="H635" s="204" t="s">
        <v>302</v>
      </c>
      <c r="I635" s="118">
        <v>510</v>
      </c>
      <c r="J635" s="71">
        <v>3861</v>
      </c>
      <c r="K635" s="155" t="s">
        <v>556</v>
      </c>
      <c r="L635" s="309">
        <v>0</v>
      </c>
      <c r="M635" s="309">
        <v>0</v>
      </c>
      <c r="N635" s="339">
        <v>0</v>
      </c>
      <c r="O635" s="339">
        <v>0</v>
      </c>
      <c r="P635" s="294">
        <v>0</v>
      </c>
      <c r="Q635" s="294">
        <v>0</v>
      </c>
      <c r="R635" s="443">
        <v>0</v>
      </c>
      <c r="S635" s="294">
        <f>__xlfn.XLOOKUP(H635,[2]Izvršenje_proračuna_po_pozicija!$B$2:$B$153,[2]Izvršenje_proračuna_po_pozicija!$E$2:$E$153,0)</f>
        <v>35000</v>
      </c>
      <c r="T635" s="294"/>
      <c r="U635" s="294"/>
      <c r="V635" s="478">
        <v>0</v>
      </c>
      <c r="W635" s="478"/>
      <c r="X635" s="544"/>
      <c r="Y635" s="544"/>
      <c r="Z635" s="541" t="b">
        <f t="shared" si="456"/>
        <v>0</v>
      </c>
      <c r="AA635" s="527"/>
      <c r="AB635" s="528">
        <v>0</v>
      </c>
      <c r="AC635" s="528">
        <v>0</v>
      </c>
      <c r="AD635" s="524"/>
      <c r="AE635" s="524"/>
      <c r="AF635" s="524"/>
      <c r="AG635" s="524"/>
      <c r="AH635" s="527"/>
      <c r="AI635" s="544"/>
      <c r="AJ635" s="516"/>
      <c r="AK635" s="516"/>
      <c r="AL635" s="516"/>
      <c r="AM635" s="294"/>
      <c r="AN635" s="413"/>
      <c r="AO635" t="b">
        <f t="shared" si="457"/>
        <v>0</v>
      </c>
      <c r="AP635" s="493">
        <v>35000</v>
      </c>
      <c r="AQ635" s="443">
        <v>35000</v>
      </c>
      <c r="AR635" s="493">
        <v>35000</v>
      </c>
      <c r="AS635" s="443">
        <f>__xlfn.XLOOKUP(K635,[1]Izvršenje_proračuna_po_pozicija!$C$25:$C$149,[1]Izvršenje_proračuna_po_pozicija!$E$25:$E$149,0)</f>
        <v>0</v>
      </c>
      <c r="AT635" s="617"/>
      <c r="AU635" s="478"/>
      <c r="AV635" s="638"/>
      <c r="AW635" s="638"/>
      <c r="AX635" s="655" t="str">
        <f t="shared" si="434"/>
        <v/>
      </c>
      <c r="AY635" s="655" t="str">
        <f t="shared" si="435"/>
        <v/>
      </c>
      <c r="AZ635" s="655" t="str">
        <f t="shared" si="436"/>
        <v/>
      </c>
      <c r="BA635" s="655" t="str">
        <f t="shared" si="437"/>
        <v/>
      </c>
      <c r="BB635" s="655" t="str">
        <f t="shared" si="438"/>
        <v/>
      </c>
      <c r="BC635" s="655" t="str">
        <f t="shared" si="438"/>
        <v/>
      </c>
    </row>
    <row r="636" spans="1:55" ht="12" customHeight="1">
      <c r="A636" s="36"/>
      <c r="B636" s="36"/>
      <c r="C636" s="36"/>
      <c r="D636" s="36"/>
      <c r="E636" s="36"/>
      <c r="F636" s="36"/>
      <c r="G636" s="36"/>
      <c r="H636" s="204" t="s">
        <v>303</v>
      </c>
      <c r="I636" s="118">
        <v>520</v>
      </c>
      <c r="J636" s="71">
        <v>3861</v>
      </c>
      <c r="K636" s="40" t="s">
        <v>766</v>
      </c>
      <c r="L636" s="309">
        <v>205000</v>
      </c>
      <c r="M636" s="309">
        <f>205000/7.5345</f>
        <v>27208.175724998338</v>
      </c>
      <c r="N636" s="339">
        <v>775000</v>
      </c>
      <c r="O636" s="339">
        <f>N636/7.5345</f>
        <v>102860.17652133519</v>
      </c>
      <c r="P636" s="294">
        <v>40000</v>
      </c>
      <c r="Q636" s="269">
        <v>106600</v>
      </c>
      <c r="R636" s="443">
        <v>103272</v>
      </c>
      <c r="S636" s="294">
        <f>__xlfn.XLOOKUP(H636,[2]Izvršenje_proračuna_po_pozicija!$B$2:$B$153,[2]Izvršenje_proračuna_po_pozicija!$E$2:$E$153,0)</f>
        <v>16597.53</v>
      </c>
      <c r="T636" s="294"/>
      <c r="U636" s="294"/>
      <c r="V636" s="478">
        <v>40000</v>
      </c>
      <c r="W636" s="478">
        <v>20000</v>
      </c>
      <c r="X636" s="544">
        <v>50000</v>
      </c>
      <c r="Y636" s="544"/>
      <c r="Z636" s="541" t="b">
        <f t="shared" si="456"/>
        <v>0</v>
      </c>
      <c r="AA636" s="527"/>
      <c r="AB636" s="528">
        <v>40000</v>
      </c>
      <c r="AC636" s="528">
        <v>40000</v>
      </c>
      <c r="AD636" s="524">
        <f>O636/M636*100</f>
        <v>378.04878048780489</v>
      </c>
      <c r="AE636" s="524"/>
      <c r="AF636" s="524"/>
      <c r="AG636" s="524"/>
      <c r="AH636" s="527"/>
      <c r="AI636" s="544">
        <v>50000</v>
      </c>
      <c r="AJ636" s="516">
        <f>W636/R636*100</f>
        <v>19.366333565729335</v>
      </c>
      <c r="AK636" s="516">
        <f>AT636/W636*100</f>
        <v>200</v>
      </c>
      <c r="AL636" s="516">
        <f>X636/AT636*100</f>
        <v>125</v>
      </c>
      <c r="AM636" s="294"/>
      <c r="AN636" s="413"/>
      <c r="AO636" t="b">
        <f t="shared" si="457"/>
        <v>0</v>
      </c>
      <c r="AP636" s="493">
        <v>25000</v>
      </c>
      <c r="AQ636" s="443">
        <v>25000</v>
      </c>
      <c r="AR636" s="493">
        <v>25000</v>
      </c>
      <c r="AS636" s="443">
        <v>17338.72</v>
      </c>
      <c r="AT636" s="617">
        <v>40000</v>
      </c>
      <c r="AU636" s="478">
        <v>30000</v>
      </c>
      <c r="AV636" s="638">
        <v>50000</v>
      </c>
      <c r="AW636" s="638">
        <v>50000</v>
      </c>
      <c r="AX636" s="655">
        <f t="shared" si="434"/>
        <v>38.732667131458669</v>
      </c>
      <c r="AY636" s="655">
        <f t="shared" si="435"/>
        <v>160</v>
      </c>
      <c r="AZ636" s="655">
        <f t="shared" si="436"/>
        <v>75</v>
      </c>
      <c r="BA636" s="655">
        <f t="shared" si="437"/>
        <v>120</v>
      </c>
      <c r="BB636" s="655">
        <f t="shared" si="438"/>
        <v>166.66666666666669</v>
      </c>
      <c r="BC636" s="655">
        <f t="shared" si="438"/>
        <v>100</v>
      </c>
    </row>
    <row r="637" spans="1:55" ht="12" customHeight="1">
      <c r="A637" s="25"/>
      <c r="B637" s="25"/>
      <c r="C637" s="25"/>
      <c r="D637" s="25"/>
      <c r="E637" s="25"/>
      <c r="F637" s="25"/>
      <c r="G637" s="25"/>
      <c r="H637" s="389"/>
      <c r="I637" s="30"/>
      <c r="J637" s="29"/>
      <c r="K637" s="29"/>
      <c r="L637" s="313"/>
      <c r="M637" s="313"/>
      <c r="N637" s="335"/>
      <c r="O637" s="335"/>
      <c r="P637" s="290"/>
      <c r="Q637" s="290"/>
      <c r="R637" s="439"/>
      <c r="S637" s="294">
        <f>__xlfn.XLOOKUP(H637,[2]Izvršenje_proračuna_po_pozicija!$B$2:$B$153,[2]Izvršenje_proračuna_po_pozicija!$E$2:$E$153,0)</f>
        <v>0</v>
      </c>
      <c r="T637" s="294"/>
      <c r="U637" s="294"/>
      <c r="V637" s="474"/>
      <c r="W637" s="474"/>
      <c r="X637" s="539"/>
      <c r="Y637" s="539"/>
      <c r="Z637" s="541" t="b">
        <f t="shared" si="456"/>
        <v>0</v>
      </c>
      <c r="AA637" s="514"/>
      <c r="AB637" s="515"/>
      <c r="AC637" s="515"/>
      <c r="AD637" s="524"/>
      <c r="AE637" s="524"/>
      <c r="AF637" s="524"/>
      <c r="AG637" s="524"/>
      <c r="AH637" s="514"/>
      <c r="AI637" s="539"/>
      <c r="AJ637" s="516"/>
      <c r="AK637" s="516"/>
      <c r="AL637" s="516"/>
      <c r="AM637" s="290"/>
      <c r="AO637" t="b">
        <f t="shared" si="457"/>
        <v>0</v>
      </c>
      <c r="AQ637" s="439"/>
      <c r="AS637" s="439">
        <f>__xlfn.XLOOKUP(K637,[1]Izvršenje_proračuna_po_pozicija!$C$25:$C$149,[1]Izvršenje_proračuna_po_pozicija!$E$25:$E$149,0)</f>
        <v>0</v>
      </c>
      <c r="AT637" s="616"/>
      <c r="AU637" s="474"/>
      <c r="AV637" s="632"/>
      <c r="AW637" s="632"/>
      <c r="AX637" s="655" t="str">
        <f t="shared" si="434"/>
        <v/>
      </c>
      <c r="AY637" s="655" t="str">
        <f t="shared" si="435"/>
        <v/>
      </c>
      <c r="AZ637" s="655" t="str">
        <f t="shared" si="436"/>
        <v/>
      </c>
      <c r="BA637" s="655" t="str">
        <f t="shared" si="437"/>
        <v/>
      </c>
      <c r="BB637" s="655" t="str">
        <f t="shared" si="438"/>
        <v/>
      </c>
      <c r="BC637" s="655" t="str">
        <f t="shared" si="438"/>
        <v/>
      </c>
    </row>
    <row r="638" spans="1:55" ht="12" customHeight="1">
      <c r="A638" s="52"/>
      <c r="B638" s="52"/>
      <c r="C638" s="52"/>
      <c r="D638" s="52"/>
      <c r="E638" s="52"/>
      <c r="F638" s="52"/>
      <c r="G638" s="52"/>
      <c r="H638" s="384"/>
      <c r="I638" s="120"/>
      <c r="J638" s="94">
        <v>4</v>
      </c>
      <c r="K638" s="21" t="s">
        <v>213</v>
      </c>
      <c r="L638" s="315">
        <f t="shared" ref="L638:AC638" si="477">L639</f>
        <v>123859</v>
      </c>
      <c r="M638" s="315">
        <f t="shared" si="477"/>
        <v>16438.914327427166</v>
      </c>
      <c r="N638" s="337">
        <f t="shared" si="477"/>
        <v>334457</v>
      </c>
      <c r="O638" s="337">
        <f t="shared" si="477"/>
        <v>44390.072333930584</v>
      </c>
      <c r="P638" s="292">
        <f t="shared" si="477"/>
        <v>205000</v>
      </c>
      <c r="Q638" s="292">
        <f t="shared" si="477"/>
        <v>1000</v>
      </c>
      <c r="R638" s="441">
        <f t="shared" si="477"/>
        <v>1663</v>
      </c>
      <c r="S638" s="292">
        <f t="shared" si="477"/>
        <v>1337.5</v>
      </c>
      <c r="T638" s="292"/>
      <c r="U638" s="292"/>
      <c r="V638" s="469">
        <f t="shared" si="477"/>
        <v>105000</v>
      </c>
      <c r="W638" s="469">
        <f t="shared" si="477"/>
        <v>1500</v>
      </c>
      <c r="X638" s="522">
        <f t="shared" si="477"/>
        <v>105000</v>
      </c>
      <c r="Y638" s="522">
        <f t="shared" si="477"/>
        <v>0</v>
      </c>
      <c r="Z638" s="541" t="b">
        <f t="shared" si="456"/>
        <v>1</v>
      </c>
      <c r="AA638" s="522"/>
      <c r="AB638" s="523">
        <f t="shared" si="477"/>
        <v>205000</v>
      </c>
      <c r="AC638" s="523">
        <f t="shared" si="477"/>
        <v>205000</v>
      </c>
      <c r="AD638" s="524">
        <f>O638/M638*100</f>
        <v>270.03043783657222</v>
      </c>
      <c r="AE638" s="524">
        <f>P638/O638*100</f>
        <v>461.81497173029715</v>
      </c>
      <c r="AF638" s="524">
        <f>Q638/P638*100</f>
        <v>0.48780487804878048</v>
      </c>
      <c r="AG638" s="524"/>
      <c r="AH638" s="522"/>
      <c r="AI638" s="522">
        <v>105000</v>
      </c>
      <c r="AJ638" s="516">
        <f>W638/R638*100</f>
        <v>90.198436560432953</v>
      </c>
      <c r="AK638" s="516">
        <f>AT638/W638*100</f>
        <v>7000</v>
      </c>
      <c r="AL638" s="516">
        <f>X638/AT638*100</f>
        <v>100</v>
      </c>
      <c r="AM638" s="292"/>
      <c r="AO638" t="b">
        <f t="shared" si="457"/>
        <v>1</v>
      </c>
      <c r="AP638" s="440">
        <f t="shared" ref="AP638:AU638" si="478">AP639</f>
        <v>837.5</v>
      </c>
      <c r="AQ638" s="441">
        <v>837.5</v>
      </c>
      <c r="AR638" s="440">
        <f>AR639</f>
        <v>837.5</v>
      </c>
      <c r="AS638" s="441">
        <f t="shared" si="478"/>
        <v>1000</v>
      </c>
      <c r="AT638" s="612">
        <f>AT639</f>
        <v>105000</v>
      </c>
      <c r="AU638" s="469">
        <f t="shared" si="478"/>
        <v>100000</v>
      </c>
      <c r="AV638" s="636">
        <v>105000</v>
      </c>
      <c r="AW638" s="636">
        <v>105000</v>
      </c>
      <c r="AX638" s="655">
        <f t="shared" si="434"/>
        <v>6313.8905592303072</v>
      </c>
      <c r="AY638" s="655">
        <f t="shared" si="435"/>
        <v>12537.313432835821</v>
      </c>
      <c r="AZ638" s="655">
        <f t="shared" si="436"/>
        <v>95.238095238095227</v>
      </c>
      <c r="BA638" s="655">
        <f t="shared" si="437"/>
        <v>11940.298507462687</v>
      </c>
      <c r="BB638" s="655">
        <f t="shared" si="438"/>
        <v>105</v>
      </c>
      <c r="BC638" s="655">
        <f t="shared" si="438"/>
        <v>100</v>
      </c>
    </row>
    <row r="639" spans="1:55" ht="12" customHeight="1">
      <c r="A639" s="355"/>
      <c r="B639" s="355"/>
      <c r="C639" s="355"/>
      <c r="D639" s="355"/>
      <c r="E639" s="355"/>
      <c r="F639" s="355"/>
      <c r="G639" s="355"/>
      <c r="H639" s="379"/>
      <c r="I639" s="360"/>
      <c r="J639" s="356">
        <v>42</v>
      </c>
      <c r="K639" s="358" t="s">
        <v>304</v>
      </c>
      <c r="L639" s="315">
        <f t="shared" ref="L639:S639" si="479">L640+L644</f>
        <v>123859</v>
      </c>
      <c r="M639" s="315">
        <f t="shared" si="479"/>
        <v>16438.914327427166</v>
      </c>
      <c r="N639" s="337">
        <f t="shared" si="479"/>
        <v>334457</v>
      </c>
      <c r="O639" s="337">
        <f t="shared" si="479"/>
        <v>44390.072333930584</v>
      </c>
      <c r="P639" s="292">
        <f t="shared" si="479"/>
        <v>205000</v>
      </c>
      <c r="Q639" s="292">
        <f t="shared" si="479"/>
        <v>1000</v>
      </c>
      <c r="R639" s="441">
        <f t="shared" si="479"/>
        <v>1663</v>
      </c>
      <c r="S639" s="292">
        <f t="shared" si="479"/>
        <v>1337.5</v>
      </c>
      <c r="T639" s="292"/>
      <c r="U639" s="292"/>
      <c r="V639" s="469">
        <f>V640+V644</f>
        <v>105000</v>
      </c>
      <c r="W639" s="469">
        <f>W640+W644</f>
        <v>1500</v>
      </c>
      <c r="X639" s="522">
        <f>X640+X644</f>
        <v>105000</v>
      </c>
      <c r="Y639" s="522">
        <f>Y640+Y644</f>
        <v>0</v>
      </c>
      <c r="Z639" s="541" t="b">
        <f t="shared" si="456"/>
        <v>1</v>
      </c>
      <c r="AA639" s="522"/>
      <c r="AB639" s="523">
        <f>AB640+AB644</f>
        <v>205000</v>
      </c>
      <c r="AC639" s="523">
        <f>AC640+AC644</f>
        <v>205000</v>
      </c>
      <c r="AD639" s="524">
        <f>O639/M639*100</f>
        <v>270.03043783657222</v>
      </c>
      <c r="AE639" s="524">
        <f>P639/O639*100</f>
        <v>461.81497173029715</v>
      </c>
      <c r="AF639" s="524">
        <f>Q639/P639*100</f>
        <v>0.48780487804878048</v>
      </c>
      <c r="AG639" s="524"/>
      <c r="AH639" s="522"/>
      <c r="AI639" s="522">
        <v>105000</v>
      </c>
      <c r="AJ639" s="516">
        <f>W639/R639*100</f>
        <v>90.198436560432953</v>
      </c>
      <c r="AK639" s="516">
        <f>AT639/W639*100</f>
        <v>7000</v>
      </c>
      <c r="AL639" s="516">
        <f>X639/AT639*100</f>
        <v>100</v>
      </c>
      <c r="AM639" s="292"/>
      <c r="AO639" t="b">
        <f t="shared" si="457"/>
        <v>1</v>
      </c>
      <c r="AP639" s="440">
        <f t="shared" ref="AP639:AU639" si="480">AP640+AP644</f>
        <v>837.5</v>
      </c>
      <c r="AQ639" s="441">
        <v>837.5</v>
      </c>
      <c r="AR639" s="440">
        <f>AR640+AR644</f>
        <v>837.5</v>
      </c>
      <c r="AS639" s="441">
        <f t="shared" si="480"/>
        <v>1000</v>
      </c>
      <c r="AT639" s="612">
        <f t="shared" si="480"/>
        <v>105000</v>
      </c>
      <c r="AU639" s="469">
        <f t="shared" si="480"/>
        <v>100000</v>
      </c>
      <c r="AV639" s="636">
        <v>105000</v>
      </c>
      <c r="AW639" s="636">
        <v>105000</v>
      </c>
      <c r="AX639" s="655">
        <f t="shared" si="434"/>
        <v>6313.8905592303072</v>
      </c>
      <c r="AY639" s="655">
        <f t="shared" si="435"/>
        <v>12537.313432835821</v>
      </c>
      <c r="AZ639" s="655">
        <f t="shared" si="436"/>
        <v>95.238095238095227</v>
      </c>
      <c r="BA639" s="655">
        <f t="shared" si="437"/>
        <v>11940.298507462687</v>
      </c>
      <c r="BB639" s="655">
        <f t="shared" si="438"/>
        <v>105</v>
      </c>
      <c r="BC639" s="655">
        <f t="shared" si="438"/>
        <v>100</v>
      </c>
    </row>
    <row r="640" spans="1:55" ht="12" customHeight="1">
      <c r="A640" s="56"/>
      <c r="B640" s="56"/>
      <c r="C640" s="56"/>
      <c r="D640" s="56"/>
      <c r="E640" s="56"/>
      <c r="F640" s="56"/>
      <c r="G640" s="56"/>
      <c r="H640" s="377"/>
      <c r="I640" s="119"/>
      <c r="J640" s="116">
        <v>421</v>
      </c>
      <c r="K640" s="60" t="s">
        <v>243</v>
      </c>
      <c r="L640" s="315">
        <f t="shared" ref="L640:S640" si="481">L641+L642</f>
        <v>123859</v>
      </c>
      <c r="M640" s="315">
        <f t="shared" si="481"/>
        <v>16438.914327427166</v>
      </c>
      <c r="N640" s="337">
        <f t="shared" si="481"/>
        <v>9457</v>
      </c>
      <c r="O640" s="337">
        <f t="shared" si="481"/>
        <v>1255.1595991771185</v>
      </c>
      <c r="P640" s="292">
        <f t="shared" si="481"/>
        <v>200000</v>
      </c>
      <c r="Q640" s="292">
        <f t="shared" si="481"/>
        <v>1000</v>
      </c>
      <c r="R640" s="441">
        <f t="shared" si="481"/>
        <v>1663</v>
      </c>
      <c r="S640" s="292">
        <f t="shared" si="481"/>
        <v>1337.5</v>
      </c>
      <c r="T640" s="292"/>
      <c r="U640" s="292"/>
      <c r="V640" s="469">
        <f>V641+V642</f>
        <v>100000</v>
      </c>
      <c r="W640" s="469">
        <f>W641+W642</f>
        <v>1500</v>
      </c>
      <c r="X640" s="522">
        <f>X641+X642</f>
        <v>100000</v>
      </c>
      <c r="Y640" s="522">
        <f>Y641+Y642</f>
        <v>0</v>
      </c>
      <c r="Z640" s="541" t="b">
        <f t="shared" si="456"/>
        <v>1</v>
      </c>
      <c r="AA640" s="522"/>
      <c r="AB640" s="523">
        <f>AB641+AB642</f>
        <v>200000</v>
      </c>
      <c r="AC640" s="523">
        <f>AC641+AC642</f>
        <v>200000</v>
      </c>
      <c r="AD640" s="524">
        <f>O640/M640*100</f>
        <v>7.6352949725090626</v>
      </c>
      <c r="AE640" s="524"/>
      <c r="AF640" s="524"/>
      <c r="AG640" s="524"/>
      <c r="AH640" s="522"/>
      <c r="AI640" s="522">
        <v>100000</v>
      </c>
      <c r="AJ640" s="516">
        <f>W640/R640*100</f>
        <v>90.198436560432953</v>
      </c>
      <c r="AK640" s="516">
        <f>AT640/W640*100</f>
        <v>6666.666666666667</v>
      </c>
      <c r="AL640" s="516">
        <f>X640/AT640*100</f>
        <v>100</v>
      </c>
      <c r="AM640" s="292"/>
      <c r="AO640" t="b">
        <f t="shared" si="457"/>
        <v>1</v>
      </c>
      <c r="AP640" s="440">
        <f t="shared" ref="AP640:AU640" si="482">AP641+AP642</f>
        <v>837.5</v>
      </c>
      <c r="AQ640" s="441">
        <v>837.5</v>
      </c>
      <c r="AR640" s="440">
        <f>AR641+AR642</f>
        <v>837.5</v>
      </c>
      <c r="AS640" s="441">
        <f t="shared" si="482"/>
        <v>1000</v>
      </c>
      <c r="AT640" s="612">
        <f t="shared" si="482"/>
        <v>100000</v>
      </c>
      <c r="AU640" s="469">
        <f t="shared" si="482"/>
        <v>100000</v>
      </c>
      <c r="AV640" s="636">
        <v>100000</v>
      </c>
      <c r="AW640" s="636">
        <v>100000</v>
      </c>
      <c r="AX640" s="655">
        <f t="shared" si="434"/>
        <v>6013.2291040288637</v>
      </c>
      <c r="AY640" s="655">
        <f t="shared" si="435"/>
        <v>11940.298507462687</v>
      </c>
      <c r="AZ640" s="655">
        <f t="shared" si="436"/>
        <v>100</v>
      </c>
      <c r="BA640" s="655">
        <f t="shared" si="437"/>
        <v>11940.298507462687</v>
      </c>
      <c r="BB640" s="655">
        <f t="shared" si="438"/>
        <v>100</v>
      </c>
      <c r="BC640" s="655">
        <f t="shared" si="438"/>
        <v>100</v>
      </c>
    </row>
    <row r="641" spans="1:55" ht="12" customHeight="1">
      <c r="A641" s="36"/>
      <c r="B641" s="36"/>
      <c r="C641" s="36"/>
      <c r="D641" s="36"/>
      <c r="E641" s="36"/>
      <c r="F641" s="36"/>
      <c r="G641" s="36"/>
      <c r="H641" s="204" t="s">
        <v>581</v>
      </c>
      <c r="I641" s="118">
        <v>510</v>
      </c>
      <c r="J641" s="71">
        <v>4214</v>
      </c>
      <c r="K641" s="40" t="s">
        <v>580</v>
      </c>
      <c r="L641" s="309">
        <v>65562</v>
      </c>
      <c r="M641" s="309">
        <f>65562/7.5345</f>
        <v>8701.5727652797123</v>
      </c>
      <c r="N641" s="339">
        <v>9457</v>
      </c>
      <c r="O641" s="339">
        <f>N641/7.5345</f>
        <v>1255.1595991771185</v>
      </c>
      <c r="P641" s="294">
        <v>200000</v>
      </c>
      <c r="Q641" s="269">
        <v>1000</v>
      </c>
      <c r="R641" s="443">
        <v>1663</v>
      </c>
      <c r="S641" s="294">
        <f>__xlfn.XLOOKUP(H641,[2]Izvršenje_proračuna_po_pozicija!$B$2:$B$153,[2]Izvršenje_proračuna_po_pozicija!$E$2:$E$153,0)</f>
        <v>1337.5</v>
      </c>
      <c r="T641" s="294"/>
      <c r="U641" s="294"/>
      <c r="V641" s="478">
        <v>100000</v>
      </c>
      <c r="W641" s="478">
        <v>1500</v>
      </c>
      <c r="X641" s="544">
        <v>100000</v>
      </c>
      <c r="Y641" s="544"/>
      <c r="Z641" s="541" t="b">
        <f t="shared" si="456"/>
        <v>0</v>
      </c>
      <c r="AA641" s="527"/>
      <c r="AB641" s="528">
        <v>200000</v>
      </c>
      <c r="AC641" s="528">
        <v>200000</v>
      </c>
      <c r="AD641" s="524">
        <f>O641/M641*100</f>
        <v>14.424514200298955</v>
      </c>
      <c r="AE641" s="524"/>
      <c r="AF641" s="524"/>
      <c r="AG641" s="524"/>
      <c r="AH641" s="527"/>
      <c r="AI641" s="544">
        <v>100000</v>
      </c>
      <c r="AJ641" s="516">
        <f>W641/R641*100</f>
        <v>90.198436560432953</v>
      </c>
      <c r="AK641" s="516">
        <f>AT641/W641*100</f>
        <v>6666.666666666667</v>
      </c>
      <c r="AL641" s="516">
        <f>X641/AT641*100</f>
        <v>100</v>
      </c>
      <c r="AM641" s="294"/>
      <c r="AO641" t="b">
        <f t="shared" si="457"/>
        <v>0</v>
      </c>
      <c r="AP641" s="493">
        <v>837.5</v>
      </c>
      <c r="AQ641" s="443">
        <v>837.5</v>
      </c>
      <c r="AR641" s="493">
        <v>837.5</v>
      </c>
      <c r="AS641" s="443">
        <f>__xlfn.XLOOKUP(K641,[1]Izvršenje_proračuna_po_pozicija!$C$25:$C$149,[1]Izvršenje_proračuna_po_pozicija!$E$25:$E$149,0)</f>
        <v>1000</v>
      </c>
      <c r="AT641" s="617">
        <v>100000</v>
      </c>
      <c r="AU641" s="478">
        <v>100000</v>
      </c>
      <c r="AV641" s="638">
        <v>100000</v>
      </c>
      <c r="AW641" s="638">
        <v>100000</v>
      </c>
      <c r="AX641" s="655">
        <f t="shared" si="434"/>
        <v>6013.2291040288637</v>
      </c>
      <c r="AY641" s="655">
        <f t="shared" si="435"/>
        <v>11940.298507462687</v>
      </c>
      <c r="AZ641" s="655">
        <f t="shared" si="436"/>
        <v>100</v>
      </c>
      <c r="BA641" s="655">
        <f t="shared" si="437"/>
        <v>11940.298507462687</v>
      </c>
      <c r="BB641" s="655">
        <f t="shared" si="438"/>
        <v>100</v>
      </c>
      <c r="BC641" s="655">
        <f t="shared" si="438"/>
        <v>100</v>
      </c>
    </row>
    <row r="642" spans="1:55" ht="12" customHeight="1">
      <c r="A642" s="36"/>
      <c r="B642" s="36"/>
      <c r="C642" s="36"/>
      <c r="D642" s="36"/>
      <c r="E642" s="36"/>
      <c r="F642" s="36"/>
      <c r="G642" s="36"/>
      <c r="H642" s="204" t="s">
        <v>690</v>
      </c>
      <c r="I642" s="132">
        <v>510</v>
      </c>
      <c r="J642" s="71">
        <v>4214</v>
      </c>
      <c r="K642" s="40" t="s">
        <v>667</v>
      </c>
      <c r="L642" s="309">
        <v>58297</v>
      </c>
      <c r="M642" s="309">
        <f>58297/7.5345</f>
        <v>7737.3415621474542</v>
      </c>
      <c r="N642" s="339">
        <v>0</v>
      </c>
      <c r="O642" s="339">
        <v>0</v>
      </c>
      <c r="P642" s="294">
        <v>0</v>
      </c>
      <c r="Q642" s="294">
        <v>0</v>
      </c>
      <c r="R642" s="443">
        <v>0</v>
      </c>
      <c r="S642" s="294">
        <f>__xlfn.XLOOKUP(H642,[2]Izvršenje_proračuna_po_pozicija!$B$2:$B$153,[2]Izvršenje_proračuna_po_pozicija!$E$2:$E$153,0)</f>
        <v>0</v>
      </c>
      <c r="T642" s="294"/>
      <c r="U642" s="294"/>
      <c r="V642" s="478">
        <v>0</v>
      </c>
      <c r="W642" s="478"/>
      <c r="X642" s="544"/>
      <c r="Y642" s="544"/>
      <c r="Z642" s="541" t="b">
        <f t="shared" si="456"/>
        <v>0</v>
      </c>
      <c r="AA642" s="527"/>
      <c r="AB642" s="528"/>
      <c r="AC642" s="528"/>
      <c r="AD642" s="524">
        <f>O642/M642*100</f>
        <v>0</v>
      </c>
      <c r="AE642" s="524"/>
      <c r="AF642" s="524"/>
      <c r="AG642" s="524"/>
      <c r="AH642" s="527"/>
      <c r="AI642" s="544"/>
      <c r="AJ642" s="516"/>
      <c r="AK642" s="516"/>
      <c r="AL642" s="516"/>
      <c r="AM642" s="294"/>
      <c r="AO642" t="b">
        <f t="shared" si="457"/>
        <v>0</v>
      </c>
      <c r="AQ642" s="443"/>
      <c r="AS642" s="443">
        <f>__xlfn.XLOOKUP(K642,[1]Izvršenje_proračuna_po_pozicija!$C$25:$C$149,[1]Izvršenje_proračuna_po_pozicija!$E$25:$E$149,0)</f>
        <v>0</v>
      </c>
      <c r="AT642" s="617"/>
      <c r="AU642" s="478"/>
      <c r="AV642" s="638"/>
      <c r="AW642" s="638"/>
      <c r="AX642" s="655" t="str">
        <f t="shared" si="434"/>
        <v/>
      </c>
      <c r="AY642" s="655" t="str">
        <f t="shared" si="435"/>
        <v/>
      </c>
      <c r="AZ642" s="655" t="str">
        <f t="shared" si="436"/>
        <v/>
      </c>
      <c r="BA642" s="655" t="str">
        <f t="shared" si="437"/>
        <v/>
      </c>
      <c r="BB642" s="655" t="str">
        <f t="shared" si="438"/>
        <v/>
      </c>
      <c r="BC642" s="655" t="str">
        <f t="shared" si="438"/>
        <v/>
      </c>
    </row>
    <row r="643" spans="1:55" ht="12" customHeight="1">
      <c r="A643" s="20"/>
      <c r="B643" s="20"/>
      <c r="C643" s="20"/>
      <c r="D643" s="20"/>
      <c r="E643" s="20"/>
      <c r="F643" s="20"/>
      <c r="G643" s="20"/>
      <c r="H643" s="375"/>
      <c r="I643" s="22"/>
      <c r="J643" s="21"/>
      <c r="K643" s="19"/>
      <c r="L643" s="313"/>
      <c r="M643" s="313"/>
      <c r="N643" s="335"/>
      <c r="O643" s="335"/>
      <c r="P643" s="290"/>
      <c r="Q643" s="290"/>
      <c r="R643" s="439"/>
      <c r="S643" s="294">
        <f>__xlfn.XLOOKUP(H643,[2]Izvršenje_proračuna_po_pozicija!$B$2:$B$153,[2]Izvršenje_proračuna_po_pozicija!$E$2:$E$153,0)</f>
        <v>0</v>
      </c>
      <c r="T643" s="294"/>
      <c r="U643" s="294"/>
      <c r="V643" s="474"/>
      <c r="W643" s="474"/>
      <c r="X643" s="539"/>
      <c r="Y643" s="539"/>
      <c r="Z643" s="541" t="b">
        <f t="shared" si="456"/>
        <v>0</v>
      </c>
      <c r="AA643" s="514"/>
      <c r="AB643" s="515"/>
      <c r="AC643" s="515"/>
      <c r="AD643" s="524"/>
      <c r="AE643" s="524"/>
      <c r="AF643" s="524"/>
      <c r="AG643" s="524"/>
      <c r="AH643" s="514"/>
      <c r="AI643" s="539"/>
      <c r="AJ643" s="516"/>
      <c r="AK643" s="516"/>
      <c r="AL643" s="516"/>
      <c r="AM643" s="290"/>
      <c r="AO643" t="b">
        <f t="shared" si="457"/>
        <v>0</v>
      </c>
      <c r="AQ643" s="439"/>
      <c r="AS643" s="439">
        <f>__xlfn.XLOOKUP(K643,[1]Izvršenje_proračuna_po_pozicija!$C$25:$C$149,[1]Izvršenje_proračuna_po_pozicija!$E$25:$E$149,0)</f>
        <v>0</v>
      </c>
      <c r="AT643" s="616"/>
      <c r="AU643" s="474"/>
      <c r="AV643" s="632"/>
      <c r="AW643" s="632"/>
      <c r="AX643" s="655" t="str">
        <f t="shared" si="434"/>
        <v/>
      </c>
      <c r="AY643" s="655" t="str">
        <f t="shared" si="435"/>
        <v/>
      </c>
      <c r="AZ643" s="655" t="str">
        <f t="shared" si="436"/>
        <v/>
      </c>
      <c r="BA643" s="655" t="str">
        <f t="shared" si="437"/>
        <v/>
      </c>
      <c r="BB643" s="655" t="str">
        <f t="shared" si="438"/>
        <v/>
      </c>
      <c r="BC643" s="655" t="str">
        <f t="shared" si="438"/>
        <v/>
      </c>
    </row>
    <row r="644" spans="1:55" ht="12" customHeight="1">
      <c r="A644" s="56"/>
      <c r="B644" s="56"/>
      <c r="C644" s="56"/>
      <c r="D644" s="56"/>
      <c r="E644" s="56"/>
      <c r="F644" s="56"/>
      <c r="G644" s="56"/>
      <c r="H644" s="377"/>
      <c r="I644" s="119"/>
      <c r="J644" s="116">
        <v>422</v>
      </c>
      <c r="K644" s="60" t="s">
        <v>215</v>
      </c>
      <c r="L644" s="315">
        <f t="shared" ref="L644:AC644" si="483">L645</f>
        <v>0</v>
      </c>
      <c r="M644" s="315">
        <f t="shared" si="483"/>
        <v>0</v>
      </c>
      <c r="N644" s="337">
        <f t="shared" si="483"/>
        <v>325000</v>
      </c>
      <c r="O644" s="337">
        <f t="shared" si="483"/>
        <v>43134.912734753467</v>
      </c>
      <c r="P644" s="292">
        <f t="shared" si="483"/>
        <v>5000</v>
      </c>
      <c r="Q644" s="292">
        <f t="shared" si="483"/>
        <v>0</v>
      </c>
      <c r="R644" s="441">
        <f t="shared" si="483"/>
        <v>0</v>
      </c>
      <c r="S644" s="292">
        <f t="shared" si="483"/>
        <v>0</v>
      </c>
      <c r="T644" s="292"/>
      <c r="U644" s="292"/>
      <c r="V644" s="469">
        <f t="shared" si="483"/>
        <v>5000</v>
      </c>
      <c r="W644" s="469">
        <f t="shared" si="483"/>
        <v>0</v>
      </c>
      <c r="X644" s="522">
        <f t="shared" si="483"/>
        <v>5000</v>
      </c>
      <c r="Y644" s="522">
        <f t="shared" si="483"/>
        <v>0</v>
      </c>
      <c r="Z644" s="541" t="b">
        <f t="shared" si="456"/>
        <v>1</v>
      </c>
      <c r="AA644" s="522"/>
      <c r="AB644" s="523">
        <f t="shared" si="483"/>
        <v>5000</v>
      </c>
      <c r="AC644" s="523">
        <f t="shared" si="483"/>
        <v>5000</v>
      </c>
      <c r="AD644" s="524"/>
      <c r="AE644" s="524">
        <f>P644/O644*100</f>
        <v>11.591538461538461</v>
      </c>
      <c r="AF644" s="524">
        <f>Q644/P644*100</f>
        <v>0</v>
      </c>
      <c r="AG644" s="524"/>
      <c r="AH644" s="522"/>
      <c r="AI644" s="522">
        <v>5000</v>
      </c>
      <c r="AJ644" s="516"/>
      <c r="AK644" s="516"/>
      <c r="AL644" s="516">
        <f>X644/AT644*100</f>
        <v>100</v>
      </c>
      <c r="AM644" s="292"/>
      <c r="AO644" t="b">
        <f t="shared" si="457"/>
        <v>1</v>
      </c>
      <c r="AP644" s="440">
        <f>AP645</f>
        <v>0</v>
      </c>
      <c r="AQ644" s="441">
        <v>0</v>
      </c>
      <c r="AR644" s="440">
        <f>AR645</f>
        <v>0</v>
      </c>
      <c r="AS644" s="441">
        <f>__xlfn.XLOOKUP(K644,[1]Izvršenje_proračuna_po_pozicija!$C$25:$C$149,[1]Izvršenje_proračuna_po_pozicija!$E$25:$E$149,0)</f>
        <v>0</v>
      </c>
      <c r="AT644" s="612">
        <f>AT645</f>
        <v>5000</v>
      </c>
      <c r="AU644" s="469"/>
      <c r="AV644" s="636">
        <v>5000</v>
      </c>
      <c r="AW644" s="636">
        <v>5000</v>
      </c>
      <c r="AX644" s="655" t="str">
        <f t="shared" si="434"/>
        <v/>
      </c>
      <c r="AY644" s="655" t="str">
        <f t="shared" si="435"/>
        <v/>
      </c>
      <c r="AZ644" s="655" t="str">
        <f t="shared" si="436"/>
        <v/>
      </c>
      <c r="BA644" s="655" t="str">
        <f t="shared" si="437"/>
        <v/>
      </c>
      <c r="BB644" s="655" t="str">
        <f t="shared" si="438"/>
        <v/>
      </c>
      <c r="BC644" s="655">
        <f t="shared" si="438"/>
        <v>100</v>
      </c>
    </row>
    <row r="645" spans="1:55" ht="12" customHeight="1">
      <c r="A645" s="36"/>
      <c r="B645" s="36"/>
      <c r="C645" s="36"/>
      <c r="D645" s="36"/>
      <c r="E645" s="36"/>
      <c r="F645" s="36"/>
      <c r="G645" s="36"/>
      <c r="H645" s="204" t="s">
        <v>582</v>
      </c>
      <c r="I645" s="118">
        <v>510</v>
      </c>
      <c r="J645" s="71">
        <v>4227</v>
      </c>
      <c r="K645" s="40" t="s">
        <v>583</v>
      </c>
      <c r="L645" s="309">
        <v>0</v>
      </c>
      <c r="M645" s="309">
        <v>0</v>
      </c>
      <c r="N645" s="339">
        <v>325000</v>
      </c>
      <c r="O645" s="339">
        <f>N645/7.5345</f>
        <v>43134.912734753467</v>
      </c>
      <c r="P645" s="294">
        <v>5000</v>
      </c>
      <c r="Q645" s="269">
        <v>0</v>
      </c>
      <c r="R645" s="443">
        <v>0</v>
      </c>
      <c r="S645" s="294">
        <f>__xlfn.XLOOKUP(H645,[2]Izvršenje_proračuna_po_pozicija!$B$2:$B$153,[2]Izvršenje_proračuna_po_pozicija!$E$2:$E$153,0)</f>
        <v>0</v>
      </c>
      <c r="T645" s="294"/>
      <c r="U645" s="294"/>
      <c r="V645" s="478">
        <v>5000</v>
      </c>
      <c r="W645" s="478">
        <v>0</v>
      </c>
      <c r="X645" s="544">
        <v>5000</v>
      </c>
      <c r="Y645" s="544"/>
      <c r="Z645" s="541" t="b">
        <f t="shared" si="456"/>
        <v>0</v>
      </c>
      <c r="AA645" s="527"/>
      <c r="AB645" s="528">
        <v>5000</v>
      </c>
      <c r="AC645" s="528">
        <v>5000</v>
      </c>
      <c r="AD645" s="524"/>
      <c r="AE645" s="524">
        <f>P645/O645*100</f>
        <v>11.591538461538461</v>
      </c>
      <c r="AF645" s="524">
        <f>Q645/P645*100</f>
        <v>0</v>
      </c>
      <c r="AG645" s="524"/>
      <c r="AH645" s="527"/>
      <c r="AI645" s="544">
        <v>5000</v>
      </c>
      <c r="AJ645" s="516"/>
      <c r="AK645" s="516"/>
      <c r="AL645" s="516">
        <f>X645/AT645*100</f>
        <v>100</v>
      </c>
      <c r="AM645" s="294"/>
      <c r="AO645" t="b">
        <f t="shared" si="457"/>
        <v>0</v>
      </c>
      <c r="AQ645" s="443"/>
      <c r="AS645" s="443">
        <f>__xlfn.XLOOKUP(K645,[1]Izvršenje_proračuna_po_pozicija!$C$25:$C$149,[1]Izvršenje_proračuna_po_pozicija!$E$25:$E$149,0)</f>
        <v>0</v>
      </c>
      <c r="AT645" s="617">
        <v>5000</v>
      </c>
      <c r="AU645" s="478"/>
      <c r="AV645" s="638">
        <v>5000</v>
      </c>
      <c r="AW645" s="638">
        <v>5000</v>
      </c>
      <c r="AX645" s="655" t="str">
        <f t="shared" si="434"/>
        <v/>
      </c>
      <c r="AY645" s="655" t="str">
        <f t="shared" si="435"/>
        <v/>
      </c>
      <c r="AZ645" s="655" t="str">
        <f t="shared" si="436"/>
        <v/>
      </c>
      <c r="BA645" s="655" t="str">
        <f t="shared" si="437"/>
        <v/>
      </c>
      <c r="BB645" s="655" t="str">
        <f t="shared" si="438"/>
        <v/>
      </c>
      <c r="BC645" s="655">
        <f t="shared" si="438"/>
        <v>100</v>
      </c>
    </row>
    <row r="646" spans="1:55" ht="12" customHeight="1">
      <c r="A646" s="36"/>
      <c r="B646" s="36"/>
      <c r="C646" s="36"/>
      <c r="D646" s="36"/>
      <c r="E646" s="36"/>
      <c r="F646" s="36"/>
      <c r="G646" s="36"/>
      <c r="H646" s="204"/>
      <c r="I646" s="118"/>
      <c r="J646" s="71"/>
      <c r="K646" s="255"/>
      <c r="L646" s="309"/>
      <c r="M646" s="309"/>
      <c r="N646" s="339"/>
      <c r="O646" s="339"/>
      <c r="P646" s="294"/>
      <c r="Q646" s="294"/>
      <c r="R646" s="443"/>
      <c r="S646" s="294">
        <f>__xlfn.XLOOKUP(H646,[2]Izvršenje_proračuna_po_pozicija!$B$2:$B$153,[2]Izvršenje_proračuna_po_pozicija!$E$2:$E$153,0)</f>
        <v>0</v>
      </c>
      <c r="T646" s="294"/>
      <c r="U646" s="294"/>
      <c r="V646" s="478"/>
      <c r="W646" s="478"/>
      <c r="X646" s="544"/>
      <c r="Y646" s="544"/>
      <c r="Z646" s="541" t="b">
        <f t="shared" si="456"/>
        <v>0</v>
      </c>
      <c r="AA646" s="527"/>
      <c r="AB646" s="528"/>
      <c r="AC646" s="528"/>
      <c r="AD646" s="524"/>
      <c r="AE646" s="524"/>
      <c r="AF646" s="524"/>
      <c r="AG646" s="524"/>
      <c r="AH646" s="527"/>
      <c r="AI646" s="544"/>
      <c r="AJ646" s="516"/>
      <c r="AK646" s="516"/>
      <c r="AL646" s="516"/>
      <c r="AM646" s="294"/>
      <c r="AO646" t="b">
        <f t="shared" si="457"/>
        <v>0</v>
      </c>
      <c r="AQ646" s="443"/>
      <c r="AS646" s="443">
        <f>__xlfn.XLOOKUP(K646,[1]Izvršenje_proračuna_po_pozicija!$C$25:$C$149,[1]Izvršenje_proračuna_po_pozicija!$E$25:$E$149,0)</f>
        <v>0</v>
      </c>
      <c r="AT646" s="617"/>
      <c r="AU646" s="478"/>
      <c r="AV646" s="638"/>
      <c r="AW646" s="638"/>
      <c r="AX646" s="655" t="str">
        <f t="shared" si="434"/>
        <v/>
      </c>
      <c r="AY646" s="655" t="str">
        <f t="shared" si="435"/>
        <v/>
      </c>
      <c r="AZ646" s="655" t="str">
        <f t="shared" si="436"/>
        <v/>
      </c>
      <c r="BA646" s="655" t="str">
        <f t="shared" si="437"/>
        <v/>
      </c>
      <c r="BB646" s="655" t="str">
        <f t="shared" si="438"/>
        <v/>
      </c>
      <c r="BC646" s="655" t="str">
        <f t="shared" si="438"/>
        <v/>
      </c>
    </row>
    <row r="647" spans="1:55" ht="12" customHeight="1">
      <c r="A647" s="212" t="s">
        <v>476</v>
      </c>
      <c r="B647" s="130"/>
      <c r="C647" s="130"/>
      <c r="D647" s="130"/>
      <c r="E647" s="130"/>
      <c r="F647" s="130"/>
      <c r="G647" s="130"/>
      <c r="H647" s="383"/>
      <c r="I647" s="150" t="s">
        <v>764</v>
      </c>
      <c r="J647" s="151"/>
      <c r="K647" s="45"/>
      <c r="L647" s="315">
        <f t="shared" ref="L647:S647" si="484">L649</f>
        <v>0</v>
      </c>
      <c r="M647" s="315">
        <f t="shared" si="484"/>
        <v>0</v>
      </c>
      <c r="N647" s="337">
        <f t="shared" si="484"/>
        <v>0</v>
      </c>
      <c r="O647" s="337">
        <f t="shared" si="484"/>
        <v>0</v>
      </c>
      <c r="P647" s="292">
        <f t="shared" si="484"/>
        <v>66400</v>
      </c>
      <c r="Q647" s="292">
        <f t="shared" si="484"/>
        <v>0</v>
      </c>
      <c r="R647" s="441">
        <f t="shared" si="484"/>
        <v>0</v>
      </c>
      <c r="S647" s="292">
        <f t="shared" si="484"/>
        <v>0</v>
      </c>
      <c r="T647" s="292"/>
      <c r="U647" s="292"/>
      <c r="V647" s="469">
        <f>V649</f>
        <v>0</v>
      </c>
      <c r="W647" s="469">
        <f>W649</f>
        <v>0</v>
      </c>
      <c r="X647" s="522">
        <f>X649</f>
        <v>0</v>
      </c>
      <c r="Y647" s="522">
        <f>Y649</f>
        <v>0</v>
      </c>
      <c r="Z647" s="541" t="b">
        <f t="shared" si="456"/>
        <v>1</v>
      </c>
      <c r="AA647" s="522"/>
      <c r="AB647" s="523">
        <f>AB649</f>
        <v>0</v>
      </c>
      <c r="AC647" s="523">
        <f>AC649</f>
        <v>0</v>
      </c>
      <c r="AD647" s="524"/>
      <c r="AE647" s="524"/>
      <c r="AF647" s="524"/>
      <c r="AG647" s="524"/>
      <c r="AH647" s="522"/>
      <c r="AI647" s="522">
        <v>0</v>
      </c>
      <c r="AJ647" s="516"/>
      <c r="AK647" s="516"/>
      <c r="AL647" s="516"/>
      <c r="AM647" s="292"/>
      <c r="AO647" t="b">
        <f t="shared" si="457"/>
        <v>1</v>
      </c>
      <c r="AP647" s="440">
        <f>AP649</f>
        <v>0</v>
      </c>
      <c r="AQ647" s="441">
        <v>0</v>
      </c>
      <c r="AR647" s="440">
        <f>AR649</f>
        <v>0</v>
      </c>
      <c r="AS647" s="441">
        <f>__xlfn.XLOOKUP(K647,[1]Izvršenje_proračuna_po_pozicija!$C$25:$C$149,[1]Izvršenje_proračuna_po_pozicija!$E$25:$E$149,0)</f>
        <v>0</v>
      </c>
      <c r="AT647" s="612">
        <f>AT649</f>
        <v>0</v>
      </c>
      <c r="AU647" s="469"/>
      <c r="AV647" s="636">
        <v>0</v>
      </c>
      <c r="AW647" s="636">
        <v>0</v>
      </c>
      <c r="AX647" s="655" t="str">
        <f t="shared" si="434"/>
        <v/>
      </c>
      <c r="AY647" s="655" t="str">
        <f t="shared" si="435"/>
        <v/>
      </c>
      <c r="AZ647" s="655" t="str">
        <f t="shared" si="436"/>
        <v/>
      </c>
      <c r="BA647" s="655" t="str">
        <f t="shared" si="437"/>
        <v/>
      </c>
      <c r="BB647" s="655" t="str">
        <f t="shared" si="438"/>
        <v/>
      </c>
      <c r="BC647" s="655" t="str">
        <f t="shared" si="438"/>
        <v/>
      </c>
    </row>
    <row r="648" spans="1:55" ht="12" customHeight="1">
      <c r="A648" s="36"/>
      <c r="B648" s="36"/>
      <c r="C648" s="36"/>
      <c r="D648" s="36"/>
      <c r="E648" s="36"/>
      <c r="F648" s="36"/>
      <c r="G648" s="36"/>
      <c r="H648" s="204"/>
      <c r="I648" s="118"/>
      <c r="J648" s="71"/>
      <c r="K648" s="255"/>
      <c r="L648" s="309"/>
      <c r="M648" s="309"/>
      <c r="N648" s="339"/>
      <c r="O648" s="339"/>
      <c r="P648" s="294"/>
      <c r="Q648" s="294"/>
      <c r="R648" s="443"/>
      <c r="S648" s="294">
        <f>__xlfn.XLOOKUP(H648,[2]Izvršenje_proračuna_po_pozicija!$B$2:$B$153,[2]Izvršenje_proračuna_po_pozicija!$E$2:$E$153,0)</f>
        <v>0</v>
      </c>
      <c r="T648" s="294"/>
      <c r="U648" s="294"/>
      <c r="V648" s="478"/>
      <c r="W648" s="478"/>
      <c r="X648" s="544"/>
      <c r="Y648" s="544"/>
      <c r="Z648" s="541" t="b">
        <f t="shared" si="456"/>
        <v>0</v>
      </c>
      <c r="AA648" s="527"/>
      <c r="AB648" s="528"/>
      <c r="AC648" s="528"/>
      <c r="AD648" s="524"/>
      <c r="AE648" s="524"/>
      <c r="AF648" s="524"/>
      <c r="AG648" s="524"/>
      <c r="AH648" s="527"/>
      <c r="AI648" s="544"/>
      <c r="AJ648" s="516"/>
      <c r="AK648" s="516"/>
      <c r="AL648" s="516"/>
      <c r="AM648" s="294"/>
      <c r="AO648" t="b">
        <f t="shared" si="457"/>
        <v>0</v>
      </c>
      <c r="AQ648" s="443"/>
      <c r="AS648" s="443">
        <f>__xlfn.XLOOKUP(K648,[1]Izvršenje_proračuna_po_pozicija!$C$25:$C$149,[1]Izvršenje_proračuna_po_pozicija!$E$25:$E$149,0)</f>
        <v>0</v>
      </c>
      <c r="AT648" s="617"/>
      <c r="AU648" s="478"/>
      <c r="AV648" s="638"/>
      <c r="AW648" s="638"/>
      <c r="AX648" s="655" t="str">
        <f t="shared" si="434"/>
        <v/>
      </c>
      <c r="AY648" s="655" t="str">
        <f t="shared" si="435"/>
        <v/>
      </c>
      <c r="AZ648" s="655" t="str">
        <f t="shared" si="436"/>
        <v/>
      </c>
      <c r="BA648" s="655" t="str">
        <f t="shared" si="437"/>
        <v/>
      </c>
      <c r="BB648" s="655" t="str">
        <f t="shared" si="438"/>
        <v/>
      </c>
      <c r="BC648" s="655" t="str">
        <f t="shared" si="438"/>
        <v/>
      </c>
    </row>
    <row r="649" spans="1:55" ht="12" customHeight="1">
      <c r="A649" s="52"/>
      <c r="B649" s="52"/>
      <c r="C649" s="52"/>
      <c r="D649" s="52"/>
      <c r="E649" s="52"/>
      <c r="F649" s="52"/>
      <c r="G649" s="52"/>
      <c r="H649" s="384"/>
      <c r="I649" s="120"/>
      <c r="J649" s="94">
        <v>4</v>
      </c>
      <c r="K649" s="21" t="s">
        <v>213</v>
      </c>
      <c r="L649" s="315">
        <f t="shared" ref="L649:S650" si="485">L650</f>
        <v>0</v>
      </c>
      <c r="M649" s="315">
        <f t="shared" si="485"/>
        <v>0</v>
      </c>
      <c r="N649" s="337">
        <f t="shared" si="485"/>
        <v>0</v>
      </c>
      <c r="O649" s="337">
        <f t="shared" si="485"/>
        <v>0</v>
      </c>
      <c r="P649" s="292">
        <f t="shared" si="485"/>
        <v>66400</v>
      </c>
      <c r="Q649" s="292">
        <f t="shared" si="485"/>
        <v>0</v>
      </c>
      <c r="R649" s="441">
        <f t="shared" si="485"/>
        <v>0</v>
      </c>
      <c r="S649" s="292">
        <f t="shared" si="485"/>
        <v>0</v>
      </c>
      <c r="T649" s="292"/>
      <c r="U649" s="292"/>
      <c r="V649" s="469">
        <f t="shared" ref="V649:Y650" si="486">V650</f>
        <v>0</v>
      </c>
      <c r="W649" s="469">
        <f t="shared" si="486"/>
        <v>0</v>
      </c>
      <c r="X649" s="522">
        <f t="shared" si="486"/>
        <v>0</v>
      </c>
      <c r="Y649" s="522">
        <f t="shared" si="486"/>
        <v>0</v>
      </c>
      <c r="Z649" s="541" t="b">
        <f t="shared" si="456"/>
        <v>1</v>
      </c>
      <c r="AA649" s="522"/>
      <c r="AB649" s="523">
        <f>AB650</f>
        <v>0</v>
      </c>
      <c r="AC649" s="523">
        <f>AC650</f>
        <v>0</v>
      </c>
      <c r="AD649" s="524"/>
      <c r="AE649" s="524"/>
      <c r="AF649" s="524"/>
      <c r="AG649" s="524"/>
      <c r="AH649" s="522"/>
      <c r="AI649" s="522">
        <v>0</v>
      </c>
      <c r="AJ649" s="516"/>
      <c r="AK649" s="516"/>
      <c r="AL649" s="516"/>
      <c r="AM649" s="292"/>
      <c r="AO649" t="b">
        <f t="shared" si="457"/>
        <v>1</v>
      </c>
      <c r="AP649" s="440">
        <f>AP650</f>
        <v>0</v>
      </c>
      <c r="AQ649" s="441">
        <v>0</v>
      </c>
      <c r="AR649" s="440">
        <f>AR650</f>
        <v>0</v>
      </c>
      <c r="AS649" s="441">
        <f>__xlfn.XLOOKUP(K649,[1]Izvršenje_proračuna_po_pozicija!$C$25:$C$149,[1]Izvršenje_proračuna_po_pozicija!$E$25:$E$149,0)</f>
        <v>0</v>
      </c>
      <c r="AT649" s="612">
        <f>AT650</f>
        <v>0</v>
      </c>
      <c r="AU649" s="469"/>
      <c r="AV649" s="636">
        <v>0</v>
      </c>
      <c r="AW649" s="636">
        <v>0</v>
      </c>
      <c r="AX649" s="655" t="str">
        <f t="shared" si="434"/>
        <v/>
      </c>
      <c r="AY649" s="655" t="str">
        <f t="shared" si="435"/>
        <v/>
      </c>
      <c r="AZ649" s="655" t="str">
        <f t="shared" si="436"/>
        <v/>
      </c>
      <c r="BA649" s="655" t="str">
        <f t="shared" si="437"/>
        <v/>
      </c>
      <c r="BB649" s="655" t="str">
        <f t="shared" si="438"/>
        <v/>
      </c>
      <c r="BC649" s="655" t="str">
        <f t="shared" si="438"/>
        <v/>
      </c>
    </row>
    <row r="650" spans="1:55" ht="12" customHeight="1">
      <c r="A650" s="355"/>
      <c r="B650" s="355"/>
      <c r="C650" s="355"/>
      <c r="D650" s="355"/>
      <c r="E650" s="355"/>
      <c r="F650" s="355"/>
      <c r="G650" s="355"/>
      <c r="H650" s="379"/>
      <c r="I650" s="360"/>
      <c r="J650" s="356">
        <v>42</v>
      </c>
      <c r="K650" s="358" t="s">
        <v>304</v>
      </c>
      <c r="L650" s="315">
        <f t="shared" si="485"/>
        <v>0</v>
      </c>
      <c r="M650" s="315">
        <f t="shared" si="485"/>
        <v>0</v>
      </c>
      <c r="N650" s="337">
        <f t="shared" si="485"/>
        <v>0</v>
      </c>
      <c r="O650" s="337">
        <f t="shared" si="485"/>
        <v>0</v>
      </c>
      <c r="P650" s="292">
        <f t="shared" si="485"/>
        <v>66400</v>
      </c>
      <c r="Q650" s="292">
        <f t="shared" si="485"/>
        <v>0</v>
      </c>
      <c r="R650" s="441">
        <f t="shared" si="485"/>
        <v>0</v>
      </c>
      <c r="S650" s="292">
        <f t="shared" si="485"/>
        <v>0</v>
      </c>
      <c r="T650" s="292"/>
      <c r="U650" s="292"/>
      <c r="V650" s="469">
        <f t="shared" si="486"/>
        <v>0</v>
      </c>
      <c r="W650" s="469">
        <f t="shared" si="486"/>
        <v>0</v>
      </c>
      <c r="X650" s="522">
        <f t="shared" si="486"/>
        <v>0</v>
      </c>
      <c r="Y650" s="522">
        <f t="shared" si="486"/>
        <v>0</v>
      </c>
      <c r="Z650" s="541" t="b">
        <f t="shared" si="456"/>
        <v>1</v>
      </c>
      <c r="AA650" s="522"/>
      <c r="AB650" s="523">
        <f>AB651</f>
        <v>0</v>
      </c>
      <c r="AC650" s="523">
        <f>AC651</f>
        <v>0</v>
      </c>
      <c r="AD650" s="524"/>
      <c r="AE650" s="524"/>
      <c r="AF650" s="524"/>
      <c r="AG650" s="524"/>
      <c r="AH650" s="522"/>
      <c r="AI650" s="522">
        <v>0</v>
      </c>
      <c r="AJ650" s="516"/>
      <c r="AK650" s="516"/>
      <c r="AL650" s="516"/>
      <c r="AM650" s="292"/>
      <c r="AO650" t="b">
        <f t="shared" si="457"/>
        <v>1</v>
      </c>
      <c r="AP650" s="440">
        <f>AP651</f>
        <v>0</v>
      </c>
      <c r="AQ650" s="441">
        <v>0</v>
      </c>
      <c r="AR650" s="440">
        <f>AR651</f>
        <v>0</v>
      </c>
      <c r="AS650" s="441">
        <f>__xlfn.XLOOKUP(K650,[1]Izvršenje_proračuna_po_pozicija!$C$25:$C$149,[1]Izvršenje_proračuna_po_pozicija!$E$25:$E$149,0)</f>
        <v>0</v>
      </c>
      <c r="AT650" s="612">
        <f>AT651</f>
        <v>0</v>
      </c>
      <c r="AU650" s="469"/>
      <c r="AV650" s="636">
        <v>0</v>
      </c>
      <c r="AW650" s="636">
        <v>0</v>
      </c>
      <c r="AX650" s="655" t="str">
        <f t="shared" si="434"/>
        <v/>
      </c>
      <c r="AY650" s="655" t="str">
        <f t="shared" si="435"/>
        <v/>
      </c>
      <c r="AZ650" s="655" t="str">
        <f t="shared" si="436"/>
        <v/>
      </c>
      <c r="BA650" s="655" t="str">
        <f t="shared" si="437"/>
        <v/>
      </c>
      <c r="BB650" s="655" t="str">
        <f t="shared" si="438"/>
        <v/>
      </c>
      <c r="BC650" s="655" t="str">
        <f t="shared" si="438"/>
        <v/>
      </c>
    </row>
    <row r="651" spans="1:55" ht="12" customHeight="1">
      <c r="A651" s="56"/>
      <c r="B651" s="56"/>
      <c r="C651" s="56"/>
      <c r="D651" s="56"/>
      <c r="E651" s="56"/>
      <c r="F651" s="56"/>
      <c r="G651" s="56"/>
      <c r="H651" s="377"/>
      <c r="I651" s="119"/>
      <c r="J651" s="116">
        <v>426</v>
      </c>
      <c r="K651" s="60" t="s">
        <v>763</v>
      </c>
      <c r="L651" s="315">
        <f t="shared" ref="L651:S651" si="487">L652+L653</f>
        <v>0</v>
      </c>
      <c r="M651" s="315">
        <f t="shared" si="487"/>
        <v>0</v>
      </c>
      <c r="N651" s="337">
        <f t="shared" si="487"/>
        <v>0</v>
      </c>
      <c r="O651" s="337">
        <f t="shared" si="487"/>
        <v>0</v>
      </c>
      <c r="P651" s="292">
        <f t="shared" si="487"/>
        <v>66400</v>
      </c>
      <c r="Q651" s="292">
        <f t="shared" si="487"/>
        <v>0</v>
      </c>
      <c r="R651" s="441">
        <f t="shared" si="487"/>
        <v>0</v>
      </c>
      <c r="S651" s="292">
        <f t="shared" si="487"/>
        <v>0</v>
      </c>
      <c r="T651" s="292"/>
      <c r="U651" s="292"/>
      <c r="V651" s="469">
        <f>V652+V653</f>
        <v>0</v>
      </c>
      <c r="W651" s="469">
        <f>W652+W653</f>
        <v>0</v>
      </c>
      <c r="X651" s="522">
        <f>X652+X653</f>
        <v>0</v>
      </c>
      <c r="Y651" s="522">
        <f>Y652+Y653</f>
        <v>0</v>
      </c>
      <c r="Z651" s="541" t="b">
        <f t="shared" si="456"/>
        <v>1</v>
      </c>
      <c r="AA651" s="522"/>
      <c r="AB651" s="523">
        <f>AB652+AB653</f>
        <v>0</v>
      </c>
      <c r="AC651" s="523">
        <f>AC652+AC653</f>
        <v>0</v>
      </c>
      <c r="AD651" s="524"/>
      <c r="AE651" s="524"/>
      <c r="AF651" s="524"/>
      <c r="AG651" s="524"/>
      <c r="AH651" s="522"/>
      <c r="AI651" s="522">
        <v>0</v>
      </c>
      <c r="AJ651" s="516"/>
      <c r="AK651" s="516"/>
      <c r="AL651" s="516"/>
      <c r="AM651" s="292"/>
      <c r="AO651" t="b">
        <f t="shared" si="457"/>
        <v>1</v>
      </c>
      <c r="AP651" s="440">
        <f>AP652+AP653</f>
        <v>0</v>
      </c>
      <c r="AQ651" s="441">
        <v>0</v>
      </c>
      <c r="AR651" s="440">
        <f>AR652+AR653</f>
        <v>0</v>
      </c>
      <c r="AS651" s="441">
        <f>__xlfn.XLOOKUP(K651,[1]Izvršenje_proračuna_po_pozicija!$C$25:$C$149,[1]Izvršenje_proračuna_po_pozicija!$E$25:$E$149,0)</f>
        <v>0</v>
      </c>
      <c r="AT651" s="612">
        <f>AT652+AT653</f>
        <v>0</v>
      </c>
      <c r="AU651" s="469"/>
      <c r="AV651" s="636">
        <v>0</v>
      </c>
      <c r="AW651" s="636">
        <v>0</v>
      </c>
      <c r="AX651" s="655" t="str">
        <f t="shared" ref="AX651:AX714" si="488">IF(AND(ISNUMBER(AT651), ISNUMBER(R651), R651&lt;&gt;0), (AT651/R651)*100, "")</f>
        <v/>
      </c>
      <c r="AY651" s="655" t="str">
        <f t="shared" ref="AY651:AY714" si="489">IF(AND(ISNUMBER(AT651), ISNUMBER(AQ651), AQ651&lt;&gt;0), (AT651/AQ651)*100, "")</f>
        <v/>
      </c>
      <c r="AZ651" s="655" t="str">
        <f t="shared" ref="AZ651:AZ714" si="490">IF(AND(ISNUMBER(AU651), ISNUMBER(AT651), AT651&lt;&gt;0), (AU651/AT651)*100, "")</f>
        <v/>
      </c>
      <c r="BA651" s="655" t="str">
        <f t="shared" ref="BA651:BA714" si="491">IF(AND(ISNUMBER(AU651), ISNUMBER(AQ651), AQ651&lt;&gt;0), (AU651/AQ651)*100, "")</f>
        <v/>
      </c>
      <c r="BB651" s="655" t="str">
        <f t="shared" ref="BB651:BC714" si="492">IF(AND(ISNUMBER(AV651), ISNUMBER(AU651), AU651&lt;&gt;0), (AV651/AU651)*100, "")</f>
        <v/>
      </c>
      <c r="BC651" s="655" t="str">
        <f t="shared" si="492"/>
        <v/>
      </c>
    </row>
    <row r="652" spans="1:55" ht="12" customHeight="1">
      <c r="A652" s="36"/>
      <c r="B652" s="36"/>
      <c r="C652" s="36"/>
      <c r="D652" s="36"/>
      <c r="E652" s="36"/>
      <c r="F652" s="36"/>
      <c r="G652" s="36"/>
      <c r="H652" s="204" t="s">
        <v>765</v>
      </c>
      <c r="I652" s="118">
        <v>540</v>
      </c>
      <c r="J652" s="71">
        <v>4214</v>
      </c>
      <c r="K652" s="40" t="s">
        <v>794</v>
      </c>
      <c r="L652" s="309">
        <v>0</v>
      </c>
      <c r="M652" s="309">
        <v>0</v>
      </c>
      <c r="N652" s="339">
        <v>0</v>
      </c>
      <c r="O652" s="339">
        <v>0</v>
      </c>
      <c r="P652" s="294">
        <v>66400</v>
      </c>
      <c r="Q652" s="269">
        <v>0</v>
      </c>
      <c r="R652" s="443">
        <v>0</v>
      </c>
      <c r="S652" s="294">
        <f>__xlfn.XLOOKUP(H652,[2]Izvršenje_proračuna_po_pozicija!$B$2:$B$153,[2]Izvršenje_proračuna_po_pozicija!$E$2:$E$153,0)</f>
        <v>0</v>
      </c>
      <c r="T652" s="294"/>
      <c r="U652" s="294"/>
      <c r="V652" s="478">
        <v>0</v>
      </c>
      <c r="W652" s="478"/>
      <c r="X652" s="544"/>
      <c r="Y652" s="544"/>
      <c r="Z652" s="541" t="b">
        <f t="shared" si="456"/>
        <v>0</v>
      </c>
      <c r="AA652" s="527"/>
      <c r="AB652" s="528">
        <v>0</v>
      </c>
      <c r="AC652" s="528">
        <v>0</v>
      </c>
      <c r="AD652" s="524"/>
      <c r="AE652" s="524"/>
      <c r="AF652" s="524"/>
      <c r="AG652" s="524"/>
      <c r="AH652" s="527"/>
      <c r="AI652" s="544"/>
      <c r="AJ652" s="516"/>
      <c r="AK652" s="516"/>
      <c r="AL652" s="516"/>
      <c r="AM652" s="294"/>
      <c r="AO652" t="b">
        <f t="shared" si="457"/>
        <v>0</v>
      </c>
      <c r="AQ652" s="443"/>
      <c r="AS652" s="443">
        <f>__xlfn.XLOOKUP(K652,[1]Izvršenje_proračuna_po_pozicija!$C$25:$C$149,[1]Izvršenje_proračuna_po_pozicija!$E$25:$E$149,0)</f>
        <v>0</v>
      </c>
      <c r="AT652" s="617"/>
      <c r="AU652" s="478"/>
      <c r="AV652" s="638"/>
      <c r="AW652" s="638"/>
      <c r="AX652" s="655" t="str">
        <f t="shared" si="488"/>
        <v/>
      </c>
      <c r="AY652" s="655" t="str">
        <f t="shared" si="489"/>
        <v/>
      </c>
      <c r="AZ652" s="655" t="str">
        <f t="shared" si="490"/>
        <v/>
      </c>
      <c r="BA652" s="655" t="str">
        <f t="shared" si="491"/>
        <v/>
      </c>
      <c r="BB652" s="655" t="str">
        <f t="shared" si="492"/>
        <v/>
      </c>
      <c r="BC652" s="655" t="str">
        <f t="shared" si="492"/>
        <v/>
      </c>
    </row>
    <row r="653" spans="1:55" ht="12" customHeight="1">
      <c r="A653" s="20"/>
      <c r="B653" s="20"/>
      <c r="C653" s="20"/>
      <c r="D653" s="20"/>
      <c r="E653" s="20"/>
      <c r="F653" s="20"/>
      <c r="G653" s="20"/>
      <c r="H653" s="375"/>
      <c r="I653" s="22"/>
      <c r="J653" s="21"/>
      <c r="K653" s="19"/>
      <c r="L653" s="313"/>
      <c r="M653" s="313"/>
      <c r="N653" s="335"/>
      <c r="O653" s="335"/>
      <c r="P653" s="290"/>
      <c r="Q653" s="290"/>
      <c r="R653" s="439"/>
      <c r="S653" s="294">
        <f>__xlfn.XLOOKUP(H653,[2]Izvršenje_proračuna_po_pozicija!$B$2:$B$153,[2]Izvršenje_proračuna_po_pozicija!$E$2:$E$153,0)</f>
        <v>0</v>
      </c>
      <c r="T653" s="294"/>
      <c r="U653" s="294"/>
      <c r="V653" s="474"/>
      <c r="W653" s="474"/>
      <c r="X653" s="539"/>
      <c r="Y653" s="539"/>
      <c r="Z653" s="541" t="b">
        <f t="shared" si="456"/>
        <v>0</v>
      </c>
      <c r="AA653" s="514"/>
      <c r="AB653" s="515"/>
      <c r="AC653" s="515"/>
      <c r="AD653" s="524"/>
      <c r="AE653" s="524"/>
      <c r="AF653" s="524"/>
      <c r="AG653" s="524"/>
      <c r="AH653" s="514"/>
      <c r="AI653" s="539"/>
      <c r="AJ653" s="516"/>
      <c r="AK653" s="516"/>
      <c r="AL653" s="516"/>
      <c r="AM653" s="290"/>
      <c r="AO653" t="b">
        <f t="shared" si="457"/>
        <v>0</v>
      </c>
      <c r="AQ653" s="439"/>
      <c r="AS653" s="439">
        <f>__xlfn.XLOOKUP(K653,[1]Izvršenje_proračuna_po_pozicija!$C$25:$C$149,[1]Izvršenje_proračuna_po_pozicija!$E$25:$E$149,0)</f>
        <v>0</v>
      </c>
      <c r="AT653" s="616"/>
      <c r="AU653" s="474"/>
      <c r="AV653" s="632"/>
      <c r="AW653" s="632"/>
      <c r="AX653" s="655" t="str">
        <f t="shared" si="488"/>
        <v/>
      </c>
      <c r="AY653" s="655" t="str">
        <f t="shared" si="489"/>
        <v/>
      </c>
      <c r="AZ653" s="655" t="str">
        <f t="shared" si="490"/>
        <v/>
      </c>
      <c r="BA653" s="655" t="str">
        <f t="shared" si="491"/>
        <v/>
      </c>
      <c r="BB653" s="655" t="str">
        <f t="shared" si="492"/>
        <v/>
      </c>
      <c r="BC653" s="655" t="str">
        <f t="shared" si="492"/>
        <v/>
      </c>
    </row>
    <row r="654" spans="1:55" ht="12" customHeight="1">
      <c r="A654" s="245"/>
      <c r="B654" s="245"/>
      <c r="C654" s="245"/>
      <c r="D654" s="245"/>
      <c r="E654" s="245"/>
      <c r="F654" s="245"/>
      <c r="G654" s="245"/>
      <c r="H654" s="394"/>
      <c r="I654" s="161" t="s">
        <v>485</v>
      </c>
      <c r="J654" s="148"/>
      <c r="K654" s="51"/>
      <c r="L654" s="315">
        <f t="shared" ref="L654:S654" si="493">L655+L668+L675+L685+L692+L699+L706+L713+L720+L734+L741+L753+L761</f>
        <v>2486345</v>
      </c>
      <c r="M654" s="315">
        <f t="shared" si="493"/>
        <v>329994.69108766335</v>
      </c>
      <c r="N654" s="337">
        <f t="shared" si="493"/>
        <v>3560747</v>
      </c>
      <c r="O654" s="337">
        <f t="shared" si="493"/>
        <v>472592.34189395449</v>
      </c>
      <c r="P654" s="292">
        <f t="shared" si="493"/>
        <v>1324800</v>
      </c>
      <c r="Q654" s="292">
        <f t="shared" si="493"/>
        <v>1018000</v>
      </c>
      <c r="R654" s="441">
        <f t="shared" si="493"/>
        <v>993784</v>
      </c>
      <c r="S654" s="292">
        <f t="shared" si="493"/>
        <v>504048.00999999995</v>
      </c>
      <c r="T654" s="292"/>
      <c r="U654" s="292"/>
      <c r="V654" s="469">
        <f>V655+V668+V675+V685+V692+V699+V706+V713+V720+V734+V741+V753+V761</f>
        <v>1129300</v>
      </c>
      <c r="W654" s="469">
        <f>W655+W668+W675+W685+W692+W699+W706+W713+W720+W734+W741+W753+W761</f>
        <v>1039000</v>
      </c>
      <c r="X654" s="522">
        <f>X655+X668+X675+X685+X692+X699+X706+X713+X720+X734+X741+X753+X761</f>
        <v>832000</v>
      </c>
      <c r="Y654" s="522">
        <f>Y655+Y668+Y675+Y685+Y692+Y699+Y706+Y713+Y720+Y734+Y741+Y753+Y761</f>
        <v>0</v>
      </c>
      <c r="Z654" s="541" t="b">
        <f t="shared" si="456"/>
        <v>1</v>
      </c>
      <c r="AA654" s="522"/>
      <c r="AB654" s="523">
        <f>AB655+AB668+AB675+AB685+AB692+AB699+AB706+AB713+AB720+AB734+AB741+AB753+AB761</f>
        <v>598000</v>
      </c>
      <c r="AC654" s="523">
        <f>AC655+AC668+AC675+AC685+AC692+AC699+AC706+AC713+AC720+AC734+AC741+AC753+AC761</f>
        <v>598000</v>
      </c>
      <c r="AD654" s="524">
        <f>O654/M654*100</f>
        <v>143.21210451486019</v>
      </c>
      <c r="AE654" s="524">
        <f>P654/O654*100</f>
        <v>280.32616751485011</v>
      </c>
      <c r="AF654" s="524">
        <f>Q654/P654*100</f>
        <v>76.841787439613526</v>
      </c>
      <c r="AG654" s="524">
        <f>AB654/Q654*100</f>
        <v>58.742632612966602</v>
      </c>
      <c r="AH654" s="522"/>
      <c r="AI654" s="522">
        <v>832000</v>
      </c>
      <c r="AJ654" s="516">
        <f>W654/R654*100</f>
        <v>104.54988206692803</v>
      </c>
      <c r="AK654" s="516">
        <f>AT654/W654*100</f>
        <v>103.36862367661213</v>
      </c>
      <c r="AL654" s="516">
        <f>X654/AT654*100</f>
        <v>77.467411545623833</v>
      </c>
      <c r="AM654" s="292"/>
      <c r="AO654" t="b">
        <f t="shared" si="457"/>
        <v>1</v>
      </c>
      <c r="AP654" s="440">
        <f t="shared" ref="AP654:AU654" si="494">AP655+AP668+AP675+AP685+AP692+AP699+AP706+AP713+AP720+AP734+AP741+AP753+AP761</f>
        <v>891524.94</v>
      </c>
      <c r="AQ654" s="441">
        <v>916524.94</v>
      </c>
      <c r="AR654" s="440">
        <f>AR655+AR668+AR675+AR685+AR692+AR699+AR706+AR713+AR720+AR734+AR741+AR753+AR761</f>
        <v>891524.94</v>
      </c>
      <c r="AS654" s="441">
        <f t="shared" si="494"/>
        <v>234215.04000000004</v>
      </c>
      <c r="AT654" s="612">
        <f t="shared" si="494"/>
        <v>1074000</v>
      </c>
      <c r="AU654" s="469">
        <f t="shared" si="494"/>
        <v>420750</v>
      </c>
      <c r="AV654" s="636">
        <v>832000</v>
      </c>
      <c r="AW654" s="636">
        <v>832000</v>
      </c>
      <c r="AX654" s="655">
        <f t="shared" si="488"/>
        <v>108.07177414810462</v>
      </c>
      <c r="AY654" s="655">
        <f t="shared" si="489"/>
        <v>117.18175394114208</v>
      </c>
      <c r="AZ654" s="655">
        <f t="shared" si="490"/>
        <v>39.175977653631286</v>
      </c>
      <c r="BA654" s="655">
        <f t="shared" si="491"/>
        <v>45.907097738115013</v>
      </c>
      <c r="BB654" s="655">
        <f t="shared" si="492"/>
        <v>197.74212715389186</v>
      </c>
      <c r="BC654" s="655">
        <f t="shared" si="492"/>
        <v>100</v>
      </c>
    </row>
    <row r="655" spans="1:55" ht="12" customHeight="1">
      <c r="A655" s="41" t="s">
        <v>474</v>
      </c>
      <c r="B655" s="41"/>
      <c r="C655" s="41"/>
      <c r="D655" s="41"/>
      <c r="E655" s="41"/>
      <c r="F655" s="41"/>
      <c r="G655" s="41"/>
      <c r="H655" s="392"/>
      <c r="I655" s="162" t="s">
        <v>305</v>
      </c>
      <c r="J655" s="163"/>
      <c r="K655" s="164"/>
      <c r="L655" s="325">
        <f t="shared" ref="L655:S655" si="495">L663+L657</f>
        <v>156682</v>
      </c>
      <c r="M655" s="325">
        <f t="shared" si="495"/>
        <v>20795.275068020437</v>
      </c>
      <c r="N655" s="349">
        <f t="shared" si="495"/>
        <v>315000</v>
      </c>
      <c r="O655" s="349">
        <f t="shared" si="495"/>
        <v>41807.684650607203</v>
      </c>
      <c r="P655" s="304">
        <f t="shared" si="495"/>
        <v>51500</v>
      </c>
      <c r="Q655" s="304">
        <f t="shared" si="495"/>
        <v>5000</v>
      </c>
      <c r="R655" s="448">
        <f t="shared" si="495"/>
        <v>0</v>
      </c>
      <c r="S655" s="304">
        <f t="shared" si="495"/>
        <v>0</v>
      </c>
      <c r="T655" s="304"/>
      <c r="U655" s="304"/>
      <c r="V655" s="485">
        <f>V663+V657</f>
        <v>55000</v>
      </c>
      <c r="W655" s="485">
        <f>W663+W657</f>
        <v>50000</v>
      </c>
      <c r="X655" s="557">
        <f>X663+X657</f>
        <v>55000</v>
      </c>
      <c r="Y655" s="557">
        <f>Y663+Y657</f>
        <v>0</v>
      </c>
      <c r="Z655" s="541" t="b">
        <f t="shared" si="456"/>
        <v>1</v>
      </c>
      <c r="AA655" s="557"/>
      <c r="AB655" s="558">
        <f>AB663+AB657</f>
        <v>52000</v>
      </c>
      <c r="AC655" s="558">
        <f>AC663+AC657</f>
        <v>52000</v>
      </c>
      <c r="AD655" s="524">
        <f>O655/M655*100</f>
        <v>201.04415312543878</v>
      </c>
      <c r="AE655" s="524">
        <f>P655/O655*100</f>
        <v>123.18309523809525</v>
      </c>
      <c r="AF655" s="524">
        <f>Q655/P655*100</f>
        <v>9.7087378640776691</v>
      </c>
      <c r="AG655" s="524"/>
      <c r="AH655" s="557"/>
      <c r="AI655" s="557">
        <v>55000</v>
      </c>
      <c r="AJ655" s="516"/>
      <c r="AK655" s="516">
        <f>AT655/W655*100</f>
        <v>38</v>
      </c>
      <c r="AL655" s="516">
        <f>X655/AT655*100</f>
        <v>289.4736842105263</v>
      </c>
      <c r="AM655" s="304"/>
      <c r="AO655" t="b">
        <f t="shared" si="457"/>
        <v>1</v>
      </c>
      <c r="AP655" s="496">
        <f t="shared" ref="AP655:AU655" si="496">AP663+AP657</f>
        <v>13727.1</v>
      </c>
      <c r="AQ655" s="448">
        <v>13727.1</v>
      </c>
      <c r="AR655" s="496">
        <f>AR663+AR657</f>
        <v>13727.1</v>
      </c>
      <c r="AS655" s="448">
        <f t="shared" si="496"/>
        <v>1370.5</v>
      </c>
      <c r="AT655" s="610">
        <f t="shared" si="496"/>
        <v>19000</v>
      </c>
      <c r="AU655" s="485">
        <f t="shared" si="496"/>
        <v>16500</v>
      </c>
      <c r="AV655" s="647">
        <v>55000</v>
      </c>
      <c r="AW655" s="647">
        <v>55000</v>
      </c>
      <c r="AX655" s="655" t="str">
        <f t="shared" si="488"/>
        <v/>
      </c>
      <c r="AY655" s="655">
        <f t="shared" si="489"/>
        <v>138.41233763868553</v>
      </c>
      <c r="AZ655" s="655">
        <f t="shared" si="490"/>
        <v>86.842105263157904</v>
      </c>
      <c r="BA655" s="655">
        <f t="shared" si="491"/>
        <v>120.20018794938478</v>
      </c>
      <c r="BB655" s="655">
        <f t="shared" si="492"/>
        <v>333.33333333333337</v>
      </c>
      <c r="BC655" s="655">
        <f t="shared" si="492"/>
        <v>100</v>
      </c>
    </row>
    <row r="656" spans="1:55" ht="12" customHeight="1">
      <c r="A656" s="20"/>
      <c r="B656" s="20"/>
      <c r="C656" s="20"/>
      <c r="D656" s="20"/>
      <c r="E656" s="20"/>
      <c r="F656" s="20"/>
      <c r="G656" s="20"/>
      <c r="H656" s="375"/>
      <c r="I656" s="22"/>
      <c r="J656" s="21"/>
      <c r="K656" s="19"/>
      <c r="L656" s="313"/>
      <c r="M656" s="313"/>
      <c r="N656" s="335"/>
      <c r="O656" s="335"/>
      <c r="P656" s="290"/>
      <c r="Q656" s="290"/>
      <c r="R656" s="439"/>
      <c r="S656" s="294">
        <f>__xlfn.XLOOKUP(H656,[2]Izvršenje_proračuna_po_pozicija!$B$2:$B$153,[2]Izvršenje_proračuna_po_pozicija!$E$2:$E$153,0)</f>
        <v>0</v>
      </c>
      <c r="T656" s="294"/>
      <c r="U656" s="294"/>
      <c r="V656" s="474"/>
      <c r="W656" s="474"/>
      <c r="X656" s="539"/>
      <c r="Y656" s="539"/>
      <c r="Z656" s="541" t="b">
        <f t="shared" si="456"/>
        <v>0</v>
      </c>
      <c r="AA656" s="514"/>
      <c r="AB656" s="515"/>
      <c r="AC656" s="515"/>
      <c r="AD656" s="524"/>
      <c r="AE656" s="524"/>
      <c r="AF656" s="524"/>
      <c r="AG656" s="524"/>
      <c r="AH656" s="514"/>
      <c r="AI656" s="539"/>
      <c r="AJ656" s="516"/>
      <c r="AK656" s="516"/>
      <c r="AL656" s="516"/>
      <c r="AM656" s="290"/>
      <c r="AO656" t="b">
        <f t="shared" si="457"/>
        <v>0</v>
      </c>
      <c r="AQ656" s="439"/>
      <c r="AS656" s="439"/>
      <c r="AT656" s="616"/>
      <c r="AU656" s="474"/>
      <c r="AV656" s="632"/>
      <c r="AW656" s="632"/>
      <c r="AX656" s="655" t="str">
        <f t="shared" si="488"/>
        <v/>
      </c>
      <c r="AY656" s="655" t="str">
        <f t="shared" si="489"/>
        <v/>
      </c>
      <c r="AZ656" s="655" t="str">
        <f t="shared" si="490"/>
        <v/>
      </c>
      <c r="BA656" s="655" t="str">
        <f t="shared" si="491"/>
        <v/>
      </c>
      <c r="BB656" s="655" t="str">
        <f t="shared" si="492"/>
        <v/>
      </c>
      <c r="BC656" s="655" t="str">
        <f t="shared" si="492"/>
        <v/>
      </c>
    </row>
    <row r="657" spans="1:55" ht="12" customHeight="1">
      <c r="A657" s="52"/>
      <c r="B657" s="52"/>
      <c r="C657" s="52"/>
      <c r="D657" s="52"/>
      <c r="E657" s="52"/>
      <c r="F657" s="52"/>
      <c r="G657" s="52"/>
      <c r="H657" s="384"/>
      <c r="I657" s="92"/>
      <c r="J657" s="94">
        <v>3</v>
      </c>
      <c r="K657" s="21" t="s">
        <v>94</v>
      </c>
      <c r="L657" s="315">
        <f t="shared" ref="L657:AC659" si="497">L658</f>
        <v>0</v>
      </c>
      <c r="M657" s="315">
        <f t="shared" si="497"/>
        <v>0</v>
      </c>
      <c r="N657" s="337">
        <f t="shared" si="497"/>
        <v>0</v>
      </c>
      <c r="O657" s="337">
        <f t="shared" si="497"/>
        <v>0</v>
      </c>
      <c r="P657" s="292">
        <f t="shared" si="497"/>
        <v>5000</v>
      </c>
      <c r="Q657" s="292">
        <f t="shared" si="497"/>
        <v>0</v>
      </c>
      <c r="R657" s="441">
        <f t="shared" si="497"/>
        <v>0</v>
      </c>
      <c r="S657" s="292">
        <f t="shared" si="497"/>
        <v>0</v>
      </c>
      <c r="T657" s="292"/>
      <c r="U657" s="292"/>
      <c r="V657" s="469">
        <f t="shared" si="497"/>
        <v>5000</v>
      </c>
      <c r="W657" s="469">
        <f t="shared" si="497"/>
        <v>0</v>
      </c>
      <c r="X657" s="522">
        <f t="shared" si="497"/>
        <v>5000</v>
      </c>
      <c r="Y657" s="522">
        <f t="shared" si="497"/>
        <v>0</v>
      </c>
      <c r="Z657" s="541" t="b">
        <f t="shared" si="456"/>
        <v>1</v>
      </c>
      <c r="AA657" s="522"/>
      <c r="AB657" s="523">
        <f t="shared" si="497"/>
        <v>5000</v>
      </c>
      <c r="AC657" s="523">
        <f t="shared" si="497"/>
        <v>5000</v>
      </c>
      <c r="AD657" s="524"/>
      <c r="AE657" s="524"/>
      <c r="AF657" s="524"/>
      <c r="AG657" s="524"/>
      <c r="AH657" s="522"/>
      <c r="AI657" s="522">
        <v>5000</v>
      </c>
      <c r="AJ657" s="516"/>
      <c r="AK657" s="516"/>
      <c r="AL657" s="516">
        <f>X657/AT657*100</f>
        <v>100</v>
      </c>
      <c r="AM657" s="292"/>
      <c r="AO657" t="b">
        <f t="shared" si="457"/>
        <v>1</v>
      </c>
      <c r="AP657" s="440">
        <f t="shared" ref="AP657:AU659" si="498">AP658</f>
        <v>1250</v>
      </c>
      <c r="AQ657" s="441">
        <v>1250</v>
      </c>
      <c r="AR657" s="440">
        <f>AR658</f>
        <v>1250</v>
      </c>
      <c r="AS657" s="441">
        <f t="shared" si="498"/>
        <v>750</v>
      </c>
      <c r="AT657" s="612">
        <f>AT658</f>
        <v>5000</v>
      </c>
      <c r="AU657" s="469">
        <f t="shared" si="498"/>
        <v>2500</v>
      </c>
      <c r="AV657" s="636">
        <v>5000</v>
      </c>
      <c r="AW657" s="636">
        <v>5000</v>
      </c>
      <c r="AX657" s="655" t="str">
        <f t="shared" si="488"/>
        <v/>
      </c>
      <c r="AY657" s="655">
        <f t="shared" si="489"/>
        <v>400</v>
      </c>
      <c r="AZ657" s="655">
        <f t="shared" si="490"/>
        <v>50</v>
      </c>
      <c r="BA657" s="655">
        <f t="shared" si="491"/>
        <v>200</v>
      </c>
      <c r="BB657" s="655">
        <f t="shared" si="492"/>
        <v>200</v>
      </c>
      <c r="BC657" s="655">
        <f t="shared" si="492"/>
        <v>100</v>
      </c>
    </row>
    <row r="658" spans="1:55" ht="12" customHeight="1">
      <c r="A658" s="355"/>
      <c r="B658" s="355"/>
      <c r="C658" s="355"/>
      <c r="D658" s="355"/>
      <c r="E658" s="355"/>
      <c r="F658" s="355"/>
      <c r="G658" s="355"/>
      <c r="H658" s="379"/>
      <c r="I658" s="361"/>
      <c r="J658" s="356">
        <v>32</v>
      </c>
      <c r="K658" s="358" t="s">
        <v>103</v>
      </c>
      <c r="L658" s="315">
        <f t="shared" si="497"/>
        <v>0</v>
      </c>
      <c r="M658" s="315">
        <f t="shared" si="497"/>
        <v>0</v>
      </c>
      <c r="N658" s="337">
        <f t="shared" si="497"/>
        <v>0</v>
      </c>
      <c r="O658" s="337">
        <f t="shared" si="497"/>
        <v>0</v>
      </c>
      <c r="P658" s="292">
        <f t="shared" si="497"/>
        <v>5000</v>
      </c>
      <c r="Q658" s="292">
        <f t="shared" si="497"/>
        <v>0</v>
      </c>
      <c r="R658" s="441">
        <f t="shared" si="497"/>
        <v>0</v>
      </c>
      <c r="S658" s="292">
        <f t="shared" si="497"/>
        <v>0</v>
      </c>
      <c r="T658" s="292"/>
      <c r="U658" s="292"/>
      <c r="V658" s="469">
        <f t="shared" si="497"/>
        <v>5000</v>
      </c>
      <c r="W658" s="469">
        <f t="shared" si="497"/>
        <v>0</v>
      </c>
      <c r="X658" s="522">
        <f t="shared" si="497"/>
        <v>5000</v>
      </c>
      <c r="Y658" s="522">
        <f t="shared" si="497"/>
        <v>0</v>
      </c>
      <c r="Z658" s="541" t="b">
        <f t="shared" si="456"/>
        <v>1</v>
      </c>
      <c r="AA658" s="522"/>
      <c r="AB658" s="523">
        <f t="shared" si="497"/>
        <v>5000</v>
      </c>
      <c r="AC658" s="523">
        <f t="shared" si="497"/>
        <v>5000</v>
      </c>
      <c r="AD658" s="524"/>
      <c r="AE658" s="524"/>
      <c r="AF658" s="524"/>
      <c r="AG658" s="524"/>
      <c r="AH658" s="522"/>
      <c r="AI658" s="522">
        <v>5000</v>
      </c>
      <c r="AJ658" s="516"/>
      <c r="AK658" s="516"/>
      <c r="AL658" s="516">
        <f>X658/AT658*100</f>
        <v>100</v>
      </c>
      <c r="AM658" s="292"/>
      <c r="AO658" t="b">
        <f t="shared" si="457"/>
        <v>1</v>
      </c>
      <c r="AP658" s="440">
        <f t="shared" si="498"/>
        <v>1250</v>
      </c>
      <c r="AQ658" s="441">
        <v>1250</v>
      </c>
      <c r="AR658" s="440">
        <f>AR659</f>
        <v>1250</v>
      </c>
      <c r="AS658" s="441">
        <f t="shared" si="498"/>
        <v>750</v>
      </c>
      <c r="AT658" s="612">
        <f>AT659</f>
        <v>5000</v>
      </c>
      <c r="AU658" s="469">
        <f t="shared" si="498"/>
        <v>2500</v>
      </c>
      <c r="AV658" s="636">
        <v>5000</v>
      </c>
      <c r="AW658" s="636">
        <v>5000</v>
      </c>
      <c r="AX658" s="655" t="str">
        <f t="shared" si="488"/>
        <v/>
      </c>
      <c r="AY658" s="655">
        <f t="shared" si="489"/>
        <v>400</v>
      </c>
      <c r="AZ658" s="655">
        <f t="shared" si="490"/>
        <v>50</v>
      </c>
      <c r="BA658" s="655">
        <f t="shared" si="491"/>
        <v>200</v>
      </c>
      <c r="BB658" s="655">
        <f t="shared" si="492"/>
        <v>200</v>
      </c>
      <c r="BC658" s="655">
        <f t="shared" si="492"/>
        <v>100</v>
      </c>
    </row>
    <row r="659" spans="1:55" ht="12" customHeight="1">
      <c r="A659" s="56"/>
      <c r="B659" s="165"/>
      <c r="C659" s="165"/>
      <c r="D659" s="165"/>
      <c r="E659" s="165"/>
      <c r="F659" s="165"/>
      <c r="G659" s="165"/>
      <c r="H659" s="395"/>
      <c r="I659" s="157"/>
      <c r="J659" s="116">
        <v>323</v>
      </c>
      <c r="K659" s="60" t="s">
        <v>191</v>
      </c>
      <c r="L659" s="315">
        <f t="shared" si="497"/>
        <v>0</v>
      </c>
      <c r="M659" s="315">
        <f t="shared" si="497"/>
        <v>0</v>
      </c>
      <c r="N659" s="337">
        <f t="shared" si="497"/>
        <v>0</v>
      </c>
      <c r="O659" s="337">
        <f t="shared" si="497"/>
        <v>0</v>
      </c>
      <c r="P659" s="292">
        <f t="shared" si="497"/>
        <v>5000</v>
      </c>
      <c r="Q659" s="292">
        <f t="shared" si="497"/>
        <v>0</v>
      </c>
      <c r="R659" s="441">
        <f t="shared" si="497"/>
        <v>0</v>
      </c>
      <c r="S659" s="292">
        <f t="shared" si="497"/>
        <v>0</v>
      </c>
      <c r="T659" s="292"/>
      <c r="U659" s="292"/>
      <c r="V659" s="469">
        <f t="shared" si="497"/>
        <v>5000</v>
      </c>
      <c r="W659" s="469">
        <f t="shared" si="497"/>
        <v>0</v>
      </c>
      <c r="X659" s="522">
        <f t="shared" si="497"/>
        <v>5000</v>
      </c>
      <c r="Y659" s="522">
        <f t="shared" si="497"/>
        <v>0</v>
      </c>
      <c r="Z659" s="541" t="b">
        <f t="shared" si="456"/>
        <v>1</v>
      </c>
      <c r="AA659" s="522"/>
      <c r="AB659" s="523">
        <f t="shared" si="497"/>
        <v>5000</v>
      </c>
      <c r="AC659" s="523">
        <f t="shared" si="497"/>
        <v>5000</v>
      </c>
      <c r="AD659" s="524"/>
      <c r="AE659" s="524"/>
      <c r="AF659" s="524"/>
      <c r="AG659" s="524"/>
      <c r="AH659" s="522"/>
      <c r="AI659" s="522">
        <v>5000</v>
      </c>
      <c r="AJ659" s="516"/>
      <c r="AK659" s="516"/>
      <c r="AL659" s="516">
        <f>X659/AT659*100</f>
        <v>100</v>
      </c>
      <c r="AM659" s="292"/>
      <c r="AO659" t="b">
        <f t="shared" si="457"/>
        <v>1</v>
      </c>
      <c r="AP659" s="440">
        <f t="shared" si="498"/>
        <v>1250</v>
      </c>
      <c r="AQ659" s="441">
        <v>1250</v>
      </c>
      <c r="AR659" s="440">
        <f>AR660</f>
        <v>1250</v>
      </c>
      <c r="AS659" s="441">
        <f t="shared" si="498"/>
        <v>750</v>
      </c>
      <c r="AT659" s="612">
        <f>AT660</f>
        <v>5000</v>
      </c>
      <c r="AU659" s="469">
        <f t="shared" si="498"/>
        <v>2500</v>
      </c>
      <c r="AV659" s="636">
        <v>5000</v>
      </c>
      <c r="AW659" s="636">
        <v>5000</v>
      </c>
      <c r="AX659" s="655" t="str">
        <f t="shared" si="488"/>
        <v/>
      </c>
      <c r="AY659" s="655">
        <f t="shared" si="489"/>
        <v>400</v>
      </c>
      <c r="AZ659" s="655">
        <f t="shared" si="490"/>
        <v>50</v>
      </c>
      <c r="BA659" s="655">
        <f t="shared" si="491"/>
        <v>200</v>
      </c>
      <c r="BB659" s="655">
        <f t="shared" si="492"/>
        <v>200</v>
      </c>
      <c r="BC659" s="655">
        <f t="shared" si="492"/>
        <v>100</v>
      </c>
    </row>
    <row r="660" spans="1:55" ht="12" customHeight="1">
      <c r="A660" s="66"/>
      <c r="B660" s="66"/>
      <c r="C660" s="66"/>
      <c r="D660" s="66"/>
      <c r="E660" s="66"/>
      <c r="F660" s="66"/>
      <c r="G660" s="66"/>
      <c r="H660" s="196" t="s">
        <v>306</v>
      </c>
      <c r="I660" s="132">
        <v>620</v>
      </c>
      <c r="J660" s="71">
        <v>3237</v>
      </c>
      <c r="K660" s="40" t="s">
        <v>307</v>
      </c>
      <c r="L660" s="309">
        <v>0</v>
      </c>
      <c r="M660" s="309">
        <v>0</v>
      </c>
      <c r="N660" s="339">
        <v>0</v>
      </c>
      <c r="O660" s="339">
        <v>0</v>
      </c>
      <c r="P660" s="294">
        <v>5000</v>
      </c>
      <c r="Q660" s="269">
        <v>0</v>
      </c>
      <c r="R660" s="443">
        <v>0</v>
      </c>
      <c r="S660" s="294">
        <f>__xlfn.XLOOKUP(H660,[2]Izvršenje_proračuna_po_pozicija!$B$2:$B$153,[2]Izvršenje_proračuna_po_pozicija!$E$2:$E$153,0)</f>
        <v>0</v>
      </c>
      <c r="T660" s="294"/>
      <c r="U660" s="294"/>
      <c r="V660" s="478">
        <v>5000</v>
      </c>
      <c r="W660" s="478">
        <v>0</v>
      </c>
      <c r="X660" s="544">
        <v>5000</v>
      </c>
      <c r="Y660" s="544"/>
      <c r="Z660" s="541" t="b">
        <f t="shared" si="456"/>
        <v>0</v>
      </c>
      <c r="AA660" s="527"/>
      <c r="AB660" s="528">
        <v>5000</v>
      </c>
      <c r="AC660" s="528">
        <v>5000</v>
      </c>
      <c r="AD660" s="524"/>
      <c r="AE660" s="524"/>
      <c r="AF660" s="524"/>
      <c r="AG660" s="524"/>
      <c r="AH660" s="527"/>
      <c r="AI660" s="544">
        <v>5000</v>
      </c>
      <c r="AJ660" s="516"/>
      <c r="AK660" s="516"/>
      <c r="AL660" s="516">
        <f>X660/AT660*100</f>
        <v>100</v>
      </c>
      <c r="AM660" s="294"/>
      <c r="AO660" t="b">
        <f t="shared" si="457"/>
        <v>0</v>
      </c>
      <c r="AP660" s="493">
        <v>1250</v>
      </c>
      <c r="AQ660" s="443">
        <v>1250</v>
      </c>
      <c r="AR660" s="493">
        <v>1250</v>
      </c>
      <c r="AS660" s="443">
        <f>__xlfn.XLOOKUP(K660,[1]Izvršenje_proračuna_po_pozicija!$C$25:$C$149,[1]Izvršenje_proračuna_po_pozicija!$E$25:$E$149,0)</f>
        <v>750</v>
      </c>
      <c r="AT660" s="617">
        <v>5000</v>
      </c>
      <c r="AU660" s="478">
        <v>2500</v>
      </c>
      <c r="AV660" s="638">
        <v>5000</v>
      </c>
      <c r="AW660" s="638">
        <v>5000</v>
      </c>
      <c r="AX660" s="655" t="str">
        <f t="shared" si="488"/>
        <v/>
      </c>
      <c r="AY660" s="655">
        <f t="shared" si="489"/>
        <v>400</v>
      </c>
      <c r="AZ660" s="655">
        <f t="shared" si="490"/>
        <v>50</v>
      </c>
      <c r="BA660" s="655">
        <f t="shared" si="491"/>
        <v>200</v>
      </c>
      <c r="BB660" s="655">
        <f t="shared" si="492"/>
        <v>200</v>
      </c>
      <c r="BC660" s="655">
        <f t="shared" si="492"/>
        <v>100</v>
      </c>
    </row>
    <row r="661" spans="1:55" ht="12" customHeight="1">
      <c r="A661" s="25"/>
      <c r="B661" s="25"/>
      <c r="C661" s="25"/>
      <c r="D661" s="25"/>
      <c r="E661" s="25"/>
      <c r="F661" s="25"/>
      <c r="G661" s="25"/>
      <c r="H661" s="382"/>
      <c r="I661" s="114"/>
      <c r="J661" s="94"/>
      <c r="K661" s="26"/>
      <c r="L661" s="317"/>
      <c r="M661" s="317"/>
      <c r="N661" s="341"/>
      <c r="O661" s="341"/>
      <c r="P661" s="296"/>
      <c r="Q661" s="296"/>
      <c r="R661" s="445"/>
      <c r="S661" s="294">
        <f>__xlfn.XLOOKUP(H661,[2]Izvršenje_proračuna_po_pozicija!$B$2:$B$153,[2]Izvršenje_proračuna_po_pozicija!$E$2:$E$153,0)</f>
        <v>0</v>
      </c>
      <c r="T661" s="294"/>
      <c r="U661" s="294"/>
      <c r="V661" s="481"/>
      <c r="W661" s="481"/>
      <c r="X661" s="549"/>
      <c r="Y661" s="549"/>
      <c r="Z661" s="541" t="b">
        <f t="shared" si="456"/>
        <v>0</v>
      </c>
      <c r="AA661" s="531"/>
      <c r="AB661" s="532"/>
      <c r="AC661" s="532"/>
      <c r="AD661" s="524"/>
      <c r="AE661" s="524"/>
      <c r="AF661" s="524"/>
      <c r="AG661" s="524"/>
      <c r="AH661" s="531"/>
      <c r="AI661" s="549"/>
      <c r="AJ661" s="516"/>
      <c r="AK661" s="516"/>
      <c r="AL661" s="516"/>
      <c r="AM661" s="296"/>
      <c r="AO661" t="b">
        <f t="shared" si="457"/>
        <v>0</v>
      </c>
      <c r="AQ661" s="445"/>
      <c r="AS661" s="445">
        <f>__xlfn.XLOOKUP(K661,[1]Izvršenje_proračuna_po_pozicija!$C$25:$C$149,[1]Izvršenje_proračuna_po_pozicija!$E$25:$E$149,0)</f>
        <v>0</v>
      </c>
      <c r="AT661" s="616"/>
      <c r="AU661" s="481"/>
      <c r="AV661" s="640"/>
      <c r="AW661" s="640"/>
      <c r="AX661" s="655" t="str">
        <f t="shared" si="488"/>
        <v/>
      </c>
      <c r="AY661" s="655" t="str">
        <f t="shared" si="489"/>
        <v/>
      </c>
      <c r="AZ661" s="655" t="str">
        <f t="shared" si="490"/>
        <v/>
      </c>
      <c r="BA661" s="655" t="str">
        <f t="shared" si="491"/>
        <v/>
      </c>
      <c r="BB661" s="655" t="str">
        <f t="shared" si="492"/>
        <v/>
      </c>
      <c r="BC661" s="655" t="str">
        <f t="shared" si="492"/>
        <v/>
      </c>
    </row>
    <row r="662" spans="1:55" ht="12" customHeight="1">
      <c r="A662" s="20"/>
      <c r="B662" s="20"/>
      <c r="C662" s="20"/>
      <c r="D662" s="20"/>
      <c r="E662" s="20"/>
      <c r="F662" s="20"/>
      <c r="G662" s="20"/>
      <c r="H662" s="375"/>
      <c r="I662" s="22"/>
      <c r="J662" s="21"/>
      <c r="K662" s="19"/>
      <c r="L662" s="313">
        <v>1</v>
      </c>
      <c r="M662" s="313">
        <v>2</v>
      </c>
      <c r="N662" s="335">
        <v>3</v>
      </c>
      <c r="O662" s="335">
        <v>4</v>
      </c>
      <c r="P662" s="290">
        <v>5</v>
      </c>
      <c r="Q662" s="290">
        <v>6</v>
      </c>
      <c r="R662" s="439"/>
      <c r="S662" s="294">
        <f>__xlfn.XLOOKUP(H662,[2]Izvršenje_proračuna_po_pozicija!$B$2:$B$153,[2]Izvršenje_proračuna_po_pozicija!$E$2:$E$153,0)</f>
        <v>0</v>
      </c>
      <c r="T662" s="294"/>
      <c r="U662" s="294"/>
      <c r="V662" s="474">
        <v>5</v>
      </c>
      <c r="W662" s="474"/>
      <c r="X662" s="539"/>
      <c r="Y662" s="539"/>
      <c r="Z662" s="541" t="b">
        <f t="shared" si="456"/>
        <v>0</v>
      </c>
      <c r="AA662" s="514"/>
      <c r="AB662" s="515">
        <v>7</v>
      </c>
      <c r="AC662" s="515">
        <v>8</v>
      </c>
      <c r="AD662" s="515">
        <v>9</v>
      </c>
      <c r="AE662" s="515">
        <v>10</v>
      </c>
      <c r="AF662" s="515">
        <v>11</v>
      </c>
      <c r="AG662" s="515">
        <v>12</v>
      </c>
      <c r="AH662" s="514"/>
      <c r="AI662" s="539"/>
      <c r="AJ662" s="516"/>
      <c r="AK662" s="516"/>
      <c r="AL662" s="516"/>
      <c r="AM662" s="290"/>
      <c r="AO662" t="b">
        <f t="shared" si="457"/>
        <v>0</v>
      </c>
      <c r="AQ662" s="439"/>
      <c r="AS662" s="439">
        <f>__xlfn.XLOOKUP(K662,[1]Izvršenje_proračuna_po_pozicija!$C$25:$C$149,[1]Izvršenje_proračuna_po_pozicija!$E$25:$E$149,0)</f>
        <v>0</v>
      </c>
      <c r="AT662" s="616"/>
      <c r="AU662" s="474"/>
      <c r="AV662" s="632"/>
      <c r="AW662" s="632"/>
      <c r="AX662" s="655" t="str">
        <f t="shared" si="488"/>
        <v/>
      </c>
      <c r="AY662" s="655" t="str">
        <f t="shared" si="489"/>
        <v/>
      </c>
      <c r="AZ662" s="655" t="str">
        <f t="shared" si="490"/>
        <v/>
      </c>
      <c r="BA662" s="655" t="str">
        <f t="shared" si="491"/>
        <v/>
      </c>
      <c r="BB662" s="655" t="str">
        <f t="shared" si="492"/>
        <v/>
      </c>
      <c r="BC662" s="655" t="str">
        <f t="shared" si="492"/>
        <v/>
      </c>
    </row>
    <row r="663" spans="1:55" ht="12" customHeight="1">
      <c r="A663" s="20"/>
      <c r="B663" s="20"/>
      <c r="C663" s="20"/>
      <c r="D663" s="20"/>
      <c r="E663" s="20"/>
      <c r="F663" s="20"/>
      <c r="G663" s="20"/>
      <c r="H663" s="396"/>
      <c r="I663" s="156"/>
      <c r="J663" s="94">
        <v>4</v>
      </c>
      <c r="K663" s="21" t="s">
        <v>213</v>
      </c>
      <c r="L663" s="315">
        <f t="shared" ref="L663:AC665" si="499">L664</f>
        <v>156682</v>
      </c>
      <c r="M663" s="315">
        <f t="shared" si="499"/>
        <v>20795.275068020437</v>
      </c>
      <c r="N663" s="337">
        <f t="shared" si="499"/>
        <v>315000</v>
      </c>
      <c r="O663" s="337">
        <f t="shared" si="499"/>
        <v>41807.684650607203</v>
      </c>
      <c r="P663" s="292">
        <f t="shared" si="499"/>
        <v>46500</v>
      </c>
      <c r="Q663" s="292">
        <f t="shared" si="499"/>
        <v>5000</v>
      </c>
      <c r="R663" s="441">
        <f t="shared" si="499"/>
        <v>0</v>
      </c>
      <c r="S663" s="292">
        <f t="shared" si="499"/>
        <v>0</v>
      </c>
      <c r="T663" s="292"/>
      <c r="U663" s="292"/>
      <c r="V663" s="469">
        <f t="shared" si="499"/>
        <v>50000</v>
      </c>
      <c r="W663" s="469">
        <f t="shared" si="499"/>
        <v>50000</v>
      </c>
      <c r="X663" s="522">
        <f t="shared" si="499"/>
        <v>50000</v>
      </c>
      <c r="Y663" s="522">
        <f t="shared" si="499"/>
        <v>0</v>
      </c>
      <c r="Z663" s="541" t="b">
        <f t="shared" si="456"/>
        <v>1</v>
      </c>
      <c r="AA663" s="522"/>
      <c r="AB663" s="523">
        <f t="shared" si="499"/>
        <v>47000</v>
      </c>
      <c r="AC663" s="523">
        <f t="shared" si="499"/>
        <v>47000</v>
      </c>
      <c r="AD663" s="524">
        <f>O663/M663*100</f>
        <v>201.04415312543878</v>
      </c>
      <c r="AE663" s="524">
        <f t="shared" ref="AE663:AF666" si="500">P663/O663*100</f>
        <v>111.22357142857145</v>
      </c>
      <c r="AF663" s="524">
        <f t="shared" si="500"/>
        <v>10.75268817204301</v>
      </c>
      <c r="AG663" s="524">
        <f>AB663/Q663*100</f>
        <v>940</v>
      </c>
      <c r="AH663" s="522"/>
      <c r="AI663" s="522">
        <v>50000</v>
      </c>
      <c r="AJ663" s="516"/>
      <c r="AK663" s="516">
        <f>AT663/W663*100</f>
        <v>28.000000000000004</v>
      </c>
      <c r="AL663" s="516">
        <f>X663/AT663*100</f>
        <v>357.14285714285717</v>
      </c>
      <c r="AM663" s="292"/>
      <c r="AO663" t="b">
        <f t="shared" si="457"/>
        <v>1</v>
      </c>
      <c r="AP663" s="440">
        <f t="shared" ref="AP663:AU665" si="501">AP664</f>
        <v>12477.1</v>
      </c>
      <c r="AQ663" s="441">
        <v>12477.1</v>
      </c>
      <c r="AR663" s="440">
        <f>AR664</f>
        <v>12477.1</v>
      </c>
      <c r="AS663" s="441">
        <f t="shared" si="501"/>
        <v>620.5</v>
      </c>
      <c r="AT663" s="612">
        <f>AT664</f>
        <v>14000</v>
      </c>
      <c r="AU663" s="469">
        <f t="shared" si="501"/>
        <v>14000</v>
      </c>
      <c r="AV663" s="636">
        <v>50000</v>
      </c>
      <c r="AW663" s="636">
        <v>50000</v>
      </c>
      <c r="AX663" s="655" t="str">
        <f t="shared" si="488"/>
        <v/>
      </c>
      <c r="AY663" s="655">
        <f t="shared" si="489"/>
        <v>112.20556058699538</v>
      </c>
      <c r="AZ663" s="655">
        <f t="shared" si="490"/>
        <v>100</v>
      </c>
      <c r="BA663" s="655">
        <f t="shared" si="491"/>
        <v>112.20556058699538</v>
      </c>
      <c r="BB663" s="655">
        <f t="shared" si="492"/>
        <v>357.14285714285717</v>
      </c>
      <c r="BC663" s="655">
        <f t="shared" si="492"/>
        <v>100</v>
      </c>
    </row>
    <row r="664" spans="1:55" ht="12" customHeight="1">
      <c r="A664" s="363"/>
      <c r="B664" s="363"/>
      <c r="C664" s="363"/>
      <c r="D664" s="363"/>
      <c r="E664" s="363"/>
      <c r="F664" s="363"/>
      <c r="G664" s="363"/>
      <c r="H664" s="369"/>
      <c r="I664" s="359"/>
      <c r="J664" s="356">
        <v>42</v>
      </c>
      <c r="K664" s="358" t="s">
        <v>308</v>
      </c>
      <c r="L664" s="315">
        <f t="shared" si="499"/>
        <v>156682</v>
      </c>
      <c r="M664" s="315">
        <f t="shared" si="499"/>
        <v>20795.275068020437</v>
      </c>
      <c r="N664" s="337">
        <f t="shared" si="499"/>
        <v>315000</v>
      </c>
      <c r="O664" s="337">
        <f t="shared" si="499"/>
        <v>41807.684650607203</v>
      </c>
      <c r="P664" s="292">
        <f t="shared" si="499"/>
        <v>46500</v>
      </c>
      <c r="Q664" s="292">
        <f t="shared" si="499"/>
        <v>5000</v>
      </c>
      <c r="R664" s="441">
        <f t="shared" si="499"/>
        <v>0</v>
      </c>
      <c r="S664" s="292">
        <f t="shared" si="499"/>
        <v>0</v>
      </c>
      <c r="T664" s="292"/>
      <c r="U664" s="292"/>
      <c r="V664" s="469">
        <f t="shared" si="499"/>
        <v>50000</v>
      </c>
      <c r="W664" s="469">
        <f t="shared" si="499"/>
        <v>50000</v>
      </c>
      <c r="X664" s="522">
        <f t="shared" si="499"/>
        <v>50000</v>
      </c>
      <c r="Y664" s="522">
        <f t="shared" si="499"/>
        <v>0</v>
      </c>
      <c r="Z664" s="541" t="b">
        <f t="shared" si="456"/>
        <v>1</v>
      </c>
      <c r="AA664" s="522"/>
      <c r="AB664" s="523">
        <f t="shared" si="499"/>
        <v>47000</v>
      </c>
      <c r="AC664" s="523">
        <f t="shared" si="499"/>
        <v>47000</v>
      </c>
      <c r="AD664" s="524">
        <f>O664/M664*100</f>
        <v>201.04415312543878</v>
      </c>
      <c r="AE664" s="524">
        <f t="shared" si="500"/>
        <v>111.22357142857145</v>
      </c>
      <c r="AF664" s="524">
        <f t="shared" si="500"/>
        <v>10.75268817204301</v>
      </c>
      <c r="AG664" s="524">
        <f>AB664/Q664*100</f>
        <v>940</v>
      </c>
      <c r="AH664" s="522"/>
      <c r="AI664" s="522">
        <v>50000</v>
      </c>
      <c r="AJ664" s="516"/>
      <c r="AK664" s="516">
        <f>AT664/W664*100</f>
        <v>28.000000000000004</v>
      </c>
      <c r="AL664" s="516">
        <f>X664/AT664*100</f>
        <v>357.14285714285717</v>
      </c>
      <c r="AM664" s="292"/>
      <c r="AO664" t="b">
        <f t="shared" si="457"/>
        <v>1</v>
      </c>
      <c r="AP664" s="440">
        <f t="shared" si="501"/>
        <v>12477.1</v>
      </c>
      <c r="AQ664" s="441">
        <v>12477.1</v>
      </c>
      <c r="AR664" s="440">
        <f>AR665</f>
        <v>12477.1</v>
      </c>
      <c r="AS664" s="441">
        <f t="shared" si="501"/>
        <v>620.5</v>
      </c>
      <c r="AT664" s="612">
        <f>AT665</f>
        <v>14000</v>
      </c>
      <c r="AU664" s="469">
        <f t="shared" si="501"/>
        <v>14000</v>
      </c>
      <c r="AV664" s="636">
        <v>50000</v>
      </c>
      <c r="AW664" s="636">
        <v>50000</v>
      </c>
      <c r="AX664" s="655" t="str">
        <f t="shared" si="488"/>
        <v/>
      </c>
      <c r="AY664" s="655">
        <f t="shared" si="489"/>
        <v>112.20556058699538</v>
      </c>
      <c r="AZ664" s="655">
        <f t="shared" si="490"/>
        <v>100</v>
      </c>
      <c r="BA664" s="655">
        <f t="shared" si="491"/>
        <v>112.20556058699538</v>
      </c>
      <c r="BB664" s="655">
        <f t="shared" si="492"/>
        <v>357.14285714285717</v>
      </c>
      <c r="BC664" s="655">
        <f t="shared" si="492"/>
        <v>100</v>
      </c>
    </row>
    <row r="665" spans="1:55" ht="12" customHeight="1">
      <c r="A665" s="56"/>
      <c r="B665" s="165"/>
      <c r="C665" s="165"/>
      <c r="D665" s="165"/>
      <c r="E665" s="165"/>
      <c r="F665" s="165"/>
      <c r="G665" s="165"/>
      <c r="H665" s="395"/>
      <c r="I665" s="157"/>
      <c r="J665" s="116">
        <v>426</v>
      </c>
      <c r="K665" s="60" t="s">
        <v>309</v>
      </c>
      <c r="L665" s="315">
        <f t="shared" si="499"/>
        <v>156682</v>
      </c>
      <c r="M665" s="315">
        <f t="shared" si="499"/>
        <v>20795.275068020437</v>
      </c>
      <c r="N665" s="337">
        <f t="shared" si="499"/>
        <v>315000</v>
      </c>
      <c r="O665" s="337">
        <f t="shared" si="499"/>
        <v>41807.684650607203</v>
      </c>
      <c r="P665" s="292">
        <f t="shared" si="499"/>
        <v>46500</v>
      </c>
      <c r="Q665" s="292">
        <f t="shared" si="499"/>
        <v>5000</v>
      </c>
      <c r="R665" s="441">
        <f t="shared" si="499"/>
        <v>0</v>
      </c>
      <c r="S665" s="292">
        <f t="shared" si="499"/>
        <v>0</v>
      </c>
      <c r="T665" s="292"/>
      <c r="U665" s="292"/>
      <c r="V665" s="469">
        <f t="shared" si="499"/>
        <v>50000</v>
      </c>
      <c r="W665" s="469">
        <f t="shared" si="499"/>
        <v>50000</v>
      </c>
      <c r="X665" s="522">
        <f t="shared" si="499"/>
        <v>50000</v>
      </c>
      <c r="Y665" s="522">
        <f t="shared" si="499"/>
        <v>0</v>
      </c>
      <c r="Z665" s="541" t="b">
        <f t="shared" si="456"/>
        <v>1</v>
      </c>
      <c r="AA665" s="522"/>
      <c r="AB665" s="523">
        <f t="shared" si="499"/>
        <v>47000</v>
      </c>
      <c r="AC665" s="523">
        <f t="shared" si="499"/>
        <v>47000</v>
      </c>
      <c r="AD665" s="524">
        <f>O665/M665*100</f>
        <v>201.04415312543878</v>
      </c>
      <c r="AE665" s="524">
        <f t="shared" si="500"/>
        <v>111.22357142857145</v>
      </c>
      <c r="AF665" s="524">
        <f t="shared" si="500"/>
        <v>10.75268817204301</v>
      </c>
      <c r="AG665" s="524">
        <f>AB665/Q665*100</f>
        <v>940</v>
      </c>
      <c r="AH665" s="522"/>
      <c r="AI665" s="522">
        <v>50000</v>
      </c>
      <c r="AJ665" s="516"/>
      <c r="AK665" s="516">
        <f>AT665/W665*100</f>
        <v>28.000000000000004</v>
      </c>
      <c r="AL665" s="516">
        <f>X665/AT665*100</f>
        <v>357.14285714285717</v>
      </c>
      <c r="AM665" s="292"/>
      <c r="AO665" t="b">
        <f t="shared" si="457"/>
        <v>1</v>
      </c>
      <c r="AP665" s="440">
        <f t="shared" si="501"/>
        <v>12477.1</v>
      </c>
      <c r="AQ665" s="441">
        <v>12477.1</v>
      </c>
      <c r="AR665" s="440">
        <f>AR666</f>
        <v>12477.1</v>
      </c>
      <c r="AS665" s="441">
        <f t="shared" si="501"/>
        <v>620.5</v>
      </c>
      <c r="AT665" s="612">
        <f>AT666</f>
        <v>14000</v>
      </c>
      <c r="AU665" s="469">
        <f t="shared" si="501"/>
        <v>14000</v>
      </c>
      <c r="AV665" s="636">
        <v>50000</v>
      </c>
      <c r="AW665" s="636">
        <v>50000</v>
      </c>
      <c r="AX665" s="655" t="str">
        <f t="shared" si="488"/>
        <v/>
      </c>
      <c r="AY665" s="655">
        <f t="shared" si="489"/>
        <v>112.20556058699538</v>
      </c>
      <c r="AZ665" s="655">
        <f t="shared" si="490"/>
        <v>100</v>
      </c>
      <c r="BA665" s="655">
        <f t="shared" si="491"/>
        <v>112.20556058699538</v>
      </c>
      <c r="BB665" s="655">
        <f t="shared" si="492"/>
        <v>357.14285714285717</v>
      </c>
      <c r="BC665" s="655">
        <f t="shared" si="492"/>
        <v>100</v>
      </c>
    </row>
    <row r="666" spans="1:55" ht="12" customHeight="1">
      <c r="A666" s="36"/>
      <c r="B666" s="36"/>
      <c r="C666" s="36"/>
      <c r="D666" s="36"/>
      <c r="E666" s="36"/>
      <c r="F666" s="36"/>
      <c r="G666" s="36"/>
      <c r="H666" s="204">
        <v>116</v>
      </c>
      <c r="I666" s="132">
        <v>620</v>
      </c>
      <c r="J666" s="71">
        <v>4263</v>
      </c>
      <c r="K666" s="40" t="s">
        <v>310</v>
      </c>
      <c r="L666" s="309">
        <v>156682</v>
      </c>
      <c r="M666" s="309">
        <f>156682/7.5345</f>
        <v>20795.275068020437</v>
      </c>
      <c r="N666" s="339">
        <v>315000</v>
      </c>
      <c r="O666" s="339">
        <f>N666/7.5345</f>
        <v>41807.684650607203</v>
      </c>
      <c r="P666" s="294">
        <v>46500</v>
      </c>
      <c r="Q666" s="269">
        <v>5000</v>
      </c>
      <c r="R666" s="443">
        <v>0</v>
      </c>
      <c r="S666" s="294">
        <f>__xlfn.XLOOKUP(H666,[2]Izvršenje_proračuna_po_pozicija!$B$2:$B$153,[2]Izvršenje_proračuna_po_pozicija!$E$2:$E$153,0)</f>
        <v>0</v>
      </c>
      <c r="T666" s="294"/>
      <c r="U666" s="294"/>
      <c r="V666" s="478">
        <v>50000</v>
      </c>
      <c r="W666" s="478">
        <v>50000</v>
      </c>
      <c r="X666" s="544">
        <v>50000</v>
      </c>
      <c r="Y666" s="544"/>
      <c r="Z666" s="541" t="b">
        <f t="shared" si="456"/>
        <v>0</v>
      </c>
      <c r="AA666" s="527"/>
      <c r="AB666" s="528">
        <v>47000</v>
      </c>
      <c r="AC666" s="528">
        <v>47000</v>
      </c>
      <c r="AD666" s="524">
        <f>O666/M666*100</f>
        <v>201.04415312543878</v>
      </c>
      <c r="AE666" s="524">
        <f t="shared" si="500"/>
        <v>111.22357142857145</v>
      </c>
      <c r="AF666" s="524">
        <f t="shared" si="500"/>
        <v>10.75268817204301</v>
      </c>
      <c r="AG666" s="524">
        <f>AB666/Q666*100</f>
        <v>940</v>
      </c>
      <c r="AH666" s="527"/>
      <c r="AI666" s="544">
        <v>50000</v>
      </c>
      <c r="AJ666" s="516"/>
      <c r="AK666" s="516">
        <f>AT666/W666*100</f>
        <v>28.000000000000004</v>
      </c>
      <c r="AL666" s="516">
        <f>X666/AT666*100</f>
        <v>357.14285714285717</v>
      </c>
      <c r="AM666" s="294"/>
      <c r="AO666" t="b">
        <f t="shared" si="457"/>
        <v>0</v>
      </c>
      <c r="AP666" s="493">
        <v>12477.1</v>
      </c>
      <c r="AQ666" s="443">
        <v>12477.1</v>
      </c>
      <c r="AR666" s="493">
        <v>12477.1</v>
      </c>
      <c r="AS666" s="443">
        <f>__xlfn.XLOOKUP(K666,[1]Izvršenje_proračuna_po_pozicija!$C$25:$C$149,[1]Izvršenje_proračuna_po_pozicija!$E$25:$E$149,0)</f>
        <v>620.5</v>
      </c>
      <c r="AT666" s="617">
        <v>14000</v>
      </c>
      <c r="AU666" s="478">
        <v>14000</v>
      </c>
      <c r="AV666" s="638">
        <v>50000</v>
      </c>
      <c r="AW666" s="638">
        <v>50000</v>
      </c>
      <c r="AX666" s="655" t="str">
        <f t="shared" si="488"/>
        <v/>
      </c>
      <c r="AY666" s="655">
        <f t="shared" si="489"/>
        <v>112.20556058699538</v>
      </c>
      <c r="AZ666" s="655">
        <f t="shared" si="490"/>
        <v>100</v>
      </c>
      <c r="BA666" s="655">
        <f t="shared" si="491"/>
        <v>112.20556058699538</v>
      </c>
      <c r="BB666" s="655">
        <f t="shared" si="492"/>
        <v>357.14285714285717</v>
      </c>
      <c r="BC666" s="655">
        <f t="shared" si="492"/>
        <v>100</v>
      </c>
    </row>
    <row r="667" spans="1:55" ht="12" customHeight="1">
      <c r="A667" s="36"/>
      <c r="B667" s="36"/>
      <c r="C667" s="36"/>
      <c r="D667" s="36"/>
      <c r="E667" s="36"/>
      <c r="F667" s="36"/>
      <c r="G667" s="36"/>
      <c r="H667" s="244"/>
      <c r="I667" s="166"/>
      <c r="J667" s="134"/>
      <c r="K667" s="135"/>
      <c r="L667" s="324"/>
      <c r="M667" s="324"/>
      <c r="N667" s="348"/>
      <c r="O667" s="348"/>
      <c r="P667" s="303"/>
      <c r="Q667" s="303"/>
      <c r="R667" s="460"/>
      <c r="S667" s="294">
        <f>__xlfn.XLOOKUP(H667,[2]Izvršenje_proračuna_po_pozicija!$B$2:$B$153,[2]Izvršenje_proračuna_po_pozicija!$E$2:$E$153,0)</f>
        <v>0</v>
      </c>
      <c r="T667" s="303"/>
      <c r="U667" s="303"/>
      <c r="V667" s="484"/>
      <c r="W667" s="484"/>
      <c r="X667" s="554"/>
      <c r="Y667" s="554"/>
      <c r="Z667" s="541" t="b">
        <f t="shared" si="456"/>
        <v>0</v>
      </c>
      <c r="AA667" s="555"/>
      <c r="AB667" s="556"/>
      <c r="AC667" s="556"/>
      <c r="AD667" s="524"/>
      <c r="AE667" s="524"/>
      <c r="AF667" s="524"/>
      <c r="AG667" s="524"/>
      <c r="AH667" s="555"/>
      <c r="AI667" s="554"/>
      <c r="AJ667" s="516"/>
      <c r="AK667" s="516"/>
      <c r="AL667" s="516"/>
      <c r="AM667" s="303"/>
      <c r="AO667" t="b">
        <f t="shared" si="457"/>
        <v>0</v>
      </c>
      <c r="AQ667" s="460"/>
      <c r="AS667" s="460">
        <f>__xlfn.XLOOKUP(K667,[1]Izvršenje_proračuna_po_pozicija!$C$25:$C$149,[1]Izvršenje_proračuna_po_pozicija!$E$25:$E$149,0)</f>
        <v>0</v>
      </c>
      <c r="AT667" s="619"/>
      <c r="AU667" s="484"/>
      <c r="AV667" s="646"/>
      <c r="AW667" s="646"/>
      <c r="AX667" s="655" t="str">
        <f t="shared" si="488"/>
        <v/>
      </c>
      <c r="AY667" s="655" t="str">
        <f t="shared" si="489"/>
        <v/>
      </c>
      <c r="AZ667" s="655" t="str">
        <f t="shared" si="490"/>
        <v/>
      </c>
      <c r="BA667" s="655" t="str">
        <f t="shared" si="491"/>
        <v/>
      </c>
      <c r="BB667" s="655" t="str">
        <f t="shared" si="492"/>
        <v/>
      </c>
      <c r="BC667" s="655" t="str">
        <f t="shared" si="492"/>
        <v/>
      </c>
    </row>
    <row r="668" spans="1:55" ht="12" customHeight="1">
      <c r="A668" s="212" t="s">
        <v>483</v>
      </c>
      <c r="B668" s="130"/>
      <c r="C668" s="130"/>
      <c r="D668" s="130"/>
      <c r="E668" s="130"/>
      <c r="F668" s="130"/>
      <c r="G668" s="130"/>
      <c r="H668" s="388"/>
      <c r="I668" s="167" t="s">
        <v>311</v>
      </c>
      <c r="J668" s="168"/>
      <c r="K668" s="169"/>
      <c r="L668" s="320">
        <f t="shared" ref="L668:S668" si="502">L670</f>
        <v>0</v>
      </c>
      <c r="M668" s="320">
        <f t="shared" si="502"/>
        <v>0</v>
      </c>
      <c r="N668" s="344">
        <f t="shared" si="502"/>
        <v>0</v>
      </c>
      <c r="O668" s="344">
        <f t="shared" si="502"/>
        <v>0</v>
      </c>
      <c r="P668" s="299">
        <f t="shared" si="502"/>
        <v>50000</v>
      </c>
      <c r="Q668" s="299">
        <f t="shared" si="502"/>
        <v>0</v>
      </c>
      <c r="R668" s="447">
        <f t="shared" si="502"/>
        <v>0</v>
      </c>
      <c r="S668" s="299">
        <f t="shared" si="502"/>
        <v>0</v>
      </c>
      <c r="T668" s="299"/>
      <c r="U668" s="299"/>
      <c r="V668" s="477">
        <f>V670</f>
        <v>0</v>
      </c>
      <c r="W668" s="477">
        <f>W670</f>
        <v>0</v>
      </c>
      <c r="X668" s="542">
        <f>X670</f>
        <v>0</v>
      </c>
      <c r="Y668" s="542">
        <f>Y670</f>
        <v>0</v>
      </c>
      <c r="Z668" s="541" t="b">
        <f t="shared" si="456"/>
        <v>1</v>
      </c>
      <c r="AA668" s="542"/>
      <c r="AB668" s="543">
        <f>AB670</f>
        <v>40000</v>
      </c>
      <c r="AC668" s="543">
        <f>AC670</f>
        <v>40000</v>
      </c>
      <c r="AD668" s="524"/>
      <c r="AE668" s="524"/>
      <c r="AF668" s="524"/>
      <c r="AG668" s="524"/>
      <c r="AH668" s="542"/>
      <c r="AI668" s="542">
        <v>0</v>
      </c>
      <c r="AJ668" s="516"/>
      <c r="AK668" s="516"/>
      <c r="AL668" s="516"/>
      <c r="AM668" s="299"/>
      <c r="AO668" t="b">
        <f t="shared" si="457"/>
        <v>1</v>
      </c>
      <c r="AP668" s="503">
        <f>AP670</f>
        <v>0</v>
      </c>
      <c r="AQ668" s="447">
        <v>0</v>
      </c>
      <c r="AR668" s="503">
        <f>AR670</f>
        <v>0</v>
      </c>
      <c r="AS668" s="447">
        <f>__xlfn.XLOOKUP(K668,[1]Izvršenje_proračuna_po_pozicija!$C$25:$C$149,[1]Izvršenje_proračuna_po_pozicija!$E$25:$E$149,0)</f>
        <v>0</v>
      </c>
      <c r="AT668" s="611">
        <f>AT670</f>
        <v>0</v>
      </c>
      <c r="AU668" s="477"/>
      <c r="AV668" s="643">
        <v>0</v>
      </c>
      <c r="AW668" s="643">
        <v>0</v>
      </c>
      <c r="AX668" s="655" t="str">
        <f t="shared" si="488"/>
        <v/>
      </c>
      <c r="AY668" s="655" t="str">
        <f t="shared" si="489"/>
        <v/>
      </c>
      <c r="AZ668" s="655" t="str">
        <f t="shared" si="490"/>
        <v/>
      </c>
      <c r="BA668" s="655" t="str">
        <f t="shared" si="491"/>
        <v/>
      </c>
      <c r="BB668" s="655" t="str">
        <f t="shared" si="492"/>
        <v/>
      </c>
      <c r="BC668" s="655" t="str">
        <f t="shared" si="492"/>
        <v/>
      </c>
    </row>
    <row r="669" spans="1:55" ht="12" customHeight="1">
      <c r="A669" s="20"/>
      <c r="B669" s="20"/>
      <c r="C669" s="20"/>
      <c r="D669" s="20"/>
      <c r="E669" s="20"/>
      <c r="F669" s="20"/>
      <c r="G669" s="20"/>
      <c r="H669" s="375"/>
      <c r="I669" s="22"/>
      <c r="J669" s="21"/>
      <c r="K669" s="94"/>
      <c r="L669" s="313"/>
      <c r="M669" s="313"/>
      <c r="N669" s="335"/>
      <c r="O669" s="335"/>
      <c r="P669" s="290"/>
      <c r="Q669" s="290"/>
      <c r="R669" s="439"/>
      <c r="S669" s="294">
        <f>__xlfn.XLOOKUP(H669,[2]Izvršenje_proračuna_po_pozicija!$B$2:$B$153,[2]Izvršenje_proračuna_po_pozicija!$E$2:$E$153,0)</f>
        <v>0</v>
      </c>
      <c r="T669" s="294"/>
      <c r="U669" s="294"/>
      <c r="V669" s="474"/>
      <c r="W669" s="474"/>
      <c r="X669" s="539"/>
      <c r="Y669" s="539"/>
      <c r="Z669" s="541" t="b">
        <f t="shared" si="456"/>
        <v>0</v>
      </c>
      <c r="AA669" s="514"/>
      <c r="AB669" s="515"/>
      <c r="AC669" s="515"/>
      <c r="AD669" s="524"/>
      <c r="AE669" s="524"/>
      <c r="AF669" s="524"/>
      <c r="AG669" s="524"/>
      <c r="AH669" s="514"/>
      <c r="AI669" s="539"/>
      <c r="AJ669" s="516"/>
      <c r="AK669" s="516"/>
      <c r="AL669" s="516"/>
      <c r="AM669" s="290"/>
      <c r="AO669" t="b">
        <f t="shared" si="457"/>
        <v>0</v>
      </c>
      <c r="AQ669" s="439"/>
      <c r="AS669" s="439">
        <f>__xlfn.XLOOKUP(K669,[1]Izvršenje_proračuna_po_pozicija!$C$25:$C$149,[1]Izvršenje_proračuna_po_pozicija!$E$25:$E$149,0)</f>
        <v>0</v>
      </c>
      <c r="AT669" s="616"/>
      <c r="AU669" s="474"/>
      <c r="AV669" s="632"/>
      <c r="AW669" s="632"/>
      <c r="AX669" s="655" t="str">
        <f t="shared" si="488"/>
        <v/>
      </c>
      <c r="AY669" s="655" t="str">
        <f t="shared" si="489"/>
        <v/>
      </c>
      <c r="AZ669" s="655" t="str">
        <f t="shared" si="490"/>
        <v/>
      </c>
      <c r="BA669" s="655" t="str">
        <f t="shared" si="491"/>
        <v/>
      </c>
      <c r="BB669" s="655" t="str">
        <f t="shared" si="492"/>
        <v/>
      </c>
      <c r="BC669" s="655" t="str">
        <f t="shared" si="492"/>
        <v/>
      </c>
    </row>
    <row r="670" spans="1:55" ht="12" customHeight="1">
      <c r="A670" s="52"/>
      <c r="B670" s="52"/>
      <c r="C670" s="52"/>
      <c r="D670" s="52"/>
      <c r="E670" s="52"/>
      <c r="F670" s="52"/>
      <c r="G670" s="52"/>
      <c r="H670" s="384"/>
      <c r="I670" s="156"/>
      <c r="J670" s="94">
        <v>3</v>
      </c>
      <c r="K670" s="21" t="s">
        <v>94</v>
      </c>
      <c r="L670" s="315">
        <f t="shared" ref="L670:AC672" si="503">L671</f>
        <v>0</v>
      </c>
      <c r="M670" s="315">
        <f t="shared" si="503"/>
        <v>0</v>
      </c>
      <c r="N670" s="337">
        <f t="shared" si="503"/>
        <v>0</v>
      </c>
      <c r="O670" s="337">
        <f t="shared" si="503"/>
        <v>0</v>
      </c>
      <c r="P670" s="292">
        <f t="shared" si="503"/>
        <v>50000</v>
      </c>
      <c r="Q670" s="292">
        <f t="shared" si="503"/>
        <v>0</v>
      </c>
      <c r="R670" s="441">
        <f t="shared" si="503"/>
        <v>0</v>
      </c>
      <c r="S670" s="292">
        <f t="shared" si="503"/>
        <v>0</v>
      </c>
      <c r="T670" s="292"/>
      <c r="U670" s="292"/>
      <c r="V670" s="469">
        <f t="shared" si="503"/>
        <v>0</v>
      </c>
      <c r="W670" s="469">
        <f t="shared" si="503"/>
        <v>0</v>
      </c>
      <c r="X670" s="522">
        <f t="shared" si="503"/>
        <v>0</v>
      </c>
      <c r="Y670" s="522">
        <f t="shared" si="503"/>
        <v>0</v>
      </c>
      <c r="Z670" s="541" t="b">
        <f t="shared" si="456"/>
        <v>1</v>
      </c>
      <c r="AA670" s="522"/>
      <c r="AB670" s="523">
        <f t="shared" si="503"/>
        <v>40000</v>
      </c>
      <c r="AC670" s="523">
        <f t="shared" si="503"/>
        <v>40000</v>
      </c>
      <c r="AD670" s="524"/>
      <c r="AE670" s="524"/>
      <c r="AF670" s="524"/>
      <c r="AG670" s="524"/>
      <c r="AH670" s="522"/>
      <c r="AI670" s="522">
        <v>0</v>
      </c>
      <c r="AJ670" s="516"/>
      <c r="AK670" s="516"/>
      <c r="AL670" s="516"/>
      <c r="AM670" s="292"/>
      <c r="AO670" t="b">
        <f t="shared" si="457"/>
        <v>1</v>
      </c>
      <c r="AP670" s="440">
        <f>AP671</f>
        <v>0</v>
      </c>
      <c r="AQ670" s="441">
        <v>0</v>
      </c>
      <c r="AR670" s="440">
        <f>AR671</f>
        <v>0</v>
      </c>
      <c r="AS670" s="441">
        <f>__xlfn.XLOOKUP(K670,[1]Izvršenje_proračuna_po_pozicija!$C$25:$C$149,[1]Izvršenje_proračuna_po_pozicija!$E$25:$E$149,0)</f>
        <v>0</v>
      </c>
      <c r="AT670" s="612">
        <f>AT671</f>
        <v>0</v>
      </c>
      <c r="AU670" s="469"/>
      <c r="AV670" s="636">
        <v>0</v>
      </c>
      <c r="AW670" s="636">
        <v>0</v>
      </c>
      <c r="AX670" s="655" t="str">
        <f t="shared" si="488"/>
        <v/>
      </c>
      <c r="AY670" s="655" t="str">
        <f t="shared" si="489"/>
        <v/>
      </c>
      <c r="AZ670" s="655" t="str">
        <f t="shared" si="490"/>
        <v/>
      </c>
      <c r="BA670" s="655" t="str">
        <f t="shared" si="491"/>
        <v/>
      </c>
      <c r="BB670" s="655" t="str">
        <f t="shared" si="492"/>
        <v/>
      </c>
      <c r="BC670" s="655" t="str">
        <f t="shared" si="492"/>
        <v/>
      </c>
    </row>
    <row r="671" spans="1:55" ht="12" customHeight="1">
      <c r="A671" s="355"/>
      <c r="B671" s="355"/>
      <c r="C671" s="355"/>
      <c r="D671" s="355"/>
      <c r="E671" s="355"/>
      <c r="F671" s="355"/>
      <c r="G671" s="355"/>
      <c r="H671" s="379"/>
      <c r="I671" s="359"/>
      <c r="J671" s="356">
        <v>38</v>
      </c>
      <c r="K671" s="358" t="s">
        <v>144</v>
      </c>
      <c r="L671" s="315">
        <f t="shared" si="503"/>
        <v>0</v>
      </c>
      <c r="M671" s="315">
        <f t="shared" si="503"/>
        <v>0</v>
      </c>
      <c r="N671" s="337">
        <f t="shared" si="503"/>
        <v>0</v>
      </c>
      <c r="O671" s="337">
        <f t="shared" si="503"/>
        <v>0</v>
      </c>
      <c r="P671" s="292">
        <f t="shared" si="503"/>
        <v>50000</v>
      </c>
      <c r="Q671" s="292">
        <f t="shared" si="503"/>
        <v>0</v>
      </c>
      <c r="R671" s="441">
        <f t="shared" si="503"/>
        <v>0</v>
      </c>
      <c r="S671" s="292">
        <f t="shared" si="503"/>
        <v>0</v>
      </c>
      <c r="T671" s="292"/>
      <c r="U671" s="292"/>
      <c r="V671" s="469">
        <f t="shared" si="503"/>
        <v>0</v>
      </c>
      <c r="W671" s="469">
        <f t="shared" si="503"/>
        <v>0</v>
      </c>
      <c r="X671" s="522">
        <f t="shared" si="503"/>
        <v>0</v>
      </c>
      <c r="Y671" s="522">
        <f t="shared" si="503"/>
        <v>0</v>
      </c>
      <c r="Z671" s="541" t="b">
        <f t="shared" si="456"/>
        <v>1</v>
      </c>
      <c r="AA671" s="522"/>
      <c r="AB671" s="523">
        <f t="shared" si="503"/>
        <v>40000</v>
      </c>
      <c r="AC671" s="523">
        <f t="shared" si="503"/>
        <v>40000</v>
      </c>
      <c r="AD671" s="524"/>
      <c r="AE671" s="524"/>
      <c r="AF671" s="524"/>
      <c r="AG671" s="524"/>
      <c r="AH671" s="522"/>
      <c r="AI671" s="522">
        <v>0</v>
      </c>
      <c r="AJ671" s="516"/>
      <c r="AK671" s="516"/>
      <c r="AL671" s="516"/>
      <c r="AM671" s="292"/>
      <c r="AO671" t="b">
        <f t="shared" si="457"/>
        <v>1</v>
      </c>
      <c r="AP671" s="440">
        <f>AP672</f>
        <v>0</v>
      </c>
      <c r="AQ671" s="441">
        <v>0</v>
      </c>
      <c r="AR671" s="440">
        <f>AR672</f>
        <v>0</v>
      </c>
      <c r="AS671" s="441">
        <f>__xlfn.XLOOKUP(K671,[1]Izvršenje_proračuna_po_pozicija!$C$25:$C$149,[1]Izvršenje_proračuna_po_pozicija!$E$25:$E$149,0)</f>
        <v>0</v>
      </c>
      <c r="AT671" s="612">
        <f>AT672</f>
        <v>0</v>
      </c>
      <c r="AU671" s="469"/>
      <c r="AV671" s="636">
        <v>0</v>
      </c>
      <c r="AW671" s="636">
        <v>0</v>
      </c>
      <c r="AX671" s="655" t="str">
        <f t="shared" si="488"/>
        <v/>
      </c>
      <c r="AY671" s="655" t="str">
        <f t="shared" si="489"/>
        <v/>
      </c>
      <c r="AZ671" s="655" t="str">
        <f t="shared" si="490"/>
        <v/>
      </c>
      <c r="BA671" s="655" t="str">
        <f t="shared" si="491"/>
        <v/>
      </c>
      <c r="BB671" s="655" t="str">
        <f t="shared" si="492"/>
        <v/>
      </c>
      <c r="BC671" s="655" t="str">
        <f t="shared" si="492"/>
        <v/>
      </c>
    </row>
    <row r="672" spans="1:55" ht="12" customHeight="1">
      <c r="A672" s="56"/>
      <c r="B672" s="56"/>
      <c r="C672" s="56"/>
      <c r="D672" s="56"/>
      <c r="E672" s="56"/>
      <c r="F672" s="56"/>
      <c r="G672" s="56"/>
      <c r="H672" s="377"/>
      <c r="I672" s="157"/>
      <c r="J672" s="116">
        <v>386</v>
      </c>
      <c r="K672" s="60" t="s">
        <v>275</v>
      </c>
      <c r="L672" s="315">
        <f t="shared" si="503"/>
        <v>0</v>
      </c>
      <c r="M672" s="315">
        <f t="shared" si="503"/>
        <v>0</v>
      </c>
      <c r="N672" s="337">
        <f t="shared" si="503"/>
        <v>0</v>
      </c>
      <c r="O672" s="337">
        <f t="shared" si="503"/>
        <v>0</v>
      </c>
      <c r="P672" s="292">
        <f t="shared" si="503"/>
        <v>50000</v>
      </c>
      <c r="Q672" s="292">
        <f t="shared" si="503"/>
        <v>0</v>
      </c>
      <c r="R672" s="441">
        <f t="shared" si="503"/>
        <v>0</v>
      </c>
      <c r="S672" s="292">
        <f t="shared" si="503"/>
        <v>0</v>
      </c>
      <c r="T672" s="292"/>
      <c r="U672" s="292"/>
      <c r="V672" s="469">
        <f t="shared" si="503"/>
        <v>0</v>
      </c>
      <c r="W672" s="469">
        <f t="shared" si="503"/>
        <v>0</v>
      </c>
      <c r="X672" s="522">
        <f t="shared" si="503"/>
        <v>0</v>
      </c>
      <c r="Y672" s="522">
        <f t="shared" si="503"/>
        <v>0</v>
      </c>
      <c r="Z672" s="541" t="b">
        <f t="shared" si="456"/>
        <v>1</v>
      </c>
      <c r="AA672" s="522"/>
      <c r="AB672" s="523">
        <f t="shared" si="503"/>
        <v>40000</v>
      </c>
      <c r="AC672" s="523">
        <f t="shared" si="503"/>
        <v>40000</v>
      </c>
      <c r="AD672" s="524"/>
      <c r="AE672" s="524"/>
      <c r="AF672" s="524"/>
      <c r="AG672" s="524"/>
      <c r="AH672" s="522"/>
      <c r="AI672" s="522">
        <v>0</v>
      </c>
      <c r="AJ672" s="516"/>
      <c r="AK672" s="516"/>
      <c r="AL672" s="516"/>
      <c r="AM672" s="292"/>
      <c r="AO672" t="b">
        <f t="shared" si="457"/>
        <v>1</v>
      </c>
      <c r="AP672" s="440">
        <f>AP673</f>
        <v>0</v>
      </c>
      <c r="AQ672" s="441">
        <v>0</v>
      </c>
      <c r="AR672" s="440">
        <f>AR673</f>
        <v>0</v>
      </c>
      <c r="AS672" s="441">
        <f>__xlfn.XLOOKUP(K672,[1]Izvršenje_proračuna_po_pozicija!$C$25:$C$149,[1]Izvršenje_proračuna_po_pozicija!$E$25:$E$149,0)</f>
        <v>0</v>
      </c>
      <c r="AT672" s="612">
        <f>AT673</f>
        <v>0</v>
      </c>
      <c r="AU672" s="469"/>
      <c r="AV672" s="636">
        <v>0</v>
      </c>
      <c r="AW672" s="636">
        <v>0</v>
      </c>
      <c r="AX672" s="655" t="str">
        <f t="shared" si="488"/>
        <v/>
      </c>
      <c r="AY672" s="655" t="str">
        <f t="shared" si="489"/>
        <v/>
      </c>
      <c r="AZ672" s="655" t="str">
        <f t="shared" si="490"/>
        <v/>
      </c>
      <c r="BA672" s="655" t="str">
        <f t="shared" si="491"/>
        <v/>
      </c>
      <c r="BB672" s="655" t="str">
        <f t="shared" si="492"/>
        <v/>
      </c>
      <c r="BC672" s="655" t="str">
        <f t="shared" si="492"/>
        <v/>
      </c>
    </row>
    <row r="673" spans="1:55" ht="12" customHeight="1">
      <c r="A673" s="36"/>
      <c r="B673" s="36"/>
      <c r="C673" s="36"/>
      <c r="D673" s="36"/>
      <c r="E673" s="36"/>
      <c r="F673" s="36"/>
      <c r="G673" s="36"/>
      <c r="H673" s="204">
        <v>170</v>
      </c>
      <c r="I673" s="132">
        <v>630</v>
      </c>
      <c r="J673" s="71">
        <v>3861</v>
      </c>
      <c r="K673" s="155" t="s">
        <v>808</v>
      </c>
      <c r="L673" s="309">
        <v>0</v>
      </c>
      <c r="M673" s="309">
        <v>0</v>
      </c>
      <c r="N673" s="339">
        <v>0</v>
      </c>
      <c r="O673" s="339">
        <v>0</v>
      </c>
      <c r="P673" s="294">
        <v>50000</v>
      </c>
      <c r="Q673" s="269">
        <v>0</v>
      </c>
      <c r="R673" s="443">
        <v>0</v>
      </c>
      <c r="S673" s="294">
        <f>__xlfn.XLOOKUP(H673,[2]Izvršenje_proračuna_po_pozicija!$B$2:$B$153,[2]Izvršenje_proračuna_po_pozicija!$E$2:$E$153,0)</f>
        <v>0</v>
      </c>
      <c r="T673" s="294"/>
      <c r="U673" s="294"/>
      <c r="V673" s="478">
        <v>0</v>
      </c>
      <c r="W673" s="478"/>
      <c r="X673" s="544"/>
      <c r="Y673" s="544"/>
      <c r="Z673" s="541" t="b">
        <f t="shared" si="456"/>
        <v>0</v>
      </c>
      <c r="AA673" s="527"/>
      <c r="AB673" s="528">
        <v>40000</v>
      </c>
      <c r="AC673" s="528">
        <v>40000</v>
      </c>
      <c r="AD673" s="524"/>
      <c r="AE673" s="524"/>
      <c r="AF673" s="524"/>
      <c r="AG673" s="524"/>
      <c r="AH673" s="527"/>
      <c r="AI673" s="544"/>
      <c r="AJ673" s="516"/>
      <c r="AK673" s="516"/>
      <c r="AL673" s="516"/>
      <c r="AM673" s="294"/>
      <c r="AO673" t="b">
        <f t="shared" si="457"/>
        <v>0</v>
      </c>
      <c r="AQ673" s="443"/>
      <c r="AS673" s="443">
        <f>__xlfn.XLOOKUP(K673,[1]Izvršenje_proračuna_po_pozicija!$C$25:$C$149,[1]Izvršenje_proračuna_po_pozicija!$E$25:$E$149,0)</f>
        <v>0</v>
      </c>
      <c r="AT673" s="617"/>
      <c r="AU673" s="478"/>
      <c r="AV673" s="638"/>
      <c r="AW673" s="638"/>
      <c r="AX673" s="655" t="str">
        <f t="shared" si="488"/>
        <v/>
      </c>
      <c r="AY673" s="655" t="str">
        <f t="shared" si="489"/>
        <v/>
      </c>
      <c r="AZ673" s="655" t="str">
        <f t="shared" si="490"/>
        <v/>
      </c>
      <c r="BA673" s="655" t="str">
        <f t="shared" si="491"/>
        <v/>
      </c>
      <c r="BB673" s="655" t="str">
        <f t="shared" si="492"/>
        <v/>
      </c>
      <c r="BC673" s="655" t="str">
        <f t="shared" si="492"/>
        <v/>
      </c>
    </row>
    <row r="674" spans="1:55" ht="12" customHeight="1">
      <c r="A674" s="20"/>
      <c r="B674" s="20"/>
      <c r="C674" s="20"/>
      <c r="D674" s="20"/>
      <c r="E674" s="20"/>
      <c r="F674" s="20"/>
      <c r="G674" s="20"/>
      <c r="H674" s="375"/>
      <c r="I674" s="22"/>
      <c r="J674" s="21"/>
      <c r="K674" s="19"/>
      <c r="L674" s="313"/>
      <c r="M674" s="313"/>
      <c r="N674" s="335"/>
      <c r="O674" s="335"/>
      <c r="P674" s="290"/>
      <c r="Q674" s="290"/>
      <c r="R674" s="439"/>
      <c r="S674" s="294">
        <f>__xlfn.XLOOKUP(H674,[2]Izvršenje_proračuna_po_pozicija!$B$2:$B$153,[2]Izvršenje_proračuna_po_pozicija!$E$2:$E$153,0)</f>
        <v>0</v>
      </c>
      <c r="T674" s="294"/>
      <c r="U674" s="294"/>
      <c r="V674" s="474"/>
      <c r="W674" s="474"/>
      <c r="X674" s="539"/>
      <c r="Y674" s="539"/>
      <c r="Z674" s="541" t="b">
        <f t="shared" si="456"/>
        <v>0</v>
      </c>
      <c r="AA674" s="514"/>
      <c r="AB674" s="515"/>
      <c r="AC674" s="515"/>
      <c r="AD674" s="524"/>
      <c r="AE674" s="524"/>
      <c r="AF674" s="524"/>
      <c r="AG674" s="524"/>
      <c r="AH674" s="514"/>
      <c r="AI674" s="539"/>
      <c r="AJ674" s="516"/>
      <c r="AK674" s="516"/>
      <c r="AL674" s="516"/>
      <c r="AM674" s="290"/>
      <c r="AO674" t="b">
        <f t="shared" si="457"/>
        <v>0</v>
      </c>
      <c r="AQ674" s="439"/>
      <c r="AS674" s="439">
        <f>__xlfn.XLOOKUP(K674,[1]Izvršenje_proračuna_po_pozicija!$C$25:$C$149,[1]Izvršenje_proračuna_po_pozicija!$E$25:$E$149,0)</f>
        <v>0</v>
      </c>
      <c r="AT674" s="616"/>
      <c r="AU674" s="474"/>
      <c r="AV674" s="632"/>
      <c r="AW674" s="632"/>
      <c r="AX674" s="655" t="str">
        <f t="shared" si="488"/>
        <v/>
      </c>
      <c r="AY674" s="655" t="str">
        <f t="shared" si="489"/>
        <v/>
      </c>
      <c r="AZ674" s="655" t="str">
        <f t="shared" si="490"/>
        <v/>
      </c>
      <c r="BA674" s="655" t="str">
        <f t="shared" si="491"/>
        <v/>
      </c>
      <c r="BB674" s="655" t="str">
        <f t="shared" si="492"/>
        <v/>
      </c>
      <c r="BC674" s="655" t="str">
        <f t="shared" si="492"/>
        <v/>
      </c>
    </row>
    <row r="675" spans="1:55" ht="12" customHeight="1">
      <c r="A675" s="212" t="s">
        <v>486</v>
      </c>
      <c r="B675" s="130"/>
      <c r="C675" s="130"/>
      <c r="D675" s="130"/>
      <c r="E675" s="130"/>
      <c r="F675" s="130"/>
      <c r="G675" s="130"/>
      <c r="H675" s="383"/>
      <c r="I675" s="170" t="s">
        <v>312</v>
      </c>
      <c r="J675" s="171"/>
      <c r="K675" s="111"/>
      <c r="L675" s="315">
        <f t="shared" ref="L675:S675" si="504">L677</f>
        <v>763177</v>
      </c>
      <c r="M675" s="315">
        <f t="shared" si="504"/>
        <v>101290.99475744905</v>
      </c>
      <c r="N675" s="337">
        <f t="shared" si="504"/>
        <v>1155015</v>
      </c>
      <c r="O675" s="337">
        <f t="shared" si="504"/>
        <v>153296.83456101932</v>
      </c>
      <c r="P675" s="292">
        <f t="shared" si="504"/>
        <v>123000</v>
      </c>
      <c r="Q675" s="292">
        <f t="shared" si="504"/>
        <v>133000</v>
      </c>
      <c r="R675" s="441">
        <f t="shared" si="504"/>
        <v>123652</v>
      </c>
      <c r="S675" s="292">
        <f t="shared" si="504"/>
        <v>0</v>
      </c>
      <c r="T675" s="292"/>
      <c r="U675" s="292"/>
      <c r="V675" s="469">
        <f>V677</f>
        <v>140000</v>
      </c>
      <c r="W675" s="469">
        <f>W677</f>
        <v>235000</v>
      </c>
      <c r="X675" s="522">
        <f>X677</f>
        <v>230000</v>
      </c>
      <c r="Y675" s="522">
        <f>Y677</f>
        <v>0</v>
      </c>
      <c r="Z675" s="541" t="b">
        <f t="shared" ref="Z675:Z723" si="505">__xlfn.ISFORMULA(R675)</f>
        <v>1</v>
      </c>
      <c r="AA675" s="522"/>
      <c r="AB675" s="523">
        <f>AB677</f>
        <v>129000</v>
      </c>
      <c r="AC675" s="523">
        <f>AC677</f>
        <v>129000</v>
      </c>
      <c r="AD675" s="524">
        <f>O675/M675*100</f>
        <v>151.3430043096163</v>
      </c>
      <c r="AE675" s="524">
        <f>P675/O675*100</f>
        <v>80.23649043518914</v>
      </c>
      <c r="AF675" s="524">
        <f>Q675/P675*100</f>
        <v>108.130081300813</v>
      </c>
      <c r="AG675" s="524">
        <f>AB675/Q675*100</f>
        <v>96.992481203007515</v>
      </c>
      <c r="AH675" s="522"/>
      <c r="AI675" s="522">
        <v>230000</v>
      </c>
      <c r="AJ675" s="516">
        <f>W675/R675*100</f>
        <v>190.04949374049752</v>
      </c>
      <c r="AK675" s="516">
        <f>AT675/W675*100</f>
        <v>106.38297872340425</v>
      </c>
      <c r="AL675" s="516">
        <f>X675/AT675*100</f>
        <v>92</v>
      </c>
      <c r="AM675" s="292"/>
      <c r="AO675" t="b">
        <f t="shared" ref="AO675:AO723" si="506">__xlfn.ISFORMULA(AT675)</f>
        <v>1</v>
      </c>
      <c r="AP675" s="440">
        <f t="shared" ref="AP675:AU675" si="507">AP677</f>
        <v>215163.59999999998</v>
      </c>
      <c r="AQ675" s="441">
        <v>215163.6</v>
      </c>
      <c r="AR675" s="440">
        <f>AR677</f>
        <v>215163.59999999998</v>
      </c>
      <c r="AS675" s="441">
        <f t="shared" si="507"/>
        <v>93714.87000000001</v>
      </c>
      <c r="AT675" s="612">
        <f t="shared" si="507"/>
        <v>250000</v>
      </c>
      <c r="AU675" s="469">
        <f t="shared" si="507"/>
        <v>220000</v>
      </c>
      <c r="AV675" s="636">
        <v>230000</v>
      </c>
      <c r="AW675" s="636">
        <v>230000</v>
      </c>
      <c r="AX675" s="655">
        <f t="shared" si="488"/>
        <v>202.18031248989098</v>
      </c>
      <c r="AY675" s="655">
        <f t="shared" si="489"/>
        <v>116.19065678395415</v>
      </c>
      <c r="AZ675" s="655">
        <f t="shared" si="490"/>
        <v>88</v>
      </c>
      <c r="BA675" s="655">
        <f t="shared" si="491"/>
        <v>102.24777796987968</v>
      </c>
      <c r="BB675" s="655">
        <f t="shared" si="492"/>
        <v>104.54545454545455</v>
      </c>
      <c r="BC675" s="655">
        <f t="shared" si="492"/>
        <v>100</v>
      </c>
    </row>
    <row r="676" spans="1:55" ht="12" customHeight="1">
      <c r="A676" s="25"/>
      <c r="B676" s="25"/>
      <c r="C676" s="25"/>
      <c r="D676" s="25"/>
      <c r="E676" s="25"/>
      <c r="F676" s="25"/>
      <c r="G676" s="25"/>
      <c r="H676" s="382"/>
      <c r="I676" s="114"/>
      <c r="J676" s="94"/>
      <c r="K676" s="26"/>
      <c r="L676" s="317"/>
      <c r="M676" s="317"/>
      <c r="N676" s="341"/>
      <c r="O676" s="341"/>
      <c r="P676" s="296"/>
      <c r="Q676" s="296"/>
      <c r="R676" s="445"/>
      <c r="S676" s="294">
        <f>__xlfn.XLOOKUP(H676,[2]Izvršenje_proračuna_po_pozicija!$B$2:$B$153,[2]Izvršenje_proračuna_po_pozicija!$E$2:$E$153,0)</f>
        <v>0</v>
      </c>
      <c r="T676" s="294"/>
      <c r="U676" s="294"/>
      <c r="V676" s="481"/>
      <c r="W676" s="481"/>
      <c r="X676" s="549"/>
      <c r="Y676" s="549"/>
      <c r="Z676" s="541" t="b">
        <f t="shared" si="505"/>
        <v>0</v>
      </c>
      <c r="AA676" s="531"/>
      <c r="AB676" s="532"/>
      <c r="AC676" s="532"/>
      <c r="AD676" s="524"/>
      <c r="AE676" s="524"/>
      <c r="AF676" s="524"/>
      <c r="AG676" s="524"/>
      <c r="AH676" s="531"/>
      <c r="AI676" s="549"/>
      <c r="AJ676" s="516"/>
      <c r="AK676" s="516"/>
      <c r="AL676" s="516"/>
      <c r="AM676" s="296"/>
      <c r="AN676" s="413"/>
      <c r="AO676" t="b">
        <f t="shared" si="506"/>
        <v>0</v>
      </c>
      <c r="AQ676" s="445"/>
      <c r="AS676" s="445"/>
      <c r="AT676" s="616"/>
      <c r="AU676" s="481"/>
      <c r="AV676" s="640"/>
      <c r="AW676" s="640"/>
      <c r="AX676" s="655" t="str">
        <f t="shared" si="488"/>
        <v/>
      </c>
      <c r="AY676" s="655" t="str">
        <f t="shared" si="489"/>
        <v/>
      </c>
      <c r="AZ676" s="655" t="str">
        <f t="shared" si="490"/>
        <v/>
      </c>
      <c r="BA676" s="655" t="str">
        <f t="shared" si="491"/>
        <v/>
      </c>
      <c r="BB676" s="655" t="str">
        <f t="shared" si="492"/>
        <v/>
      </c>
      <c r="BC676" s="655" t="str">
        <f t="shared" si="492"/>
        <v/>
      </c>
    </row>
    <row r="677" spans="1:55" ht="12" customHeight="1">
      <c r="A677" s="52"/>
      <c r="B677" s="52"/>
      <c r="C677" s="52"/>
      <c r="D677" s="52"/>
      <c r="E677" s="52"/>
      <c r="F677" s="52"/>
      <c r="G677" s="52"/>
      <c r="H677" s="384"/>
      <c r="I677" s="156"/>
      <c r="J677" s="94">
        <v>3</v>
      </c>
      <c r="K677" s="21" t="s">
        <v>94</v>
      </c>
      <c r="L677" s="315">
        <f t="shared" ref="L677:AC677" si="508">L678</f>
        <v>763177</v>
      </c>
      <c r="M677" s="315">
        <f t="shared" si="508"/>
        <v>101290.99475744905</v>
      </c>
      <c r="N677" s="337">
        <f t="shared" si="508"/>
        <v>1155015</v>
      </c>
      <c r="O677" s="337">
        <f t="shared" si="508"/>
        <v>153296.83456101932</v>
      </c>
      <c r="P677" s="292">
        <f t="shared" si="508"/>
        <v>123000</v>
      </c>
      <c r="Q677" s="292">
        <f t="shared" si="508"/>
        <v>133000</v>
      </c>
      <c r="R677" s="441">
        <f t="shared" si="508"/>
        <v>123652</v>
      </c>
      <c r="S677" s="292">
        <f t="shared" si="508"/>
        <v>0</v>
      </c>
      <c r="T677" s="292"/>
      <c r="U677" s="292"/>
      <c r="V677" s="469">
        <f t="shared" si="508"/>
        <v>140000</v>
      </c>
      <c r="W677" s="469">
        <f t="shared" si="508"/>
        <v>235000</v>
      </c>
      <c r="X677" s="522">
        <f t="shared" si="508"/>
        <v>230000</v>
      </c>
      <c r="Y677" s="522">
        <f t="shared" si="508"/>
        <v>0</v>
      </c>
      <c r="Z677" s="541" t="b">
        <f t="shared" si="505"/>
        <v>1</v>
      </c>
      <c r="AA677" s="522"/>
      <c r="AB677" s="523">
        <f t="shared" si="508"/>
        <v>129000</v>
      </c>
      <c r="AC677" s="523">
        <f t="shared" si="508"/>
        <v>129000</v>
      </c>
      <c r="AD677" s="524">
        <f>O677/M677*100</f>
        <v>151.3430043096163</v>
      </c>
      <c r="AE677" s="524">
        <f t="shared" ref="AE677:AF680" si="509">P677/O677*100</f>
        <v>80.23649043518914</v>
      </c>
      <c r="AF677" s="524">
        <f t="shared" si="509"/>
        <v>108.130081300813</v>
      </c>
      <c r="AG677" s="524">
        <f>AB677/Q677*100</f>
        <v>96.992481203007515</v>
      </c>
      <c r="AH677" s="522"/>
      <c r="AI677" s="522">
        <v>230000</v>
      </c>
      <c r="AJ677" s="516">
        <f>W677/R677*100</f>
        <v>190.04949374049752</v>
      </c>
      <c r="AK677" s="516">
        <f>AT677/W677*100</f>
        <v>106.38297872340425</v>
      </c>
      <c r="AL677" s="516">
        <f>X677/AT677*100</f>
        <v>92</v>
      </c>
      <c r="AM677" s="292"/>
      <c r="AN677" s="413"/>
      <c r="AO677" t="b">
        <f t="shared" si="506"/>
        <v>1</v>
      </c>
      <c r="AP677" s="440">
        <f>AP678</f>
        <v>215163.59999999998</v>
      </c>
      <c r="AQ677" s="441">
        <v>215163.6</v>
      </c>
      <c r="AR677" s="440">
        <f>AR678</f>
        <v>215163.59999999998</v>
      </c>
      <c r="AS677" s="441">
        <f>AS678</f>
        <v>93714.87000000001</v>
      </c>
      <c r="AT677" s="612">
        <f>AT678</f>
        <v>250000</v>
      </c>
      <c r="AU677" s="469">
        <f>AU678</f>
        <v>220000</v>
      </c>
      <c r="AV677" s="636">
        <v>230000</v>
      </c>
      <c r="AW677" s="636">
        <v>230000</v>
      </c>
      <c r="AX677" s="655">
        <f t="shared" si="488"/>
        <v>202.18031248989098</v>
      </c>
      <c r="AY677" s="655">
        <f t="shared" si="489"/>
        <v>116.19065678395415</v>
      </c>
      <c r="AZ677" s="655">
        <f t="shared" si="490"/>
        <v>88</v>
      </c>
      <c r="BA677" s="655">
        <f t="shared" si="491"/>
        <v>102.24777796987968</v>
      </c>
      <c r="BB677" s="655">
        <f t="shared" si="492"/>
        <v>104.54545454545455</v>
      </c>
      <c r="BC677" s="655">
        <f t="shared" si="492"/>
        <v>100</v>
      </c>
    </row>
    <row r="678" spans="1:55" ht="12" customHeight="1">
      <c r="A678" s="355"/>
      <c r="B678" s="355"/>
      <c r="C678" s="355"/>
      <c r="D678" s="355"/>
      <c r="E678" s="355"/>
      <c r="F678" s="355"/>
      <c r="G678" s="355"/>
      <c r="H678" s="379"/>
      <c r="I678" s="359"/>
      <c r="J678" s="356">
        <v>32</v>
      </c>
      <c r="K678" s="358" t="s">
        <v>103</v>
      </c>
      <c r="L678" s="315">
        <f t="shared" ref="L678:S678" si="510">L679+L682</f>
        <v>763177</v>
      </c>
      <c r="M678" s="315">
        <f t="shared" si="510"/>
        <v>101290.99475744905</v>
      </c>
      <c r="N678" s="337">
        <f t="shared" si="510"/>
        <v>1155015</v>
      </c>
      <c r="O678" s="337">
        <f t="shared" si="510"/>
        <v>153296.83456101932</v>
      </c>
      <c r="P678" s="292">
        <f t="shared" si="510"/>
        <v>123000</v>
      </c>
      <c r="Q678" s="292">
        <f t="shared" si="510"/>
        <v>133000</v>
      </c>
      <c r="R678" s="441">
        <f t="shared" si="510"/>
        <v>123652</v>
      </c>
      <c r="S678" s="292">
        <f t="shared" si="510"/>
        <v>0</v>
      </c>
      <c r="T678" s="292"/>
      <c r="U678" s="292"/>
      <c r="V678" s="469">
        <f>V679+V682</f>
        <v>140000</v>
      </c>
      <c r="W678" s="469">
        <f>W679+W682</f>
        <v>235000</v>
      </c>
      <c r="X678" s="522">
        <f>X679+X682</f>
        <v>230000</v>
      </c>
      <c r="Y678" s="522">
        <f>Y679+Y682</f>
        <v>0</v>
      </c>
      <c r="Z678" s="541" t="b">
        <f t="shared" si="505"/>
        <v>1</v>
      </c>
      <c r="AA678" s="522"/>
      <c r="AB678" s="523">
        <f>AB679+AB682</f>
        <v>129000</v>
      </c>
      <c r="AC678" s="523">
        <f>AC679+AC682</f>
        <v>129000</v>
      </c>
      <c r="AD678" s="524">
        <f>O678/M678*100</f>
        <v>151.3430043096163</v>
      </c>
      <c r="AE678" s="524">
        <f t="shared" si="509"/>
        <v>80.23649043518914</v>
      </c>
      <c r="AF678" s="524">
        <f t="shared" si="509"/>
        <v>108.130081300813</v>
      </c>
      <c r="AG678" s="524">
        <f>AB678/Q678*100</f>
        <v>96.992481203007515</v>
      </c>
      <c r="AH678" s="522"/>
      <c r="AI678" s="522">
        <v>230000</v>
      </c>
      <c r="AJ678" s="516">
        <f>W678/R678*100</f>
        <v>190.04949374049752</v>
      </c>
      <c r="AK678" s="516">
        <f>AT678/W678*100</f>
        <v>106.38297872340425</v>
      </c>
      <c r="AL678" s="516">
        <f>X678/AT678*100</f>
        <v>92</v>
      </c>
      <c r="AM678" s="292"/>
      <c r="AN678" s="413"/>
      <c r="AO678" t="b">
        <f t="shared" si="506"/>
        <v>1</v>
      </c>
      <c r="AP678" s="440">
        <f t="shared" ref="AP678:AU678" si="511">AP679+AP682</f>
        <v>215163.59999999998</v>
      </c>
      <c r="AQ678" s="441">
        <v>215163.6</v>
      </c>
      <c r="AR678" s="440">
        <f>AR679+AR682</f>
        <v>215163.59999999998</v>
      </c>
      <c r="AS678" s="441">
        <f t="shared" si="511"/>
        <v>93714.87000000001</v>
      </c>
      <c r="AT678" s="612">
        <f t="shared" si="511"/>
        <v>250000</v>
      </c>
      <c r="AU678" s="469">
        <f t="shared" si="511"/>
        <v>220000</v>
      </c>
      <c r="AV678" s="636">
        <v>230000</v>
      </c>
      <c r="AW678" s="636">
        <v>230000</v>
      </c>
      <c r="AX678" s="655">
        <f t="shared" si="488"/>
        <v>202.18031248989098</v>
      </c>
      <c r="AY678" s="655">
        <f t="shared" si="489"/>
        <v>116.19065678395415</v>
      </c>
      <c r="AZ678" s="655">
        <f t="shared" si="490"/>
        <v>88</v>
      </c>
      <c r="BA678" s="655">
        <f t="shared" si="491"/>
        <v>102.24777796987968</v>
      </c>
      <c r="BB678" s="655">
        <f t="shared" si="492"/>
        <v>104.54545454545455</v>
      </c>
      <c r="BC678" s="655">
        <f t="shared" si="492"/>
        <v>100</v>
      </c>
    </row>
    <row r="679" spans="1:55" ht="12" customHeight="1">
      <c r="A679" s="56"/>
      <c r="B679" s="56"/>
      <c r="C679" s="56"/>
      <c r="D679" s="56"/>
      <c r="E679" s="56"/>
      <c r="F679" s="56"/>
      <c r="G679" s="56"/>
      <c r="H679" s="377"/>
      <c r="I679" s="157"/>
      <c r="J679" s="116">
        <v>322</v>
      </c>
      <c r="K679" s="60" t="s">
        <v>313</v>
      </c>
      <c r="L679" s="315">
        <f t="shared" ref="L679:AC679" si="512">L680</f>
        <v>396699</v>
      </c>
      <c r="M679" s="315">
        <f t="shared" si="512"/>
        <v>52651.005375273737</v>
      </c>
      <c r="N679" s="337">
        <f t="shared" si="512"/>
        <v>774978</v>
      </c>
      <c r="O679" s="337">
        <f t="shared" si="512"/>
        <v>102857.25661955007</v>
      </c>
      <c r="P679" s="292">
        <f t="shared" si="512"/>
        <v>70000</v>
      </c>
      <c r="Q679" s="292">
        <f t="shared" si="512"/>
        <v>80000</v>
      </c>
      <c r="R679" s="441">
        <f t="shared" si="512"/>
        <v>70813</v>
      </c>
      <c r="S679" s="292">
        <f t="shared" si="512"/>
        <v>0</v>
      </c>
      <c r="T679" s="292"/>
      <c r="U679" s="292"/>
      <c r="V679" s="469">
        <f t="shared" si="512"/>
        <v>85000</v>
      </c>
      <c r="W679" s="469">
        <f t="shared" si="512"/>
        <v>85000</v>
      </c>
      <c r="X679" s="522">
        <f t="shared" si="512"/>
        <v>110000</v>
      </c>
      <c r="Y679" s="522">
        <f t="shared" si="512"/>
        <v>0</v>
      </c>
      <c r="Z679" s="541" t="b">
        <f t="shared" si="505"/>
        <v>1</v>
      </c>
      <c r="AA679" s="522"/>
      <c r="AB679" s="523">
        <f t="shared" si="512"/>
        <v>75000</v>
      </c>
      <c r="AC679" s="523">
        <f t="shared" si="512"/>
        <v>75000</v>
      </c>
      <c r="AD679" s="524">
        <f>O679/M679*100</f>
        <v>195.35668101003535</v>
      </c>
      <c r="AE679" s="524">
        <f t="shared" si="509"/>
        <v>68.055480284601629</v>
      </c>
      <c r="AF679" s="524">
        <f t="shared" si="509"/>
        <v>114.28571428571428</v>
      </c>
      <c r="AG679" s="524">
        <f>AB679/Q679*100</f>
        <v>93.75</v>
      </c>
      <c r="AH679" s="522"/>
      <c r="AI679" s="522">
        <v>110000</v>
      </c>
      <c r="AJ679" s="516">
        <f>W679/R679*100</f>
        <v>120.03445694999506</v>
      </c>
      <c r="AK679" s="516">
        <f>AT679/W679*100</f>
        <v>117.64705882352942</v>
      </c>
      <c r="AL679" s="516">
        <f>X679/AT679*100</f>
        <v>110.00000000000001</v>
      </c>
      <c r="AM679" s="292"/>
      <c r="AN679" s="413"/>
      <c r="AO679" t="b">
        <f t="shared" si="506"/>
        <v>1</v>
      </c>
      <c r="AP679" s="440">
        <f t="shared" ref="AP679:AU679" si="513">AP680</f>
        <v>65515.11</v>
      </c>
      <c r="AQ679" s="441">
        <v>65515.11</v>
      </c>
      <c r="AR679" s="440">
        <f>AR680</f>
        <v>65515.11</v>
      </c>
      <c r="AS679" s="441">
        <f t="shared" si="513"/>
        <v>25635.41</v>
      </c>
      <c r="AT679" s="612">
        <f>AT680</f>
        <v>100000</v>
      </c>
      <c r="AU679" s="469">
        <f t="shared" si="513"/>
        <v>90000</v>
      </c>
      <c r="AV679" s="636">
        <v>110000</v>
      </c>
      <c r="AW679" s="636">
        <v>110000</v>
      </c>
      <c r="AX679" s="655">
        <f t="shared" si="488"/>
        <v>141.21700817646476</v>
      </c>
      <c r="AY679" s="655">
        <f t="shared" si="489"/>
        <v>152.63654445516462</v>
      </c>
      <c r="AZ679" s="655">
        <f t="shared" si="490"/>
        <v>90</v>
      </c>
      <c r="BA679" s="655">
        <f t="shared" si="491"/>
        <v>137.37289000964816</v>
      </c>
      <c r="BB679" s="655">
        <f t="shared" si="492"/>
        <v>122.22222222222223</v>
      </c>
      <c r="BC679" s="655">
        <f t="shared" si="492"/>
        <v>100</v>
      </c>
    </row>
    <row r="680" spans="1:55" ht="12" customHeight="1">
      <c r="A680" s="36"/>
      <c r="B680" s="36"/>
      <c r="C680" s="36"/>
      <c r="D680" s="36"/>
      <c r="E680" s="36"/>
      <c r="F680" s="36"/>
      <c r="G680" s="36"/>
      <c r="H680" s="204">
        <v>70</v>
      </c>
      <c r="I680" s="132">
        <v>640</v>
      </c>
      <c r="J680" s="71">
        <v>3223</v>
      </c>
      <c r="K680" s="40" t="s">
        <v>110</v>
      </c>
      <c r="L680" s="309">
        <v>396699</v>
      </c>
      <c r="M680" s="309">
        <f>396699/7.5345</f>
        <v>52651.005375273737</v>
      </c>
      <c r="N680" s="339">
        <v>774978</v>
      </c>
      <c r="O680" s="339">
        <f>N680/7.5345</f>
        <v>102857.25661955007</v>
      </c>
      <c r="P680" s="294">
        <v>70000</v>
      </c>
      <c r="Q680" s="269">
        <v>80000</v>
      </c>
      <c r="R680" s="443">
        <v>70813</v>
      </c>
      <c r="S680" s="294">
        <f>__xlfn.XLOOKUP(H680,[2]Izvršenje_proračuna_po_pozicija!$B$2:$B$153,[2]Izvršenje_proračuna_po_pozicija!$E$2:$E$153,0)</f>
        <v>0</v>
      </c>
      <c r="T680" s="294"/>
      <c r="U680" s="294"/>
      <c r="V680" s="478">
        <v>85000</v>
      </c>
      <c r="W680" s="478">
        <v>85000</v>
      </c>
      <c r="X680" s="544">
        <v>110000</v>
      </c>
      <c r="Y680" s="544"/>
      <c r="Z680" s="541" t="b">
        <f t="shared" si="505"/>
        <v>0</v>
      </c>
      <c r="AA680" s="527"/>
      <c r="AB680" s="528">
        <v>75000</v>
      </c>
      <c r="AC680" s="528">
        <v>75000</v>
      </c>
      <c r="AD680" s="524">
        <f>O680/M680*100</f>
        <v>195.35668101003535</v>
      </c>
      <c r="AE680" s="524">
        <f t="shared" si="509"/>
        <v>68.055480284601629</v>
      </c>
      <c r="AF680" s="524">
        <f t="shared" si="509"/>
        <v>114.28571428571428</v>
      </c>
      <c r="AG680" s="524">
        <f>AB680/Q680*100</f>
        <v>93.75</v>
      </c>
      <c r="AH680" s="527"/>
      <c r="AI680" s="544">
        <v>110000</v>
      </c>
      <c r="AJ680" s="516">
        <f>W680/R680*100</f>
        <v>120.03445694999506</v>
      </c>
      <c r="AK680" s="516">
        <f>AT680/W680*100</f>
        <v>117.64705882352942</v>
      </c>
      <c r="AL680" s="516">
        <f>X680/AT680*100</f>
        <v>110.00000000000001</v>
      </c>
      <c r="AM680" s="294"/>
      <c r="AN680" s="413"/>
      <c r="AO680" t="b">
        <f t="shared" si="506"/>
        <v>0</v>
      </c>
      <c r="AP680" s="493">
        <v>65515.11</v>
      </c>
      <c r="AQ680" s="443">
        <v>65515.11</v>
      </c>
      <c r="AR680" s="493">
        <v>65515.11</v>
      </c>
      <c r="AS680" s="443">
        <v>25635.41</v>
      </c>
      <c r="AT680" s="617">
        <v>100000</v>
      </c>
      <c r="AU680" s="478">
        <v>90000</v>
      </c>
      <c r="AV680" s="638">
        <v>110000</v>
      </c>
      <c r="AW680" s="638">
        <v>110000</v>
      </c>
      <c r="AX680" s="655">
        <f t="shared" si="488"/>
        <v>141.21700817646476</v>
      </c>
      <c r="AY680" s="655">
        <f t="shared" si="489"/>
        <v>152.63654445516462</v>
      </c>
      <c r="AZ680" s="655">
        <f t="shared" si="490"/>
        <v>90</v>
      </c>
      <c r="BA680" s="655">
        <f t="shared" si="491"/>
        <v>137.37289000964816</v>
      </c>
      <c r="BB680" s="655">
        <f t="shared" si="492"/>
        <v>122.22222222222223</v>
      </c>
      <c r="BC680" s="655">
        <f t="shared" si="492"/>
        <v>100</v>
      </c>
    </row>
    <row r="681" spans="1:55" ht="12" customHeight="1">
      <c r="A681" s="36"/>
      <c r="B681" s="36"/>
      <c r="C681" s="36"/>
      <c r="D681" s="36"/>
      <c r="E681" s="36"/>
      <c r="F681" s="36"/>
      <c r="G681" s="36"/>
      <c r="H681" s="204"/>
      <c r="I681" s="132"/>
      <c r="J681" s="71"/>
      <c r="K681" s="40"/>
      <c r="L681" s="309"/>
      <c r="M681" s="309"/>
      <c r="N681" s="339"/>
      <c r="O681" s="339"/>
      <c r="P681" s="294"/>
      <c r="Q681" s="294"/>
      <c r="R681" s="443"/>
      <c r="S681" s="294">
        <f>__xlfn.XLOOKUP(H681,[2]Izvršenje_proračuna_po_pozicija!$B$2:$B$153,[2]Izvršenje_proračuna_po_pozicija!$E$2:$E$153,0)</f>
        <v>0</v>
      </c>
      <c r="T681" s="294"/>
      <c r="U681" s="294"/>
      <c r="V681" s="478"/>
      <c r="W681" s="478"/>
      <c r="X681" s="544"/>
      <c r="Y681" s="544"/>
      <c r="Z681" s="541" t="b">
        <f t="shared" si="505"/>
        <v>0</v>
      </c>
      <c r="AA681" s="527"/>
      <c r="AB681" s="528"/>
      <c r="AC681" s="528"/>
      <c r="AD681" s="524"/>
      <c r="AE681" s="524"/>
      <c r="AF681" s="524"/>
      <c r="AG681" s="524"/>
      <c r="AH681" s="527"/>
      <c r="AI681" s="544"/>
      <c r="AJ681" s="516"/>
      <c r="AK681" s="516"/>
      <c r="AL681" s="516"/>
      <c r="AM681" s="294"/>
      <c r="AN681" s="413"/>
      <c r="AO681" t="b">
        <f t="shared" si="506"/>
        <v>0</v>
      </c>
      <c r="AQ681" s="443"/>
      <c r="AS681" s="443">
        <f>__xlfn.XLOOKUP(K681,[1]Izvršenje_proračuna_po_pozicija!$C$25:$C$149,[1]Izvršenje_proračuna_po_pozicija!$E$25:$E$149,0)</f>
        <v>0</v>
      </c>
      <c r="AT681" s="617"/>
      <c r="AU681" s="478"/>
      <c r="AV681" s="638"/>
      <c r="AW681" s="638"/>
      <c r="AX681" s="655" t="str">
        <f t="shared" si="488"/>
        <v/>
      </c>
      <c r="AY681" s="655" t="str">
        <f t="shared" si="489"/>
        <v/>
      </c>
      <c r="AZ681" s="655" t="str">
        <f t="shared" si="490"/>
        <v/>
      </c>
      <c r="BA681" s="655" t="str">
        <f t="shared" si="491"/>
        <v/>
      </c>
      <c r="BB681" s="655" t="str">
        <f t="shared" si="492"/>
        <v/>
      </c>
      <c r="BC681" s="655" t="str">
        <f t="shared" si="492"/>
        <v/>
      </c>
    </row>
    <row r="682" spans="1:55" ht="12" customHeight="1">
      <c r="A682" s="56"/>
      <c r="B682" s="56"/>
      <c r="C682" s="56"/>
      <c r="D682" s="56"/>
      <c r="E682" s="56"/>
      <c r="F682" s="56"/>
      <c r="G682" s="56"/>
      <c r="H682" s="377"/>
      <c r="I682" s="157"/>
      <c r="J682" s="116">
        <v>323</v>
      </c>
      <c r="K682" s="60" t="s">
        <v>191</v>
      </c>
      <c r="L682" s="315">
        <f t="shared" ref="L682:AC682" si="514">L683</f>
        <v>366478</v>
      </c>
      <c r="M682" s="315">
        <f t="shared" si="514"/>
        <v>48639.989382175321</v>
      </c>
      <c r="N682" s="337">
        <f t="shared" si="514"/>
        <v>380037</v>
      </c>
      <c r="O682" s="337">
        <f t="shared" si="514"/>
        <v>50439.577941469237</v>
      </c>
      <c r="P682" s="292">
        <f t="shared" si="514"/>
        <v>53000</v>
      </c>
      <c r="Q682" s="292">
        <f t="shared" si="514"/>
        <v>53000</v>
      </c>
      <c r="R682" s="441">
        <f t="shared" si="514"/>
        <v>52839</v>
      </c>
      <c r="S682" s="292">
        <f t="shared" si="514"/>
        <v>0</v>
      </c>
      <c r="T682" s="292"/>
      <c r="U682" s="292"/>
      <c r="V682" s="469">
        <f t="shared" si="514"/>
        <v>55000</v>
      </c>
      <c r="W682" s="469">
        <f t="shared" si="514"/>
        <v>150000</v>
      </c>
      <c r="X682" s="522">
        <f t="shared" si="514"/>
        <v>120000</v>
      </c>
      <c r="Y682" s="522">
        <f t="shared" si="514"/>
        <v>0</v>
      </c>
      <c r="Z682" s="541" t="b">
        <f t="shared" si="505"/>
        <v>1</v>
      </c>
      <c r="AA682" s="522"/>
      <c r="AB682" s="523">
        <f t="shared" si="514"/>
        <v>54000</v>
      </c>
      <c r="AC682" s="523">
        <f t="shared" si="514"/>
        <v>54000</v>
      </c>
      <c r="AD682" s="524">
        <f>O682/M682*100</f>
        <v>103.69981281277458</v>
      </c>
      <c r="AE682" s="524">
        <f>P682/O682*100</f>
        <v>105.07621626315333</v>
      </c>
      <c r="AF682" s="524">
        <f>Q682/P682*100</f>
        <v>100</v>
      </c>
      <c r="AG682" s="524">
        <f>AB682/Q682*100</f>
        <v>101.88679245283019</v>
      </c>
      <c r="AH682" s="522"/>
      <c r="AI682" s="522">
        <v>120000</v>
      </c>
      <c r="AJ682" s="516">
        <f>W682/R682*100</f>
        <v>283.88122409583832</v>
      </c>
      <c r="AK682" s="516">
        <f>AT682/W682*100</f>
        <v>100</v>
      </c>
      <c r="AL682" s="516">
        <f>X682/AT682*100</f>
        <v>80</v>
      </c>
      <c r="AM682" s="292"/>
      <c r="AN682" s="413"/>
      <c r="AO682" t="b">
        <f t="shared" si="506"/>
        <v>1</v>
      </c>
      <c r="AP682" s="440">
        <f t="shared" ref="AP682:AU682" si="515">AP683</f>
        <v>149648.49</v>
      </c>
      <c r="AQ682" s="441">
        <v>149648.49</v>
      </c>
      <c r="AR682" s="440">
        <f>AR683</f>
        <v>149648.49</v>
      </c>
      <c r="AS682" s="441">
        <f t="shared" si="515"/>
        <v>68079.460000000006</v>
      </c>
      <c r="AT682" s="612">
        <f>AT683</f>
        <v>150000</v>
      </c>
      <c r="AU682" s="469">
        <f t="shared" si="515"/>
        <v>130000</v>
      </c>
      <c r="AV682" s="636">
        <v>120000</v>
      </c>
      <c r="AW682" s="636">
        <v>120000</v>
      </c>
      <c r="AX682" s="655">
        <f t="shared" si="488"/>
        <v>283.88122409583832</v>
      </c>
      <c r="AY682" s="655">
        <f t="shared" si="489"/>
        <v>100.23489044226241</v>
      </c>
      <c r="AZ682" s="655">
        <f t="shared" si="490"/>
        <v>86.666666666666671</v>
      </c>
      <c r="BA682" s="655">
        <f t="shared" si="491"/>
        <v>86.87023838329408</v>
      </c>
      <c r="BB682" s="655">
        <f t="shared" si="492"/>
        <v>92.307692307692307</v>
      </c>
      <c r="BC682" s="655">
        <f t="shared" si="492"/>
        <v>100</v>
      </c>
    </row>
    <row r="683" spans="1:55" ht="12" customHeight="1">
      <c r="A683" s="36"/>
      <c r="B683" s="36"/>
      <c r="C683" s="36"/>
      <c r="D683" s="36"/>
      <c r="E683" s="36"/>
      <c r="F683" s="36"/>
      <c r="G683" s="36"/>
      <c r="H683" s="204">
        <v>97</v>
      </c>
      <c r="I683" s="132">
        <v>640</v>
      </c>
      <c r="J683" s="71">
        <v>3232</v>
      </c>
      <c r="K683" s="40" t="s">
        <v>314</v>
      </c>
      <c r="L683" s="309">
        <v>366478</v>
      </c>
      <c r="M683" s="309">
        <f>366478/7.5345</f>
        <v>48639.989382175321</v>
      </c>
      <c r="N683" s="339">
        <v>380037</v>
      </c>
      <c r="O683" s="339">
        <f>N683/7.5345</f>
        <v>50439.577941469237</v>
      </c>
      <c r="P683" s="294">
        <v>53000</v>
      </c>
      <c r="Q683" s="294">
        <v>53000</v>
      </c>
      <c r="R683" s="443">
        <v>52839</v>
      </c>
      <c r="S683" s="294">
        <f>__xlfn.XLOOKUP(H683,[2]Izvršenje_proračuna_po_pozicija!$B$2:$B$153,[2]Izvršenje_proračuna_po_pozicija!$E$2:$E$153,0)</f>
        <v>0</v>
      </c>
      <c r="T683" s="294"/>
      <c r="U683" s="294"/>
      <c r="V683" s="478">
        <v>55000</v>
      </c>
      <c r="W683" s="478">
        <v>150000</v>
      </c>
      <c r="X683" s="544">
        <v>120000</v>
      </c>
      <c r="Y683" s="544"/>
      <c r="Z683" s="541" t="b">
        <f t="shared" si="505"/>
        <v>0</v>
      </c>
      <c r="AA683" s="527"/>
      <c r="AB683" s="528">
        <v>54000</v>
      </c>
      <c r="AC683" s="528">
        <v>54000</v>
      </c>
      <c r="AD683" s="524">
        <f>O683/M683*100</f>
        <v>103.69981281277458</v>
      </c>
      <c r="AE683" s="524">
        <f>P683/O683*100</f>
        <v>105.07621626315333</v>
      </c>
      <c r="AF683" s="524">
        <f>Q683/P683*100</f>
        <v>100</v>
      </c>
      <c r="AG683" s="524">
        <f>AB683/Q683*100</f>
        <v>101.88679245283019</v>
      </c>
      <c r="AH683" s="527"/>
      <c r="AI683" s="544">
        <v>120000</v>
      </c>
      <c r="AJ683" s="516">
        <f>W683/R683*100</f>
        <v>283.88122409583832</v>
      </c>
      <c r="AK683" s="516">
        <f>AT683/W683*100</f>
        <v>100</v>
      </c>
      <c r="AL683" s="516">
        <f>X683/AT683*100</f>
        <v>80</v>
      </c>
      <c r="AM683" s="294"/>
      <c r="AN683" s="413"/>
      <c r="AO683" t="b">
        <f t="shared" si="506"/>
        <v>0</v>
      </c>
      <c r="AP683" s="493">
        <v>149648.49</v>
      </c>
      <c r="AQ683" s="443">
        <v>149648.49</v>
      </c>
      <c r="AR683" s="493">
        <v>149648.49</v>
      </c>
      <c r="AS683" s="443">
        <v>68079.460000000006</v>
      </c>
      <c r="AT683" s="617">
        <v>150000</v>
      </c>
      <c r="AU683" s="478">
        <v>130000</v>
      </c>
      <c r="AV683" s="638">
        <v>120000</v>
      </c>
      <c r="AW683" s="638">
        <v>120000</v>
      </c>
      <c r="AX683" s="655">
        <f t="shared" si="488"/>
        <v>283.88122409583832</v>
      </c>
      <c r="AY683" s="655">
        <f t="shared" si="489"/>
        <v>100.23489044226241</v>
      </c>
      <c r="AZ683" s="655">
        <f t="shared" si="490"/>
        <v>86.666666666666671</v>
      </c>
      <c r="BA683" s="655">
        <f t="shared" si="491"/>
        <v>86.87023838329408</v>
      </c>
      <c r="BB683" s="655">
        <f t="shared" si="492"/>
        <v>92.307692307692307</v>
      </c>
      <c r="BC683" s="655">
        <f t="shared" si="492"/>
        <v>100</v>
      </c>
    </row>
    <row r="684" spans="1:55" ht="12" customHeight="1">
      <c r="A684" s="36"/>
      <c r="B684" s="36"/>
      <c r="C684" s="36"/>
      <c r="D684" s="36"/>
      <c r="E684" s="36"/>
      <c r="F684" s="36"/>
      <c r="G684" s="36"/>
      <c r="H684" s="204"/>
      <c r="I684" s="132"/>
      <c r="J684" s="71"/>
      <c r="K684" s="40"/>
      <c r="L684" s="316"/>
      <c r="M684" s="316"/>
      <c r="N684" s="338"/>
      <c r="O684" s="338"/>
      <c r="P684" s="293"/>
      <c r="Q684" s="293"/>
      <c r="R684" s="442"/>
      <c r="S684" s="294">
        <f>__xlfn.XLOOKUP(H684,[2]Izvršenje_proračuna_po_pozicija!$B$2:$B$153,[2]Izvršenje_proračuna_po_pozicija!$E$2:$E$153,0)</f>
        <v>0</v>
      </c>
      <c r="T684" s="294"/>
      <c r="U684" s="294"/>
      <c r="V684" s="475"/>
      <c r="W684" s="475"/>
      <c r="X684" s="540"/>
      <c r="Y684" s="540"/>
      <c r="Z684" s="541" t="b">
        <f t="shared" si="505"/>
        <v>0</v>
      </c>
      <c r="AA684" s="525"/>
      <c r="AB684" s="526"/>
      <c r="AC684" s="526"/>
      <c r="AD684" s="524"/>
      <c r="AE684" s="524"/>
      <c r="AF684" s="524"/>
      <c r="AG684" s="524"/>
      <c r="AH684" s="525"/>
      <c r="AI684" s="540"/>
      <c r="AJ684" s="516"/>
      <c r="AK684" s="516"/>
      <c r="AL684" s="516"/>
      <c r="AM684" s="293"/>
      <c r="AN684" s="413"/>
      <c r="AO684" t="b">
        <f t="shared" si="506"/>
        <v>0</v>
      </c>
      <c r="AQ684" s="442"/>
      <c r="AS684" s="442">
        <f>__xlfn.XLOOKUP(K684,[1]Izvršenje_proračuna_po_pozicija!$C$25:$C$149,[1]Izvršenje_proračuna_po_pozicija!$E$25:$E$149,0)</f>
        <v>0</v>
      </c>
      <c r="AT684" s="617"/>
      <c r="AU684" s="475"/>
      <c r="AV684" s="637"/>
      <c r="AW684" s="637"/>
      <c r="AX684" s="655" t="str">
        <f t="shared" si="488"/>
        <v/>
      </c>
      <c r="AY684" s="655" t="str">
        <f t="shared" si="489"/>
        <v/>
      </c>
      <c r="AZ684" s="655" t="str">
        <f t="shared" si="490"/>
        <v/>
      </c>
      <c r="BA684" s="655" t="str">
        <f t="shared" si="491"/>
        <v/>
      </c>
      <c r="BB684" s="655" t="str">
        <f t="shared" si="492"/>
        <v/>
      </c>
      <c r="BC684" s="655" t="str">
        <f t="shared" si="492"/>
        <v/>
      </c>
    </row>
    <row r="685" spans="1:55" ht="12" customHeight="1">
      <c r="A685" s="212" t="s">
        <v>481</v>
      </c>
      <c r="B685" s="130"/>
      <c r="C685" s="130"/>
      <c r="D685" s="130"/>
      <c r="E685" s="130"/>
      <c r="F685" s="130"/>
      <c r="G685" s="130"/>
      <c r="H685" s="383"/>
      <c r="I685" s="170" t="s">
        <v>315</v>
      </c>
      <c r="J685" s="171"/>
      <c r="K685" s="111"/>
      <c r="L685" s="315">
        <f t="shared" ref="L685:S685" si="516">L687</f>
        <v>670000</v>
      </c>
      <c r="M685" s="315">
        <f t="shared" si="516"/>
        <v>88924.281637799446</v>
      </c>
      <c r="N685" s="337">
        <f t="shared" si="516"/>
        <v>1144000</v>
      </c>
      <c r="O685" s="337">
        <f t="shared" si="516"/>
        <v>151834.89282633219</v>
      </c>
      <c r="P685" s="292">
        <f t="shared" si="516"/>
        <v>80000</v>
      </c>
      <c r="Q685" s="292">
        <f t="shared" si="516"/>
        <v>190000</v>
      </c>
      <c r="R685" s="441">
        <f t="shared" si="516"/>
        <v>171558</v>
      </c>
      <c r="S685" s="292">
        <f t="shared" si="516"/>
        <v>0</v>
      </c>
      <c r="T685" s="292"/>
      <c r="U685" s="292"/>
      <c r="V685" s="469">
        <f>V687</f>
        <v>100000</v>
      </c>
      <c r="W685" s="469">
        <f>W687</f>
        <v>132000</v>
      </c>
      <c r="X685" s="522">
        <f>X687</f>
        <v>300000</v>
      </c>
      <c r="Y685" s="522">
        <f>Y687</f>
        <v>0</v>
      </c>
      <c r="Z685" s="541" t="b">
        <f t="shared" si="505"/>
        <v>1</v>
      </c>
      <c r="AA685" s="522"/>
      <c r="AB685" s="523">
        <f>AB687</f>
        <v>85000</v>
      </c>
      <c r="AC685" s="523">
        <f>AC687</f>
        <v>85000</v>
      </c>
      <c r="AD685" s="524">
        <f>O685/M685*100</f>
        <v>170.74626865671644</v>
      </c>
      <c r="AE685" s="524">
        <f>P685/O685*100</f>
        <v>52.688811188811194</v>
      </c>
      <c r="AF685" s="524">
        <f>Q685/P685*100</f>
        <v>237.5</v>
      </c>
      <c r="AG685" s="524">
        <f>AB685/Q685*100</f>
        <v>44.736842105263158</v>
      </c>
      <c r="AH685" s="522"/>
      <c r="AI685" s="522">
        <v>300000</v>
      </c>
      <c r="AJ685" s="516">
        <f>W685/R685*100</f>
        <v>76.941908858811587</v>
      </c>
      <c r="AK685" s="516">
        <f>AT685/W685*100</f>
        <v>151.5151515151515</v>
      </c>
      <c r="AL685" s="516">
        <f>X685/AT685*100</f>
        <v>150</v>
      </c>
      <c r="AM685" s="292"/>
      <c r="AN685" s="413"/>
      <c r="AO685" t="b">
        <f t="shared" si="506"/>
        <v>1</v>
      </c>
      <c r="AP685" s="440">
        <f t="shared" ref="AP685:AU685" si="517">AP687</f>
        <v>95000</v>
      </c>
      <c r="AQ685" s="441">
        <v>95000</v>
      </c>
      <c r="AR685" s="440">
        <f>AR687</f>
        <v>95000</v>
      </c>
      <c r="AS685" s="441">
        <f t="shared" si="517"/>
        <v>15000</v>
      </c>
      <c r="AT685" s="612">
        <f t="shared" si="517"/>
        <v>200000</v>
      </c>
      <c r="AU685" s="469">
        <f t="shared" si="517"/>
        <v>60000</v>
      </c>
      <c r="AV685" s="636">
        <v>300000</v>
      </c>
      <c r="AW685" s="636">
        <v>300000</v>
      </c>
      <c r="AX685" s="655">
        <f t="shared" si="488"/>
        <v>116.57864978607817</v>
      </c>
      <c r="AY685" s="655">
        <f t="shared" si="489"/>
        <v>210.52631578947367</v>
      </c>
      <c r="AZ685" s="655">
        <f t="shared" si="490"/>
        <v>30</v>
      </c>
      <c r="BA685" s="655">
        <f t="shared" si="491"/>
        <v>63.157894736842103</v>
      </c>
      <c r="BB685" s="655">
        <f t="shared" si="492"/>
        <v>500</v>
      </c>
      <c r="BC685" s="655">
        <f t="shared" si="492"/>
        <v>100</v>
      </c>
    </row>
    <row r="686" spans="1:55" ht="12" customHeight="1">
      <c r="A686" s="25"/>
      <c r="B686" s="25"/>
      <c r="C686" s="25"/>
      <c r="D686" s="25"/>
      <c r="E686" s="25"/>
      <c r="F686" s="25"/>
      <c r="G686" s="25"/>
      <c r="H686" s="389"/>
      <c r="I686" s="30"/>
      <c r="J686" s="29"/>
      <c r="K686" s="28"/>
      <c r="L686" s="313"/>
      <c r="M686" s="313"/>
      <c r="N686" s="335"/>
      <c r="O686" s="335"/>
      <c r="P686" s="290"/>
      <c r="Q686" s="290"/>
      <c r="R686" s="439"/>
      <c r="S686" s="294">
        <f>__xlfn.XLOOKUP(H686,[2]Izvršenje_proračuna_po_pozicija!$B$2:$B$153,[2]Izvršenje_proračuna_po_pozicija!$E$2:$E$153,0)</f>
        <v>0</v>
      </c>
      <c r="T686" s="294"/>
      <c r="U686" s="294"/>
      <c r="V686" s="474"/>
      <c r="W686" s="474"/>
      <c r="X686" s="539"/>
      <c r="Y686" s="539"/>
      <c r="Z686" s="541" t="b">
        <f t="shared" si="505"/>
        <v>0</v>
      </c>
      <c r="AA686" s="514"/>
      <c r="AB686" s="515"/>
      <c r="AC686" s="515"/>
      <c r="AD686" s="524"/>
      <c r="AE686" s="524"/>
      <c r="AF686" s="524"/>
      <c r="AG686" s="524"/>
      <c r="AH686" s="514"/>
      <c r="AI686" s="539"/>
      <c r="AJ686" s="516"/>
      <c r="AK686" s="516"/>
      <c r="AL686" s="516"/>
      <c r="AM686" s="290"/>
      <c r="AN686" s="413"/>
      <c r="AO686" t="b">
        <f t="shared" si="506"/>
        <v>0</v>
      </c>
      <c r="AQ686" s="439"/>
      <c r="AS686" s="439"/>
      <c r="AT686" s="616"/>
      <c r="AU686" s="474"/>
      <c r="AV686" s="632"/>
      <c r="AW686" s="632"/>
      <c r="AX686" s="655" t="str">
        <f t="shared" si="488"/>
        <v/>
      </c>
      <c r="AY686" s="655" t="str">
        <f t="shared" si="489"/>
        <v/>
      </c>
      <c r="AZ686" s="655" t="str">
        <f t="shared" si="490"/>
        <v/>
      </c>
      <c r="BA686" s="655" t="str">
        <f t="shared" si="491"/>
        <v/>
      </c>
      <c r="BB686" s="655" t="str">
        <f t="shared" si="492"/>
        <v/>
      </c>
      <c r="BC686" s="655" t="str">
        <f t="shared" si="492"/>
        <v/>
      </c>
    </row>
    <row r="687" spans="1:55" ht="12" customHeight="1">
      <c r="A687" s="52"/>
      <c r="B687" s="52"/>
      <c r="C687" s="52"/>
      <c r="D687" s="52"/>
      <c r="E687" s="52"/>
      <c r="F687" s="52"/>
      <c r="G687" s="52"/>
      <c r="H687" s="384"/>
      <c r="I687" s="156"/>
      <c r="J687" s="94">
        <v>3</v>
      </c>
      <c r="K687" s="14" t="s">
        <v>94</v>
      </c>
      <c r="L687" s="315">
        <f t="shared" ref="L687:S689" si="518">L688</f>
        <v>670000</v>
      </c>
      <c r="M687" s="315">
        <f t="shared" si="518"/>
        <v>88924.281637799446</v>
      </c>
      <c r="N687" s="337">
        <f t="shared" si="518"/>
        <v>1144000</v>
      </c>
      <c r="O687" s="337">
        <f t="shared" si="518"/>
        <v>151834.89282633219</v>
      </c>
      <c r="P687" s="292">
        <f t="shared" si="518"/>
        <v>80000</v>
      </c>
      <c r="Q687" s="292">
        <f t="shared" si="518"/>
        <v>190000</v>
      </c>
      <c r="R687" s="441">
        <f t="shared" si="518"/>
        <v>171558</v>
      </c>
      <c r="S687" s="292">
        <f t="shared" si="518"/>
        <v>0</v>
      </c>
      <c r="T687" s="292"/>
      <c r="U687" s="292"/>
      <c r="V687" s="469">
        <f t="shared" ref="V687:Y689" si="519">V688</f>
        <v>100000</v>
      </c>
      <c r="W687" s="469">
        <f t="shared" si="519"/>
        <v>132000</v>
      </c>
      <c r="X687" s="522">
        <f t="shared" si="519"/>
        <v>300000</v>
      </c>
      <c r="Y687" s="522">
        <f t="shared" si="519"/>
        <v>0</v>
      </c>
      <c r="Z687" s="541" t="b">
        <f t="shared" si="505"/>
        <v>1</v>
      </c>
      <c r="AA687" s="522"/>
      <c r="AB687" s="523">
        <f t="shared" ref="AB687:AC689" si="520">AB688</f>
        <v>85000</v>
      </c>
      <c r="AC687" s="523">
        <f t="shared" si="520"/>
        <v>85000</v>
      </c>
      <c r="AD687" s="524">
        <f>O687/M687*100</f>
        <v>170.74626865671644</v>
      </c>
      <c r="AE687" s="524">
        <f t="shared" ref="AE687:AF690" si="521">P687/O687*100</f>
        <v>52.688811188811194</v>
      </c>
      <c r="AF687" s="524">
        <f t="shared" si="521"/>
        <v>237.5</v>
      </c>
      <c r="AG687" s="524">
        <f>AB687/Q687*100</f>
        <v>44.736842105263158</v>
      </c>
      <c r="AH687" s="522"/>
      <c r="AI687" s="522">
        <v>300000</v>
      </c>
      <c r="AJ687" s="516">
        <f>W687/R687*100</f>
        <v>76.941908858811587</v>
      </c>
      <c r="AK687" s="516">
        <f>AT687/W687*100</f>
        <v>151.5151515151515</v>
      </c>
      <c r="AL687" s="516">
        <f>X687/AT687*100</f>
        <v>150</v>
      </c>
      <c r="AM687" s="292"/>
      <c r="AN687" s="413"/>
      <c r="AO687" t="b">
        <f t="shared" si="506"/>
        <v>1</v>
      </c>
      <c r="AP687" s="440">
        <f t="shared" ref="AP687:AU689" si="522">AP688</f>
        <v>95000</v>
      </c>
      <c r="AQ687" s="441">
        <v>95000</v>
      </c>
      <c r="AR687" s="440">
        <f>AR688</f>
        <v>95000</v>
      </c>
      <c r="AS687" s="441">
        <f t="shared" si="522"/>
        <v>15000</v>
      </c>
      <c r="AT687" s="612">
        <f>AT688</f>
        <v>200000</v>
      </c>
      <c r="AU687" s="469">
        <f t="shared" si="522"/>
        <v>60000</v>
      </c>
      <c r="AV687" s="636">
        <v>300000</v>
      </c>
      <c r="AW687" s="636">
        <v>300000</v>
      </c>
      <c r="AX687" s="655">
        <f t="shared" si="488"/>
        <v>116.57864978607817</v>
      </c>
      <c r="AY687" s="655">
        <f t="shared" si="489"/>
        <v>210.52631578947367</v>
      </c>
      <c r="AZ687" s="655">
        <f t="shared" si="490"/>
        <v>30</v>
      </c>
      <c r="BA687" s="655">
        <f t="shared" si="491"/>
        <v>63.157894736842103</v>
      </c>
      <c r="BB687" s="655">
        <f t="shared" si="492"/>
        <v>500</v>
      </c>
      <c r="BC687" s="655">
        <f t="shared" si="492"/>
        <v>100</v>
      </c>
    </row>
    <row r="688" spans="1:55" ht="12" customHeight="1">
      <c r="A688" s="355"/>
      <c r="B688" s="355"/>
      <c r="C688" s="355"/>
      <c r="D688" s="355"/>
      <c r="E688" s="355"/>
      <c r="F688" s="355"/>
      <c r="G688" s="355"/>
      <c r="H688" s="379"/>
      <c r="I688" s="359"/>
      <c r="J688" s="356">
        <v>38</v>
      </c>
      <c r="K688" s="364" t="s">
        <v>144</v>
      </c>
      <c r="L688" s="315">
        <f t="shared" si="518"/>
        <v>670000</v>
      </c>
      <c r="M688" s="315">
        <f t="shared" si="518"/>
        <v>88924.281637799446</v>
      </c>
      <c r="N688" s="337">
        <f t="shared" si="518"/>
        <v>1144000</v>
      </c>
      <c r="O688" s="337">
        <f t="shared" si="518"/>
        <v>151834.89282633219</v>
      </c>
      <c r="P688" s="292">
        <f t="shared" si="518"/>
        <v>80000</v>
      </c>
      <c r="Q688" s="292">
        <f t="shared" si="518"/>
        <v>190000</v>
      </c>
      <c r="R688" s="441">
        <f t="shared" si="518"/>
        <v>171558</v>
      </c>
      <c r="S688" s="292">
        <f t="shared" si="518"/>
        <v>0</v>
      </c>
      <c r="T688" s="292"/>
      <c r="U688" s="292"/>
      <c r="V688" s="469">
        <f t="shared" si="519"/>
        <v>100000</v>
      </c>
      <c r="W688" s="469">
        <f t="shared" si="519"/>
        <v>132000</v>
      </c>
      <c r="X688" s="522">
        <f t="shared" si="519"/>
        <v>300000</v>
      </c>
      <c r="Y688" s="522">
        <f t="shared" si="519"/>
        <v>0</v>
      </c>
      <c r="Z688" s="541" t="b">
        <f t="shared" si="505"/>
        <v>1</v>
      </c>
      <c r="AA688" s="522"/>
      <c r="AB688" s="523">
        <f t="shared" si="520"/>
        <v>85000</v>
      </c>
      <c r="AC688" s="523">
        <f t="shared" si="520"/>
        <v>85000</v>
      </c>
      <c r="AD688" s="524">
        <f>O688/M688*100</f>
        <v>170.74626865671644</v>
      </c>
      <c r="AE688" s="524">
        <f t="shared" si="521"/>
        <v>52.688811188811194</v>
      </c>
      <c r="AF688" s="524">
        <f t="shared" si="521"/>
        <v>237.5</v>
      </c>
      <c r="AG688" s="524">
        <f>AB688/Q688*100</f>
        <v>44.736842105263158</v>
      </c>
      <c r="AH688" s="522"/>
      <c r="AI688" s="522">
        <v>300000</v>
      </c>
      <c r="AJ688" s="516">
        <f>W688/R688*100</f>
        <v>76.941908858811587</v>
      </c>
      <c r="AK688" s="516">
        <f>AT688/W688*100</f>
        <v>151.5151515151515</v>
      </c>
      <c r="AL688" s="516">
        <f>X688/AT688*100</f>
        <v>150</v>
      </c>
      <c r="AM688" s="292"/>
      <c r="AN688" s="413"/>
      <c r="AO688" t="b">
        <f t="shared" si="506"/>
        <v>1</v>
      </c>
      <c r="AP688" s="440">
        <f t="shared" si="522"/>
        <v>95000</v>
      </c>
      <c r="AQ688" s="441">
        <v>95000</v>
      </c>
      <c r="AR688" s="440">
        <f>AR689</f>
        <v>95000</v>
      </c>
      <c r="AS688" s="441">
        <f t="shared" si="522"/>
        <v>15000</v>
      </c>
      <c r="AT688" s="612">
        <f>AT689</f>
        <v>200000</v>
      </c>
      <c r="AU688" s="469">
        <f t="shared" si="522"/>
        <v>60000</v>
      </c>
      <c r="AV688" s="636">
        <v>300000</v>
      </c>
      <c r="AW688" s="636">
        <v>300000</v>
      </c>
      <c r="AX688" s="655">
        <f t="shared" si="488"/>
        <v>116.57864978607817</v>
      </c>
      <c r="AY688" s="655">
        <f t="shared" si="489"/>
        <v>210.52631578947367</v>
      </c>
      <c r="AZ688" s="655">
        <f t="shared" si="490"/>
        <v>30</v>
      </c>
      <c r="BA688" s="655">
        <f t="shared" si="491"/>
        <v>63.157894736842103</v>
      </c>
      <c r="BB688" s="655">
        <f t="shared" si="492"/>
        <v>500</v>
      </c>
      <c r="BC688" s="655">
        <f t="shared" si="492"/>
        <v>100</v>
      </c>
    </row>
    <row r="689" spans="1:55" ht="12" customHeight="1">
      <c r="A689" s="56"/>
      <c r="B689" s="56"/>
      <c r="C689" s="56"/>
      <c r="D689" s="56"/>
      <c r="E689" s="56"/>
      <c r="F689" s="56"/>
      <c r="G689" s="56"/>
      <c r="H689" s="377"/>
      <c r="I689" s="157"/>
      <c r="J689" s="116">
        <v>386</v>
      </c>
      <c r="K689" s="246" t="s">
        <v>275</v>
      </c>
      <c r="L689" s="315">
        <f t="shared" si="518"/>
        <v>670000</v>
      </c>
      <c r="M689" s="315">
        <f t="shared" si="518"/>
        <v>88924.281637799446</v>
      </c>
      <c r="N689" s="337">
        <f t="shared" si="518"/>
        <v>1144000</v>
      </c>
      <c r="O689" s="337">
        <f t="shared" si="518"/>
        <v>151834.89282633219</v>
      </c>
      <c r="P689" s="292">
        <f t="shared" si="518"/>
        <v>80000</v>
      </c>
      <c r="Q689" s="292">
        <f t="shared" si="518"/>
        <v>190000</v>
      </c>
      <c r="R689" s="441">
        <f t="shared" si="518"/>
        <v>171558</v>
      </c>
      <c r="S689" s="292">
        <f t="shared" si="518"/>
        <v>0</v>
      </c>
      <c r="T689" s="292"/>
      <c r="U689" s="292"/>
      <c r="V689" s="469">
        <f t="shared" si="519"/>
        <v>100000</v>
      </c>
      <c r="W689" s="469">
        <f t="shared" si="519"/>
        <v>132000</v>
      </c>
      <c r="X689" s="522">
        <f t="shared" si="519"/>
        <v>300000</v>
      </c>
      <c r="Y689" s="522">
        <f t="shared" si="519"/>
        <v>0</v>
      </c>
      <c r="Z689" s="541" t="b">
        <f t="shared" si="505"/>
        <v>1</v>
      </c>
      <c r="AA689" s="522"/>
      <c r="AB689" s="523">
        <f t="shared" si="520"/>
        <v>85000</v>
      </c>
      <c r="AC689" s="523">
        <f t="shared" si="520"/>
        <v>85000</v>
      </c>
      <c r="AD689" s="524">
        <f>O689/M689*100</f>
        <v>170.74626865671644</v>
      </c>
      <c r="AE689" s="524">
        <f t="shared" si="521"/>
        <v>52.688811188811194</v>
      </c>
      <c r="AF689" s="524">
        <f t="shared" si="521"/>
        <v>237.5</v>
      </c>
      <c r="AG689" s="524">
        <f>AB689/Q689*100</f>
        <v>44.736842105263158</v>
      </c>
      <c r="AH689" s="522"/>
      <c r="AI689" s="522">
        <v>300000</v>
      </c>
      <c r="AJ689" s="516">
        <f>W689/R689*100</f>
        <v>76.941908858811587</v>
      </c>
      <c r="AK689" s="516">
        <f>AT689/W689*100</f>
        <v>151.5151515151515</v>
      </c>
      <c r="AL689" s="516">
        <f>X689/AT689*100</f>
        <v>150</v>
      </c>
      <c r="AM689" s="292"/>
      <c r="AN689" s="413"/>
      <c r="AO689" t="b">
        <f t="shared" si="506"/>
        <v>1</v>
      </c>
      <c r="AP689" s="440">
        <f t="shared" si="522"/>
        <v>95000</v>
      </c>
      <c r="AQ689" s="441">
        <v>95000</v>
      </c>
      <c r="AR689" s="440">
        <f>AR690</f>
        <v>95000</v>
      </c>
      <c r="AS689" s="441">
        <f t="shared" si="522"/>
        <v>15000</v>
      </c>
      <c r="AT689" s="612">
        <f>AT690</f>
        <v>200000</v>
      </c>
      <c r="AU689" s="469">
        <f t="shared" si="522"/>
        <v>60000</v>
      </c>
      <c r="AV689" s="636">
        <v>300000</v>
      </c>
      <c r="AW689" s="636">
        <v>300000</v>
      </c>
      <c r="AX689" s="655">
        <f t="shared" si="488"/>
        <v>116.57864978607817</v>
      </c>
      <c r="AY689" s="655">
        <f t="shared" si="489"/>
        <v>210.52631578947367</v>
      </c>
      <c r="AZ689" s="655">
        <f t="shared" si="490"/>
        <v>30</v>
      </c>
      <c r="BA689" s="655">
        <f t="shared" si="491"/>
        <v>63.157894736842103</v>
      </c>
      <c r="BB689" s="655">
        <f t="shared" si="492"/>
        <v>500</v>
      </c>
      <c r="BC689" s="655">
        <f t="shared" si="492"/>
        <v>100</v>
      </c>
    </row>
    <row r="690" spans="1:55" ht="12" customHeight="1">
      <c r="A690" s="36"/>
      <c r="B690" s="36"/>
      <c r="C690" s="36"/>
      <c r="D690" s="36"/>
      <c r="E690" s="36"/>
      <c r="F690" s="36"/>
      <c r="G690" s="36"/>
      <c r="H690" s="204">
        <v>172</v>
      </c>
      <c r="I690" s="132">
        <v>640</v>
      </c>
      <c r="J690" s="71">
        <v>3861</v>
      </c>
      <c r="K690" s="247" t="s">
        <v>825</v>
      </c>
      <c r="L690" s="309">
        <v>670000</v>
      </c>
      <c r="M690" s="309">
        <f>670000/7.5345</f>
        <v>88924.281637799446</v>
      </c>
      <c r="N690" s="339">
        <v>1144000</v>
      </c>
      <c r="O690" s="339">
        <f>N690/7.5345</f>
        <v>151834.89282633219</v>
      </c>
      <c r="P690" s="294">
        <v>80000</v>
      </c>
      <c r="Q690" s="269">
        <v>190000</v>
      </c>
      <c r="R690" s="443">
        <v>171558</v>
      </c>
      <c r="S690" s="294">
        <f>__xlfn.XLOOKUP(H690,[2]Izvršenje_proračuna_po_pozicija!$B$2:$B$153,[2]Izvršenje_proračuna_po_pozicija!$E$2:$E$153,0)</f>
        <v>0</v>
      </c>
      <c r="T690" s="294"/>
      <c r="U690" s="294"/>
      <c r="V690" s="478">
        <v>100000</v>
      </c>
      <c r="W690" s="478">
        <v>132000</v>
      </c>
      <c r="X690" s="544">
        <v>300000</v>
      </c>
      <c r="Y690" s="544"/>
      <c r="Z690" s="541" t="b">
        <f t="shared" si="505"/>
        <v>0</v>
      </c>
      <c r="AA690" s="527"/>
      <c r="AB690" s="528">
        <v>85000</v>
      </c>
      <c r="AC690" s="528">
        <v>85000</v>
      </c>
      <c r="AD690" s="524">
        <f>O690/M690*100</f>
        <v>170.74626865671644</v>
      </c>
      <c r="AE690" s="524">
        <f t="shared" si="521"/>
        <v>52.688811188811194</v>
      </c>
      <c r="AF690" s="524">
        <f t="shared" si="521"/>
        <v>237.5</v>
      </c>
      <c r="AG690" s="524">
        <f>AB690/Q690*100</f>
        <v>44.736842105263158</v>
      </c>
      <c r="AH690" s="527"/>
      <c r="AI690" s="544">
        <v>300000</v>
      </c>
      <c r="AJ690" s="516">
        <f>W690/R690*100</f>
        <v>76.941908858811587</v>
      </c>
      <c r="AK690" s="516">
        <f>AT690/W690*100</f>
        <v>151.5151515151515</v>
      </c>
      <c r="AL690" s="516">
        <f>X690/AT690*100</f>
        <v>150</v>
      </c>
      <c r="AM690" s="294"/>
      <c r="AO690" t="b">
        <f t="shared" si="506"/>
        <v>0</v>
      </c>
      <c r="AP690" s="493">
        <v>95000</v>
      </c>
      <c r="AQ690" s="443">
        <v>95000</v>
      </c>
      <c r="AR690" s="493">
        <v>95000</v>
      </c>
      <c r="AS690" s="443">
        <v>15000</v>
      </c>
      <c r="AT690" s="617">
        <v>200000</v>
      </c>
      <c r="AU690" s="478">
        <v>60000</v>
      </c>
      <c r="AV690" s="638">
        <v>300000</v>
      </c>
      <c r="AW690" s="638">
        <v>300000</v>
      </c>
      <c r="AX690" s="655">
        <f t="shared" si="488"/>
        <v>116.57864978607817</v>
      </c>
      <c r="AY690" s="655">
        <f t="shared" si="489"/>
        <v>210.52631578947367</v>
      </c>
      <c r="AZ690" s="655">
        <f t="shared" si="490"/>
        <v>30</v>
      </c>
      <c r="BA690" s="655">
        <f t="shared" si="491"/>
        <v>63.157894736842103</v>
      </c>
      <c r="BB690" s="655">
        <f t="shared" si="492"/>
        <v>500</v>
      </c>
      <c r="BC690" s="655">
        <f t="shared" si="492"/>
        <v>100</v>
      </c>
    </row>
    <row r="691" spans="1:55" ht="12" customHeight="1">
      <c r="A691" s="20"/>
      <c r="B691" s="20"/>
      <c r="C691" s="20"/>
      <c r="D691" s="20"/>
      <c r="E691" s="20"/>
      <c r="F691" s="20"/>
      <c r="G691" s="20"/>
      <c r="H691" s="375"/>
      <c r="I691" s="22"/>
      <c r="J691" s="21"/>
      <c r="K691" s="19"/>
      <c r="L691" s="313"/>
      <c r="M691" s="313"/>
      <c r="N691" s="335"/>
      <c r="O691" s="335"/>
      <c r="P691" s="290"/>
      <c r="Q691" s="290"/>
      <c r="R691" s="439"/>
      <c r="S691" s="294">
        <f>__xlfn.XLOOKUP(H691,[2]Izvršenje_proračuna_po_pozicija!$B$2:$B$153,[2]Izvršenje_proračuna_po_pozicija!$E$2:$E$153,0)</f>
        <v>0</v>
      </c>
      <c r="T691" s="294"/>
      <c r="U691" s="294"/>
      <c r="V691" s="474"/>
      <c r="W691" s="474"/>
      <c r="X691" s="539"/>
      <c r="Y691" s="539"/>
      <c r="Z691" s="541" t="b">
        <f t="shared" si="505"/>
        <v>0</v>
      </c>
      <c r="AA691" s="514"/>
      <c r="AB691" s="515"/>
      <c r="AC691" s="515"/>
      <c r="AD691" s="524"/>
      <c r="AE691" s="524"/>
      <c r="AF691" s="524"/>
      <c r="AG691" s="524"/>
      <c r="AH691" s="514"/>
      <c r="AI691" s="539"/>
      <c r="AJ691" s="516"/>
      <c r="AK691" s="516"/>
      <c r="AL691" s="516"/>
      <c r="AM691" s="290"/>
      <c r="AO691" t="b">
        <f t="shared" si="506"/>
        <v>0</v>
      </c>
      <c r="AQ691" s="439"/>
      <c r="AS691" s="439">
        <f>__xlfn.XLOOKUP(K691,[1]Izvršenje_proračuna_po_pozicija!$C$25:$C$149,[1]Izvršenje_proračuna_po_pozicija!$E$25:$E$149,0)</f>
        <v>0</v>
      </c>
      <c r="AT691" s="616"/>
      <c r="AU691" s="474"/>
      <c r="AV691" s="632"/>
      <c r="AW691" s="632"/>
      <c r="AX691" s="655" t="str">
        <f t="shared" si="488"/>
        <v/>
      </c>
      <c r="AY691" s="655" t="str">
        <f t="shared" si="489"/>
        <v/>
      </c>
      <c r="AZ691" s="655" t="str">
        <f t="shared" si="490"/>
        <v/>
      </c>
      <c r="BA691" s="655" t="str">
        <f t="shared" si="491"/>
        <v/>
      </c>
      <c r="BB691" s="655" t="str">
        <f t="shared" si="492"/>
        <v/>
      </c>
      <c r="BC691" s="655" t="str">
        <f t="shared" si="492"/>
        <v/>
      </c>
    </row>
    <row r="692" spans="1:55" ht="12" customHeight="1">
      <c r="A692" s="212" t="s">
        <v>487</v>
      </c>
      <c r="B692" s="130"/>
      <c r="C692" s="130"/>
      <c r="D692" s="130"/>
      <c r="E692" s="130"/>
      <c r="F692" s="130"/>
      <c r="G692" s="130"/>
      <c r="H692" s="383"/>
      <c r="I692" s="170" t="s">
        <v>438</v>
      </c>
      <c r="J692" s="171"/>
      <c r="K692" s="248"/>
      <c r="L692" s="315">
        <f t="shared" ref="L692:S692" si="523">L694</f>
        <v>0</v>
      </c>
      <c r="M692" s="315">
        <f t="shared" si="523"/>
        <v>0</v>
      </c>
      <c r="N692" s="337">
        <f t="shared" si="523"/>
        <v>0</v>
      </c>
      <c r="O692" s="337">
        <f t="shared" si="523"/>
        <v>0</v>
      </c>
      <c r="P692" s="292">
        <f t="shared" si="523"/>
        <v>0</v>
      </c>
      <c r="Q692" s="292">
        <f t="shared" si="523"/>
        <v>0</v>
      </c>
      <c r="R692" s="441">
        <f t="shared" si="523"/>
        <v>0</v>
      </c>
      <c r="S692" s="292">
        <f t="shared" si="523"/>
        <v>0</v>
      </c>
      <c r="T692" s="292"/>
      <c r="U692" s="292"/>
      <c r="V692" s="469">
        <f>V694</f>
        <v>0</v>
      </c>
      <c r="W692" s="469">
        <f>W694</f>
        <v>0</v>
      </c>
      <c r="X692" s="522">
        <f>X694</f>
        <v>0</v>
      </c>
      <c r="Y692" s="522">
        <f>Y694</f>
        <v>0</v>
      </c>
      <c r="Z692" s="541" t="b">
        <f t="shared" si="505"/>
        <v>1</v>
      </c>
      <c r="AA692" s="522"/>
      <c r="AB692" s="523">
        <f>AB694</f>
        <v>0</v>
      </c>
      <c r="AC692" s="523">
        <f>AC694</f>
        <v>0</v>
      </c>
      <c r="AD692" s="524"/>
      <c r="AE692" s="524"/>
      <c r="AF692" s="524"/>
      <c r="AG692" s="524"/>
      <c r="AH692" s="522"/>
      <c r="AI692" s="522">
        <v>0</v>
      </c>
      <c r="AJ692" s="516"/>
      <c r="AK692" s="516"/>
      <c r="AL692" s="516"/>
      <c r="AM692" s="292"/>
      <c r="AO692" t="b">
        <f t="shared" si="506"/>
        <v>1</v>
      </c>
      <c r="AP692" s="440">
        <f>AP694</f>
        <v>0</v>
      </c>
      <c r="AQ692" s="441">
        <v>0</v>
      </c>
      <c r="AR692" s="440">
        <f>AR694</f>
        <v>0</v>
      </c>
      <c r="AS692" s="441">
        <f>__xlfn.XLOOKUP(K692,[1]Izvršenje_proračuna_po_pozicija!$C$25:$C$149,[1]Izvršenje_proračuna_po_pozicija!$E$25:$E$149,0)</f>
        <v>0</v>
      </c>
      <c r="AT692" s="612">
        <f>AT694</f>
        <v>0</v>
      </c>
      <c r="AU692" s="469"/>
      <c r="AV692" s="636">
        <v>0</v>
      </c>
      <c r="AW692" s="636">
        <v>0</v>
      </c>
      <c r="AX692" s="655" t="str">
        <f t="shared" si="488"/>
        <v/>
      </c>
      <c r="AY692" s="655" t="str">
        <f t="shared" si="489"/>
        <v/>
      </c>
      <c r="AZ692" s="655" t="str">
        <f t="shared" si="490"/>
        <v/>
      </c>
      <c r="BA692" s="655" t="str">
        <f t="shared" si="491"/>
        <v/>
      </c>
      <c r="BB692" s="655" t="str">
        <f t="shared" si="492"/>
        <v/>
      </c>
      <c r="BC692" s="655" t="str">
        <f t="shared" si="492"/>
        <v/>
      </c>
    </row>
    <row r="693" spans="1:55" ht="12" customHeight="1">
      <c r="A693" s="20"/>
      <c r="B693" s="20"/>
      <c r="C693" s="20"/>
      <c r="D693" s="20"/>
      <c r="E693" s="20"/>
      <c r="F693" s="20"/>
      <c r="G693" s="20"/>
      <c r="H693" s="375"/>
      <c r="I693" s="22"/>
      <c r="J693" s="21"/>
      <c r="K693" s="19"/>
      <c r="L693" s="313"/>
      <c r="M693" s="313"/>
      <c r="N693" s="335"/>
      <c r="O693" s="335"/>
      <c r="P693" s="290"/>
      <c r="Q693" s="290"/>
      <c r="R693" s="439"/>
      <c r="S693" s="294">
        <f>__xlfn.XLOOKUP(H693,[2]Izvršenje_proračuna_po_pozicija!$B$2:$B$153,[2]Izvršenje_proračuna_po_pozicija!$E$2:$E$153,0)</f>
        <v>0</v>
      </c>
      <c r="T693" s="294"/>
      <c r="U693" s="294"/>
      <c r="V693" s="474"/>
      <c r="W693" s="474"/>
      <c r="X693" s="539"/>
      <c r="Y693" s="539"/>
      <c r="Z693" s="541" t="b">
        <f t="shared" si="505"/>
        <v>0</v>
      </c>
      <c r="AA693" s="514"/>
      <c r="AB693" s="515"/>
      <c r="AC693" s="515"/>
      <c r="AD693" s="524"/>
      <c r="AE693" s="524"/>
      <c r="AF693" s="524"/>
      <c r="AG693" s="524"/>
      <c r="AH693" s="514"/>
      <c r="AI693" s="539"/>
      <c r="AJ693" s="516"/>
      <c r="AK693" s="516"/>
      <c r="AL693" s="516"/>
      <c r="AM693" s="290"/>
      <c r="AO693" t="b">
        <f t="shared" si="506"/>
        <v>0</v>
      </c>
      <c r="AQ693" s="439"/>
      <c r="AS693" s="439">
        <f>__xlfn.XLOOKUP(K693,[1]Izvršenje_proračuna_po_pozicija!$C$25:$C$149,[1]Izvršenje_proračuna_po_pozicija!$E$25:$E$149,0)</f>
        <v>0</v>
      </c>
      <c r="AT693" s="616"/>
      <c r="AU693" s="474"/>
      <c r="AV693" s="632"/>
      <c r="AW693" s="632"/>
      <c r="AX693" s="655" t="str">
        <f t="shared" si="488"/>
        <v/>
      </c>
      <c r="AY693" s="655" t="str">
        <f t="shared" si="489"/>
        <v/>
      </c>
      <c r="AZ693" s="655" t="str">
        <f t="shared" si="490"/>
        <v/>
      </c>
      <c r="BA693" s="655" t="str">
        <f t="shared" si="491"/>
        <v/>
      </c>
      <c r="BB693" s="655" t="str">
        <f t="shared" si="492"/>
        <v/>
      </c>
      <c r="BC693" s="655" t="str">
        <f t="shared" si="492"/>
        <v/>
      </c>
    </row>
    <row r="694" spans="1:55" ht="12" customHeight="1">
      <c r="A694" s="52"/>
      <c r="B694" s="52"/>
      <c r="C694" s="52"/>
      <c r="D694" s="52"/>
      <c r="E694" s="52"/>
      <c r="F694" s="52"/>
      <c r="G694" s="52"/>
      <c r="H694" s="384"/>
      <c r="I694" s="156"/>
      <c r="J694" s="94">
        <v>3</v>
      </c>
      <c r="K694" s="21" t="s">
        <v>94</v>
      </c>
      <c r="L694" s="315">
        <f t="shared" ref="L694:AC696" si="524">L695</f>
        <v>0</v>
      </c>
      <c r="M694" s="315">
        <f t="shared" si="524"/>
        <v>0</v>
      </c>
      <c r="N694" s="337">
        <f t="shared" si="524"/>
        <v>0</v>
      </c>
      <c r="O694" s="337">
        <f t="shared" si="524"/>
        <v>0</v>
      </c>
      <c r="P694" s="292">
        <f t="shared" si="524"/>
        <v>0</v>
      </c>
      <c r="Q694" s="292">
        <f t="shared" si="524"/>
        <v>0</v>
      </c>
      <c r="R694" s="441">
        <f t="shared" si="524"/>
        <v>0</v>
      </c>
      <c r="S694" s="292">
        <f t="shared" si="524"/>
        <v>0</v>
      </c>
      <c r="T694" s="292"/>
      <c r="U694" s="292"/>
      <c r="V694" s="469">
        <f t="shared" si="524"/>
        <v>0</v>
      </c>
      <c r="W694" s="469">
        <f t="shared" si="524"/>
        <v>0</v>
      </c>
      <c r="X694" s="522">
        <f t="shared" si="524"/>
        <v>0</v>
      </c>
      <c r="Y694" s="522">
        <f t="shared" si="524"/>
        <v>0</v>
      </c>
      <c r="Z694" s="541" t="b">
        <f t="shared" si="505"/>
        <v>1</v>
      </c>
      <c r="AA694" s="522"/>
      <c r="AB694" s="523">
        <f t="shared" si="524"/>
        <v>0</v>
      </c>
      <c r="AC694" s="523">
        <f t="shared" si="524"/>
        <v>0</v>
      </c>
      <c r="AD694" s="524"/>
      <c r="AE694" s="524"/>
      <c r="AF694" s="524"/>
      <c r="AG694" s="524"/>
      <c r="AH694" s="522"/>
      <c r="AI694" s="522">
        <v>0</v>
      </c>
      <c r="AJ694" s="516"/>
      <c r="AK694" s="516"/>
      <c r="AL694" s="516"/>
      <c r="AM694" s="292"/>
      <c r="AO694" t="b">
        <f t="shared" si="506"/>
        <v>1</v>
      </c>
      <c r="AP694" s="440">
        <f>AP695</f>
        <v>0</v>
      </c>
      <c r="AQ694" s="441">
        <v>0</v>
      </c>
      <c r="AR694" s="440">
        <f>AR695</f>
        <v>0</v>
      </c>
      <c r="AS694" s="441">
        <f>__xlfn.XLOOKUP(K694,[1]Izvršenje_proračuna_po_pozicija!$C$25:$C$149,[1]Izvršenje_proračuna_po_pozicija!$E$25:$E$149,0)</f>
        <v>0</v>
      </c>
      <c r="AT694" s="612">
        <f>AT695</f>
        <v>0</v>
      </c>
      <c r="AU694" s="469"/>
      <c r="AV694" s="636">
        <v>0</v>
      </c>
      <c r="AW694" s="636">
        <v>0</v>
      </c>
      <c r="AX694" s="655" t="str">
        <f t="shared" si="488"/>
        <v/>
      </c>
      <c r="AY694" s="655" t="str">
        <f t="shared" si="489"/>
        <v/>
      </c>
      <c r="AZ694" s="655" t="str">
        <f t="shared" si="490"/>
        <v/>
      </c>
      <c r="BA694" s="655" t="str">
        <f t="shared" si="491"/>
        <v/>
      </c>
      <c r="BB694" s="655" t="str">
        <f t="shared" si="492"/>
        <v/>
      </c>
      <c r="BC694" s="655" t="str">
        <f t="shared" si="492"/>
        <v/>
      </c>
    </row>
    <row r="695" spans="1:55" ht="12" customHeight="1">
      <c r="A695" s="355"/>
      <c r="B695" s="355"/>
      <c r="C695" s="355"/>
      <c r="D695" s="355"/>
      <c r="E695" s="355"/>
      <c r="F695" s="355"/>
      <c r="G695" s="355"/>
      <c r="H695" s="379"/>
      <c r="I695" s="359"/>
      <c r="J695" s="356">
        <v>38</v>
      </c>
      <c r="K695" s="358" t="s">
        <v>144</v>
      </c>
      <c r="L695" s="315">
        <f t="shared" si="524"/>
        <v>0</v>
      </c>
      <c r="M695" s="315">
        <f t="shared" si="524"/>
        <v>0</v>
      </c>
      <c r="N695" s="337">
        <f t="shared" si="524"/>
        <v>0</v>
      </c>
      <c r="O695" s="337">
        <f t="shared" si="524"/>
        <v>0</v>
      </c>
      <c r="P695" s="292">
        <f t="shared" si="524"/>
        <v>0</v>
      </c>
      <c r="Q695" s="292">
        <f t="shared" si="524"/>
        <v>0</v>
      </c>
      <c r="R695" s="441">
        <f t="shared" si="524"/>
        <v>0</v>
      </c>
      <c r="S695" s="292">
        <f t="shared" si="524"/>
        <v>0</v>
      </c>
      <c r="T695" s="292"/>
      <c r="U695" s="292"/>
      <c r="V695" s="469">
        <f t="shared" si="524"/>
        <v>0</v>
      </c>
      <c r="W695" s="469">
        <f t="shared" si="524"/>
        <v>0</v>
      </c>
      <c r="X695" s="522">
        <f t="shared" si="524"/>
        <v>0</v>
      </c>
      <c r="Y695" s="522">
        <f t="shared" si="524"/>
        <v>0</v>
      </c>
      <c r="Z695" s="541" t="b">
        <f t="shared" si="505"/>
        <v>1</v>
      </c>
      <c r="AA695" s="522"/>
      <c r="AB695" s="523">
        <f t="shared" si="524"/>
        <v>0</v>
      </c>
      <c r="AC695" s="523">
        <f t="shared" si="524"/>
        <v>0</v>
      </c>
      <c r="AD695" s="524"/>
      <c r="AE695" s="524"/>
      <c r="AF695" s="524"/>
      <c r="AG695" s="524"/>
      <c r="AH695" s="522"/>
      <c r="AI695" s="522">
        <v>0</v>
      </c>
      <c r="AJ695" s="516"/>
      <c r="AK695" s="516"/>
      <c r="AL695" s="516"/>
      <c r="AM695" s="292"/>
      <c r="AO695" t="b">
        <f t="shared" si="506"/>
        <v>1</v>
      </c>
      <c r="AP695" s="440">
        <f>AP696</f>
        <v>0</v>
      </c>
      <c r="AQ695" s="441">
        <v>0</v>
      </c>
      <c r="AR695" s="440">
        <f>AR696</f>
        <v>0</v>
      </c>
      <c r="AS695" s="441">
        <f>__xlfn.XLOOKUP(K695,[1]Izvršenje_proračuna_po_pozicija!$C$25:$C$149,[1]Izvršenje_proračuna_po_pozicija!$E$25:$E$149,0)</f>
        <v>0</v>
      </c>
      <c r="AT695" s="612">
        <f>AT696</f>
        <v>0</v>
      </c>
      <c r="AU695" s="469"/>
      <c r="AV695" s="636">
        <v>0</v>
      </c>
      <c r="AW695" s="636">
        <v>0</v>
      </c>
      <c r="AX695" s="655" t="str">
        <f t="shared" si="488"/>
        <v/>
      </c>
      <c r="AY695" s="655" t="str">
        <f t="shared" si="489"/>
        <v/>
      </c>
      <c r="AZ695" s="655" t="str">
        <f t="shared" si="490"/>
        <v/>
      </c>
      <c r="BA695" s="655" t="str">
        <f t="shared" si="491"/>
        <v/>
      </c>
      <c r="BB695" s="655" t="str">
        <f t="shared" si="492"/>
        <v/>
      </c>
      <c r="BC695" s="655" t="str">
        <f t="shared" si="492"/>
        <v/>
      </c>
    </row>
    <row r="696" spans="1:55" ht="12" customHeight="1">
      <c r="A696" s="56"/>
      <c r="B696" s="56"/>
      <c r="C696" s="56"/>
      <c r="D696" s="56"/>
      <c r="E696" s="56"/>
      <c r="F696" s="56"/>
      <c r="G696" s="56"/>
      <c r="H696" s="377"/>
      <c r="I696" s="157"/>
      <c r="J696" s="116">
        <v>382</v>
      </c>
      <c r="K696" s="60" t="s">
        <v>289</v>
      </c>
      <c r="L696" s="315">
        <f t="shared" si="524"/>
        <v>0</v>
      </c>
      <c r="M696" s="315">
        <f t="shared" si="524"/>
        <v>0</v>
      </c>
      <c r="N696" s="337">
        <f t="shared" si="524"/>
        <v>0</v>
      </c>
      <c r="O696" s="337">
        <f t="shared" si="524"/>
        <v>0</v>
      </c>
      <c r="P696" s="292">
        <f t="shared" si="524"/>
        <v>0</v>
      </c>
      <c r="Q696" s="292">
        <f t="shared" si="524"/>
        <v>0</v>
      </c>
      <c r="R696" s="441">
        <f t="shared" si="524"/>
        <v>0</v>
      </c>
      <c r="S696" s="292">
        <f t="shared" si="524"/>
        <v>0</v>
      </c>
      <c r="T696" s="292"/>
      <c r="U696" s="292"/>
      <c r="V696" s="469">
        <f t="shared" si="524"/>
        <v>0</v>
      </c>
      <c r="W696" s="469">
        <f t="shared" si="524"/>
        <v>0</v>
      </c>
      <c r="X696" s="522">
        <f t="shared" si="524"/>
        <v>0</v>
      </c>
      <c r="Y696" s="522">
        <f t="shared" si="524"/>
        <v>0</v>
      </c>
      <c r="Z696" s="541" t="b">
        <f t="shared" si="505"/>
        <v>1</v>
      </c>
      <c r="AA696" s="522"/>
      <c r="AB696" s="523">
        <f t="shared" si="524"/>
        <v>0</v>
      </c>
      <c r="AC696" s="523">
        <f t="shared" si="524"/>
        <v>0</v>
      </c>
      <c r="AD696" s="524"/>
      <c r="AE696" s="524"/>
      <c r="AF696" s="524"/>
      <c r="AG696" s="524"/>
      <c r="AH696" s="522"/>
      <c r="AI696" s="522">
        <v>0</v>
      </c>
      <c r="AJ696" s="516"/>
      <c r="AK696" s="516"/>
      <c r="AL696" s="516"/>
      <c r="AM696" s="292"/>
      <c r="AO696" t="b">
        <f t="shared" si="506"/>
        <v>1</v>
      </c>
      <c r="AP696" s="440">
        <f>AP697</f>
        <v>0</v>
      </c>
      <c r="AQ696" s="441">
        <v>0</v>
      </c>
      <c r="AR696" s="440">
        <f>AR697</f>
        <v>0</v>
      </c>
      <c r="AS696" s="441">
        <f>__xlfn.XLOOKUP(K696,[1]Izvršenje_proračuna_po_pozicija!$C$25:$C$149,[1]Izvršenje_proračuna_po_pozicija!$E$25:$E$149,0)</f>
        <v>0</v>
      </c>
      <c r="AT696" s="612">
        <f>AT697</f>
        <v>0</v>
      </c>
      <c r="AU696" s="469"/>
      <c r="AV696" s="636">
        <v>0</v>
      </c>
      <c r="AW696" s="636">
        <v>0</v>
      </c>
      <c r="AX696" s="655" t="str">
        <f t="shared" si="488"/>
        <v/>
      </c>
      <c r="AY696" s="655" t="str">
        <f t="shared" si="489"/>
        <v/>
      </c>
      <c r="AZ696" s="655" t="str">
        <f t="shared" si="490"/>
        <v/>
      </c>
      <c r="BA696" s="655" t="str">
        <f t="shared" si="491"/>
        <v/>
      </c>
      <c r="BB696" s="655" t="str">
        <f t="shared" si="492"/>
        <v/>
      </c>
      <c r="BC696" s="655" t="str">
        <f t="shared" si="492"/>
        <v/>
      </c>
    </row>
    <row r="697" spans="1:55" ht="12" customHeight="1">
      <c r="A697" s="36"/>
      <c r="B697" s="36"/>
      <c r="C697" s="36"/>
      <c r="D697" s="36"/>
      <c r="E697" s="36"/>
      <c r="F697" s="36"/>
      <c r="G697" s="36"/>
      <c r="H697" s="204" t="s">
        <v>512</v>
      </c>
      <c r="I697" s="132">
        <v>640</v>
      </c>
      <c r="J697" s="71">
        <v>3822</v>
      </c>
      <c r="K697" s="40" t="s">
        <v>557</v>
      </c>
      <c r="L697" s="309">
        <v>0</v>
      </c>
      <c r="M697" s="309">
        <v>0</v>
      </c>
      <c r="N697" s="339">
        <v>0</v>
      </c>
      <c r="O697" s="339">
        <v>0</v>
      </c>
      <c r="P697" s="294">
        <v>0</v>
      </c>
      <c r="Q697" s="294">
        <v>0</v>
      </c>
      <c r="R697" s="443">
        <v>0</v>
      </c>
      <c r="S697" s="294">
        <f>__xlfn.XLOOKUP(H697,[2]Izvršenje_proračuna_po_pozicija!$B$2:$B$153,[2]Izvršenje_proračuna_po_pozicija!$E$2:$E$153,0)</f>
        <v>0</v>
      </c>
      <c r="T697" s="294"/>
      <c r="U697" s="294"/>
      <c r="V697" s="478">
        <v>0</v>
      </c>
      <c r="W697" s="478"/>
      <c r="X697" s="544"/>
      <c r="Y697" s="544"/>
      <c r="Z697" s="541" t="b">
        <f t="shared" si="505"/>
        <v>0</v>
      </c>
      <c r="AA697" s="527"/>
      <c r="AB697" s="528">
        <v>0</v>
      </c>
      <c r="AC697" s="528">
        <v>0</v>
      </c>
      <c r="AD697" s="524"/>
      <c r="AE697" s="524"/>
      <c r="AF697" s="524"/>
      <c r="AG697" s="524"/>
      <c r="AH697" s="527"/>
      <c r="AI697" s="544"/>
      <c r="AJ697" s="516"/>
      <c r="AK697" s="516"/>
      <c r="AL697" s="516"/>
      <c r="AM697" s="294"/>
      <c r="AO697" t="b">
        <f t="shared" si="506"/>
        <v>0</v>
      </c>
      <c r="AQ697" s="443"/>
      <c r="AS697" s="443">
        <f>__xlfn.XLOOKUP(K697,[1]Izvršenje_proračuna_po_pozicija!$C$25:$C$149,[1]Izvršenje_proračuna_po_pozicija!$E$25:$E$149,0)</f>
        <v>0</v>
      </c>
      <c r="AT697" s="617"/>
      <c r="AU697" s="478"/>
      <c r="AV697" s="638"/>
      <c r="AW697" s="638"/>
      <c r="AX697" s="655" t="str">
        <f t="shared" si="488"/>
        <v/>
      </c>
      <c r="AY697" s="655" t="str">
        <f t="shared" si="489"/>
        <v/>
      </c>
      <c r="AZ697" s="655" t="str">
        <f t="shared" si="490"/>
        <v/>
      </c>
      <c r="BA697" s="655" t="str">
        <f t="shared" si="491"/>
        <v/>
      </c>
      <c r="BB697" s="655" t="str">
        <f t="shared" si="492"/>
        <v/>
      </c>
      <c r="BC697" s="655" t="str">
        <f t="shared" si="492"/>
        <v/>
      </c>
    </row>
    <row r="698" spans="1:55" ht="12" customHeight="1">
      <c r="A698" s="36"/>
      <c r="B698" s="36"/>
      <c r="C698" s="36"/>
      <c r="D698" s="36"/>
      <c r="E698" s="36"/>
      <c r="F698" s="36"/>
      <c r="G698" s="36"/>
      <c r="H698" s="204"/>
      <c r="I698" s="132"/>
      <c r="J698" s="71"/>
      <c r="K698" s="255"/>
      <c r="L698" s="309"/>
      <c r="M698" s="309"/>
      <c r="N698" s="339"/>
      <c r="O698" s="339"/>
      <c r="P698" s="294"/>
      <c r="Q698" s="294"/>
      <c r="R698" s="443"/>
      <c r="S698" s="294">
        <f>__xlfn.XLOOKUP(H698,[2]Izvršenje_proračuna_po_pozicija!$B$2:$B$153,[2]Izvršenje_proračuna_po_pozicija!$E$2:$E$153,0)</f>
        <v>0</v>
      </c>
      <c r="T698" s="294"/>
      <c r="U698" s="294"/>
      <c r="V698" s="478"/>
      <c r="W698" s="478"/>
      <c r="X698" s="544"/>
      <c r="Y698" s="544"/>
      <c r="Z698" s="541" t="b">
        <f t="shared" si="505"/>
        <v>0</v>
      </c>
      <c r="AA698" s="527"/>
      <c r="AB698" s="528"/>
      <c r="AC698" s="528"/>
      <c r="AD698" s="524"/>
      <c r="AE698" s="524"/>
      <c r="AF698" s="524"/>
      <c r="AG698" s="524"/>
      <c r="AH698" s="527"/>
      <c r="AI698" s="544"/>
      <c r="AJ698" s="516"/>
      <c r="AK698" s="516"/>
      <c r="AL698" s="516"/>
      <c r="AM698" s="294"/>
      <c r="AO698" t="b">
        <f t="shared" si="506"/>
        <v>0</v>
      </c>
      <c r="AQ698" s="443"/>
      <c r="AS698" s="443">
        <f>__xlfn.XLOOKUP(K698,[1]Izvršenje_proračuna_po_pozicija!$C$25:$C$149,[1]Izvršenje_proračuna_po_pozicija!$E$25:$E$149,0)</f>
        <v>0</v>
      </c>
      <c r="AT698" s="617"/>
      <c r="AU698" s="478"/>
      <c r="AV698" s="638"/>
      <c r="AW698" s="638"/>
      <c r="AX698" s="655" t="str">
        <f t="shared" si="488"/>
        <v/>
      </c>
      <c r="AY698" s="655" t="str">
        <f t="shared" si="489"/>
        <v/>
      </c>
      <c r="AZ698" s="655" t="str">
        <f t="shared" si="490"/>
        <v/>
      </c>
      <c r="BA698" s="655" t="str">
        <f t="shared" si="491"/>
        <v/>
      </c>
      <c r="BB698" s="655" t="str">
        <f t="shared" si="492"/>
        <v/>
      </c>
      <c r="BC698" s="655" t="str">
        <f t="shared" si="492"/>
        <v/>
      </c>
    </row>
    <row r="699" spans="1:55" ht="12" customHeight="1">
      <c r="A699" s="212" t="s">
        <v>639</v>
      </c>
      <c r="B699" s="130"/>
      <c r="C699" s="130"/>
      <c r="D699" s="130"/>
      <c r="E699" s="130"/>
      <c r="F699" s="130"/>
      <c r="G699" s="130"/>
      <c r="H699" s="383"/>
      <c r="I699" s="170" t="s">
        <v>642</v>
      </c>
      <c r="J699" s="171"/>
      <c r="K699" s="248"/>
      <c r="L699" s="315">
        <f t="shared" ref="L699:S699" si="525">L701</f>
        <v>0</v>
      </c>
      <c r="M699" s="315">
        <f t="shared" si="525"/>
        <v>0</v>
      </c>
      <c r="N699" s="337">
        <f t="shared" si="525"/>
        <v>0</v>
      </c>
      <c r="O699" s="337">
        <f t="shared" si="525"/>
        <v>0</v>
      </c>
      <c r="P699" s="292">
        <f t="shared" si="525"/>
        <v>0</v>
      </c>
      <c r="Q699" s="292">
        <f t="shared" si="525"/>
        <v>0</v>
      </c>
      <c r="R699" s="441">
        <f t="shared" si="525"/>
        <v>0</v>
      </c>
      <c r="S699" s="292">
        <f t="shared" si="525"/>
        <v>0</v>
      </c>
      <c r="T699" s="292"/>
      <c r="U699" s="292"/>
      <c r="V699" s="469">
        <f>V701</f>
        <v>0</v>
      </c>
      <c r="W699" s="469">
        <f>W701</f>
        <v>0</v>
      </c>
      <c r="X699" s="522">
        <f>X701</f>
        <v>0</v>
      </c>
      <c r="Y699" s="522">
        <f>Y701</f>
        <v>0</v>
      </c>
      <c r="Z699" s="541" t="b">
        <f t="shared" si="505"/>
        <v>1</v>
      </c>
      <c r="AA699" s="522"/>
      <c r="AB699" s="523">
        <f>AB701</f>
        <v>0</v>
      </c>
      <c r="AC699" s="523">
        <f>AC701</f>
        <v>0</v>
      </c>
      <c r="AD699" s="524"/>
      <c r="AE699" s="524"/>
      <c r="AF699" s="524"/>
      <c r="AG699" s="524"/>
      <c r="AH699" s="522"/>
      <c r="AI699" s="522">
        <v>0</v>
      </c>
      <c r="AJ699" s="516"/>
      <c r="AK699" s="516"/>
      <c r="AL699" s="516"/>
      <c r="AM699" s="292"/>
      <c r="AO699" t="b">
        <f t="shared" si="506"/>
        <v>1</v>
      </c>
      <c r="AP699" s="440">
        <f>AP701</f>
        <v>0</v>
      </c>
      <c r="AQ699" s="441">
        <v>0</v>
      </c>
      <c r="AR699" s="440">
        <f>AR701</f>
        <v>0</v>
      </c>
      <c r="AS699" s="441">
        <f>__xlfn.XLOOKUP(K699,[1]Izvršenje_proračuna_po_pozicija!$C$25:$C$149,[1]Izvršenje_proračuna_po_pozicija!$E$25:$E$149,0)</f>
        <v>0</v>
      </c>
      <c r="AT699" s="612">
        <f>AT701</f>
        <v>0</v>
      </c>
      <c r="AU699" s="469"/>
      <c r="AV699" s="636">
        <v>0</v>
      </c>
      <c r="AW699" s="636">
        <v>0</v>
      </c>
      <c r="AX699" s="655" t="str">
        <f t="shared" si="488"/>
        <v/>
      </c>
      <c r="AY699" s="655" t="str">
        <f t="shared" si="489"/>
        <v/>
      </c>
      <c r="AZ699" s="655" t="str">
        <f t="shared" si="490"/>
        <v/>
      </c>
      <c r="BA699" s="655" t="str">
        <f t="shared" si="491"/>
        <v/>
      </c>
      <c r="BB699" s="655" t="str">
        <f t="shared" si="492"/>
        <v/>
      </c>
      <c r="BC699" s="655" t="str">
        <f t="shared" si="492"/>
        <v/>
      </c>
    </row>
    <row r="700" spans="1:55" ht="12" customHeight="1">
      <c r="A700" s="20"/>
      <c r="B700" s="20"/>
      <c r="C700" s="20"/>
      <c r="D700" s="20"/>
      <c r="E700" s="20"/>
      <c r="F700" s="20"/>
      <c r="G700" s="20"/>
      <c r="H700" s="375"/>
      <c r="I700" s="22"/>
      <c r="J700" s="21"/>
      <c r="K700" s="19"/>
      <c r="L700" s="313">
        <v>1</v>
      </c>
      <c r="M700" s="313">
        <v>2</v>
      </c>
      <c r="N700" s="335">
        <v>3</v>
      </c>
      <c r="O700" s="335">
        <v>4</v>
      </c>
      <c r="P700" s="290">
        <v>5</v>
      </c>
      <c r="Q700" s="290">
        <v>6</v>
      </c>
      <c r="R700" s="439"/>
      <c r="S700" s="294">
        <f>__xlfn.XLOOKUP(H700,[2]Izvršenje_proračuna_po_pozicija!$B$2:$B$153,[2]Izvršenje_proračuna_po_pozicija!$E$2:$E$153,0)</f>
        <v>0</v>
      </c>
      <c r="T700" s="294"/>
      <c r="U700" s="294"/>
      <c r="V700" s="474">
        <v>5</v>
      </c>
      <c r="W700" s="474"/>
      <c r="X700" s="539"/>
      <c r="Y700" s="539"/>
      <c r="Z700" s="541" t="b">
        <f t="shared" si="505"/>
        <v>0</v>
      </c>
      <c r="AA700" s="514"/>
      <c r="AB700" s="515">
        <v>7</v>
      </c>
      <c r="AC700" s="515">
        <v>8</v>
      </c>
      <c r="AD700" s="515">
        <v>9</v>
      </c>
      <c r="AE700" s="515">
        <v>10</v>
      </c>
      <c r="AF700" s="515">
        <v>11</v>
      </c>
      <c r="AG700" s="515">
        <v>12</v>
      </c>
      <c r="AH700" s="514"/>
      <c r="AI700" s="539"/>
      <c r="AJ700" s="516"/>
      <c r="AK700" s="516"/>
      <c r="AL700" s="516"/>
      <c r="AM700" s="290"/>
      <c r="AO700" t="b">
        <f t="shared" si="506"/>
        <v>0</v>
      </c>
      <c r="AQ700" s="439"/>
      <c r="AS700" s="439">
        <f>__xlfn.XLOOKUP(K700,[1]Izvršenje_proračuna_po_pozicija!$C$25:$C$149,[1]Izvršenje_proračuna_po_pozicija!$E$25:$E$149,0)</f>
        <v>0</v>
      </c>
      <c r="AT700" s="616"/>
      <c r="AU700" s="474"/>
      <c r="AV700" s="632"/>
      <c r="AW700" s="632"/>
      <c r="AX700" s="655" t="str">
        <f t="shared" si="488"/>
        <v/>
      </c>
      <c r="AY700" s="655" t="str">
        <f t="shared" si="489"/>
        <v/>
      </c>
      <c r="AZ700" s="655" t="str">
        <f t="shared" si="490"/>
        <v/>
      </c>
      <c r="BA700" s="655" t="str">
        <f t="shared" si="491"/>
        <v/>
      </c>
      <c r="BB700" s="655" t="str">
        <f t="shared" si="492"/>
        <v/>
      </c>
      <c r="BC700" s="655" t="str">
        <f t="shared" si="492"/>
        <v/>
      </c>
    </row>
    <row r="701" spans="1:55" ht="12" customHeight="1">
      <c r="A701" s="52"/>
      <c r="B701" s="52"/>
      <c r="C701" s="52"/>
      <c r="D701" s="52"/>
      <c r="E701" s="52"/>
      <c r="F701" s="52"/>
      <c r="G701" s="52"/>
      <c r="H701" s="384"/>
      <c r="I701" s="156"/>
      <c r="J701" s="94">
        <v>4</v>
      </c>
      <c r="K701" s="21" t="s">
        <v>572</v>
      </c>
      <c r="L701" s="315">
        <f t="shared" ref="L701:AC703" si="526">L702</f>
        <v>0</v>
      </c>
      <c r="M701" s="315">
        <f t="shared" si="526"/>
        <v>0</v>
      </c>
      <c r="N701" s="337">
        <f t="shared" si="526"/>
        <v>0</v>
      </c>
      <c r="O701" s="337">
        <f t="shared" si="526"/>
        <v>0</v>
      </c>
      <c r="P701" s="292">
        <f t="shared" si="526"/>
        <v>0</v>
      </c>
      <c r="Q701" s="292">
        <f t="shared" si="526"/>
        <v>0</v>
      </c>
      <c r="R701" s="441">
        <f t="shared" si="526"/>
        <v>0</v>
      </c>
      <c r="S701" s="292">
        <f t="shared" si="526"/>
        <v>0</v>
      </c>
      <c r="T701" s="292"/>
      <c r="U701" s="292"/>
      <c r="V701" s="469">
        <f t="shared" si="526"/>
        <v>0</v>
      </c>
      <c r="W701" s="469">
        <f t="shared" si="526"/>
        <v>0</v>
      </c>
      <c r="X701" s="522">
        <f t="shared" si="526"/>
        <v>0</v>
      </c>
      <c r="Y701" s="522">
        <f t="shared" si="526"/>
        <v>0</v>
      </c>
      <c r="Z701" s="541" t="b">
        <f t="shared" si="505"/>
        <v>1</v>
      </c>
      <c r="AA701" s="522"/>
      <c r="AB701" s="523">
        <f t="shared" si="526"/>
        <v>0</v>
      </c>
      <c r="AC701" s="523">
        <f t="shared" si="526"/>
        <v>0</v>
      </c>
      <c r="AD701" s="524"/>
      <c r="AE701" s="524"/>
      <c r="AF701" s="524"/>
      <c r="AG701" s="524"/>
      <c r="AH701" s="522"/>
      <c r="AI701" s="522">
        <v>0</v>
      </c>
      <c r="AJ701" s="516"/>
      <c r="AK701" s="516"/>
      <c r="AL701" s="516"/>
      <c r="AM701" s="292"/>
      <c r="AO701" t="b">
        <f t="shared" si="506"/>
        <v>1</v>
      </c>
      <c r="AP701" s="440">
        <f>AP702</f>
        <v>0</v>
      </c>
      <c r="AQ701" s="441">
        <v>0</v>
      </c>
      <c r="AR701" s="440">
        <f>AR702</f>
        <v>0</v>
      </c>
      <c r="AS701" s="441">
        <f>__xlfn.XLOOKUP(K701,[1]Izvršenje_proračuna_po_pozicija!$C$25:$C$149,[1]Izvršenje_proračuna_po_pozicija!$E$25:$E$149,0)</f>
        <v>0</v>
      </c>
      <c r="AT701" s="612">
        <f>AT702</f>
        <v>0</v>
      </c>
      <c r="AU701" s="469"/>
      <c r="AV701" s="636">
        <v>0</v>
      </c>
      <c r="AW701" s="636">
        <v>0</v>
      </c>
      <c r="AX701" s="655" t="str">
        <f t="shared" si="488"/>
        <v/>
      </c>
      <c r="AY701" s="655" t="str">
        <f t="shared" si="489"/>
        <v/>
      </c>
      <c r="AZ701" s="655" t="str">
        <f t="shared" si="490"/>
        <v/>
      </c>
      <c r="BA701" s="655" t="str">
        <f t="shared" si="491"/>
        <v/>
      </c>
      <c r="BB701" s="655" t="str">
        <f t="shared" si="492"/>
        <v/>
      </c>
      <c r="BC701" s="655" t="str">
        <f t="shared" si="492"/>
        <v/>
      </c>
    </row>
    <row r="702" spans="1:55" ht="12" customHeight="1">
      <c r="A702" s="355"/>
      <c r="B702" s="355"/>
      <c r="C702" s="355"/>
      <c r="D702" s="355"/>
      <c r="E702" s="355"/>
      <c r="F702" s="355"/>
      <c r="G702" s="355"/>
      <c r="H702" s="379"/>
      <c r="I702" s="359"/>
      <c r="J702" s="356">
        <v>42</v>
      </c>
      <c r="K702" s="358" t="s">
        <v>640</v>
      </c>
      <c r="L702" s="315">
        <f t="shared" si="526"/>
        <v>0</v>
      </c>
      <c r="M702" s="315">
        <f t="shared" si="526"/>
        <v>0</v>
      </c>
      <c r="N702" s="337">
        <f t="shared" si="526"/>
        <v>0</v>
      </c>
      <c r="O702" s="337">
        <f t="shared" si="526"/>
        <v>0</v>
      </c>
      <c r="P702" s="292">
        <f t="shared" si="526"/>
        <v>0</v>
      </c>
      <c r="Q702" s="292">
        <f t="shared" si="526"/>
        <v>0</v>
      </c>
      <c r="R702" s="441">
        <f t="shared" si="526"/>
        <v>0</v>
      </c>
      <c r="S702" s="292">
        <f t="shared" si="526"/>
        <v>0</v>
      </c>
      <c r="T702" s="292"/>
      <c r="U702" s="292"/>
      <c r="V702" s="469">
        <f t="shared" si="526"/>
        <v>0</v>
      </c>
      <c r="W702" s="469">
        <f t="shared" si="526"/>
        <v>0</v>
      </c>
      <c r="X702" s="522">
        <f t="shared" si="526"/>
        <v>0</v>
      </c>
      <c r="Y702" s="522">
        <f t="shared" si="526"/>
        <v>0</v>
      </c>
      <c r="Z702" s="541" t="b">
        <f t="shared" si="505"/>
        <v>1</v>
      </c>
      <c r="AA702" s="522"/>
      <c r="AB702" s="523">
        <f t="shared" si="526"/>
        <v>0</v>
      </c>
      <c r="AC702" s="523">
        <f t="shared" si="526"/>
        <v>0</v>
      </c>
      <c r="AD702" s="524"/>
      <c r="AE702" s="524"/>
      <c r="AF702" s="524"/>
      <c r="AG702" s="524"/>
      <c r="AH702" s="522"/>
      <c r="AI702" s="522">
        <v>0</v>
      </c>
      <c r="AJ702" s="516"/>
      <c r="AK702" s="516"/>
      <c r="AL702" s="516"/>
      <c r="AM702" s="292"/>
      <c r="AO702" t="b">
        <f t="shared" si="506"/>
        <v>1</v>
      </c>
      <c r="AP702" s="440">
        <f>AP703</f>
        <v>0</v>
      </c>
      <c r="AQ702" s="441">
        <v>0</v>
      </c>
      <c r="AR702" s="440">
        <f>AR703</f>
        <v>0</v>
      </c>
      <c r="AS702" s="441">
        <f>__xlfn.XLOOKUP(K702,[1]Izvršenje_proračuna_po_pozicija!$C$25:$C$149,[1]Izvršenje_proračuna_po_pozicija!$E$25:$E$149,0)</f>
        <v>0</v>
      </c>
      <c r="AT702" s="612">
        <f>AT703</f>
        <v>0</v>
      </c>
      <c r="AU702" s="469"/>
      <c r="AV702" s="636">
        <v>0</v>
      </c>
      <c r="AW702" s="636">
        <v>0</v>
      </c>
      <c r="AX702" s="655" t="str">
        <f t="shared" si="488"/>
        <v/>
      </c>
      <c r="AY702" s="655" t="str">
        <f t="shared" si="489"/>
        <v/>
      </c>
      <c r="AZ702" s="655" t="str">
        <f t="shared" si="490"/>
        <v/>
      </c>
      <c r="BA702" s="655" t="str">
        <f t="shared" si="491"/>
        <v/>
      </c>
      <c r="BB702" s="655" t="str">
        <f t="shared" si="492"/>
        <v/>
      </c>
      <c r="BC702" s="655" t="str">
        <f t="shared" si="492"/>
        <v/>
      </c>
    </row>
    <row r="703" spans="1:55" ht="12" customHeight="1">
      <c r="A703" s="56"/>
      <c r="B703" s="56"/>
      <c r="C703" s="56"/>
      <c r="D703" s="56"/>
      <c r="E703" s="56"/>
      <c r="F703" s="56"/>
      <c r="G703" s="56"/>
      <c r="H703" s="377"/>
      <c r="I703" s="157"/>
      <c r="J703" s="116">
        <v>422</v>
      </c>
      <c r="K703" s="60" t="s">
        <v>215</v>
      </c>
      <c r="L703" s="315">
        <f t="shared" si="526"/>
        <v>0</v>
      </c>
      <c r="M703" s="315">
        <f t="shared" si="526"/>
        <v>0</v>
      </c>
      <c r="N703" s="337">
        <f t="shared" si="526"/>
        <v>0</v>
      </c>
      <c r="O703" s="337">
        <f t="shared" si="526"/>
        <v>0</v>
      </c>
      <c r="P703" s="292">
        <f t="shared" si="526"/>
        <v>0</v>
      </c>
      <c r="Q703" s="292">
        <f t="shared" si="526"/>
        <v>0</v>
      </c>
      <c r="R703" s="441">
        <f t="shared" si="526"/>
        <v>0</v>
      </c>
      <c r="S703" s="292">
        <f t="shared" si="526"/>
        <v>0</v>
      </c>
      <c r="T703" s="292"/>
      <c r="U703" s="292"/>
      <c r="V703" s="469">
        <f t="shared" si="526"/>
        <v>0</v>
      </c>
      <c r="W703" s="469">
        <f t="shared" si="526"/>
        <v>0</v>
      </c>
      <c r="X703" s="522">
        <f t="shared" si="526"/>
        <v>0</v>
      </c>
      <c r="Y703" s="522">
        <f t="shared" si="526"/>
        <v>0</v>
      </c>
      <c r="Z703" s="541" t="b">
        <f t="shared" si="505"/>
        <v>1</v>
      </c>
      <c r="AA703" s="522"/>
      <c r="AB703" s="523">
        <f t="shared" si="526"/>
        <v>0</v>
      </c>
      <c r="AC703" s="523">
        <f t="shared" si="526"/>
        <v>0</v>
      </c>
      <c r="AD703" s="524"/>
      <c r="AE703" s="524"/>
      <c r="AF703" s="524"/>
      <c r="AG703" s="524"/>
      <c r="AH703" s="522"/>
      <c r="AI703" s="522">
        <v>0</v>
      </c>
      <c r="AJ703" s="516"/>
      <c r="AK703" s="516"/>
      <c r="AL703" s="516"/>
      <c r="AM703" s="292"/>
      <c r="AO703" t="b">
        <f t="shared" si="506"/>
        <v>1</v>
      </c>
      <c r="AP703" s="440">
        <f>AP704</f>
        <v>0</v>
      </c>
      <c r="AQ703" s="441">
        <v>0</v>
      </c>
      <c r="AR703" s="440">
        <f>AR704</f>
        <v>0</v>
      </c>
      <c r="AS703" s="441">
        <f>__xlfn.XLOOKUP(K703,[1]Izvršenje_proračuna_po_pozicija!$C$25:$C$149,[1]Izvršenje_proračuna_po_pozicija!$E$25:$E$149,0)</f>
        <v>0</v>
      </c>
      <c r="AT703" s="612">
        <f>AT704</f>
        <v>0</v>
      </c>
      <c r="AU703" s="469"/>
      <c r="AV703" s="636">
        <v>0</v>
      </c>
      <c r="AW703" s="636">
        <v>0</v>
      </c>
      <c r="AX703" s="655" t="str">
        <f t="shared" si="488"/>
        <v/>
      </c>
      <c r="AY703" s="655" t="str">
        <f t="shared" si="489"/>
        <v/>
      </c>
      <c r="AZ703" s="655" t="str">
        <f t="shared" si="490"/>
        <v/>
      </c>
      <c r="BA703" s="655" t="str">
        <f t="shared" si="491"/>
        <v/>
      </c>
      <c r="BB703" s="655" t="str">
        <f t="shared" si="492"/>
        <v/>
      </c>
      <c r="BC703" s="655" t="str">
        <f t="shared" si="492"/>
        <v/>
      </c>
    </row>
    <row r="704" spans="1:55" ht="12" customHeight="1">
      <c r="A704" s="36"/>
      <c r="B704" s="36"/>
      <c r="C704" s="36"/>
      <c r="D704" s="36"/>
      <c r="E704" s="36"/>
      <c r="F704" s="36"/>
      <c r="G704" s="36"/>
      <c r="H704" s="204" t="s">
        <v>641</v>
      </c>
      <c r="I704" s="132">
        <v>640</v>
      </c>
      <c r="J704" s="71">
        <v>4227</v>
      </c>
      <c r="K704" s="40" t="s">
        <v>762</v>
      </c>
      <c r="L704" s="309">
        <v>0</v>
      </c>
      <c r="M704" s="309">
        <v>0</v>
      </c>
      <c r="N704" s="339">
        <v>0</v>
      </c>
      <c r="O704" s="339">
        <v>0</v>
      </c>
      <c r="P704" s="294">
        <v>0</v>
      </c>
      <c r="Q704" s="294">
        <v>0</v>
      </c>
      <c r="R704" s="443">
        <v>0</v>
      </c>
      <c r="S704" s="294">
        <f>__xlfn.XLOOKUP(H704,[2]Izvršenje_proračuna_po_pozicija!$B$2:$B$153,[2]Izvršenje_proračuna_po_pozicija!$E$2:$E$153,0)</f>
        <v>0</v>
      </c>
      <c r="T704" s="294"/>
      <c r="U704" s="294"/>
      <c r="V704" s="478">
        <v>0</v>
      </c>
      <c r="W704" s="478"/>
      <c r="X704" s="544"/>
      <c r="Y704" s="544"/>
      <c r="Z704" s="541" t="b">
        <f t="shared" si="505"/>
        <v>0</v>
      </c>
      <c r="AA704" s="527"/>
      <c r="AB704" s="528">
        <v>0</v>
      </c>
      <c r="AC704" s="528">
        <v>0</v>
      </c>
      <c r="AD704" s="524"/>
      <c r="AE704" s="524"/>
      <c r="AF704" s="524"/>
      <c r="AG704" s="524"/>
      <c r="AH704" s="527"/>
      <c r="AI704" s="544"/>
      <c r="AJ704" s="516"/>
      <c r="AK704" s="516"/>
      <c r="AL704" s="516"/>
      <c r="AM704" s="294"/>
      <c r="AO704" t="b">
        <f t="shared" si="506"/>
        <v>0</v>
      </c>
      <c r="AQ704" s="443"/>
      <c r="AS704" s="443">
        <f>__xlfn.XLOOKUP(K704,[1]Izvršenje_proračuna_po_pozicija!$C$25:$C$149,[1]Izvršenje_proračuna_po_pozicija!$E$25:$E$149,0)</f>
        <v>0</v>
      </c>
      <c r="AT704" s="617"/>
      <c r="AU704" s="478"/>
      <c r="AV704" s="638"/>
      <c r="AW704" s="638"/>
      <c r="AX704" s="655" t="str">
        <f t="shared" si="488"/>
        <v/>
      </c>
      <c r="AY704" s="655" t="str">
        <f t="shared" si="489"/>
        <v/>
      </c>
      <c r="AZ704" s="655" t="str">
        <f t="shared" si="490"/>
        <v/>
      </c>
      <c r="BA704" s="655" t="str">
        <f t="shared" si="491"/>
        <v/>
      </c>
      <c r="BB704" s="655" t="str">
        <f t="shared" si="492"/>
        <v/>
      </c>
      <c r="BC704" s="655" t="str">
        <f t="shared" si="492"/>
        <v/>
      </c>
    </row>
    <row r="705" spans="1:55" ht="12" customHeight="1">
      <c r="A705" s="36"/>
      <c r="B705" s="36"/>
      <c r="C705" s="36"/>
      <c r="D705" s="36"/>
      <c r="E705" s="36"/>
      <c r="F705" s="36"/>
      <c r="G705" s="36"/>
      <c r="H705" s="204"/>
      <c r="I705" s="132"/>
      <c r="J705" s="71"/>
      <c r="K705" s="40"/>
      <c r="L705" s="324"/>
      <c r="M705" s="324"/>
      <c r="N705" s="348"/>
      <c r="O705" s="348"/>
      <c r="P705" s="303"/>
      <c r="Q705" s="303"/>
      <c r="R705" s="460"/>
      <c r="S705" s="294">
        <f>__xlfn.XLOOKUP(H705,[2]Izvršenje_proračuna_po_pozicija!$B$2:$B$153,[2]Izvršenje_proračuna_po_pozicija!$E$2:$E$153,0)</f>
        <v>0</v>
      </c>
      <c r="T705" s="303"/>
      <c r="U705" s="303"/>
      <c r="V705" s="484"/>
      <c r="W705" s="484"/>
      <c r="X705" s="554"/>
      <c r="Y705" s="554"/>
      <c r="Z705" s="541" t="b">
        <f t="shared" si="505"/>
        <v>0</v>
      </c>
      <c r="AA705" s="555"/>
      <c r="AB705" s="556"/>
      <c r="AC705" s="556"/>
      <c r="AD705" s="524"/>
      <c r="AE705" s="524"/>
      <c r="AF705" s="524"/>
      <c r="AG705" s="524"/>
      <c r="AH705" s="555"/>
      <c r="AI705" s="554"/>
      <c r="AJ705" s="516"/>
      <c r="AK705" s="516"/>
      <c r="AL705" s="516"/>
      <c r="AM705" s="303"/>
      <c r="AO705" t="b">
        <f t="shared" si="506"/>
        <v>0</v>
      </c>
      <c r="AQ705" s="460"/>
      <c r="AS705" s="460">
        <f>__xlfn.XLOOKUP(K705,[1]Izvršenje_proračuna_po_pozicija!$C$25:$C$149,[1]Izvršenje_proračuna_po_pozicija!$E$25:$E$149,0)</f>
        <v>0</v>
      </c>
      <c r="AT705" s="619"/>
      <c r="AU705" s="484"/>
      <c r="AV705" s="646"/>
      <c r="AW705" s="646"/>
      <c r="AX705" s="655" t="str">
        <f t="shared" si="488"/>
        <v/>
      </c>
      <c r="AY705" s="655" t="str">
        <f t="shared" si="489"/>
        <v/>
      </c>
      <c r="AZ705" s="655" t="str">
        <f t="shared" si="490"/>
        <v/>
      </c>
      <c r="BA705" s="655" t="str">
        <f t="shared" si="491"/>
        <v/>
      </c>
      <c r="BB705" s="655" t="str">
        <f t="shared" si="492"/>
        <v/>
      </c>
      <c r="BC705" s="655" t="str">
        <f t="shared" si="492"/>
        <v/>
      </c>
    </row>
    <row r="706" spans="1:55" ht="12" customHeight="1">
      <c r="A706" s="212" t="s">
        <v>488</v>
      </c>
      <c r="B706" s="130"/>
      <c r="C706" s="130"/>
      <c r="D706" s="130"/>
      <c r="E706" s="130"/>
      <c r="F706" s="130"/>
      <c r="G706" s="130"/>
      <c r="H706" s="383"/>
      <c r="I706" s="170" t="s">
        <v>316</v>
      </c>
      <c r="J706" s="171"/>
      <c r="K706" s="111"/>
      <c r="L706" s="320">
        <f t="shared" ref="L706:S706" si="527">L708</f>
        <v>279798</v>
      </c>
      <c r="M706" s="320">
        <f t="shared" si="527"/>
        <v>37135.576348795541</v>
      </c>
      <c r="N706" s="344">
        <f t="shared" si="527"/>
        <v>196163</v>
      </c>
      <c r="O706" s="344">
        <f t="shared" si="527"/>
        <v>26035.304267038289</v>
      </c>
      <c r="P706" s="299">
        <f t="shared" si="527"/>
        <v>40000</v>
      </c>
      <c r="Q706" s="299">
        <f t="shared" si="527"/>
        <v>40000</v>
      </c>
      <c r="R706" s="447">
        <f t="shared" si="527"/>
        <v>38666</v>
      </c>
      <c r="S706" s="299">
        <f t="shared" si="527"/>
        <v>50808.57</v>
      </c>
      <c r="T706" s="299"/>
      <c r="U706" s="299"/>
      <c r="V706" s="477">
        <f>V708</f>
        <v>40000</v>
      </c>
      <c r="W706" s="477">
        <f>W708</f>
        <v>55000</v>
      </c>
      <c r="X706" s="542">
        <f>X708</f>
        <v>70000</v>
      </c>
      <c r="Y706" s="542">
        <f>Y708</f>
        <v>0</v>
      </c>
      <c r="Z706" s="541" t="b">
        <f t="shared" si="505"/>
        <v>1</v>
      </c>
      <c r="AA706" s="542"/>
      <c r="AB706" s="543">
        <f>AB708</f>
        <v>40000</v>
      </c>
      <c r="AC706" s="543">
        <f>AC708</f>
        <v>40000</v>
      </c>
      <c r="AD706" s="524">
        <f>O706/M706*100</f>
        <v>70.108792771928321</v>
      </c>
      <c r="AE706" s="524">
        <f>P706/O706*100</f>
        <v>153.63753613066683</v>
      </c>
      <c r="AF706" s="524">
        <f>Q706/P706*100</f>
        <v>100</v>
      </c>
      <c r="AG706" s="524">
        <f>AB706/Q706*100</f>
        <v>100</v>
      </c>
      <c r="AH706" s="542"/>
      <c r="AI706" s="542">
        <v>70000</v>
      </c>
      <c r="AJ706" s="516">
        <f>W706/R706*100</f>
        <v>142.24383179020327</v>
      </c>
      <c r="AK706" s="516">
        <f>AT706/W706*100</f>
        <v>109.09090909090908</v>
      </c>
      <c r="AL706" s="516">
        <f>X706/AT706*100</f>
        <v>116.66666666666667</v>
      </c>
      <c r="AM706" s="299"/>
      <c r="AO706" t="b">
        <f t="shared" si="506"/>
        <v>1</v>
      </c>
      <c r="AP706" s="503">
        <f t="shared" ref="AP706:AU706" si="528">AP708</f>
        <v>54980.73</v>
      </c>
      <c r="AQ706" s="447">
        <v>54980.73</v>
      </c>
      <c r="AR706" s="503">
        <f>AR708</f>
        <v>54980.73</v>
      </c>
      <c r="AS706" s="447">
        <f t="shared" si="528"/>
        <v>49628.22</v>
      </c>
      <c r="AT706" s="611">
        <f t="shared" si="528"/>
        <v>60000</v>
      </c>
      <c r="AU706" s="477">
        <f t="shared" si="528"/>
        <v>60000</v>
      </c>
      <c r="AV706" s="643">
        <v>70000</v>
      </c>
      <c r="AW706" s="643">
        <v>70000</v>
      </c>
      <c r="AX706" s="655">
        <f t="shared" si="488"/>
        <v>155.17508922567632</v>
      </c>
      <c r="AY706" s="655">
        <f t="shared" si="489"/>
        <v>109.12914397462528</v>
      </c>
      <c r="AZ706" s="655">
        <f t="shared" si="490"/>
        <v>100</v>
      </c>
      <c r="BA706" s="655">
        <f t="shared" si="491"/>
        <v>109.12914397462528</v>
      </c>
      <c r="BB706" s="655">
        <f t="shared" si="492"/>
        <v>116.66666666666667</v>
      </c>
      <c r="BC706" s="655">
        <f t="shared" si="492"/>
        <v>100</v>
      </c>
    </row>
    <row r="707" spans="1:55" ht="12" customHeight="1">
      <c r="A707" s="20"/>
      <c r="B707" s="20"/>
      <c r="C707" s="20"/>
      <c r="D707" s="20"/>
      <c r="E707" s="20"/>
      <c r="F707" s="20"/>
      <c r="G707" s="20"/>
      <c r="H707" s="375"/>
      <c r="I707" s="22"/>
      <c r="J707" s="21"/>
      <c r="K707" s="94"/>
      <c r="L707" s="313"/>
      <c r="M707" s="313"/>
      <c r="N707" s="335"/>
      <c r="O707" s="335"/>
      <c r="P707" s="290"/>
      <c r="Q707" s="290"/>
      <c r="R707" s="439"/>
      <c r="S707" s="294">
        <f>__xlfn.XLOOKUP(H707,[2]Izvršenje_proračuna_po_pozicija!$B$2:$B$153,[2]Izvršenje_proračuna_po_pozicija!$E$2:$E$153,0)</f>
        <v>0</v>
      </c>
      <c r="T707" s="294"/>
      <c r="U707" s="294"/>
      <c r="V707" s="474"/>
      <c r="W707" s="474"/>
      <c r="X707" s="539"/>
      <c r="Y707" s="539"/>
      <c r="Z707" s="541" t="b">
        <f t="shared" si="505"/>
        <v>0</v>
      </c>
      <c r="AA707" s="514"/>
      <c r="AB707" s="515"/>
      <c r="AC707" s="515"/>
      <c r="AD707" s="524"/>
      <c r="AE707" s="524"/>
      <c r="AF707" s="524"/>
      <c r="AG707" s="524"/>
      <c r="AH707" s="514"/>
      <c r="AI707" s="539"/>
      <c r="AJ707" s="516"/>
      <c r="AK707" s="516"/>
      <c r="AL707" s="516"/>
      <c r="AM707" s="290"/>
      <c r="AO707" t="b">
        <f t="shared" si="506"/>
        <v>0</v>
      </c>
      <c r="AQ707" s="439"/>
      <c r="AS707" s="439"/>
      <c r="AT707" s="616"/>
      <c r="AU707" s="474"/>
      <c r="AV707" s="632"/>
      <c r="AW707" s="632"/>
      <c r="AX707" s="655" t="str">
        <f t="shared" si="488"/>
        <v/>
      </c>
      <c r="AY707" s="655" t="str">
        <f t="shared" si="489"/>
        <v/>
      </c>
      <c r="AZ707" s="655" t="str">
        <f t="shared" si="490"/>
        <v/>
      </c>
      <c r="BA707" s="655" t="str">
        <f t="shared" si="491"/>
        <v/>
      </c>
      <c r="BB707" s="655" t="str">
        <f t="shared" si="492"/>
        <v/>
      </c>
      <c r="BC707" s="655" t="str">
        <f t="shared" si="492"/>
        <v/>
      </c>
    </row>
    <row r="708" spans="1:55" ht="12" customHeight="1">
      <c r="A708" s="52"/>
      <c r="B708" s="52"/>
      <c r="C708" s="52"/>
      <c r="D708" s="52"/>
      <c r="E708" s="52"/>
      <c r="F708" s="52"/>
      <c r="G708" s="52"/>
      <c r="H708" s="384"/>
      <c r="I708" s="156"/>
      <c r="J708" s="94">
        <v>3</v>
      </c>
      <c r="K708" s="21" t="s">
        <v>94</v>
      </c>
      <c r="L708" s="315">
        <f t="shared" ref="L708:AC710" si="529">L709</f>
        <v>279798</v>
      </c>
      <c r="M708" s="315">
        <f t="shared" si="529"/>
        <v>37135.576348795541</v>
      </c>
      <c r="N708" s="337">
        <f t="shared" si="529"/>
        <v>196163</v>
      </c>
      <c r="O708" s="337">
        <f t="shared" si="529"/>
        <v>26035.304267038289</v>
      </c>
      <c r="P708" s="292">
        <f t="shared" si="529"/>
        <v>40000</v>
      </c>
      <c r="Q708" s="292">
        <f t="shared" si="529"/>
        <v>40000</v>
      </c>
      <c r="R708" s="441">
        <f t="shared" si="529"/>
        <v>38666</v>
      </c>
      <c r="S708" s="292">
        <f t="shared" si="529"/>
        <v>50808.57</v>
      </c>
      <c r="T708" s="292"/>
      <c r="U708" s="292"/>
      <c r="V708" s="469">
        <f t="shared" si="529"/>
        <v>40000</v>
      </c>
      <c r="W708" s="469">
        <f t="shared" si="529"/>
        <v>55000</v>
      </c>
      <c r="X708" s="522">
        <f t="shared" si="529"/>
        <v>70000</v>
      </c>
      <c r="Y708" s="522">
        <f t="shared" si="529"/>
        <v>0</v>
      </c>
      <c r="Z708" s="541" t="b">
        <f t="shared" si="505"/>
        <v>1</v>
      </c>
      <c r="AA708" s="522"/>
      <c r="AB708" s="523">
        <f t="shared" si="529"/>
        <v>40000</v>
      </c>
      <c r="AC708" s="523">
        <f t="shared" si="529"/>
        <v>40000</v>
      </c>
      <c r="AD708" s="524">
        <f>O708/M708*100</f>
        <v>70.108792771928321</v>
      </c>
      <c r="AE708" s="524">
        <f t="shared" ref="AE708:AF711" si="530">P708/O708*100</f>
        <v>153.63753613066683</v>
      </c>
      <c r="AF708" s="524">
        <f t="shared" si="530"/>
        <v>100</v>
      </c>
      <c r="AG708" s="524">
        <f>AB708/Q708*100</f>
        <v>100</v>
      </c>
      <c r="AH708" s="522"/>
      <c r="AI708" s="522">
        <v>70000</v>
      </c>
      <c r="AJ708" s="516">
        <f>W708/R708*100</f>
        <v>142.24383179020327</v>
      </c>
      <c r="AK708" s="516">
        <f>AT708/W708*100</f>
        <v>109.09090909090908</v>
      </c>
      <c r="AL708" s="516">
        <f>X708/AT708*100</f>
        <v>116.66666666666667</v>
      </c>
      <c r="AM708" s="292"/>
      <c r="AO708" t="b">
        <f t="shared" si="506"/>
        <v>1</v>
      </c>
      <c r="AP708" s="440">
        <f t="shared" ref="AP708:AU710" si="531">AP709</f>
        <v>54980.73</v>
      </c>
      <c r="AQ708" s="441">
        <v>54980.73</v>
      </c>
      <c r="AR708" s="440">
        <f>AR709</f>
        <v>54980.73</v>
      </c>
      <c r="AS708" s="441">
        <f t="shared" si="531"/>
        <v>49628.22</v>
      </c>
      <c r="AT708" s="612">
        <f>AT709</f>
        <v>60000</v>
      </c>
      <c r="AU708" s="469">
        <f t="shared" si="531"/>
        <v>60000</v>
      </c>
      <c r="AV708" s="636">
        <v>70000</v>
      </c>
      <c r="AW708" s="636">
        <v>70000</v>
      </c>
      <c r="AX708" s="655">
        <f t="shared" si="488"/>
        <v>155.17508922567632</v>
      </c>
      <c r="AY708" s="655">
        <f t="shared" si="489"/>
        <v>109.12914397462528</v>
      </c>
      <c r="AZ708" s="655">
        <f t="shared" si="490"/>
        <v>100</v>
      </c>
      <c r="BA708" s="655">
        <f t="shared" si="491"/>
        <v>109.12914397462528</v>
      </c>
      <c r="BB708" s="655">
        <f t="shared" si="492"/>
        <v>116.66666666666667</v>
      </c>
      <c r="BC708" s="655">
        <f t="shared" si="492"/>
        <v>100</v>
      </c>
    </row>
    <row r="709" spans="1:55" ht="12" customHeight="1">
      <c r="A709" s="355"/>
      <c r="B709" s="355"/>
      <c r="C709" s="355"/>
      <c r="D709" s="355"/>
      <c r="E709" s="355"/>
      <c r="F709" s="355"/>
      <c r="G709" s="355"/>
      <c r="H709" s="379"/>
      <c r="I709" s="359"/>
      <c r="J709" s="356">
        <v>32</v>
      </c>
      <c r="K709" s="358" t="s">
        <v>103</v>
      </c>
      <c r="L709" s="315">
        <f t="shared" si="529"/>
        <v>279798</v>
      </c>
      <c r="M709" s="315">
        <f t="shared" si="529"/>
        <v>37135.576348795541</v>
      </c>
      <c r="N709" s="337">
        <f t="shared" si="529"/>
        <v>196163</v>
      </c>
      <c r="O709" s="337">
        <f t="shared" si="529"/>
        <v>26035.304267038289</v>
      </c>
      <c r="P709" s="292">
        <f t="shared" si="529"/>
        <v>40000</v>
      </c>
      <c r="Q709" s="292">
        <f t="shared" si="529"/>
        <v>40000</v>
      </c>
      <c r="R709" s="441">
        <f t="shared" si="529"/>
        <v>38666</v>
      </c>
      <c r="S709" s="292">
        <f t="shared" si="529"/>
        <v>50808.57</v>
      </c>
      <c r="T709" s="292"/>
      <c r="U709" s="292"/>
      <c r="V709" s="469">
        <f t="shared" si="529"/>
        <v>40000</v>
      </c>
      <c r="W709" s="469">
        <f t="shared" si="529"/>
        <v>55000</v>
      </c>
      <c r="X709" s="522">
        <f t="shared" si="529"/>
        <v>70000</v>
      </c>
      <c r="Y709" s="522">
        <f t="shared" si="529"/>
        <v>0</v>
      </c>
      <c r="Z709" s="541" t="b">
        <f t="shared" si="505"/>
        <v>1</v>
      </c>
      <c r="AA709" s="522"/>
      <c r="AB709" s="523">
        <f t="shared" si="529"/>
        <v>40000</v>
      </c>
      <c r="AC709" s="523">
        <f t="shared" si="529"/>
        <v>40000</v>
      </c>
      <c r="AD709" s="524">
        <f>O709/M709*100</f>
        <v>70.108792771928321</v>
      </c>
      <c r="AE709" s="524">
        <f t="shared" si="530"/>
        <v>153.63753613066683</v>
      </c>
      <c r="AF709" s="524">
        <f t="shared" si="530"/>
        <v>100</v>
      </c>
      <c r="AG709" s="524">
        <f>AB709/Q709*100</f>
        <v>100</v>
      </c>
      <c r="AH709" s="522"/>
      <c r="AI709" s="522">
        <v>70000</v>
      </c>
      <c r="AJ709" s="516">
        <f>W709/R709*100</f>
        <v>142.24383179020327</v>
      </c>
      <c r="AK709" s="516">
        <f>AT709/W709*100</f>
        <v>109.09090909090908</v>
      </c>
      <c r="AL709" s="516">
        <f>X709/AT709*100</f>
        <v>116.66666666666667</v>
      </c>
      <c r="AM709" s="292"/>
      <c r="AO709" t="b">
        <f t="shared" si="506"/>
        <v>1</v>
      </c>
      <c r="AP709" s="440">
        <f t="shared" si="531"/>
        <v>54980.73</v>
      </c>
      <c r="AQ709" s="441">
        <v>54980.73</v>
      </c>
      <c r="AR709" s="440">
        <f>AR710</f>
        <v>54980.73</v>
      </c>
      <c r="AS709" s="441">
        <f t="shared" si="531"/>
        <v>49628.22</v>
      </c>
      <c r="AT709" s="612">
        <f>AT710</f>
        <v>60000</v>
      </c>
      <c r="AU709" s="469">
        <f t="shared" si="531"/>
        <v>60000</v>
      </c>
      <c r="AV709" s="636">
        <v>70000</v>
      </c>
      <c r="AW709" s="636">
        <v>70000</v>
      </c>
      <c r="AX709" s="655">
        <f t="shared" si="488"/>
        <v>155.17508922567632</v>
      </c>
      <c r="AY709" s="655">
        <f t="shared" si="489"/>
        <v>109.12914397462528</v>
      </c>
      <c r="AZ709" s="655">
        <f t="shared" si="490"/>
        <v>100</v>
      </c>
      <c r="BA709" s="655">
        <f t="shared" si="491"/>
        <v>109.12914397462528</v>
      </c>
      <c r="BB709" s="655">
        <f t="shared" si="492"/>
        <v>116.66666666666667</v>
      </c>
      <c r="BC709" s="655">
        <f t="shared" si="492"/>
        <v>100</v>
      </c>
    </row>
    <row r="710" spans="1:55" ht="12" customHeight="1">
      <c r="A710" s="56"/>
      <c r="B710" s="56"/>
      <c r="C710" s="56"/>
      <c r="D710" s="56"/>
      <c r="E710" s="56"/>
      <c r="F710" s="56"/>
      <c r="G710" s="56"/>
      <c r="H710" s="377"/>
      <c r="I710" s="157"/>
      <c r="J710" s="116">
        <v>323</v>
      </c>
      <c r="K710" s="60" t="s">
        <v>191</v>
      </c>
      <c r="L710" s="315">
        <f t="shared" si="529"/>
        <v>279798</v>
      </c>
      <c r="M710" s="315">
        <f t="shared" si="529"/>
        <v>37135.576348795541</v>
      </c>
      <c r="N710" s="337">
        <f t="shared" si="529"/>
        <v>196163</v>
      </c>
      <c r="O710" s="337">
        <f t="shared" si="529"/>
        <v>26035.304267038289</v>
      </c>
      <c r="P710" s="292">
        <f t="shared" si="529"/>
        <v>40000</v>
      </c>
      <c r="Q710" s="292">
        <f t="shared" si="529"/>
        <v>40000</v>
      </c>
      <c r="R710" s="441">
        <f t="shared" si="529"/>
        <v>38666</v>
      </c>
      <c r="S710" s="292">
        <f t="shared" si="529"/>
        <v>50808.57</v>
      </c>
      <c r="T710" s="292"/>
      <c r="U710" s="292"/>
      <c r="V710" s="469">
        <f t="shared" si="529"/>
        <v>40000</v>
      </c>
      <c r="W710" s="469">
        <f t="shared" si="529"/>
        <v>55000</v>
      </c>
      <c r="X710" s="522">
        <f t="shared" si="529"/>
        <v>70000</v>
      </c>
      <c r="Y710" s="522">
        <f t="shared" si="529"/>
        <v>0</v>
      </c>
      <c r="Z710" s="541" t="b">
        <f t="shared" si="505"/>
        <v>1</v>
      </c>
      <c r="AA710" s="522"/>
      <c r="AB710" s="523">
        <f t="shared" si="529"/>
        <v>40000</v>
      </c>
      <c r="AC710" s="523">
        <f t="shared" si="529"/>
        <v>40000</v>
      </c>
      <c r="AD710" s="524">
        <f>O710/M710*100</f>
        <v>70.108792771928321</v>
      </c>
      <c r="AE710" s="524">
        <f t="shared" si="530"/>
        <v>153.63753613066683</v>
      </c>
      <c r="AF710" s="524">
        <f t="shared" si="530"/>
        <v>100</v>
      </c>
      <c r="AG710" s="524">
        <f>AB710/Q710*100</f>
        <v>100</v>
      </c>
      <c r="AH710" s="522"/>
      <c r="AI710" s="522">
        <v>70000</v>
      </c>
      <c r="AJ710" s="516">
        <f>W710/R710*100</f>
        <v>142.24383179020327</v>
      </c>
      <c r="AK710" s="516">
        <f>AT710/W710*100</f>
        <v>109.09090909090908</v>
      </c>
      <c r="AL710" s="516">
        <f>X710/AT710*100</f>
        <v>116.66666666666667</v>
      </c>
      <c r="AM710" s="292"/>
      <c r="AO710" t="b">
        <f t="shared" si="506"/>
        <v>1</v>
      </c>
      <c r="AP710" s="440">
        <f t="shared" si="531"/>
        <v>54980.73</v>
      </c>
      <c r="AQ710" s="441">
        <v>54980.73</v>
      </c>
      <c r="AR710" s="440">
        <f>AR711</f>
        <v>54980.73</v>
      </c>
      <c r="AS710" s="441">
        <f t="shared" si="531"/>
        <v>49628.22</v>
      </c>
      <c r="AT710" s="612">
        <f>AT711</f>
        <v>60000</v>
      </c>
      <c r="AU710" s="469">
        <f t="shared" si="531"/>
        <v>60000</v>
      </c>
      <c r="AV710" s="636">
        <v>70000</v>
      </c>
      <c r="AW710" s="636">
        <v>70000</v>
      </c>
      <c r="AX710" s="655">
        <f t="shared" si="488"/>
        <v>155.17508922567632</v>
      </c>
      <c r="AY710" s="655">
        <f t="shared" si="489"/>
        <v>109.12914397462528</v>
      </c>
      <c r="AZ710" s="655">
        <f t="shared" si="490"/>
        <v>100</v>
      </c>
      <c r="BA710" s="655">
        <f t="shared" si="491"/>
        <v>109.12914397462528</v>
      </c>
      <c r="BB710" s="655">
        <f t="shared" si="492"/>
        <v>116.66666666666667</v>
      </c>
      <c r="BC710" s="655">
        <f t="shared" si="492"/>
        <v>100</v>
      </c>
    </row>
    <row r="711" spans="1:55" ht="12" customHeight="1">
      <c r="A711" s="36"/>
      <c r="B711" s="36"/>
      <c r="C711" s="36"/>
      <c r="D711" s="36"/>
      <c r="E711" s="36"/>
      <c r="F711" s="36"/>
      <c r="G711" s="36"/>
      <c r="H711" s="204" t="s">
        <v>317</v>
      </c>
      <c r="I711" s="132">
        <v>660</v>
      </c>
      <c r="J711" s="71">
        <v>3232</v>
      </c>
      <c r="K711" s="40" t="s">
        <v>318</v>
      </c>
      <c r="L711" s="309">
        <v>279798</v>
      </c>
      <c r="M711" s="309">
        <f>279798/7.5345</f>
        <v>37135.576348795541</v>
      </c>
      <c r="N711" s="339">
        <v>196163</v>
      </c>
      <c r="O711" s="339">
        <f>N711/7.5345</f>
        <v>26035.304267038289</v>
      </c>
      <c r="P711" s="294">
        <v>40000</v>
      </c>
      <c r="Q711" s="294">
        <v>40000</v>
      </c>
      <c r="R711" s="443">
        <v>38666</v>
      </c>
      <c r="S711" s="294">
        <f>__xlfn.XLOOKUP(H711,[2]Izvršenje_proračuna_po_pozicija!$B$2:$B$153,[2]Izvršenje_proračuna_po_pozicija!$E$2:$E$153,0)</f>
        <v>50808.57</v>
      </c>
      <c r="T711" s="294"/>
      <c r="U711" s="294"/>
      <c r="V711" s="478">
        <v>40000</v>
      </c>
      <c r="W711" s="478">
        <v>55000</v>
      </c>
      <c r="X711" s="544">
        <v>70000</v>
      </c>
      <c r="Y711" s="544"/>
      <c r="Z711" s="541" t="b">
        <f t="shared" si="505"/>
        <v>0</v>
      </c>
      <c r="AA711" s="527"/>
      <c r="AB711" s="528">
        <v>40000</v>
      </c>
      <c r="AC711" s="528">
        <v>40000</v>
      </c>
      <c r="AD711" s="524">
        <f>O711/M711*100</f>
        <v>70.108792771928321</v>
      </c>
      <c r="AE711" s="524">
        <f t="shared" si="530"/>
        <v>153.63753613066683</v>
      </c>
      <c r="AF711" s="524">
        <f t="shared" si="530"/>
        <v>100</v>
      </c>
      <c r="AG711" s="524">
        <f>AB711/Q711*100</f>
        <v>100</v>
      </c>
      <c r="AH711" s="527"/>
      <c r="AI711" s="544">
        <v>70000</v>
      </c>
      <c r="AJ711" s="516">
        <f>W711/R711*100</f>
        <v>142.24383179020327</v>
      </c>
      <c r="AK711" s="516">
        <f>AT711/W711*100</f>
        <v>109.09090909090908</v>
      </c>
      <c r="AL711" s="516">
        <f>X711/AT711*100</f>
        <v>116.66666666666667</v>
      </c>
      <c r="AM711" s="294"/>
      <c r="AO711" t="b">
        <f t="shared" si="506"/>
        <v>0</v>
      </c>
      <c r="AP711" s="493">
        <v>54980.73</v>
      </c>
      <c r="AQ711" s="443">
        <v>54980.73</v>
      </c>
      <c r="AR711" s="493">
        <v>54980.73</v>
      </c>
      <c r="AS711" s="443">
        <f>__xlfn.XLOOKUP(K711,[1]Izvršenje_proračuna_po_pozicija!$C$25:$C$149,[1]Izvršenje_proračuna_po_pozicija!$E$25:$E$149,0)</f>
        <v>49628.22</v>
      </c>
      <c r="AT711" s="617">
        <v>60000</v>
      </c>
      <c r="AU711" s="478">
        <v>60000</v>
      </c>
      <c r="AV711" s="638">
        <v>70000</v>
      </c>
      <c r="AW711" s="638">
        <v>70000</v>
      </c>
      <c r="AX711" s="655">
        <f t="shared" si="488"/>
        <v>155.17508922567632</v>
      </c>
      <c r="AY711" s="655">
        <f t="shared" si="489"/>
        <v>109.12914397462528</v>
      </c>
      <c r="AZ711" s="655">
        <f t="shared" si="490"/>
        <v>100</v>
      </c>
      <c r="BA711" s="655">
        <f t="shared" si="491"/>
        <v>109.12914397462528</v>
      </c>
      <c r="BB711" s="655">
        <f t="shared" si="492"/>
        <v>116.66666666666667</v>
      </c>
      <c r="BC711" s="655">
        <f t="shared" si="492"/>
        <v>100</v>
      </c>
    </row>
    <row r="712" spans="1:55" ht="12" customHeight="1">
      <c r="A712" s="20"/>
      <c r="B712" s="20"/>
      <c r="C712" s="20"/>
      <c r="D712" s="20"/>
      <c r="E712" s="20"/>
      <c r="F712" s="20"/>
      <c r="G712" s="20"/>
      <c r="H712" s="375"/>
      <c r="I712" s="22"/>
      <c r="J712" s="21"/>
      <c r="K712" s="19"/>
      <c r="L712" s="313"/>
      <c r="M712" s="313"/>
      <c r="N712" s="335"/>
      <c r="O712" s="335"/>
      <c r="P712" s="290"/>
      <c r="Q712" s="290"/>
      <c r="R712" s="439"/>
      <c r="S712" s="294">
        <f>__xlfn.XLOOKUP(H712,[2]Izvršenje_proračuna_po_pozicija!$B$2:$B$153,[2]Izvršenje_proračuna_po_pozicija!$E$2:$E$153,0)</f>
        <v>0</v>
      </c>
      <c r="T712" s="294"/>
      <c r="U712" s="294"/>
      <c r="V712" s="474"/>
      <c r="W712" s="474"/>
      <c r="X712" s="539"/>
      <c r="Y712" s="539"/>
      <c r="Z712" s="541" t="b">
        <f t="shared" si="505"/>
        <v>0</v>
      </c>
      <c r="AA712" s="514"/>
      <c r="AB712" s="515"/>
      <c r="AC712" s="515"/>
      <c r="AD712" s="524"/>
      <c r="AE712" s="524"/>
      <c r="AF712" s="524"/>
      <c r="AG712" s="524"/>
      <c r="AH712" s="514"/>
      <c r="AI712" s="539"/>
      <c r="AJ712" s="516"/>
      <c r="AK712" s="516"/>
      <c r="AL712" s="516"/>
      <c r="AM712" s="290"/>
      <c r="AO712" t="b">
        <f t="shared" si="506"/>
        <v>0</v>
      </c>
      <c r="AQ712" s="439"/>
      <c r="AS712" s="439">
        <f>__xlfn.XLOOKUP(K712,[1]Izvršenje_proračuna_po_pozicija!$C$25:$C$149,[1]Izvršenje_proračuna_po_pozicija!$E$25:$E$149,0)</f>
        <v>0</v>
      </c>
      <c r="AT712" s="616"/>
      <c r="AU712" s="474"/>
      <c r="AV712" s="632"/>
      <c r="AW712" s="632"/>
      <c r="AX712" s="655" t="str">
        <f t="shared" si="488"/>
        <v/>
      </c>
      <c r="AY712" s="655" t="str">
        <f t="shared" si="489"/>
        <v/>
      </c>
      <c r="AZ712" s="655" t="str">
        <f t="shared" si="490"/>
        <v/>
      </c>
      <c r="BA712" s="655" t="str">
        <f t="shared" si="491"/>
        <v/>
      </c>
      <c r="BB712" s="655" t="str">
        <f t="shared" si="492"/>
        <v/>
      </c>
      <c r="BC712" s="655" t="str">
        <f t="shared" si="492"/>
        <v/>
      </c>
    </row>
    <row r="713" spans="1:55" ht="12" customHeight="1">
      <c r="A713" s="212" t="s">
        <v>489</v>
      </c>
      <c r="B713" s="130"/>
      <c r="C713" s="130"/>
      <c r="D713" s="130"/>
      <c r="E713" s="130"/>
      <c r="F713" s="130"/>
      <c r="G713" s="130"/>
      <c r="H713" s="388"/>
      <c r="I713" s="167" t="s">
        <v>319</v>
      </c>
      <c r="J713" s="168"/>
      <c r="K713" s="111"/>
      <c r="L713" s="320">
        <f t="shared" ref="L713:S713" si="532">L715</f>
        <v>80930</v>
      </c>
      <c r="M713" s="320">
        <f t="shared" si="532"/>
        <v>10741.256884995686</v>
      </c>
      <c r="N713" s="344">
        <f t="shared" si="532"/>
        <v>53542</v>
      </c>
      <c r="O713" s="344">
        <f t="shared" si="532"/>
        <v>7106.2446081359076</v>
      </c>
      <c r="P713" s="299">
        <f t="shared" si="532"/>
        <v>8000</v>
      </c>
      <c r="Q713" s="299">
        <f t="shared" si="532"/>
        <v>8000</v>
      </c>
      <c r="R713" s="447">
        <f t="shared" si="532"/>
        <v>6424</v>
      </c>
      <c r="S713" s="299">
        <f t="shared" si="532"/>
        <v>0</v>
      </c>
      <c r="T713" s="299"/>
      <c r="U713" s="299"/>
      <c r="V713" s="477">
        <f>V715</f>
        <v>8000</v>
      </c>
      <c r="W713" s="477">
        <f>W715</f>
        <v>11000</v>
      </c>
      <c r="X713" s="542">
        <f>X715</f>
        <v>14000</v>
      </c>
      <c r="Y713" s="542">
        <f>Y715</f>
        <v>0</v>
      </c>
      <c r="Z713" s="541" t="b">
        <f t="shared" si="505"/>
        <v>1</v>
      </c>
      <c r="AA713" s="542"/>
      <c r="AB713" s="543">
        <f>AB715</f>
        <v>9000</v>
      </c>
      <c r="AC713" s="543">
        <f>AC715</f>
        <v>9000</v>
      </c>
      <c r="AD713" s="524">
        <f>O713/M713*100</f>
        <v>66.158408501173852</v>
      </c>
      <c r="AE713" s="524">
        <f>P713/O713*100</f>
        <v>112.57704232191553</v>
      </c>
      <c r="AF713" s="524">
        <f>Q713/P713*100</f>
        <v>100</v>
      </c>
      <c r="AG713" s="524">
        <f>AB713/Q713*100</f>
        <v>112.5</v>
      </c>
      <c r="AH713" s="542"/>
      <c r="AI713" s="542">
        <v>14000</v>
      </c>
      <c r="AJ713" s="516">
        <f>W713/R713*100</f>
        <v>171.23287671232876</v>
      </c>
      <c r="AK713" s="516">
        <f>AT713/W713*100</f>
        <v>109.09090909090908</v>
      </c>
      <c r="AL713" s="516">
        <f>X713/AT713*100</f>
        <v>116.66666666666667</v>
      </c>
      <c r="AM713" s="299"/>
      <c r="AO713" t="b">
        <f t="shared" si="506"/>
        <v>1</v>
      </c>
      <c r="AP713" s="503">
        <f t="shared" ref="AP713:AU713" si="533">AP715</f>
        <v>9799.23</v>
      </c>
      <c r="AQ713" s="447">
        <v>9799.23</v>
      </c>
      <c r="AR713" s="503">
        <f>AR715</f>
        <v>9799.23</v>
      </c>
      <c r="AS713" s="447">
        <f t="shared" si="533"/>
        <v>3363.43</v>
      </c>
      <c r="AT713" s="611">
        <f t="shared" si="533"/>
        <v>12000</v>
      </c>
      <c r="AU713" s="477">
        <f t="shared" si="533"/>
        <v>12000</v>
      </c>
      <c r="AV713" s="643">
        <v>14000</v>
      </c>
      <c r="AW713" s="643">
        <v>14000</v>
      </c>
      <c r="AX713" s="655">
        <f t="shared" si="488"/>
        <v>186.79950186799502</v>
      </c>
      <c r="AY713" s="655">
        <f t="shared" si="489"/>
        <v>122.45860133908482</v>
      </c>
      <c r="AZ713" s="655">
        <f t="shared" si="490"/>
        <v>100</v>
      </c>
      <c r="BA713" s="655">
        <f t="shared" si="491"/>
        <v>122.45860133908482</v>
      </c>
      <c r="BB713" s="655">
        <f t="shared" si="492"/>
        <v>116.66666666666667</v>
      </c>
      <c r="BC713" s="655">
        <f t="shared" si="492"/>
        <v>100</v>
      </c>
    </row>
    <row r="714" spans="1:55" ht="12" customHeight="1">
      <c r="A714" s="25"/>
      <c r="B714" s="25"/>
      <c r="C714" s="25"/>
      <c r="D714" s="25"/>
      <c r="E714" s="25"/>
      <c r="F714" s="25"/>
      <c r="G714" s="25"/>
      <c r="H714" s="382"/>
      <c r="I714" s="114"/>
      <c r="J714" s="94"/>
      <c r="K714" s="26"/>
      <c r="L714" s="317"/>
      <c r="M714" s="317"/>
      <c r="N714" s="341"/>
      <c r="O714" s="341"/>
      <c r="P714" s="296"/>
      <c r="Q714" s="296"/>
      <c r="R714" s="445"/>
      <c r="S714" s="294">
        <f>__xlfn.XLOOKUP(H714,[2]Izvršenje_proračuna_po_pozicija!$B$2:$B$153,[2]Izvršenje_proračuna_po_pozicija!$E$2:$E$153,0)</f>
        <v>0</v>
      </c>
      <c r="T714" s="294"/>
      <c r="U714" s="294"/>
      <c r="V714" s="481"/>
      <c r="W714" s="481"/>
      <c r="X714" s="549"/>
      <c r="Y714" s="549"/>
      <c r="Z714" s="541" t="b">
        <f t="shared" si="505"/>
        <v>0</v>
      </c>
      <c r="AA714" s="531"/>
      <c r="AB714" s="532"/>
      <c r="AC714" s="532"/>
      <c r="AD714" s="524"/>
      <c r="AE714" s="524"/>
      <c r="AF714" s="524"/>
      <c r="AG714" s="524"/>
      <c r="AH714" s="531"/>
      <c r="AI714" s="549"/>
      <c r="AJ714" s="516"/>
      <c r="AK714" s="516"/>
      <c r="AL714" s="516"/>
      <c r="AM714" s="296"/>
      <c r="AO714" t="b">
        <f t="shared" si="506"/>
        <v>0</v>
      </c>
      <c r="AQ714" s="445"/>
      <c r="AS714" s="445"/>
      <c r="AT714" s="616"/>
      <c r="AU714" s="481"/>
      <c r="AV714" s="640"/>
      <c r="AW714" s="640"/>
      <c r="AX714" s="655" t="str">
        <f t="shared" si="488"/>
        <v/>
      </c>
      <c r="AY714" s="655" t="str">
        <f t="shared" si="489"/>
        <v/>
      </c>
      <c r="AZ714" s="655" t="str">
        <f t="shared" si="490"/>
        <v/>
      </c>
      <c r="BA714" s="655" t="str">
        <f t="shared" si="491"/>
        <v/>
      </c>
      <c r="BB714" s="655" t="str">
        <f t="shared" si="492"/>
        <v/>
      </c>
      <c r="BC714" s="655" t="str">
        <f t="shared" si="492"/>
        <v/>
      </c>
    </row>
    <row r="715" spans="1:55" ht="12" customHeight="1">
      <c r="A715" s="52"/>
      <c r="B715" s="52"/>
      <c r="C715" s="52"/>
      <c r="D715" s="52"/>
      <c r="E715" s="52"/>
      <c r="F715" s="52"/>
      <c r="G715" s="52"/>
      <c r="H715" s="384"/>
      <c r="I715" s="156"/>
      <c r="J715" s="94">
        <v>3</v>
      </c>
      <c r="K715" s="21" t="s">
        <v>94</v>
      </c>
      <c r="L715" s="315">
        <f t="shared" ref="L715:AC717" si="534">L716</f>
        <v>80930</v>
      </c>
      <c r="M715" s="315">
        <f t="shared" si="534"/>
        <v>10741.256884995686</v>
      </c>
      <c r="N715" s="337">
        <f t="shared" si="534"/>
        <v>53542</v>
      </c>
      <c r="O715" s="337">
        <f t="shared" si="534"/>
        <v>7106.2446081359076</v>
      </c>
      <c r="P715" s="292">
        <f t="shared" si="534"/>
        <v>8000</v>
      </c>
      <c r="Q715" s="292">
        <f t="shared" si="534"/>
        <v>8000</v>
      </c>
      <c r="R715" s="441">
        <f t="shared" si="534"/>
        <v>6424</v>
      </c>
      <c r="S715" s="292">
        <f t="shared" si="534"/>
        <v>0</v>
      </c>
      <c r="T715" s="292"/>
      <c r="U715" s="292"/>
      <c r="V715" s="469">
        <f t="shared" si="534"/>
        <v>8000</v>
      </c>
      <c r="W715" s="469">
        <f t="shared" si="534"/>
        <v>11000</v>
      </c>
      <c r="X715" s="522">
        <f t="shared" si="534"/>
        <v>14000</v>
      </c>
      <c r="Y715" s="522">
        <f t="shared" si="534"/>
        <v>0</v>
      </c>
      <c r="Z715" s="541" t="b">
        <f t="shared" si="505"/>
        <v>1</v>
      </c>
      <c r="AA715" s="522"/>
      <c r="AB715" s="523">
        <f t="shared" si="534"/>
        <v>9000</v>
      </c>
      <c r="AC715" s="523">
        <f t="shared" si="534"/>
        <v>9000</v>
      </c>
      <c r="AD715" s="524">
        <f>O715/M715*100</f>
        <v>66.158408501173852</v>
      </c>
      <c r="AE715" s="524">
        <f t="shared" ref="AE715:AF718" si="535">P715/O715*100</f>
        <v>112.57704232191553</v>
      </c>
      <c r="AF715" s="524">
        <f t="shared" si="535"/>
        <v>100</v>
      </c>
      <c r="AG715" s="524">
        <f>AB715/Q715*100</f>
        <v>112.5</v>
      </c>
      <c r="AH715" s="522"/>
      <c r="AI715" s="522">
        <v>14000</v>
      </c>
      <c r="AJ715" s="516">
        <f>W715/R715*100</f>
        <v>171.23287671232876</v>
      </c>
      <c r="AK715" s="516">
        <f>AT715/W715*100</f>
        <v>109.09090909090908</v>
      </c>
      <c r="AL715" s="516">
        <f>X715/AT715*100</f>
        <v>116.66666666666667</v>
      </c>
      <c r="AM715" s="292"/>
      <c r="AO715" t="b">
        <f t="shared" si="506"/>
        <v>1</v>
      </c>
      <c r="AP715" s="440">
        <f t="shared" ref="AP715:AU717" si="536">AP716</f>
        <v>9799.23</v>
      </c>
      <c r="AQ715" s="441">
        <v>9799.23</v>
      </c>
      <c r="AR715" s="440">
        <f>AR716</f>
        <v>9799.23</v>
      </c>
      <c r="AS715" s="441">
        <f t="shared" si="536"/>
        <v>3363.43</v>
      </c>
      <c r="AT715" s="612">
        <f>AT716</f>
        <v>12000</v>
      </c>
      <c r="AU715" s="469">
        <f t="shared" si="536"/>
        <v>12000</v>
      </c>
      <c r="AV715" s="636">
        <v>14000</v>
      </c>
      <c r="AW715" s="636">
        <v>14000</v>
      </c>
      <c r="AX715" s="655">
        <f t="shared" ref="AX715:AX778" si="537">IF(AND(ISNUMBER(AT715), ISNUMBER(R715), R715&lt;&gt;0), (AT715/R715)*100, "")</f>
        <v>186.79950186799502</v>
      </c>
      <c r="AY715" s="655">
        <f t="shared" ref="AY715:AY766" si="538">IF(AND(ISNUMBER(AT715), ISNUMBER(AQ715), AQ715&lt;&gt;0), (AT715/AQ715)*100, "")</f>
        <v>122.45860133908482</v>
      </c>
      <c r="AZ715" s="655">
        <f t="shared" ref="AZ715:AZ778" si="539">IF(AND(ISNUMBER(AU715), ISNUMBER(AT715), AT715&lt;&gt;0), (AU715/AT715)*100, "")</f>
        <v>100</v>
      </c>
      <c r="BA715" s="655">
        <f t="shared" ref="BA715:BA766" si="540">IF(AND(ISNUMBER(AU715), ISNUMBER(AQ715), AQ715&lt;&gt;0), (AU715/AQ715)*100, "")</f>
        <v>122.45860133908482</v>
      </c>
      <c r="BB715" s="655">
        <f t="shared" ref="BB715:BC773" si="541">IF(AND(ISNUMBER(AV715), ISNUMBER(AU715), AU715&lt;&gt;0), (AV715/AU715)*100, "")</f>
        <v>116.66666666666667</v>
      </c>
      <c r="BC715" s="655">
        <f t="shared" si="541"/>
        <v>100</v>
      </c>
    </row>
    <row r="716" spans="1:55" ht="12" customHeight="1">
      <c r="A716" s="355"/>
      <c r="B716" s="355"/>
      <c r="C716" s="355"/>
      <c r="D716" s="355"/>
      <c r="E716" s="355"/>
      <c r="F716" s="355"/>
      <c r="G716" s="355"/>
      <c r="H716" s="379"/>
      <c r="I716" s="359"/>
      <c r="J716" s="356">
        <v>32</v>
      </c>
      <c r="K716" s="358" t="s">
        <v>103</v>
      </c>
      <c r="L716" s="315">
        <f t="shared" si="534"/>
        <v>80930</v>
      </c>
      <c r="M716" s="315">
        <f t="shared" si="534"/>
        <v>10741.256884995686</v>
      </c>
      <c r="N716" s="337">
        <f t="shared" si="534"/>
        <v>53542</v>
      </c>
      <c r="O716" s="337">
        <f t="shared" si="534"/>
        <v>7106.2446081359076</v>
      </c>
      <c r="P716" s="292">
        <f t="shared" si="534"/>
        <v>8000</v>
      </c>
      <c r="Q716" s="292">
        <f t="shared" si="534"/>
        <v>8000</v>
      </c>
      <c r="R716" s="441">
        <f t="shared" si="534"/>
        <v>6424</v>
      </c>
      <c r="S716" s="292">
        <f t="shared" si="534"/>
        <v>0</v>
      </c>
      <c r="T716" s="292"/>
      <c r="U716" s="292"/>
      <c r="V716" s="469">
        <f t="shared" si="534"/>
        <v>8000</v>
      </c>
      <c r="W716" s="469">
        <f t="shared" si="534"/>
        <v>11000</v>
      </c>
      <c r="X716" s="522">
        <f t="shared" si="534"/>
        <v>14000</v>
      </c>
      <c r="Y716" s="522">
        <f t="shared" si="534"/>
        <v>0</v>
      </c>
      <c r="Z716" s="541" t="b">
        <f t="shared" si="505"/>
        <v>1</v>
      </c>
      <c r="AA716" s="522"/>
      <c r="AB716" s="523">
        <f t="shared" si="534"/>
        <v>9000</v>
      </c>
      <c r="AC716" s="523">
        <f t="shared" si="534"/>
        <v>9000</v>
      </c>
      <c r="AD716" s="524">
        <f>O716/M716*100</f>
        <v>66.158408501173852</v>
      </c>
      <c r="AE716" s="524">
        <f t="shared" si="535"/>
        <v>112.57704232191553</v>
      </c>
      <c r="AF716" s="524">
        <f t="shared" si="535"/>
        <v>100</v>
      </c>
      <c r="AG716" s="524">
        <f>AB716/Q716*100</f>
        <v>112.5</v>
      </c>
      <c r="AH716" s="522"/>
      <c r="AI716" s="522">
        <v>14000</v>
      </c>
      <c r="AJ716" s="516">
        <f>W716/R716*100</f>
        <v>171.23287671232876</v>
      </c>
      <c r="AK716" s="516">
        <f>AT716/W716*100</f>
        <v>109.09090909090908</v>
      </c>
      <c r="AL716" s="516">
        <f>X716/AT716*100</f>
        <v>116.66666666666667</v>
      </c>
      <c r="AM716" s="292"/>
      <c r="AO716" t="b">
        <f t="shared" si="506"/>
        <v>1</v>
      </c>
      <c r="AP716" s="440">
        <f t="shared" si="536"/>
        <v>9799.23</v>
      </c>
      <c r="AQ716" s="441">
        <v>9799.23</v>
      </c>
      <c r="AR716" s="440">
        <f>AR717</f>
        <v>9799.23</v>
      </c>
      <c r="AS716" s="441">
        <f t="shared" si="536"/>
        <v>3363.43</v>
      </c>
      <c r="AT716" s="612">
        <f>AT717</f>
        <v>12000</v>
      </c>
      <c r="AU716" s="469">
        <f t="shared" si="536"/>
        <v>12000</v>
      </c>
      <c r="AV716" s="636">
        <v>14000</v>
      </c>
      <c r="AW716" s="636">
        <v>14000</v>
      </c>
      <c r="AX716" s="655">
        <f t="shared" si="537"/>
        <v>186.79950186799502</v>
      </c>
      <c r="AY716" s="655">
        <f t="shared" si="538"/>
        <v>122.45860133908482</v>
      </c>
      <c r="AZ716" s="655">
        <f t="shared" si="539"/>
        <v>100</v>
      </c>
      <c r="BA716" s="655">
        <f t="shared" si="540"/>
        <v>122.45860133908482</v>
      </c>
      <c r="BB716" s="655">
        <f t="shared" si="541"/>
        <v>116.66666666666667</v>
      </c>
      <c r="BC716" s="655">
        <f t="shared" si="541"/>
        <v>100</v>
      </c>
    </row>
    <row r="717" spans="1:55" ht="12" customHeight="1">
      <c r="A717" s="56"/>
      <c r="B717" s="56"/>
      <c r="C717" s="56"/>
      <c r="D717" s="56"/>
      <c r="E717" s="56"/>
      <c r="F717" s="56"/>
      <c r="G717" s="56"/>
      <c r="H717" s="377"/>
      <c r="I717" s="157"/>
      <c r="J717" s="116">
        <v>323</v>
      </c>
      <c r="K717" s="60" t="s">
        <v>191</v>
      </c>
      <c r="L717" s="315">
        <f t="shared" si="534"/>
        <v>80930</v>
      </c>
      <c r="M717" s="315">
        <f t="shared" si="534"/>
        <v>10741.256884995686</v>
      </c>
      <c r="N717" s="337">
        <f t="shared" si="534"/>
        <v>53542</v>
      </c>
      <c r="O717" s="337">
        <f t="shared" si="534"/>
        <v>7106.2446081359076</v>
      </c>
      <c r="P717" s="292">
        <f t="shared" si="534"/>
        <v>8000</v>
      </c>
      <c r="Q717" s="292">
        <f t="shared" si="534"/>
        <v>8000</v>
      </c>
      <c r="R717" s="441">
        <f t="shared" si="534"/>
        <v>6424</v>
      </c>
      <c r="S717" s="292">
        <f t="shared" si="534"/>
        <v>0</v>
      </c>
      <c r="T717" s="292"/>
      <c r="U717" s="292"/>
      <c r="V717" s="469">
        <f t="shared" si="534"/>
        <v>8000</v>
      </c>
      <c r="W717" s="469">
        <f t="shared" si="534"/>
        <v>11000</v>
      </c>
      <c r="X717" s="522">
        <f t="shared" si="534"/>
        <v>14000</v>
      </c>
      <c r="Y717" s="522">
        <f t="shared" si="534"/>
        <v>0</v>
      </c>
      <c r="Z717" s="541" t="b">
        <f t="shared" si="505"/>
        <v>1</v>
      </c>
      <c r="AA717" s="522"/>
      <c r="AB717" s="523">
        <f t="shared" si="534"/>
        <v>9000</v>
      </c>
      <c r="AC717" s="523">
        <f t="shared" si="534"/>
        <v>9000</v>
      </c>
      <c r="AD717" s="524">
        <f>O717/M717*100</f>
        <v>66.158408501173852</v>
      </c>
      <c r="AE717" s="524">
        <f t="shared" si="535"/>
        <v>112.57704232191553</v>
      </c>
      <c r="AF717" s="524">
        <f t="shared" si="535"/>
        <v>100</v>
      </c>
      <c r="AG717" s="524">
        <f>AB717/Q717*100</f>
        <v>112.5</v>
      </c>
      <c r="AH717" s="522"/>
      <c r="AI717" s="522">
        <v>14000</v>
      </c>
      <c r="AJ717" s="516">
        <f>W717/R717*100</f>
        <v>171.23287671232876</v>
      </c>
      <c r="AK717" s="516">
        <f>AT717/W717*100</f>
        <v>109.09090909090908</v>
      </c>
      <c r="AL717" s="516">
        <f>X717/AT717*100</f>
        <v>116.66666666666667</v>
      </c>
      <c r="AM717" s="292"/>
      <c r="AO717" t="b">
        <f t="shared" si="506"/>
        <v>1</v>
      </c>
      <c r="AP717" s="440">
        <f t="shared" si="536"/>
        <v>9799.23</v>
      </c>
      <c r="AQ717" s="441">
        <v>9799.23</v>
      </c>
      <c r="AR717" s="440">
        <f>AR718</f>
        <v>9799.23</v>
      </c>
      <c r="AS717" s="441">
        <f t="shared" si="536"/>
        <v>3363.43</v>
      </c>
      <c r="AT717" s="612">
        <f>AT718</f>
        <v>12000</v>
      </c>
      <c r="AU717" s="469">
        <f t="shared" si="536"/>
        <v>12000</v>
      </c>
      <c r="AV717" s="636">
        <v>14000</v>
      </c>
      <c r="AW717" s="636">
        <v>14000</v>
      </c>
      <c r="AX717" s="655">
        <f t="shared" si="537"/>
        <v>186.79950186799502</v>
      </c>
      <c r="AY717" s="655">
        <f t="shared" si="538"/>
        <v>122.45860133908482</v>
      </c>
      <c r="AZ717" s="655">
        <f t="shared" si="539"/>
        <v>100</v>
      </c>
      <c r="BA717" s="655">
        <f t="shared" si="540"/>
        <v>122.45860133908482</v>
      </c>
      <c r="BB717" s="655">
        <f t="shared" si="541"/>
        <v>116.66666666666667</v>
      </c>
      <c r="BC717" s="655">
        <f t="shared" si="541"/>
        <v>100</v>
      </c>
    </row>
    <row r="718" spans="1:55" ht="12" customHeight="1">
      <c r="A718" s="36"/>
      <c r="B718" s="36"/>
      <c r="C718" s="36"/>
      <c r="D718" s="36"/>
      <c r="E718" s="36"/>
      <c r="F718" s="36"/>
      <c r="G718" s="36"/>
      <c r="H718" s="204">
        <v>110</v>
      </c>
      <c r="I718" s="132">
        <v>660</v>
      </c>
      <c r="J718" s="71">
        <v>3234</v>
      </c>
      <c r="K718" s="40" t="s">
        <v>320</v>
      </c>
      <c r="L718" s="309">
        <v>80930</v>
      </c>
      <c r="M718" s="309">
        <f>80930/7.5345</f>
        <v>10741.256884995686</v>
      </c>
      <c r="N718" s="339">
        <v>53542</v>
      </c>
      <c r="O718" s="339">
        <f>N718/7.5345</f>
        <v>7106.2446081359076</v>
      </c>
      <c r="P718" s="294">
        <v>8000</v>
      </c>
      <c r="Q718" s="294">
        <v>8000</v>
      </c>
      <c r="R718" s="443">
        <v>6424</v>
      </c>
      <c r="S718" s="294">
        <f>__xlfn.XLOOKUP(H718,[2]Izvršenje_proračuna_po_pozicija!$B$2:$B$153,[2]Izvršenje_proračuna_po_pozicija!$E$2:$E$153,0)</f>
        <v>0</v>
      </c>
      <c r="T718" s="294"/>
      <c r="U718" s="294"/>
      <c r="V718" s="478">
        <v>8000</v>
      </c>
      <c r="W718" s="478">
        <v>11000</v>
      </c>
      <c r="X718" s="544">
        <v>14000</v>
      </c>
      <c r="Y718" s="544"/>
      <c r="Z718" s="541" t="b">
        <f t="shared" si="505"/>
        <v>0</v>
      </c>
      <c r="AA718" s="527"/>
      <c r="AB718" s="528">
        <v>9000</v>
      </c>
      <c r="AC718" s="528">
        <v>9000</v>
      </c>
      <c r="AD718" s="524">
        <f>O718/M718*100</f>
        <v>66.158408501173852</v>
      </c>
      <c r="AE718" s="524">
        <f t="shared" si="535"/>
        <v>112.57704232191553</v>
      </c>
      <c r="AF718" s="524">
        <f t="shared" si="535"/>
        <v>100</v>
      </c>
      <c r="AG718" s="524">
        <f>AB718/Q718*100</f>
        <v>112.5</v>
      </c>
      <c r="AH718" s="527"/>
      <c r="AI718" s="544">
        <v>14000</v>
      </c>
      <c r="AJ718" s="516">
        <f>W718/R718*100</f>
        <v>171.23287671232876</v>
      </c>
      <c r="AK718" s="516">
        <f>AT718/W718*100</f>
        <v>109.09090909090908</v>
      </c>
      <c r="AL718" s="516">
        <f>X718/AT718*100</f>
        <v>116.66666666666667</v>
      </c>
      <c r="AM718" s="294"/>
      <c r="AO718" t="b">
        <f t="shared" si="506"/>
        <v>0</v>
      </c>
      <c r="AP718" s="493">
        <v>9799.23</v>
      </c>
      <c r="AQ718" s="443">
        <v>9799.23</v>
      </c>
      <c r="AR718" s="493">
        <v>9799.23</v>
      </c>
      <c r="AS718" s="443">
        <f>__xlfn.XLOOKUP(K718,[1]Izvršenje_proračuna_po_pozicija!$C$25:$C$149,[1]Izvršenje_proračuna_po_pozicija!$E$25:$E$149,0)</f>
        <v>3363.43</v>
      </c>
      <c r="AT718" s="617">
        <v>12000</v>
      </c>
      <c r="AU718" s="478">
        <v>12000</v>
      </c>
      <c r="AV718" s="638">
        <v>14000</v>
      </c>
      <c r="AW718" s="638">
        <v>14000</v>
      </c>
      <c r="AX718" s="655">
        <f t="shared" si="537"/>
        <v>186.79950186799502</v>
      </c>
      <c r="AY718" s="655">
        <f t="shared" si="538"/>
        <v>122.45860133908482</v>
      </c>
      <c r="AZ718" s="655">
        <f t="shared" si="539"/>
        <v>100</v>
      </c>
      <c r="BA718" s="655">
        <f t="shared" si="540"/>
        <v>122.45860133908482</v>
      </c>
      <c r="BB718" s="655">
        <f t="shared" si="541"/>
        <v>116.66666666666667</v>
      </c>
      <c r="BC718" s="655">
        <f t="shared" si="541"/>
        <v>100</v>
      </c>
    </row>
    <row r="719" spans="1:55" ht="12" customHeight="1">
      <c r="A719" s="25"/>
      <c r="B719" s="25"/>
      <c r="C719" s="25"/>
      <c r="D719" s="25"/>
      <c r="E719" s="25"/>
      <c r="F719" s="25"/>
      <c r="G719" s="25"/>
      <c r="H719" s="382"/>
      <c r="I719" s="115"/>
      <c r="J719" s="29"/>
      <c r="K719" s="26"/>
      <c r="L719" s="317"/>
      <c r="M719" s="317"/>
      <c r="N719" s="341"/>
      <c r="O719" s="341"/>
      <c r="P719" s="296"/>
      <c r="Q719" s="296"/>
      <c r="R719" s="445"/>
      <c r="S719" s="294">
        <f>__xlfn.XLOOKUP(H719,[2]Izvršenje_proračuna_po_pozicija!$B$2:$B$153,[2]Izvršenje_proračuna_po_pozicija!$E$2:$E$153,0)</f>
        <v>0</v>
      </c>
      <c r="T719" s="294"/>
      <c r="U719" s="294"/>
      <c r="V719" s="481"/>
      <c r="W719" s="481"/>
      <c r="X719" s="549"/>
      <c r="Y719" s="549"/>
      <c r="Z719" s="541" t="b">
        <f t="shared" si="505"/>
        <v>0</v>
      </c>
      <c r="AA719" s="531"/>
      <c r="AB719" s="532"/>
      <c r="AC719" s="532"/>
      <c r="AD719" s="524"/>
      <c r="AE719" s="524"/>
      <c r="AF719" s="524"/>
      <c r="AG719" s="524"/>
      <c r="AH719" s="531"/>
      <c r="AI719" s="549"/>
      <c r="AJ719" s="516"/>
      <c r="AK719" s="516"/>
      <c r="AL719" s="516"/>
      <c r="AM719" s="296"/>
      <c r="AO719" t="b">
        <f t="shared" si="506"/>
        <v>0</v>
      </c>
      <c r="AQ719" s="445"/>
      <c r="AS719" s="445">
        <f>__xlfn.XLOOKUP(K719,[1]Izvršenje_proračuna_po_pozicija!$C$25:$C$149,[1]Izvršenje_proračuna_po_pozicija!$E$25:$E$149,0)</f>
        <v>0</v>
      </c>
      <c r="AT719" s="616"/>
      <c r="AU719" s="481"/>
      <c r="AV719" s="640"/>
      <c r="AW719" s="640"/>
      <c r="AX719" s="655" t="str">
        <f t="shared" si="537"/>
        <v/>
      </c>
      <c r="AY719" s="655" t="str">
        <f t="shared" si="538"/>
        <v/>
      </c>
      <c r="AZ719" s="655" t="str">
        <f t="shared" si="539"/>
        <v/>
      </c>
      <c r="BA719" s="655" t="str">
        <f t="shared" si="540"/>
        <v/>
      </c>
      <c r="BB719" s="655" t="str">
        <f t="shared" si="541"/>
        <v/>
      </c>
      <c r="BC719" s="655" t="str">
        <f t="shared" si="541"/>
        <v/>
      </c>
    </row>
    <row r="720" spans="1:55" ht="12" customHeight="1">
      <c r="A720" s="212" t="s">
        <v>490</v>
      </c>
      <c r="B720" s="130"/>
      <c r="C720" s="130"/>
      <c r="D720" s="130"/>
      <c r="E720" s="130"/>
      <c r="F720" s="130"/>
      <c r="G720" s="130"/>
      <c r="H720" s="383"/>
      <c r="I720" s="170" t="s">
        <v>321</v>
      </c>
      <c r="J720" s="151"/>
      <c r="K720" s="45"/>
      <c r="L720" s="315">
        <f t="shared" ref="L720:S720" si="542">L722</f>
        <v>315333</v>
      </c>
      <c r="M720" s="315">
        <f t="shared" si="542"/>
        <v>41851.881345809277</v>
      </c>
      <c r="N720" s="337">
        <f t="shared" si="542"/>
        <v>681027</v>
      </c>
      <c r="O720" s="337">
        <f t="shared" si="542"/>
        <v>90387.816046187538</v>
      </c>
      <c r="P720" s="292">
        <f t="shared" si="542"/>
        <v>82300</v>
      </c>
      <c r="Q720" s="292">
        <f t="shared" si="542"/>
        <v>66000</v>
      </c>
      <c r="R720" s="441">
        <f t="shared" si="542"/>
        <v>62420</v>
      </c>
      <c r="S720" s="292">
        <f t="shared" si="542"/>
        <v>0</v>
      </c>
      <c r="T720" s="292"/>
      <c r="U720" s="292"/>
      <c r="V720" s="469">
        <f>V722</f>
        <v>56300</v>
      </c>
      <c r="W720" s="469">
        <f>W722</f>
        <v>57500</v>
      </c>
      <c r="X720" s="522">
        <f>X722</f>
        <v>63000</v>
      </c>
      <c r="Y720" s="522">
        <f>Y722</f>
        <v>0</v>
      </c>
      <c r="Z720" s="541" t="b">
        <f t="shared" si="505"/>
        <v>1</v>
      </c>
      <c r="AA720" s="522"/>
      <c r="AB720" s="523">
        <f>AB722</f>
        <v>83000</v>
      </c>
      <c r="AC720" s="523">
        <f>AC722</f>
        <v>83000</v>
      </c>
      <c r="AD720" s="524">
        <f>O720/M720*100</f>
        <v>215.9707356984521</v>
      </c>
      <c r="AE720" s="524">
        <f>P720/O720*100</f>
        <v>91.052094850864933</v>
      </c>
      <c r="AF720" s="524">
        <f>Q720/P720*100</f>
        <v>80.194410692588093</v>
      </c>
      <c r="AG720" s="524">
        <f>AB720/Q720*100</f>
        <v>125.75757575757575</v>
      </c>
      <c r="AH720" s="522"/>
      <c r="AI720" s="522">
        <v>63000</v>
      </c>
      <c r="AJ720" s="516">
        <f>W720/R720*100</f>
        <v>92.117910925985257</v>
      </c>
      <c r="AK720" s="516">
        <f>AT720/W720*100</f>
        <v>74.782608695652172</v>
      </c>
      <c r="AL720" s="516">
        <f>X720/AT720*100</f>
        <v>146.51162790697674</v>
      </c>
      <c r="AM720" s="292"/>
      <c r="AO720" t="b">
        <f t="shared" si="506"/>
        <v>1</v>
      </c>
      <c r="AP720" s="440">
        <f t="shared" ref="AP720:AU720" si="543">AP722</f>
        <v>43428.57</v>
      </c>
      <c r="AQ720" s="441">
        <v>43428.57</v>
      </c>
      <c r="AR720" s="440">
        <f>AR722</f>
        <v>43428.57</v>
      </c>
      <c r="AS720" s="441">
        <f t="shared" si="543"/>
        <v>26485.35</v>
      </c>
      <c r="AT720" s="612">
        <f t="shared" si="543"/>
        <v>43000</v>
      </c>
      <c r="AU720" s="469">
        <f t="shared" si="543"/>
        <v>33000</v>
      </c>
      <c r="AV720" s="636">
        <v>63000</v>
      </c>
      <c r="AW720" s="636">
        <v>63000</v>
      </c>
      <c r="AX720" s="655">
        <f t="shared" si="537"/>
        <v>68.888176866388974</v>
      </c>
      <c r="AY720" s="655">
        <f t="shared" si="538"/>
        <v>99.013161151748719</v>
      </c>
      <c r="AZ720" s="655">
        <f t="shared" si="539"/>
        <v>76.744186046511629</v>
      </c>
      <c r="BA720" s="655">
        <f t="shared" si="540"/>
        <v>75.986844604830424</v>
      </c>
      <c r="BB720" s="655">
        <f t="shared" si="541"/>
        <v>190.90909090909091</v>
      </c>
      <c r="BC720" s="655">
        <f t="shared" si="541"/>
        <v>100</v>
      </c>
    </row>
    <row r="721" spans="1:55" ht="12" customHeight="1">
      <c r="A721" s="36"/>
      <c r="B721" s="36"/>
      <c r="C721" s="36"/>
      <c r="D721" s="36"/>
      <c r="E721" s="36"/>
      <c r="F721" s="36"/>
      <c r="G721" s="36"/>
      <c r="H721" s="204"/>
      <c r="I721" s="132"/>
      <c r="J721" s="71"/>
      <c r="K721" s="40"/>
      <c r="L721" s="326"/>
      <c r="M721" s="326"/>
      <c r="N721" s="350"/>
      <c r="O721" s="350"/>
      <c r="P721" s="305"/>
      <c r="Q721" s="305"/>
      <c r="R721" s="461"/>
      <c r="S721" s="294">
        <f>__xlfn.XLOOKUP(H721,[2]Izvršenje_proračuna_po_pozicija!$B$2:$B$153,[2]Izvršenje_proračuna_po_pozicija!$E$2:$E$153,0)</f>
        <v>0</v>
      </c>
      <c r="T721" s="294"/>
      <c r="U721" s="294"/>
      <c r="V721" s="486"/>
      <c r="W721" s="486"/>
      <c r="X721" s="559"/>
      <c r="Y721" s="559"/>
      <c r="Z721" s="541" t="b">
        <f t="shared" si="505"/>
        <v>0</v>
      </c>
      <c r="AA721" s="560"/>
      <c r="AB721" s="561"/>
      <c r="AC721" s="561"/>
      <c r="AD721" s="524"/>
      <c r="AE721" s="524"/>
      <c r="AF721" s="524"/>
      <c r="AG721" s="524"/>
      <c r="AH721" s="560"/>
      <c r="AI721" s="559"/>
      <c r="AJ721" s="516"/>
      <c r="AK721" s="516"/>
      <c r="AL721" s="516"/>
      <c r="AM721" s="305"/>
      <c r="AO721" t="b">
        <f t="shared" si="506"/>
        <v>0</v>
      </c>
      <c r="AQ721" s="461"/>
      <c r="AS721" s="461"/>
      <c r="AT721" s="616"/>
      <c r="AU721" s="486"/>
      <c r="AV721" s="648"/>
      <c r="AW721" s="648"/>
      <c r="AX721" s="655" t="str">
        <f t="shared" si="537"/>
        <v/>
      </c>
      <c r="AY721" s="655" t="str">
        <f t="shared" si="538"/>
        <v/>
      </c>
      <c r="AZ721" s="655" t="str">
        <f t="shared" si="539"/>
        <v/>
      </c>
      <c r="BA721" s="655" t="str">
        <f t="shared" si="540"/>
        <v/>
      </c>
      <c r="BB721" s="655" t="str">
        <f t="shared" si="541"/>
        <v/>
      </c>
      <c r="BC721" s="655" t="str">
        <f t="shared" si="541"/>
        <v/>
      </c>
    </row>
    <row r="722" spans="1:55" ht="12" customHeight="1">
      <c r="A722" s="52"/>
      <c r="B722" s="52"/>
      <c r="C722" s="52"/>
      <c r="D722" s="52"/>
      <c r="E722" s="52"/>
      <c r="F722" s="52"/>
      <c r="G722" s="52"/>
      <c r="H722" s="384"/>
      <c r="I722" s="156"/>
      <c r="J722" s="94">
        <v>3</v>
      </c>
      <c r="K722" s="21" t="s">
        <v>94</v>
      </c>
      <c r="L722" s="315">
        <f t="shared" ref="L722:AC722" si="544">L723</f>
        <v>315333</v>
      </c>
      <c r="M722" s="315">
        <f t="shared" si="544"/>
        <v>41851.881345809277</v>
      </c>
      <c r="N722" s="337">
        <f t="shared" si="544"/>
        <v>681027</v>
      </c>
      <c r="O722" s="337">
        <f t="shared" si="544"/>
        <v>90387.816046187538</v>
      </c>
      <c r="P722" s="292">
        <f t="shared" si="544"/>
        <v>82300</v>
      </c>
      <c r="Q722" s="292">
        <f t="shared" si="544"/>
        <v>66000</v>
      </c>
      <c r="R722" s="441">
        <f t="shared" si="544"/>
        <v>62420</v>
      </c>
      <c r="S722" s="292">
        <f t="shared" si="544"/>
        <v>0</v>
      </c>
      <c r="T722" s="292"/>
      <c r="U722" s="292"/>
      <c r="V722" s="469">
        <f t="shared" si="544"/>
        <v>56300</v>
      </c>
      <c r="W722" s="469">
        <f t="shared" si="544"/>
        <v>57500</v>
      </c>
      <c r="X722" s="522">
        <f t="shared" si="544"/>
        <v>63000</v>
      </c>
      <c r="Y722" s="522">
        <f t="shared" si="544"/>
        <v>0</v>
      </c>
      <c r="Z722" s="541" t="b">
        <f t="shared" si="505"/>
        <v>1</v>
      </c>
      <c r="AA722" s="522"/>
      <c r="AB722" s="523">
        <f t="shared" si="544"/>
        <v>83000</v>
      </c>
      <c r="AC722" s="523">
        <f t="shared" si="544"/>
        <v>83000</v>
      </c>
      <c r="AD722" s="524">
        <f>O722/M722*100</f>
        <v>215.9707356984521</v>
      </c>
      <c r="AE722" s="524">
        <f>P722/O722*100</f>
        <v>91.052094850864933</v>
      </c>
      <c r="AF722" s="524">
        <f>Q722/P722*100</f>
        <v>80.194410692588093</v>
      </c>
      <c r="AG722" s="524">
        <f>AB722/Q722*100</f>
        <v>125.75757575757575</v>
      </c>
      <c r="AH722" s="522"/>
      <c r="AI722" s="522">
        <v>63000</v>
      </c>
      <c r="AJ722" s="516">
        <f>W722/R722*100</f>
        <v>92.117910925985257</v>
      </c>
      <c r="AK722" s="516">
        <f>AT722/W722*100</f>
        <v>74.782608695652172</v>
      </c>
      <c r="AL722" s="516">
        <f>X722/AT722*100</f>
        <v>146.51162790697674</v>
      </c>
      <c r="AM722" s="292"/>
      <c r="AO722" t="b">
        <f t="shared" si="506"/>
        <v>1</v>
      </c>
      <c r="AP722" s="440">
        <f>AP723</f>
        <v>43428.57</v>
      </c>
      <c r="AQ722" s="441">
        <v>43428.57</v>
      </c>
      <c r="AR722" s="440">
        <f>AR723</f>
        <v>43428.57</v>
      </c>
      <c r="AS722" s="441">
        <f>AS723</f>
        <v>26485.35</v>
      </c>
      <c r="AT722" s="612">
        <f>AT723</f>
        <v>43000</v>
      </c>
      <c r="AU722" s="469">
        <f>AU723</f>
        <v>33000</v>
      </c>
      <c r="AV722" s="636">
        <v>63000</v>
      </c>
      <c r="AW722" s="636">
        <v>63000</v>
      </c>
      <c r="AX722" s="655">
        <f t="shared" si="537"/>
        <v>68.888176866388974</v>
      </c>
      <c r="AY722" s="655">
        <f t="shared" si="538"/>
        <v>99.013161151748719</v>
      </c>
      <c r="AZ722" s="655">
        <f t="shared" si="539"/>
        <v>76.744186046511629</v>
      </c>
      <c r="BA722" s="655">
        <f t="shared" si="540"/>
        <v>75.986844604830424</v>
      </c>
      <c r="BB722" s="655">
        <f t="shared" si="541"/>
        <v>190.90909090909091</v>
      </c>
      <c r="BC722" s="655">
        <f t="shared" si="541"/>
        <v>100</v>
      </c>
    </row>
    <row r="723" spans="1:55" ht="12" customHeight="1">
      <c r="A723" s="355"/>
      <c r="B723" s="355"/>
      <c r="C723" s="355"/>
      <c r="D723" s="355"/>
      <c r="E723" s="355"/>
      <c r="F723" s="355"/>
      <c r="G723" s="355"/>
      <c r="H723" s="379"/>
      <c r="I723" s="359"/>
      <c r="J723" s="356">
        <v>32</v>
      </c>
      <c r="K723" s="358" t="s">
        <v>103</v>
      </c>
      <c r="L723" s="315">
        <f t="shared" ref="L723:S723" si="545">L724+L727</f>
        <v>315333</v>
      </c>
      <c r="M723" s="315">
        <f t="shared" si="545"/>
        <v>41851.881345809277</v>
      </c>
      <c r="N723" s="337">
        <f t="shared" si="545"/>
        <v>681027</v>
      </c>
      <c r="O723" s="337">
        <f t="shared" si="545"/>
        <v>90387.816046187538</v>
      </c>
      <c r="P723" s="292">
        <f t="shared" si="545"/>
        <v>82300</v>
      </c>
      <c r="Q723" s="292">
        <f t="shared" si="545"/>
        <v>66000</v>
      </c>
      <c r="R723" s="441">
        <f t="shared" si="545"/>
        <v>62420</v>
      </c>
      <c r="S723" s="292">
        <f t="shared" si="545"/>
        <v>0</v>
      </c>
      <c r="T723" s="292"/>
      <c r="U723" s="292"/>
      <c r="V723" s="469">
        <f>V724+V727</f>
        <v>56300</v>
      </c>
      <c r="W723" s="469">
        <f>W724+W727</f>
        <v>57500</v>
      </c>
      <c r="X723" s="522">
        <f>X724+X727</f>
        <v>63000</v>
      </c>
      <c r="Y723" s="522">
        <f>Y724+Y727</f>
        <v>0</v>
      </c>
      <c r="Z723" s="541" t="b">
        <f t="shared" si="505"/>
        <v>1</v>
      </c>
      <c r="AA723" s="522"/>
      <c r="AB723" s="523">
        <f>AB724+AB727</f>
        <v>83000</v>
      </c>
      <c r="AC723" s="523">
        <f>AC724+AC727</f>
        <v>83000</v>
      </c>
      <c r="AD723" s="524">
        <f>O723/M723*100</f>
        <v>215.9707356984521</v>
      </c>
      <c r="AE723" s="524">
        <f>P723/O723*100</f>
        <v>91.052094850864933</v>
      </c>
      <c r="AF723" s="524">
        <f>Q723/P723*100</f>
        <v>80.194410692588093</v>
      </c>
      <c r="AG723" s="524">
        <f>AB723/Q723*100</f>
        <v>125.75757575757575</v>
      </c>
      <c r="AH723" s="522"/>
      <c r="AI723" s="522">
        <v>63000</v>
      </c>
      <c r="AJ723" s="516">
        <f>W723/R723*100</f>
        <v>92.117910925985257</v>
      </c>
      <c r="AK723" s="516">
        <f>AT723/W723*100</f>
        <v>74.782608695652172</v>
      </c>
      <c r="AL723" s="516">
        <f>X723/AT723*100</f>
        <v>146.51162790697674</v>
      </c>
      <c r="AM723" s="292"/>
      <c r="AO723" t="b">
        <f t="shared" si="506"/>
        <v>1</v>
      </c>
      <c r="AP723" s="440">
        <f t="shared" ref="AP723:AU723" si="546">AP724+AP727</f>
        <v>43428.57</v>
      </c>
      <c r="AQ723" s="441">
        <v>43428.57</v>
      </c>
      <c r="AR723" s="440">
        <f>AR724+AR727</f>
        <v>43428.57</v>
      </c>
      <c r="AS723" s="441">
        <f t="shared" si="546"/>
        <v>26485.35</v>
      </c>
      <c r="AT723" s="612">
        <f t="shared" si="546"/>
        <v>43000</v>
      </c>
      <c r="AU723" s="469">
        <f t="shared" si="546"/>
        <v>33000</v>
      </c>
      <c r="AV723" s="636">
        <v>63000</v>
      </c>
      <c r="AW723" s="636">
        <v>63000</v>
      </c>
      <c r="AX723" s="655">
        <f t="shared" si="537"/>
        <v>68.888176866388974</v>
      </c>
      <c r="AY723" s="655">
        <f t="shared" si="538"/>
        <v>99.013161151748719</v>
      </c>
      <c r="AZ723" s="655">
        <f t="shared" si="539"/>
        <v>76.744186046511629</v>
      </c>
      <c r="BA723" s="655">
        <f t="shared" si="540"/>
        <v>75.986844604830424</v>
      </c>
      <c r="BB723" s="655">
        <f t="shared" si="541"/>
        <v>190.90909090909091</v>
      </c>
      <c r="BC723" s="655">
        <f t="shared" si="541"/>
        <v>100</v>
      </c>
    </row>
    <row r="724" spans="1:55" ht="12" customHeight="1">
      <c r="A724" s="56"/>
      <c r="B724" s="56"/>
      <c r="C724" s="56"/>
      <c r="D724" s="56"/>
      <c r="E724" s="56"/>
      <c r="F724" s="56"/>
      <c r="G724" s="56"/>
      <c r="H724" s="377"/>
      <c r="I724" s="157"/>
      <c r="J724" s="116">
        <v>322</v>
      </c>
      <c r="K724" s="60" t="s">
        <v>249</v>
      </c>
      <c r="L724" s="315">
        <f t="shared" ref="L724:AU724" si="547">L725</f>
        <v>0</v>
      </c>
      <c r="M724" s="315">
        <f t="shared" si="547"/>
        <v>0</v>
      </c>
      <c r="N724" s="337">
        <f t="shared" si="547"/>
        <v>0</v>
      </c>
      <c r="O724" s="337">
        <f t="shared" si="547"/>
        <v>0</v>
      </c>
      <c r="P724" s="292">
        <f t="shared" si="547"/>
        <v>3000</v>
      </c>
      <c r="Q724" s="292">
        <f t="shared" si="547"/>
        <v>3000</v>
      </c>
      <c r="R724" s="441">
        <f t="shared" si="547"/>
        <v>2635</v>
      </c>
      <c r="S724" s="292">
        <f t="shared" si="547"/>
        <v>0</v>
      </c>
      <c r="T724" s="292"/>
      <c r="U724" s="292"/>
      <c r="V724" s="469">
        <f t="shared" si="547"/>
        <v>3000</v>
      </c>
      <c r="W724" s="469">
        <f t="shared" si="547"/>
        <v>500</v>
      </c>
      <c r="X724" s="440">
        <f t="shared" si="547"/>
        <v>3000</v>
      </c>
      <c r="Y724" s="440">
        <f t="shared" si="547"/>
        <v>0</v>
      </c>
      <c r="Z724" s="440" t="b">
        <f t="shared" si="547"/>
        <v>0</v>
      </c>
      <c r="AA724" s="440">
        <f t="shared" si="547"/>
        <v>0</v>
      </c>
      <c r="AB724" s="440">
        <f t="shared" si="547"/>
        <v>3000</v>
      </c>
      <c r="AC724" s="440">
        <f t="shared" si="547"/>
        <v>3000</v>
      </c>
      <c r="AD724" s="440">
        <f t="shared" si="547"/>
        <v>0</v>
      </c>
      <c r="AE724" s="440">
        <f t="shared" si="547"/>
        <v>0</v>
      </c>
      <c r="AF724" s="440">
        <f t="shared" si="547"/>
        <v>0</v>
      </c>
      <c r="AG724" s="440">
        <f t="shared" si="547"/>
        <v>0</v>
      </c>
      <c r="AH724" s="440">
        <f t="shared" si="547"/>
        <v>0</v>
      </c>
      <c r="AI724" s="440">
        <f t="shared" si="547"/>
        <v>3000</v>
      </c>
      <c r="AJ724" s="440">
        <f t="shared" si="547"/>
        <v>18.975332068311197</v>
      </c>
      <c r="AK724" s="440">
        <f t="shared" si="547"/>
        <v>600</v>
      </c>
      <c r="AL724" s="440">
        <f t="shared" si="547"/>
        <v>100</v>
      </c>
      <c r="AM724" s="440">
        <f t="shared" si="547"/>
        <v>0</v>
      </c>
      <c r="AN724" s="440">
        <f t="shared" si="547"/>
        <v>0</v>
      </c>
      <c r="AO724" s="440" t="b">
        <f t="shared" si="547"/>
        <v>0</v>
      </c>
      <c r="AP724" s="440">
        <f t="shared" si="547"/>
        <v>0</v>
      </c>
      <c r="AQ724" s="441">
        <v>0</v>
      </c>
      <c r="AR724" s="440">
        <f>AR725</f>
        <v>0</v>
      </c>
      <c r="AS724" s="440">
        <f t="shared" si="547"/>
        <v>0</v>
      </c>
      <c r="AT724" s="612">
        <f>AT725</f>
        <v>3000</v>
      </c>
      <c r="AU724" s="469">
        <f t="shared" si="547"/>
        <v>3000</v>
      </c>
      <c r="AV724" s="636">
        <v>3000</v>
      </c>
      <c r="AW724" s="636">
        <v>3000</v>
      </c>
      <c r="AX724" s="655">
        <f t="shared" si="537"/>
        <v>113.85199240986717</v>
      </c>
      <c r="AY724" s="655" t="str">
        <f t="shared" si="538"/>
        <v/>
      </c>
      <c r="AZ724" s="655">
        <f t="shared" si="539"/>
        <v>100</v>
      </c>
      <c r="BA724" s="655" t="str">
        <f t="shared" si="540"/>
        <v/>
      </c>
      <c r="BB724" s="655">
        <f t="shared" si="541"/>
        <v>100</v>
      </c>
      <c r="BC724" s="655">
        <f t="shared" si="541"/>
        <v>100</v>
      </c>
    </row>
    <row r="725" spans="1:55" ht="12" customHeight="1">
      <c r="A725" s="36"/>
      <c r="B725" s="36"/>
      <c r="C725" s="36"/>
      <c r="D725" s="36"/>
      <c r="E725" s="36"/>
      <c r="F725" s="36"/>
      <c r="G725" s="36"/>
      <c r="H725" s="204">
        <v>71</v>
      </c>
      <c r="I725" s="132">
        <v>660</v>
      </c>
      <c r="J725" s="71">
        <v>3224</v>
      </c>
      <c r="K725" s="40" t="s">
        <v>322</v>
      </c>
      <c r="L725" s="309">
        <v>0</v>
      </c>
      <c r="M725" s="309">
        <v>0</v>
      </c>
      <c r="N725" s="339">
        <v>0</v>
      </c>
      <c r="O725" s="339">
        <f>N725/7.5345</f>
        <v>0</v>
      </c>
      <c r="P725" s="294">
        <v>3000</v>
      </c>
      <c r="Q725" s="294">
        <v>3000</v>
      </c>
      <c r="R725" s="443">
        <v>2635</v>
      </c>
      <c r="S725" s="294">
        <f>__xlfn.XLOOKUP(H725,[2]Izvršenje_proračuna_po_pozicija!$B$2:$B$153,[2]Izvršenje_proračuna_po_pozicija!$E$2:$E$153,0)</f>
        <v>0</v>
      </c>
      <c r="T725" s="294"/>
      <c r="U725" s="294"/>
      <c r="V725" s="478">
        <v>3000</v>
      </c>
      <c r="W725" s="478">
        <v>500</v>
      </c>
      <c r="X725" s="544">
        <v>3000</v>
      </c>
      <c r="Y725" s="544"/>
      <c r="Z725" s="541" t="b">
        <f t="shared" ref="Z725:Z766" si="548">__xlfn.ISFORMULA(R725)</f>
        <v>0</v>
      </c>
      <c r="AA725" s="527"/>
      <c r="AB725" s="528">
        <v>3000</v>
      </c>
      <c r="AC725" s="528">
        <v>3000</v>
      </c>
      <c r="AD725" s="524"/>
      <c r="AE725" s="524"/>
      <c r="AF725" s="524"/>
      <c r="AG725" s="524"/>
      <c r="AH725" s="527"/>
      <c r="AI725" s="544">
        <v>3000</v>
      </c>
      <c r="AJ725" s="516">
        <f>W725/R725*100</f>
        <v>18.975332068311197</v>
      </c>
      <c r="AK725" s="516">
        <f>AT725/W725*100</f>
        <v>600</v>
      </c>
      <c r="AL725" s="516">
        <f>X725/AT725*100</f>
        <v>100</v>
      </c>
      <c r="AM725" s="294"/>
      <c r="AO725" t="b">
        <f t="shared" ref="AO725:AO766" si="549">__xlfn.ISFORMULA(AT725)</f>
        <v>0</v>
      </c>
      <c r="AQ725" s="443"/>
      <c r="AS725" s="443">
        <f>__xlfn.XLOOKUP(K725,[1]Izvršenje_proračuna_po_pozicija!$C$25:$C$149,[1]Izvršenje_proračuna_po_pozicija!$E$25:$E$149,0)</f>
        <v>0</v>
      </c>
      <c r="AT725" s="617">
        <v>3000</v>
      </c>
      <c r="AU725" s="478">
        <v>3000</v>
      </c>
      <c r="AV725" s="638">
        <v>3000</v>
      </c>
      <c r="AW725" s="638">
        <v>3000</v>
      </c>
      <c r="AX725" s="655">
        <f t="shared" si="537"/>
        <v>113.85199240986717</v>
      </c>
      <c r="AY725" s="655" t="str">
        <f t="shared" si="538"/>
        <v/>
      </c>
      <c r="AZ725" s="655">
        <f t="shared" si="539"/>
        <v>100</v>
      </c>
      <c r="BA725" s="655" t="str">
        <f t="shared" si="540"/>
        <v/>
      </c>
      <c r="BB725" s="655">
        <f t="shared" si="541"/>
        <v>100</v>
      </c>
      <c r="BC725" s="655">
        <f t="shared" si="541"/>
        <v>100</v>
      </c>
    </row>
    <row r="726" spans="1:55" ht="12" customHeight="1">
      <c r="A726" s="36"/>
      <c r="B726" s="36"/>
      <c r="C726" s="36"/>
      <c r="D726" s="36"/>
      <c r="E726" s="36"/>
      <c r="F726" s="36"/>
      <c r="G726" s="36"/>
      <c r="H726" s="204"/>
      <c r="I726" s="132"/>
      <c r="J726" s="71"/>
      <c r="K726" s="40"/>
      <c r="L726" s="316"/>
      <c r="M726" s="316"/>
      <c r="N726" s="338"/>
      <c r="O726" s="338"/>
      <c r="P726" s="293"/>
      <c r="Q726" s="293"/>
      <c r="R726" s="442"/>
      <c r="S726" s="294">
        <f>__xlfn.XLOOKUP(H726,[2]Izvršenje_proračuna_po_pozicija!$B$2:$B$153,[2]Izvršenje_proračuna_po_pozicija!$E$2:$E$153,0)</f>
        <v>0</v>
      </c>
      <c r="T726" s="294"/>
      <c r="U726" s="294"/>
      <c r="V726" s="475"/>
      <c r="W726" s="475"/>
      <c r="X726" s="540"/>
      <c r="Y726" s="540"/>
      <c r="Z726" s="541" t="b">
        <f t="shared" si="548"/>
        <v>0</v>
      </c>
      <c r="AA726" s="525"/>
      <c r="AB726" s="526"/>
      <c r="AC726" s="526"/>
      <c r="AD726" s="524"/>
      <c r="AE726" s="524"/>
      <c r="AF726" s="524"/>
      <c r="AG726" s="524"/>
      <c r="AH726" s="525"/>
      <c r="AI726" s="540"/>
      <c r="AJ726" s="516"/>
      <c r="AK726" s="516"/>
      <c r="AL726" s="516"/>
      <c r="AM726" s="293"/>
      <c r="AO726" t="b">
        <f t="shared" si="549"/>
        <v>0</v>
      </c>
      <c r="AQ726" s="442"/>
      <c r="AS726" s="442">
        <f>__xlfn.XLOOKUP(K726,[1]Izvršenje_proračuna_po_pozicija!$C$25:$C$149,[1]Izvršenje_proračuna_po_pozicija!$E$25:$E$149,0)</f>
        <v>0</v>
      </c>
      <c r="AT726" s="617"/>
      <c r="AU726" s="475"/>
      <c r="AV726" s="637"/>
      <c r="AW726" s="637"/>
      <c r="AX726" s="655" t="str">
        <f t="shared" si="537"/>
        <v/>
      </c>
      <c r="AY726" s="655" t="str">
        <f t="shared" si="538"/>
        <v/>
      </c>
      <c r="AZ726" s="655" t="str">
        <f t="shared" si="539"/>
        <v/>
      </c>
      <c r="BA726" s="655" t="str">
        <f t="shared" si="540"/>
        <v/>
      </c>
      <c r="BB726" s="655" t="str">
        <f t="shared" si="541"/>
        <v/>
      </c>
      <c r="BC726" s="655" t="str">
        <f t="shared" si="541"/>
        <v/>
      </c>
    </row>
    <row r="727" spans="1:55" ht="12" customHeight="1">
      <c r="A727" s="56"/>
      <c r="B727" s="56"/>
      <c r="C727" s="56"/>
      <c r="D727" s="56"/>
      <c r="E727" s="56"/>
      <c r="F727" s="56"/>
      <c r="G727" s="56"/>
      <c r="H727" s="377"/>
      <c r="I727" s="157"/>
      <c r="J727" s="116">
        <v>323</v>
      </c>
      <c r="K727" s="60" t="s">
        <v>191</v>
      </c>
      <c r="L727" s="315">
        <f t="shared" ref="L727:AC727" si="550">L728</f>
        <v>315333</v>
      </c>
      <c r="M727" s="315">
        <f t="shared" si="550"/>
        <v>41851.881345809277</v>
      </c>
      <c r="N727" s="337">
        <f t="shared" si="550"/>
        <v>681027</v>
      </c>
      <c r="O727" s="337">
        <f t="shared" si="550"/>
        <v>90387.816046187538</v>
      </c>
      <c r="P727" s="292">
        <f t="shared" si="550"/>
        <v>79300</v>
      </c>
      <c r="Q727" s="292">
        <f t="shared" si="550"/>
        <v>63000</v>
      </c>
      <c r="R727" s="441">
        <f t="shared" si="550"/>
        <v>59785</v>
      </c>
      <c r="S727" s="292">
        <f t="shared" si="550"/>
        <v>0</v>
      </c>
      <c r="T727" s="292"/>
      <c r="U727" s="292"/>
      <c r="V727" s="469">
        <f t="shared" si="550"/>
        <v>53300</v>
      </c>
      <c r="W727" s="469">
        <f t="shared" si="550"/>
        <v>57000</v>
      </c>
      <c r="X727" s="522">
        <f t="shared" si="550"/>
        <v>60000</v>
      </c>
      <c r="Y727" s="522">
        <f t="shared" si="550"/>
        <v>0</v>
      </c>
      <c r="Z727" s="541" t="b">
        <f t="shared" si="548"/>
        <v>1</v>
      </c>
      <c r="AA727" s="522"/>
      <c r="AB727" s="523">
        <f t="shared" si="550"/>
        <v>80000</v>
      </c>
      <c r="AC727" s="523">
        <f t="shared" si="550"/>
        <v>80000</v>
      </c>
      <c r="AD727" s="524">
        <f>O727/M727*100</f>
        <v>215.9707356984521</v>
      </c>
      <c r="AE727" s="524">
        <f>P727/O727*100</f>
        <v>87.733063446823692</v>
      </c>
      <c r="AF727" s="524">
        <f>Q727/P727*100</f>
        <v>79.445145018915511</v>
      </c>
      <c r="AG727" s="524">
        <f>AB727/Q727*100</f>
        <v>126.98412698412697</v>
      </c>
      <c r="AH727" s="522"/>
      <c r="AI727" s="522">
        <v>60000</v>
      </c>
      <c r="AJ727" s="516">
        <f>W727/R727*100</f>
        <v>95.341640879819352</v>
      </c>
      <c r="AK727" s="516">
        <f>AT727/W727*100</f>
        <v>70.175438596491219</v>
      </c>
      <c r="AL727" s="516">
        <f>X727/AT727*100</f>
        <v>150</v>
      </c>
      <c r="AM727" s="292"/>
      <c r="AN727" s="413"/>
      <c r="AO727" t="b">
        <f t="shared" si="549"/>
        <v>1</v>
      </c>
      <c r="AP727" s="440">
        <f t="shared" ref="AP727:AU727" si="551">AP728</f>
        <v>43428.57</v>
      </c>
      <c r="AQ727" s="441">
        <v>43428.57</v>
      </c>
      <c r="AR727" s="440">
        <f>AR728</f>
        <v>43428.57</v>
      </c>
      <c r="AS727" s="441">
        <f t="shared" si="551"/>
        <v>26485.35</v>
      </c>
      <c r="AT727" s="612">
        <f>AT728</f>
        <v>40000</v>
      </c>
      <c r="AU727" s="469">
        <f t="shared" si="551"/>
        <v>30000</v>
      </c>
      <c r="AV727" s="636">
        <v>60000</v>
      </c>
      <c r="AW727" s="636">
        <v>60000</v>
      </c>
      <c r="AX727" s="655">
        <f t="shared" si="537"/>
        <v>66.906414652504807</v>
      </c>
      <c r="AY727" s="655">
        <f t="shared" si="538"/>
        <v>92.105266187673223</v>
      </c>
      <c r="AZ727" s="655">
        <f t="shared" si="539"/>
        <v>75</v>
      </c>
      <c r="BA727" s="655">
        <f t="shared" si="540"/>
        <v>69.078949640754928</v>
      </c>
      <c r="BB727" s="655">
        <f t="shared" si="541"/>
        <v>200</v>
      </c>
      <c r="BC727" s="655">
        <f t="shared" si="541"/>
        <v>100</v>
      </c>
    </row>
    <row r="728" spans="1:55" ht="12" customHeight="1">
      <c r="A728" s="36"/>
      <c r="B728" s="36"/>
      <c r="C728" s="36"/>
      <c r="D728" s="36"/>
      <c r="E728" s="36"/>
      <c r="F728" s="36"/>
      <c r="G728" s="36"/>
      <c r="H728" s="204">
        <v>90</v>
      </c>
      <c r="I728" s="132">
        <v>660</v>
      </c>
      <c r="J728" s="71">
        <v>3232</v>
      </c>
      <c r="K728" s="40" t="s">
        <v>323</v>
      </c>
      <c r="L728" s="309">
        <v>315333</v>
      </c>
      <c r="M728" s="309">
        <f>315333/7.5345</f>
        <v>41851.881345809277</v>
      </c>
      <c r="N728" s="339">
        <v>681027</v>
      </c>
      <c r="O728" s="339">
        <f>N728/7.5345</f>
        <v>90387.816046187538</v>
      </c>
      <c r="P728" s="294">
        <f>P729+P730+P731+P732</f>
        <v>79300</v>
      </c>
      <c r="Q728" s="269">
        <f>Q729+Q730+Q731+Q732</f>
        <v>63000</v>
      </c>
      <c r="R728" s="443">
        <v>59785</v>
      </c>
      <c r="S728" s="294">
        <f>__xlfn.XLOOKUP(H728,[2]Izvršenje_proračuna_po_pozicija!$B$2:$B$153,[2]Izvršenje_proračuna_po_pozicija!$E$2:$E$153,0)</f>
        <v>0</v>
      </c>
      <c r="T728" s="294"/>
      <c r="U728" s="294"/>
      <c r="V728" s="478">
        <v>53300</v>
      </c>
      <c r="W728" s="478">
        <v>57000</v>
      </c>
      <c r="X728" s="544">
        <v>60000</v>
      </c>
      <c r="Y728" s="544"/>
      <c r="Z728" s="541" t="b">
        <f t="shared" si="548"/>
        <v>0</v>
      </c>
      <c r="AA728" s="527"/>
      <c r="AB728" s="528">
        <v>80000</v>
      </c>
      <c r="AC728" s="528">
        <v>80000</v>
      </c>
      <c r="AD728" s="524">
        <f>O728/M728*100</f>
        <v>215.9707356984521</v>
      </c>
      <c r="AE728" s="524">
        <f>P728/O728*100</f>
        <v>87.733063446823692</v>
      </c>
      <c r="AF728" s="524">
        <f>Q728/P728*100</f>
        <v>79.445145018915511</v>
      </c>
      <c r="AG728" s="524">
        <f>AB728/Q728*100</f>
        <v>126.98412698412697</v>
      </c>
      <c r="AH728" s="527"/>
      <c r="AI728" s="544">
        <v>60000</v>
      </c>
      <c r="AJ728" s="516">
        <f>W728/R728*100</f>
        <v>95.341640879819352</v>
      </c>
      <c r="AK728" s="516">
        <f>AT728/W728*100</f>
        <v>70.175438596491219</v>
      </c>
      <c r="AL728" s="516">
        <f>X728/AT728*100</f>
        <v>150</v>
      </c>
      <c r="AM728" s="294"/>
      <c r="AO728" t="b">
        <f t="shared" si="549"/>
        <v>0</v>
      </c>
      <c r="AP728" s="493">
        <v>43428.57</v>
      </c>
      <c r="AQ728" s="443">
        <v>43428.57</v>
      </c>
      <c r="AR728" s="493">
        <v>43428.57</v>
      </c>
      <c r="AS728" s="443">
        <f>__xlfn.XLOOKUP(K728,[1]Izvršenje_proračuna_po_pozicija!$C$25:$C$149,[1]Izvršenje_proračuna_po_pozicija!$E$25:$E$149,0)</f>
        <v>26485.35</v>
      </c>
      <c r="AT728" s="617">
        <v>40000</v>
      </c>
      <c r="AU728" s="478">
        <v>30000</v>
      </c>
      <c r="AV728" s="638">
        <v>60000</v>
      </c>
      <c r="AW728" s="638">
        <v>60000</v>
      </c>
      <c r="AX728" s="655">
        <f t="shared" si="537"/>
        <v>66.906414652504807</v>
      </c>
      <c r="AY728" s="655">
        <f t="shared" si="538"/>
        <v>92.105266187673223</v>
      </c>
      <c r="AZ728" s="655">
        <f t="shared" si="539"/>
        <v>75</v>
      </c>
      <c r="BA728" s="655">
        <f t="shared" si="540"/>
        <v>69.078949640754928</v>
      </c>
      <c r="BB728" s="655">
        <f t="shared" si="541"/>
        <v>200</v>
      </c>
      <c r="BC728" s="655">
        <f t="shared" si="541"/>
        <v>100</v>
      </c>
    </row>
    <row r="729" spans="1:55" ht="12" customHeight="1">
      <c r="A729" s="36"/>
      <c r="B729" s="36"/>
      <c r="C729" s="36"/>
      <c r="D729" s="36"/>
      <c r="E729" s="36"/>
      <c r="F729" s="36"/>
      <c r="G729" s="36"/>
      <c r="H729" s="204"/>
      <c r="I729" s="132"/>
      <c r="J729" s="71"/>
      <c r="K729" s="40" t="s">
        <v>804</v>
      </c>
      <c r="L729" s="309"/>
      <c r="M729" s="309"/>
      <c r="N729" s="339"/>
      <c r="O729" s="339"/>
      <c r="P729" s="294">
        <v>10000</v>
      </c>
      <c r="Q729" s="294">
        <v>0</v>
      </c>
      <c r="R729" s="443">
        <v>0</v>
      </c>
      <c r="S729" s="294">
        <f>__xlfn.XLOOKUP(H729,[2]Izvršenje_proračuna_po_pozicija!$B$2:$B$153,[2]Izvršenje_proračuna_po_pozicija!$E$2:$E$153,0)</f>
        <v>0</v>
      </c>
      <c r="T729" s="294"/>
      <c r="U729" s="294"/>
      <c r="V729" s="478">
        <v>10000</v>
      </c>
      <c r="W729" s="478"/>
      <c r="X729" s="544"/>
      <c r="Y729" s="544"/>
      <c r="Z729" s="541" t="b">
        <f t="shared" si="548"/>
        <v>0</v>
      </c>
      <c r="AA729" s="527"/>
      <c r="AB729" s="528"/>
      <c r="AC729" s="528"/>
      <c r="AD729" s="524"/>
      <c r="AE729" s="524"/>
      <c r="AF729" s="524"/>
      <c r="AG729" s="524"/>
      <c r="AH729" s="527"/>
      <c r="AI729" s="544"/>
      <c r="AJ729" s="516"/>
      <c r="AK729" s="516"/>
      <c r="AL729" s="516"/>
      <c r="AM729" s="294"/>
      <c r="AO729" t="b">
        <f t="shared" si="549"/>
        <v>0</v>
      </c>
      <c r="AQ729" s="443"/>
      <c r="AS729" s="443">
        <f>__xlfn.XLOOKUP(K729,[1]Izvršenje_proračuna_po_pozicija!$C$25:$C$149,[1]Izvršenje_proračuna_po_pozicija!$E$25:$E$149,0)</f>
        <v>0</v>
      </c>
      <c r="AT729" s="617"/>
      <c r="AU729" s="478"/>
      <c r="AV729" s="638"/>
      <c r="AW729" s="638"/>
      <c r="AX729" s="655" t="str">
        <f t="shared" si="537"/>
        <v/>
      </c>
      <c r="AY729" s="655" t="str">
        <f t="shared" si="538"/>
        <v/>
      </c>
      <c r="AZ729" s="655" t="str">
        <f t="shared" si="539"/>
        <v/>
      </c>
      <c r="BA729" s="655" t="str">
        <f t="shared" si="540"/>
        <v/>
      </c>
      <c r="BB729" s="655" t="str">
        <f t="shared" si="541"/>
        <v/>
      </c>
      <c r="BC729" s="655" t="str">
        <f t="shared" si="541"/>
        <v/>
      </c>
    </row>
    <row r="730" spans="1:55" ht="12" customHeight="1">
      <c r="A730" s="36"/>
      <c r="B730" s="36"/>
      <c r="C730" s="36"/>
      <c r="D730" s="36"/>
      <c r="E730" s="36"/>
      <c r="F730" s="36"/>
      <c r="G730" s="36"/>
      <c r="H730" s="204"/>
      <c r="I730" s="132"/>
      <c r="J730" s="71"/>
      <c r="K730" s="40" t="s">
        <v>805</v>
      </c>
      <c r="L730" s="309"/>
      <c r="M730" s="309"/>
      <c r="N730" s="339"/>
      <c r="O730" s="339"/>
      <c r="P730" s="294">
        <v>5300</v>
      </c>
      <c r="Q730" s="294">
        <v>0</v>
      </c>
      <c r="R730" s="443">
        <v>0</v>
      </c>
      <c r="S730" s="294">
        <f>__xlfn.XLOOKUP(H730,[2]Izvršenje_proračuna_po_pozicija!$B$2:$B$153,[2]Izvršenje_proračuna_po_pozicija!$E$2:$E$153,0)</f>
        <v>0</v>
      </c>
      <c r="T730" s="294"/>
      <c r="U730" s="294"/>
      <c r="V730" s="478">
        <v>5300</v>
      </c>
      <c r="W730" s="478"/>
      <c r="X730" s="544"/>
      <c r="Y730" s="544"/>
      <c r="Z730" s="541" t="b">
        <f t="shared" si="548"/>
        <v>0</v>
      </c>
      <c r="AA730" s="527"/>
      <c r="AB730" s="528"/>
      <c r="AC730" s="528"/>
      <c r="AD730" s="524"/>
      <c r="AE730" s="524"/>
      <c r="AF730" s="524"/>
      <c r="AG730" s="524"/>
      <c r="AH730" s="527"/>
      <c r="AI730" s="544"/>
      <c r="AJ730" s="516"/>
      <c r="AK730" s="516"/>
      <c r="AL730" s="516"/>
      <c r="AM730" s="294"/>
      <c r="AO730" t="b">
        <f t="shared" si="549"/>
        <v>0</v>
      </c>
      <c r="AQ730" s="443"/>
      <c r="AS730" s="443">
        <f>__xlfn.XLOOKUP(K730,[1]Izvršenje_proračuna_po_pozicija!$C$25:$C$149,[1]Izvršenje_proračuna_po_pozicija!$E$25:$E$149,0)</f>
        <v>0</v>
      </c>
      <c r="AT730" s="617"/>
      <c r="AU730" s="478"/>
      <c r="AV730" s="638"/>
      <c r="AW730" s="638"/>
      <c r="AX730" s="655" t="str">
        <f t="shared" si="537"/>
        <v/>
      </c>
      <c r="AY730" s="655" t="str">
        <f t="shared" si="538"/>
        <v/>
      </c>
      <c r="AZ730" s="655" t="str">
        <f t="shared" si="539"/>
        <v/>
      </c>
      <c r="BA730" s="655" t="str">
        <f t="shared" si="540"/>
        <v/>
      </c>
      <c r="BB730" s="655" t="str">
        <f t="shared" si="541"/>
        <v/>
      </c>
      <c r="BC730" s="655" t="str">
        <f t="shared" si="541"/>
        <v/>
      </c>
    </row>
    <row r="731" spans="1:55" ht="12" customHeight="1">
      <c r="A731" s="36"/>
      <c r="B731" s="36"/>
      <c r="C731" s="36"/>
      <c r="D731" s="36"/>
      <c r="E731" s="36"/>
      <c r="F731" s="36"/>
      <c r="G731" s="36"/>
      <c r="H731" s="204"/>
      <c r="I731" s="132"/>
      <c r="J731" s="71"/>
      <c r="K731" s="40" t="s">
        <v>806</v>
      </c>
      <c r="L731" s="309"/>
      <c r="M731" s="309"/>
      <c r="N731" s="339"/>
      <c r="O731" s="339"/>
      <c r="P731" s="294">
        <v>14000</v>
      </c>
      <c r="Q731" s="294">
        <v>0</v>
      </c>
      <c r="R731" s="443">
        <v>0</v>
      </c>
      <c r="S731" s="294">
        <f>__xlfn.XLOOKUP(H731,[2]Izvršenje_proračuna_po_pozicija!$B$2:$B$153,[2]Izvršenje_proračuna_po_pozicija!$E$2:$E$153,0)</f>
        <v>0</v>
      </c>
      <c r="T731" s="294"/>
      <c r="U731" s="294"/>
      <c r="V731" s="478">
        <v>14000</v>
      </c>
      <c r="W731" s="478"/>
      <c r="X731" s="544"/>
      <c r="Y731" s="544"/>
      <c r="Z731" s="541" t="b">
        <f t="shared" si="548"/>
        <v>0</v>
      </c>
      <c r="AA731" s="527"/>
      <c r="AB731" s="528"/>
      <c r="AC731" s="528"/>
      <c r="AD731" s="524"/>
      <c r="AE731" s="524"/>
      <c r="AF731" s="524"/>
      <c r="AG731" s="524"/>
      <c r="AH731" s="527"/>
      <c r="AI731" s="544"/>
      <c r="AJ731" s="516"/>
      <c r="AK731" s="516"/>
      <c r="AL731" s="516"/>
      <c r="AM731" s="294"/>
      <c r="AO731" t="b">
        <f t="shared" si="549"/>
        <v>0</v>
      </c>
      <c r="AQ731" s="443"/>
      <c r="AS731" s="443">
        <f>__xlfn.XLOOKUP(K731,[1]Izvršenje_proračuna_po_pozicija!$C$25:$C$149,[1]Izvršenje_proračuna_po_pozicija!$E$25:$E$149,0)</f>
        <v>0</v>
      </c>
      <c r="AT731" s="617"/>
      <c r="AU731" s="478"/>
      <c r="AV731" s="638"/>
      <c r="AW731" s="638"/>
      <c r="AX731" s="655" t="str">
        <f t="shared" si="537"/>
        <v/>
      </c>
      <c r="AY731" s="655" t="str">
        <f t="shared" si="538"/>
        <v/>
      </c>
      <c r="AZ731" s="655" t="str">
        <f t="shared" si="539"/>
        <v/>
      </c>
      <c r="BA731" s="655" t="str">
        <f t="shared" si="540"/>
        <v/>
      </c>
      <c r="BB731" s="655" t="str">
        <f t="shared" si="541"/>
        <v/>
      </c>
      <c r="BC731" s="655" t="str">
        <f t="shared" si="541"/>
        <v/>
      </c>
    </row>
    <row r="732" spans="1:55" ht="12" customHeight="1">
      <c r="A732" s="36"/>
      <c r="B732" s="36"/>
      <c r="C732" s="36"/>
      <c r="D732" s="36"/>
      <c r="E732" s="36"/>
      <c r="F732" s="36"/>
      <c r="G732" s="36"/>
      <c r="H732" s="204"/>
      <c r="I732" s="132"/>
      <c r="J732" s="71"/>
      <c r="K732" s="40" t="s">
        <v>807</v>
      </c>
      <c r="L732" s="309"/>
      <c r="M732" s="309"/>
      <c r="N732" s="339"/>
      <c r="O732" s="339"/>
      <c r="P732" s="294">
        <v>50000</v>
      </c>
      <c r="Q732" s="294">
        <v>63000</v>
      </c>
      <c r="R732" s="443">
        <v>0</v>
      </c>
      <c r="S732" s="294">
        <f>__xlfn.XLOOKUP(H732,[2]Izvršenje_proračuna_po_pozicija!$B$2:$B$153,[2]Izvršenje_proračuna_po_pozicija!$E$2:$E$153,0)</f>
        <v>0</v>
      </c>
      <c r="T732" s="294"/>
      <c r="U732" s="294"/>
      <c r="V732" s="478">
        <v>24000</v>
      </c>
      <c r="W732" s="478"/>
      <c r="X732" s="544"/>
      <c r="Y732" s="544"/>
      <c r="Z732" s="541" t="b">
        <f t="shared" si="548"/>
        <v>0</v>
      </c>
      <c r="AA732" s="527"/>
      <c r="AB732" s="528"/>
      <c r="AC732" s="528"/>
      <c r="AD732" s="524"/>
      <c r="AE732" s="524"/>
      <c r="AF732" s="524"/>
      <c r="AG732" s="524"/>
      <c r="AH732" s="527"/>
      <c r="AI732" s="544"/>
      <c r="AJ732" s="516"/>
      <c r="AK732" s="516"/>
      <c r="AL732" s="516"/>
      <c r="AM732" s="294"/>
      <c r="AO732" t="b">
        <f t="shared" si="549"/>
        <v>0</v>
      </c>
      <c r="AQ732" s="443"/>
      <c r="AS732" s="443">
        <f>__xlfn.XLOOKUP(K732,[1]Izvršenje_proračuna_po_pozicija!$C$25:$C$149,[1]Izvršenje_proračuna_po_pozicija!$E$25:$E$149,0)</f>
        <v>0</v>
      </c>
      <c r="AT732" s="617"/>
      <c r="AU732" s="478"/>
      <c r="AV732" s="638"/>
      <c r="AW732" s="638"/>
      <c r="AX732" s="655" t="str">
        <f t="shared" si="537"/>
        <v/>
      </c>
      <c r="AY732" s="655" t="str">
        <f t="shared" si="538"/>
        <v/>
      </c>
      <c r="AZ732" s="655" t="str">
        <f t="shared" si="539"/>
        <v/>
      </c>
      <c r="BA732" s="655" t="str">
        <f t="shared" si="540"/>
        <v/>
      </c>
      <c r="BB732" s="655" t="str">
        <f t="shared" si="541"/>
        <v/>
      </c>
      <c r="BC732" s="655" t="str">
        <f t="shared" si="541"/>
        <v/>
      </c>
    </row>
    <row r="733" spans="1:55" ht="12" customHeight="1">
      <c r="A733" s="25"/>
      <c r="B733" s="25"/>
      <c r="C733" s="25"/>
      <c r="D733" s="25"/>
      <c r="E733" s="25"/>
      <c r="F733" s="25"/>
      <c r="G733" s="25"/>
      <c r="H733" s="389"/>
      <c r="I733" s="30"/>
      <c r="J733" s="29"/>
      <c r="K733" s="29"/>
      <c r="L733" s="313"/>
      <c r="M733" s="313"/>
      <c r="N733" s="335"/>
      <c r="O733" s="335"/>
      <c r="P733" s="290"/>
      <c r="Q733" s="290"/>
      <c r="R733" s="439"/>
      <c r="S733" s="294">
        <f>__xlfn.XLOOKUP(H733,[2]Izvršenje_proračuna_po_pozicija!$B$2:$B$153,[2]Izvršenje_proračuna_po_pozicija!$E$2:$E$153,0)</f>
        <v>0</v>
      </c>
      <c r="T733" s="294"/>
      <c r="U733" s="294"/>
      <c r="V733" s="474"/>
      <c r="W733" s="474"/>
      <c r="X733" s="539"/>
      <c r="Y733" s="539"/>
      <c r="Z733" s="541" t="b">
        <f t="shared" si="548"/>
        <v>0</v>
      </c>
      <c r="AA733" s="514"/>
      <c r="AB733" s="515"/>
      <c r="AC733" s="515"/>
      <c r="AD733" s="524"/>
      <c r="AE733" s="524"/>
      <c r="AF733" s="524"/>
      <c r="AG733" s="524"/>
      <c r="AH733" s="514"/>
      <c r="AI733" s="539"/>
      <c r="AJ733" s="516"/>
      <c r="AK733" s="516"/>
      <c r="AL733" s="516"/>
      <c r="AM733" s="290"/>
      <c r="AO733" t="b">
        <f t="shared" si="549"/>
        <v>0</v>
      </c>
      <c r="AQ733" s="439"/>
      <c r="AS733" s="439">
        <f>__xlfn.XLOOKUP(K733,[1]Izvršenje_proračuna_po_pozicija!$C$25:$C$149,[1]Izvršenje_proračuna_po_pozicija!$E$25:$E$149,0)</f>
        <v>0</v>
      </c>
      <c r="AT733" s="616"/>
      <c r="AU733" s="474"/>
      <c r="AV733" s="632"/>
      <c r="AW733" s="632"/>
      <c r="AX733" s="655" t="str">
        <f t="shared" si="537"/>
        <v/>
      </c>
      <c r="AY733" s="655" t="str">
        <f t="shared" si="538"/>
        <v/>
      </c>
      <c r="AZ733" s="655" t="str">
        <f t="shared" si="539"/>
        <v/>
      </c>
      <c r="BA733" s="655" t="str">
        <f t="shared" si="540"/>
        <v/>
      </c>
      <c r="BB733" s="655" t="str">
        <f t="shared" si="541"/>
        <v/>
      </c>
      <c r="BC733" s="655" t="str">
        <f t="shared" si="541"/>
        <v/>
      </c>
    </row>
    <row r="734" spans="1:55" ht="12" customHeight="1">
      <c r="A734" s="212" t="s">
        <v>800</v>
      </c>
      <c r="B734" s="130"/>
      <c r="C734" s="130"/>
      <c r="D734" s="130"/>
      <c r="E734" s="130"/>
      <c r="F734" s="130"/>
      <c r="G734" s="130"/>
      <c r="H734" s="383"/>
      <c r="I734" s="170" t="s">
        <v>801</v>
      </c>
      <c r="J734" s="171"/>
      <c r="K734" s="111"/>
      <c r="L734" s="315">
        <f t="shared" ref="L734:S734" si="552">L736</f>
        <v>0</v>
      </c>
      <c r="M734" s="315">
        <f t="shared" si="552"/>
        <v>0</v>
      </c>
      <c r="N734" s="337">
        <f t="shared" si="552"/>
        <v>0</v>
      </c>
      <c r="O734" s="337">
        <f t="shared" si="552"/>
        <v>0</v>
      </c>
      <c r="P734" s="292">
        <f t="shared" si="552"/>
        <v>40000</v>
      </c>
      <c r="Q734" s="292">
        <f t="shared" si="552"/>
        <v>0</v>
      </c>
      <c r="R734" s="441">
        <f t="shared" si="552"/>
        <v>0</v>
      </c>
      <c r="S734" s="292">
        <f t="shared" si="552"/>
        <v>0</v>
      </c>
      <c r="T734" s="292"/>
      <c r="U734" s="292"/>
      <c r="V734" s="469">
        <f>V736</f>
        <v>40000</v>
      </c>
      <c r="W734" s="469">
        <f>W736</f>
        <v>0</v>
      </c>
      <c r="X734" s="522">
        <f>X736</f>
        <v>0</v>
      </c>
      <c r="Y734" s="522">
        <f>Y736</f>
        <v>0</v>
      </c>
      <c r="Z734" s="541" t="b">
        <f t="shared" si="548"/>
        <v>1</v>
      </c>
      <c r="AA734" s="522"/>
      <c r="AB734" s="523">
        <f>AB736</f>
        <v>0</v>
      </c>
      <c r="AC734" s="523">
        <f>AC736</f>
        <v>0</v>
      </c>
      <c r="AD734" s="524"/>
      <c r="AE734" s="524"/>
      <c r="AF734" s="524"/>
      <c r="AG734" s="524"/>
      <c r="AH734" s="522"/>
      <c r="AI734" s="522">
        <v>0</v>
      </c>
      <c r="AJ734" s="516"/>
      <c r="AK734" s="516"/>
      <c r="AL734" s="516">
        <f>X734/AT734*100</f>
        <v>0</v>
      </c>
      <c r="AM734" s="292"/>
      <c r="AO734" t="b">
        <f t="shared" si="549"/>
        <v>1</v>
      </c>
      <c r="AP734" s="440">
        <f t="shared" ref="AP734:AU734" si="553">AP736</f>
        <v>0</v>
      </c>
      <c r="AQ734" s="441">
        <v>0</v>
      </c>
      <c r="AR734" s="440">
        <f>AR736</f>
        <v>0</v>
      </c>
      <c r="AS734" s="441">
        <f t="shared" si="553"/>
        <v>0</v>
      </c>
      <c r="AT734" s="612">
        <f t="shared" si="553"/>
        <v>40000</v>
      </c>
      <c r="AU734" s="469">
        <f t="shared" si="553"/>
        <v>0</v>
      </c>
      <c r="AV734" s="636">
        <v>0</v>
      </c>
      <c r="AW734" s="636">
        <v>0</v>
      </c>
      <c r="AX734" s="655" t="str">
        <f t="shared" si="537"/>
        <v/>
      </c>
      <c r="AY734" s="655" t="str">
        <f t="shared" si="538"/>
        <v/>
      </c>
      <c r="AZ734" s="655">
        <f t="shared" si="539"/>
        <v>0</v>
      </c>
      <c r="BA734" s="655" t="str">
        <f t="shared" si="540"/>
        <v/>
      </c>
      <c r="BB734" s="655" t="str">
        <f t="shared" si="541"/>
        <v/>
      </c>
      <c r="BC734" s="655" t="str">
        <f t="shared" si="541"/>
        <v/>
      </c>
    </row>
    <row r="735" spans="1:55" ht="12" customHeight="1">
      <c r="A735" s="36"/>
      <c r="B735" s="36"/>
      <c r="C735" s="36"/>
      <c r="D735" s="36"/>
      <c r="E735" s="36"/>
      <c r="F735" s="36"/>
      <c r="G735" s="36"/>
      <c r="H735" s="204"/>
      <c r="I735" s="132"/>
      <c r="J735" s="71"/>
      <c r="K735" s="40"/>
      <c r="L735" s="326"/>
      <c r="M735" s="326"/>
      <c r="N735" s="350"/>
      <c r="O735" s="350"/>
      <c r="P735" s="305"/>
      <c r="Q735" s="305"/>
      <c r="R735" s="461"/>
      <c r="S735" s="294">
        <f>__xlfn.XLOOKUP(H735,[2]Izvršenje_proračuna_po_pozicija!$B$2:$B$153,[2]Izvršenje_proračuna_po_pozicija!$E$2:$E$153,0)</f>
        <v>0</v>
      </c>
      <c r="T735" s="294"/>
      <c r="U735" s="294"/>
      <c r="V735" s="486"/>
      <c r="W735" s="486"/>
      <c r="X735" s="559"/>
      <c r="Y735" s="559"/>
      <c r="Z735" s="541" t="b">
        <f t="shared" si="548"/>
        <v>0</v>
      </c>
      <c r="AA735" s="560"/>
      <c r="AB735" s="561"/>
      <c r="AC735" s="561"/>
      <c r="AD735" s="524"/>
      <c r="AE735" s="524"/>
      <c r="AF735" s="524"/>
      <c r="AG735" s="524"/>
      <c r="AH735" s="560"/>
      <c r="AI735" s="559"/>
      <c r="AJ735" s="516"/>
      <c r="AK735" s="516"/>
      <c r="AL735" s="516"/>
      <c r="AM735" s="305"/>
      <c r="AO735" t="b">
        <f t="shared" si="549"/>
        <v>0</v>
      </c>
      <c r="AQ735" s="461"/>
      <c r="AS735" s="461"/>
      <c r="AT735" s="616"/>
      <c r="AU735" s="486"/>
      <c r="AV735" s="648"/>
      <c r="AW735" s="648"/>
      <c r="AX735" s="655" t="str">
        <f t="shared" si="537"/>
        <v/>
      </c>
      <c r="AY735" s="655" t="str">
        <f t="shared" si="538"/>
        <v/>
      </c>
      <c r="AZ735" s="655" t="str">
        <f t="shared" si="539"/>
        <v/>
      </c>
      <c r="BA735" s="655" t="str">
        <f t="shared" si="540"/>
        <v/>
      </c>
      <c r="BB735" s="655" t="str">
        <f t="shared" si="541"/>
        <v/>
      </c>
      <c r="BC735" s="655" t="str">
        <f t="shared" si="541"/>
        <v/>
      </c>
    </row>
    <row r="736" spans="1:55" ht="12" customHeight="1">
      <c r="A736" s="52"/>
      <c r="B736" s="52"/>
      <c r="C736" s="52"/>
      <c r="D736" s="52"/>
      <c r="E736" s="52"/>
      <c r="F736" s="52"/>
      <c r="G736" s="52"/>
      <c r="H736" s="384"/>
      <c r="I736" s="156"/>
      <c r="J736" s="94">
        <v>4</v>
      </c>
      <c r="K736" s="21" t="s">
        <v>324</v>
      </c>
      <c r="L736" s="315">
        <f t="shared" ref="L736:AC738" si="554">L737</f>
        <v>0</v>
      </c>
      <c r="M736" s="315">
        <f t="shared" si="554"/>
        <v>0</v>
      </c>
      <c r="N736" s="337">
        <f t="shared" si="554"/>
        <v>0</v>
      </c>
      <c r="O736" s="337">
        <f t="shared" si="554"/>
        <v>0</v>
      </c>
      <c r="P736" s="292">
        <f t="shared" si="554"/>
        <v>40000</v>
      </c>
      <c r="Q736" s="292">
        <f t="shared" si="554"/>
        <v>0</v>
      </c>
      <c r="R736" s="441">
        <f t="shared" si="554"/>
        <v>0</v>
      </c>
      <c r="S736" s="292">
        <f t="shared" si="554"/>
        <v>0</v>
      </c>
      <c r="T736" s="292"/>
      <c r="U736" s="292"/>
      <c r="V736" s="469">
        <f t="shared" si="554"/>
        <v>40000</v>
      </c>
      <c r="W736" s="469">
        <f t="shared" si="554"/>
        <v>0</v>
      </c>
      <c r="X736" s="522">
        <f t="shared" si="554"/>
        <v>0</v>
      </c>
      <c r="Y736" s="522">
        <f t="shared" si="554"/>
        <v>0</v>
      </c>
      <c r="Z736" s="541" t="b">
        <f t="shared" si="548"/>
        <v>1</v>
      </c>
      <c r="AA736" s="522"/>
      <c r="AB736" s="523">
        <f t="shared" si="554"/>
        <v>0</v>
      </c>
      <c r="AC736" s="523">
        <f t="shared" si="554"/>
        <v>0</v>
      </c>
      <c r="AD736" s="524"/>
      <c r="AE736" s="524"/>
      <c r="AF736" s="524"/>
      <c r="AG736" s="524"/>
      <c r="AH736" s="522"/>
      <c r="AI736" s="522">
        <v>0</v>
      </c>
      <c r="AJ736" s="516"/>
      <c r="AK736" s="516"/>
      <c r="AL736" s="516">
        <f>X736/AT736*100</f>
        <v>0</v>
      </c>
      <c r="AM736" s="292"/>
      <c r="AO736" t="b">
        <f t="shared" si="549"/>
        <v>1</v>
      </c>
      <c r="AP736" s="440">
        <f t="shared" ref="AP736:AU738" si="555">AP737</f>
        <v>0</v>
      </c>
      <c r="AQ736" s="441">
        <v>0</v>
      </c>
      <c r="AR736" s="440">
        <f>AR737</f>
        <v>0</v>
      </c>
      <c r="AS736" s="441">
        <f t="shared" si="555"/>
        <v>0</v>
      </c>
      <c r="AT736" s="612">
        <f>AT737</f>
        <v>40000</v>
      </c>
      <c r="AU736" s="469">
        <f t="shared" si="555"/>
        <v>0</v>
      </c>
      <c r="AV736" s="636">
        <v>0</v>
      </c>
      <c r="AW736" s="636">
        <v>0</v>
      </c>
      <c r="AX736" s="655" t="str">
        <f t="shared" si="537"/>
        <v/>
      </c>
      <c r="AY736" s="655" t="str">
        <f t="shared" si="538"/>
        <v/>
      </c>
      <c r="AZ736" s="655">
        <f t="shared" si="539"/>
        <v>0</v>
      </c>
      <c r="BA736" s="655" t="str">
        <f t="shared" si="540"/>
        <v/>
      </c>
      <c r="BB736" s="655" t="str">
        <f t="shared" si="541"/>
        <v/>
      </c>
      <c r="BC736" s="655" t="str">
        <f t="shared" si="541"/>
        <v/>
      </c>
    </row>
    <row r="737" spans="1:55" ht="12" customHeight="1">
      <c r="A737" s="355"/>
      <c r="B737" s="355"/>
      <c r="C737" s="355"/>
      <c r="D737" s="355"/>
      <c r="E737" s="355"/>
      <c r="F737" s="355"/>
      <c r="G737" s="355"/>
      <c r="H737" s="379"/>
      <c r="I737" s="359"/>
      <c r="J737" s="356">
        <v>42</v>
      </c>
      <c r="K737" s="358" t="s">
        <v>325</v>
      </c>
      <c r="L737" s="315">
        <f t="shared" si="554"/>
        <v>0</v>
      </c>
      <c r="M737" s="315">
        <f t="shared" si="554"/>
        <v>0</v>
      </c>
      <c r="N737" s="337">
        <f t="shared" si="554"/>
        <v>0</v>
      </c>
      <c r="O737" s="337">
        <f t="shared" si="554"/>
        <v>0</v>
      </c>
      <c r="P737" s="292">
        <f t="shared" si="554"/>
        <v>40000</v>
      </c>
      <c r="Q737" s="292">
        <f t="shared" si="554"/>
        <v>0</v>
      </c>
      <c r="R737" s="441">
        <f t="shared" si="554"/>
        <v>0</v>
      </c>
      <c r="S737" s="292">
        <f t="shared" si="554"/>
        <v>0</v>
      </c>
      <c r="T737" s="292"/>
      <c r="U737" s="292"/>
      <c r="V737" s="469">
        <f t="shared" si="554"/>
        <v>40000</v>
      </c>
      <c r="W737" s="469">
        <f t="shared" si="554"/>
        <v>0</v>
      </c>
      <c r="X737" s="522">
        <f t="shared" si="554"/>
        <v>0</v>
      </c>
      <c r="Y737" s="522">
        <f t="shared" si="554"/>
        <v>0</v>
      </c>
      <c r="Z737" s="541" t="b">
        <f t="shared" si="548"/>
        <v>1</v>
      </c>
      <c r="AA737" s="522"/>
      <c r="AB737" s="523">
        <f t="shared" si="554"/>
        <v>0</v>
      </c>
      <c r="AC737" s="523">
        <f t="shared" si="554"/>
        <v>0</v>
      </c>
      <c r="AD737" s="524"/>
      <c r="AE737" s="524"/>
      <c r="AF737" s="524"/>
      <c r="AG737" s="524"/>
      <c r="AH737" s="522"/>
      <c r="AI737" s="522">
        <v>0</v>
      </c>
      <c r="AJ737" s="516"/>
      <c r="AK737" s="516"/>
      <c r="AL737" s="516">
        <f>X737/AT737*100</f>
        <v>0</v>
      </c>
      <c r="AM737" s="292"/>
      <c r="AO737" t="b">
        <f t="shared" si="549"/>
        <v>1</v>
      </c>
      <c r="AP737" s="440">
        <f t="shared" si="555"/>
        <v>0</v>
      </c>
      <c r="AQ737" s="441">
        <v>0</v>
      </c>
      <c r="AR737" s="440">
        <f>AR738</f>
        <v>0</v>
      </c>
      <c r="AS737" s="441">
        <f t="shared" si="555"/>
        <v>0</v>
      </c>
      <c r="AT737" s="612">
        <f>AT738</f>
        <v>40000</v>
      </c>
      <c r="AU737" s="469">
        <f t="shared" si="555"/>
        <v>0</v>
      </c>
      <c r="AV737" s="636">
        <v>0</v>
      </c>
      <c r="AW737" s="636">
        <v>0</v>
      </c>
      <c r="AX737" s="655" t="str">
        <f t="shared" si="537"/>
        <v/>
      </c>
      <c r="AY737" s="655" t="str">
        <f t="shared" si="538"/>
        <v/>
      </c>
      <c r="AZ737" s="655">
        <f t="shared" si="539"/>
        <v>0</v>
      </c>
      <c r="BA737" s="655" t="str">
        <f t="shared" si="540"/>
        <v/>
      </c>
      <c r="BB737" s="655" t="str">
        <f t="shared" si="541"/>
        <v/>
      </c>
      <c r="BC737" s="655" t="str">
        <f t="shared" si="541"/>
        <v/>
      </c>
    </row>
    <row r="738" spans="1:55" ht="12" customHeight="1">
      <c r="A738" s="56"/>
      <c r="B738" s="56"/>
      <c r="C738" s="56"/>
      <c r="D738" s="56"/>
      <c r="E738" s="56"/>
      <c r="F738" s="56"/>
      <c r="G738" s="56"/>
      <c r="H738" s="377"/>
      <c r="I738" s="157"/>
      <c r="J738" s="116">
        <v>421</v>
      </c>
      <c r="K738" s="60" t="s">
        <v>243</v>
      </c>
      <c r="L738" s="315">
        <f t="shared" si="554"/>
        <v>0</v>
      </c>
      <c r="M738" s="315">
        <f t="shared" si="554"/>
        <v>0</v>
      </c>
      <c r="N738" s="337">
        <f t="shared" si="554"/>
        <v>0</v>
      </c>
      <c r="O738" s="337">
        <f t="shared" si="554"/>
        <v>0</v>
      </c>
      <c r="P738" s="292">
        <f t="shared" si="554"/>
        <v>40000</v>
      </c>
      <c r="Q738" s="292">
        <f t="shared" si="554"/>
        <v>0</v>
      </c>
      <c r="R738" s="441">
        <f t="shared" si="554"/>
        <v>0</v>
      </c>
      <c r="S738" s="292">
        <f t="shared" si="554"/>
        <v>0</v>
      </c>
      <c r="T738" s="292"/>
      <c r="U738" s="292"/>
      <c r="V738" s="469">
        <f t="shared" si="554"/>
        <v>40000</v>
      </c>
      <c r="W738" s="469">
        <f t="shared" si="554"/>
        <v>0</v>
      </c>
      <c r="X738" s="522">
        <f t="shared" si="554"/>
        <v>0</v>
      </c>
      <c r="Y738" s="522">
        <f t="shared" si="554"/>
        <v>0</v>
      </c>
      <c r="Z738" s="541" t="b">
        <f t="shared" si="548"/>
        <v>1</v>
      </c>
      <c r="AA738" s="522"/>
      <c r="AB738" s="523">
        <f t="shared" si="554"/>
        <v>0</v>
      </c>
      <c r="AC738" s="523">
        <f t="shared" si="554"/>
        <v>0</v>
      </c>
      <c r="AD738" s="524"/>
      <c r="AE738" s="524"/>
      <c r="AF738" s="524"/>
      <c r="AG738" s="524"/>
      <c r="AH738" s="522"/>
      <c r="AI738" s="522">
        <v>0</v>
      </c>
      <c r="AJ738" s="516"/>
      <c r="AK738" s="516"/>
      <c r="AL738" s="516">
        <f>X738/AT738*100</f>
        <v>0</v>
      </c>
      <c r="AM738" s="292"/>
      <c r="AO738" t="b">
        <f t="shared" si="549"/>
        <v>1</v>
      </c>
      <c r="AP738" s="440">
        <f t="shared" si="555"/>
        <v>0</v>
      </c>
      <c r="AQ738" s="441">
        <v>0</v>
      </c>
      <c r="AR738" s="440">
        <f>AR739</f>
        <v>0</v>
      </c>
      <c r="AS738" s="441">
        <f t="shared" si="555"/>
        <v>0</v>
      </c>
      <c r="AT738" s="612">
        <f>AT739</f>
        <v>40000</v>
      </c>
      <c r="AU738" s="469">
        <f t="shared" si="555"/>
        <v>0</v>
      </c>
      <c r="AV738" s="636">
        <v>0</v>
      </c>
      <c r="AW738" s="636">
        <v>0</v>
      </c>
      <c r="AX738" s="655" t="str">
        <f t="shared" si="537"/>
        <v/>
      </c>
      <c r="AY738" s="655" t="str">
        <f t="shared" si="538"/>
        <v/>
      </c>
      <c r="AZ738" s="655">
        <f t="shared" si="539"/>
        <v>0</v>
      </c>
      <c r="BA738" s="655" t="str">
        <f t="shared" si="540"/>
        <v/>
      </c>
      <c r="BB738" s="655" t="str">
        <f t="shared" si="541"/>
        <v/>
      </c>
      <c r="BC738" s="655" t="str">
        <f t="shared" si="541"/>
        <v/>
      </c>
    </row>
    <row r="739" spans="1:55" ht="12" customHeight="1">
      <c r="A739" s="36"/>
      <c r="B739" s="36"/>
      <c r="C739" s="36"/>
      <c r="D739" s="36"/>
      <c r="E739" s="36"/>
      <c r="F739" s="36"/>
      <c r="G739" s="36"/>
      <c r="H739" s="204" t="s">
        <v>802</v>
      </c>
      <c r="I739" s="132">
        <v>660</v>
      </c>
      <c r="J739" s="71">
        <v>4212</v>
      </c>
      <c r="K739" s="40" t="s">
        <v>803</v>
      </c>
      <c r="L739" s="309">
        <v>0</v>
      </c>
      <c r="M739" s="309">
        <v>0</v>
      </c>
      <c r="N739" s="339">
        <v>0</v>
      </c>
      <c r="O739" s="339">
        <v>0</v>
      </c>
      <c r="P739" s="294">
        <v>40000</v>
      </c>
      <c r="Q739" s="269">
        <v>0</v>
      </c>
      <c r="R739" s="443">
        <v>0</v>
      </c>
      <c r="S739" s="294">
        <f>__xlfn.XLOOKUP(H739,[2]Izvršenje_proračuna_po_pozicija!$B$2:$B$153,[2]Izvršenje_proračuna_po_pozicija!$E$2:$E$153,0)</f>
        <v>0</v>
      </c>
      <c r="T739" s="294"/>
      <c r="U739" s="294"/>
      <c r="V739" s="478">
        <v>40000</v>
      </c>
      <c r="W739" s="478">
        <v>0</v>
      </c>
      <c r="X739" s="544">
        <v>0</v>
      </c>
      <c r="Y739" s="544"/>
      <c r="Z739" s="541" t="b">
        <f t="shared" si="548"/>
        <v>0</v>
      </c>
      <c r="AA739" s="527"/>
      <c r="AB739" s="528">
        <v>0</v>
      </c>
      <c r="AC739" s="528">
        <v>0</v>
      </c>
      <c r="AD739" s="524"/>
      <c r="AE739" s="524"/>
      <c r="AF739" s="524"/>
      <c r="AG739" s="524"/>
      <c r="AH739" s="527"/>
      <c r="AI739" s="544">
        <v>0</v>
      </c>
      <c r="AJ739" s="516"/>
      <c r="AK739" s="516"/>
      <c r="AL739" s="516">
        <f>X739/AT739*100</f>
        <v>0</v>
      </c>
      <c r="AM739" s="294"/>
      <c r="AO739" t="b">
        <f t="shared" si="549"/>
        <v>0</v>
      </c>
      <c r="AQ739" s="443"/>
      <c r="AS739" s="443">
        <f>__xlfn.XLOOKUP(K739,[1]Izvršenje_proračuna_po_pozicija!$C$25:$C$149,[1]Izvršenje_proračuna_po_pozicija!$E$25:$E$149,0)</f>
        <v>0</v>
      </c>
      <c r="AT739" s="617">
        <v>40000</v>
      </c>
      <c r="AU739" s="478"/>
      <c r="AV739" s="638">
        <v>0</v>
      </c>
      <c r="AW739" s="638">
        <v>0</v>
      </c>
      <c r="AX739" s="655" t="str">
        <f t="shared" si="537"/>
        <v/>
      </c>
      <c r="AY739" s="655" t="str">
        <f t="shared" si="538"/>
        <v/>
      </c>
      <c r="AZ739" s="655" t="str">
        <f t="shared" si="539"/>
        <v/>
      </c>
      <c r="BA739" s="655" t="str">
        <f t="shared" si="540"/>
        <v/>
      </c>
      <c r="BB739" s="655" t="str">
        <f t="shared" si="541"/>
        <v/>
      </c>
      <c r="BC739" s="655" t="str">
        <f t="shared" si="541"/>
        <v/>
      </c>
    </row>
    <row r="740" spans="1:55" ht="12" customHeight="1">
      <c r="A740" s="20"/>
      <c r="B740" s="20"/>
      <c r="C740" s="20"/>
      <c r="D740" s="20"/>
      <c r="E740" s="20"/>
      <c r="F740" s="20"/>
      <c r="G740" s="20"/>
      <c r="H740" s="375"/>
      <c r="I740" s="22"/>
      <c r="J740" s="21"/>
      <c r="K740" s="19"/>
      <c r="L740" s="313">
        <v>1</v>
      </c>
      <c r="M740" s="313">
        <v>2</v>
      </c>
      <c r="N740" s="335">
        <v>3</v>
      </c>
      <c r="O740" s="335">
        <v>4</v>
      </c>
      <c r="P740" s="290">
        <v>5</v>
      </c>
      <c r="Q740" s="290">
        <v>6</v>
      </c>
      <c r="R740" s="439"/>
      <c r="S740" s="294">
        <f>__xlfn.XLOOKUP(H740,[2]Izvršenje_proračuna_po_pozicija!$B$2:$B$153,[2]Izvršenje_proračuna_po_pozicija!$E$2:$E$153,0)</f>
        <v>0</v>
      </c>
      <c r="T740" s="294"/>
      <c r="U740" s="294"/>
      <c r="V740" s="474">
        <v>5</v>
      </c>
      <c r="W740" s="474"/>
      <c r="X740" s="539"/>
      <c r="Y740" s="539"/>
      <c r="Z740" s="541" t="b">
        <f t="shared" si="548"/>
        <v>0</v>
      </c>
      <c r="AA740" s="514"/>
      <c r="AB740" s="515">
        <v>7</v>
      </c>
      <c r="AC740" s="515">
        <v>8</v>
      </c>
      <c r="AD740" s="515">
        <v>9</v>
      </c>
      <c r="AE740" s="515">
        <v>10</v>
      </c>
      <c r="AF740" s="515">
        <v>11</v>
      </c>
      <c r="AG740" s="515">
        <v>12</v>
      </c>
      <c r="AH740" s="514"/>
      <c r="AI740" s="539"/>
      <c r="AJ740" s="516"/>
      <c r="AK740" s="516"/>
      <c r="AL740" s="516"/>
      <c r="AM740" s="290"/>
      <c r="AO740" t="b">
        <f t="shared" si="549"/>
        <v>0</v>
      </c>
      <c r="AQ740" s="439"/>
      <c r="AS740" s="439">
        <f>__xlfn.XLOOKUP(K740,[1]Izvršenje_proračuna_po_pozicija!$C$25:$C$149,[1]Izvršenje_proračuna_po_pozicija!$E$25:$E$149,0)</f>
        <v>0</v>
      </c>
      <c r="AT740" s="616"/>
      <c r="AU740" s="474"/>
      <c r="AV740" s="632"/>
      <c r="AW740" s="632"/>
      <c r="AX740" s="655" t="str">
        <f t="shared" si="537"/>
        <v/>
      </c>
      <c r="AY740" s="655" t="str">
        <f t="shared" si="538"/>
        <v/>
      </c>
      <c r="AZ740" s="655" t="str">
        <f t="shared" si="539"/>
        <v/>
      </c>
      <c r="BA740" s="655" t="str">
        <f t="shared" si="540"/>
        <v/>
      </c>
      <c r="BB740" s="655" t="str">
        <f t="shared" si="541"/>
        <v/>
      </c>
      <c r="BC740" s="655" t="str">
        <f t="shared" si="541"/>
        <v/>
      </c>
    </row>
    <row r="741" spans="1:55" ht="12" customHeight="1">
      <c r="A741" s="212" t="s">
        <v>491</v>
      </c>
      <c r="B741" s="130"/>
      <c r="C741" s="130"/>
      <c r="D741" s="130"/>
      <c r="E741" s="130"/>
      <c r="F741" s="130"/>
      <c r="G741" s="130"/>
      <c r="H741" s="383"/>
      <c r="I741" s="170" t="s">
        <v>326</v>
      </c>
      <c r="J741" s="171"/>
      <c r="K741" s="111"/>
      <c r="L741" s="315">
        <f t="shared" ref="L741:S741" si="556">L743+L748</f>
        <v>0</v>
      </c>
      <c r="M741" s="315">
        <f t="shared" si="556"/>
        <v>0</v>
      </c>
      <c r="N741" s="337">
        <f t="shared" si="556"/>
        <v>0</v>
      </c>
      <c r="O741" s="337">
        <f t="shared" si="556"/>
        <v>0</v>
      </c>
      <c r="P741" s="292">
        <f t="shared" si="556"/>
        <v>160000</v>
      </c>
      <c r="Q741" s="292">
        <f t="shared" si="556"/>
        <v>50000</v>
      </c>
      <c r="R741" s="441">
        <f t="shared" si="556"/>
        <v>0</v>
      </c>
      <c r="S741" s="292">
        <f t="shared" si="556"/>
        <v>0</v>
      </c>
      <c r="T741" s="292"/>
      <c r="U741" s="292"/>
      <c r="V741" s="469">
        <f>V743+V748</f>
        <v>190000</v>
      </c>
      <c r="W741" s="469">
        <f>W743+W748</f>
        <v>33500</v>
      </c>
      <c r="X741" s="522">
        <f>X743+X748</f>
        <v>100000</v>
      </c>
      <c r="Y741" s="522">
        <f>Y743+Y748</f>
        <v>0</v>
      </c>
      <c r="Z741" s="541" t="b">
        <f t="shared" si="548"/>
        <v>1</v>
      </c>
      <c r="AA741" s="522"/>
      <c r="AB741" s="523">
        <f>AB743+AB748</f>
        <v>160000</v>
      </c>
      <c r="AC741" s="523">
        <f>AC743+AC748</f>
        <v>160000</v>
      </c>
      <c r="AD741" s="524"/>
      <c r="AE741" s="524"/>
      <c r="AF741" s="524"/>
      <c r="AG741" s="524"/>
      <c r="AH741" s="522"/>
      <c r="AI741" s="522">
        <v>100000</v>
      </c>
      <c r="AJ741" s="516"/>
      <c r="AK741" s="516">
        <f>AT741/W741*100</f>
        <v>1343.2835820895523</v>
      </c>
      <c r="AL741" s="516">
        <f>X741/AT741*100</f>
        <v>22.222222222222221</v>
      </c>
      <c r="AM741" s="292"/>
      <c r="AO741" t="b">
        <f t="shared" si="549"/>
        <v>1</v>
      </c>
      <c r="AP741" s="440">
        <f t="shared" ref="AP741:AU741" si="557">AP743+AP748</f>
        <v>0</v>
      </c>
      <c r="AQ741" s="441">
        <v>25000</v>
      </c>
      <c r="AR741" s="440">
        <f>AR743+AR748</f>
        <v>0</v>
      </c>
      <c r="AS741" s="441">
        <f t="shared" si="557"/>
        <v>0</v>
      </c>
      <c r="AT741" s="612">
        <f t="shared" si="557"/>
        <v>450000</v>
      </c>
      <c r="AU741" s="469">
        <f t="shared" si="557"/>
        <v>12000</v>
      </c>
      <c r="AV741" s="636">
        <v>100000</v>
      </c>
      <c r="AW741" s="636">
        <v>100000</v>
      </c>
      <c r="AX741" s="655" t="str">
        <f t="shared" si="537"/>
        <v/>
      </c>
      <c r="AY741" s="655">
        <f t="shared" si="538"/>
        <v>1800</v>
      </c>
      <c r="AZ741" s="655">
        <f t="shared" si="539"/>
        <v>2.666666666666667</v>
      </c>
      <c r="BA741" s="655">
        <f t="shared" si="540"/>
        <v>48</v>
      </c>
      <c r="BB741" s="655">
        <f t="shared" si="541"/>
        <v>833.33333333333337</v>
      </c>
      <c r="BC741" s="655">
        <f t="shared" si="541"/>
        <v>100</v>
      </c>
    </row>
    <row r="742" spans="1:55" ht="12" customHeight="1">
      <c r="A742" s="36"/>
      <c r="B742" s="36"/>
      <c r="C742" s="36"/>
      <c r="D742" s="36"/>
      <c r="E742" s="36"/>
      <c r="F742" s="36"/>
      <c r="G742" s="36"/>
      <c r="H742" s="204"/>
      <c r="I742" s="132"/>
      <c r="J742" s="71"/>
      <c r="K742" s="40"/>
      <c r="L742" s="315"/>
      <c r="M742" s="315"/>
      <c r="N742" s="337"/>
      <c r="O742" s="337"/>
      <c r="P742" s="292"/>
      <c r="Q742" s="292"/>
      <c r="R742" s="441"/>
      <c r="S742" s="294">
        <f>__xlfn.XLOOKUP(H742,[2]Izvršenje_proračuna_po_pozicija!$B$2:$B$153,[2]Izvršenje_proračuna_po_pozicija!$E$2:$E$153,0)</f>
        <v>0</v>
      </c>
      <c r="T742" s="294"/>
      <c r="U742" s="294"/>
      <c r="V742" s="476"/>
      <c r="W742" s="476"/>
      <c r="X742" s="541"/>
      <c r="Y742" s="541"/>
      <c r="Z742" s="541" t="b">
        <f t="shared" si="548"/>
        <v>0</v>
      </c>
      <c r="AA742" s="522"/>
      <c r="AB742" s="523"/>
      <c r="AC742" s="523"/>
      <c r="AD742" s="524"/>
      <c r="AE742" s="524"/>
      <c r="AF742" s="524"/>
      <c r="AG742" s="524"/>
      <c r="AH742" s="522"/>
      <c r="AI742" s="541"/>
      <c r="AJ742" s="516"/>
      <c r="AK742" s="516"/>
      <c r="AL742" s="516"/>
      <c r="AM742" s="292"/>
      <c r="AO742" t="b">
        <f t="shared" si="549"/>
        <v>0</v>
      </c>
      <c r="AQ742" s="441"/>
      <c r="AS742" s="441"/>
      <c r="AT742" s="616"/>
      <c r="AU742" s="476"/>
      <c r="AV742" s="636"/>
      <c r="AW742" s="636"/>
      <c r="AX742" s="655" t="str">
        <f t="shared" si="537"/>
        <v/>
      </c>
      <c r="AY742" s="655" t="str">
        <f t="shared" si="538"/>
        <v/>
      </c>
      <c r="AZ742" s="655" t="str">
        <f t="shared" si="539"/>
        <v/>
      </c>
      <c r="BA742" s="655" t="str">
        <f t="shared" si="540"/>
        <v/>
      </c>
      <c r="BB742" s="655" t="str">
        <f t="shared" si="541"/>
        <v/>
      </c>
      <c r="BC742" s="655" t="str">
        <f t="shared" si="541"/>
        <v/>
      </c>
    </row>
    <row r="743" spans="1:55" ht="12" customHeight="1">
      <c r="A743" s="52"/>
      <c r="B743" s="52"/>
      <c r="C743" s="52"/>
      <c r="D743" s="52"/>
      <c r="E743" s="52"/>
      <c r="F743" s="52"/>
      <c r="G743" s="52"/>
      <c r="H743" s="384"/>
      <c r="I743" s="156"/>
      <c r="J743" s="94">
        <v>3</v>
      </c>
      <c r="K743" s="21" t="s">
        <v>94</v>
      </c>
      <c r="L743" s="315">
        <f t="shared" ref="L743:AC745" si="558">L744</f>
        <v>0</v>
      </c>
      <c r="M743" s="315">
        <f t="shared" si="558"/>
        <v>0</v>
      </c>
      <c r="N743" s="337">
        <f t="shared" si="558"/>
        <v>0</v>
      </c>
      <c r="O743" s="337">
        <f t="shared" si="558"/>
        <v>0</v>
      </c>
      <c r="P743" s="292">
        <f t="shared" si="558"/>
        <v>160000</v>
      </c>
      <c r="Q743" s="292">
        <f t="shared" si="558"/>
        <v>50000</v>
      </c>
      <c r="R743" s="441">
        <f t="shared" si="558"/>
        <v>0</v>
      </c>
      <c r="S743" s="292">
        <f t="shared" si="558"/>
        <v>0</v>
      </c>
      <c r="T743" s="292"/>
      <c r="U743" s="292"/>
      <c r="V743" s="469">
        <f t="shared" si="558"/>
        <v>190000</v>
      </c>
      <c r="W743" s="469">
        <f t="shared" si="558"/>
        <v>33500</v>
      </c>
      <c r="X743" s="522">
        <f t="shared" si="558"/>
        <v>100000</v>
      </c>
      <c r="Y743" s="522">
        <f t="shared" si="558"/>
        <v>0</v>
      </c>
      <c r="Z743" s="541" t="b">
        <f t="shared" si="548"/>
        <v>1</v>
      </c>
      <c r="AA743" s="522"/>
      <c r="AB743" s="523">
        <f t="shared" si="558"/>
        <v>160000</v>
      </c>
      <c r="AC743" s="523">
        <f t="shared" si="558"/>
        <v>160000</v>
      </c>
      <c r="AD743" s="524"/>
      <c r="AE743" s="524"/>
      <c r="AF743" s="524"/>
      <c r="AG743" s="524"/>
      <c r="AH743" s="522"/>
      <c r="AI743" s="522">
        <v>100000</v>
      </c>
      <c r="AJ743" s="516"/>
      <c r="AK743" s="516">
        <f>AT743/W743*100</f>
        <v>1343.2835820895523</v>
      </c>
      <c r="AL743" s="516">
        <f>X743/AT743*100</f>
        <v>22.222222222222221</v>
      </c>
      <c r="AM743" s="292"/>
      <c r="AO743" t="b">
        <f t="shared" si="549"/>
        <v>1</v>
      </c>
      <c r="AP743" s="440">
        <f t="shared" ref="AP743:AU745" si="559">AP744</f>
        <v>0</v>
      </c>
      <c r="AQ743" s="441">
        <v>25000</v>
      </c>
      <c r="AR743" s="440">
        <f>AR744</f>
        <v>0</v>
      </c>
      <c r="AS743" s="441">
        <f t="shared" si="559"/>
        <v>0</v>
      </c>
      <c r="AT743" s="612">
        <f>AT744</f>
        <v>450000</v>
      </c>
      <c r="AU743" s="469">
        <f t="shared" si="559"/>
        <v>12000</v>
      </c>
      <c r="AV743" s="636">
        <v>100000</v>
      </c>
      <c r="AW743" s="636">
        <v>100000</v>
      </c>
      <c r="AX743" s="655" t="str">
        <f t="shared" si="537"/>
        <v/>
      </c>
      <c r="AY743" s="655">
        <f t="shared" si="538"/>
        <v>1800</v>
      </c>
      <c r="AZ743" s="655">
        <f t="shared" si="539"/>
        <v>2.666666666666667</v>
      </c>
      <c r="BA743" s="655">
        <f t="shared" si="540"/>
        <v>48</v>
      </c>
      <c r="BB743" s="655">
        <f t="shared" si="541"/>
        <v>833.33333333333337</v>
      </c>
      <c r="BC743" s="655">
        <f t="shared" si="541"/>
        <v>100</v>
      </c>
    </row>
    <row r="744" spans="1:55" ht="12" customHeight="1">
      <c r="A744" s="355"/>
      <c r="B744" s="355"/>
      <c r="C744" s="355"/>
      <c r="D744" s="355"/>
      <c r="E744" s="355"/>
      <c r="F744" s="355"/>
      <c r="G744" s="355"/>
      <c r="H744" s="379"/>
      <c r="I744" s="359"/>
      <c r="J744" s="356">
        <v>38</v>
      </c>
      <c r="K744" s="358" t="s">
        <v>144</v>
      </c>
      <c r="L744" s="315">
        <f t="shared" si="558"/>
        <v>0</v>
      </c>
      <c r="M744" s="315">
        <f t="shared" si="558"/>
        <v>0</v>
      </c>
      <c r="N744" s="337">
        <f t="shared" si="558"/>
        <v>0</v>
      </c>
      <c r="O744" s="337">
        <f t="shared" si="558"/>
        <v>0</v>
      </c>
      <c r="P744" s="292">
        <f t="shared" si="558"/>
        <v>160000</v>
      </c>
      <c r="Q744" s="292">
        <f t="shared" si="558"/>
        <v>50000</v>
      </c>
      <c r="R744" s="441">
        <f t="shared" si="558"/>
        <v>0</v>
      </c>
      <c r="S744" s="292">
        <f t="shared" si="558"/>
        <v>0</v>
      </c>
      <c r="T744" s="292"/>
      <c r="U744" s="292"/>
      <c r="V744" s="469">
        <f t="shared" si="558"/>
        <v>190000</v>
      </c>
      <c r="W744" s="469">
        <f t="shared" si="558"/>
        <v>33500</v>
      </c>
      <c r="X744" s="522">
        <f t="shared" si="558"/>
        <v>100000</v>
      </c>
      <c r="Y744" s="522">
        <f t="shared" si="558"/>
        <v>0</v>
      </c>
      <c r="Z744" s="541" t="b">
        <f t="shared" si="548"/>
        <v>1</v>
      </c>
      <c r="AA744" s="522"/>
      <c r="AB744" s="523">
        <f t="shared" si="558"/>
        <v>160000</v>
      </c>
      <c r="AC744" s="523">
        <f t="shared" si="558"/>
        <v>160000</v>
      </c>
      <c r="AD744" s="524"/>
      <c r="AE744" s="524"/>
      <c r="AF744" s="524"/>
      <c r="AG744" s="524"/>
      <c r="AH744" s="522"/>
      <c r="AI744" s="522">
        <v>100000</v>
      </c>
      <c r="AJ744" s="516"/>
      <c r="AK744" s="516">
        <f>AT744/W744*100</f>
        <v>1343.2835820895523</v>
      </c>
      <c r="AL744" s="516">
        <f>X744/AT744*100</f>
        <v>22.222222222222221</v>
      </c>
      <c r="AM744" s="292"/>
      <c r="AO744" t="b">
        <f t="shared" si="549"/>
        <v>1</v>
      </c>
      <c r="AP744" s="440">
        <f t="shared" si="559"/>
        <v>0</v>
      </c>
      <c r="AQ744" s="441">
        <v>25000</v>
      </c>
      <c r="AR744" s="440">
        <f>AR745</f>
        <v>0</v>
      </c>
      <c r="AS744" s="441">
        <f t="shared" si="559"/>
        <v>0</v>
      </c>
      <c r="AT744" s="612">
        <f>AT745</f>
        <v>450000</v>
      </c>
      <c r="AU744" s="469">
        <f t="shared" si="559"/>
        <v>12000</v>
      </c>
      <c r="AV744" s="636">
        <v>100000</v>
      </c>
      <c r="AW744" s="636">
        <v>100000</v>
      </c>
      <c r="AX744" s="655" t="str">
        <f t="shared" si="537"/>
        <v/>
      </c>
      <c r="AY744" s="655">
        <f t="shared" si="538"/>
        <v>1800</v>
      </c>
      <c r="AZ744" s="655">
        <f t="shared" si="539"/>
        <v>2.666666666666667</v>
      </c>
      <c r="BA744" s="655">
        <f t="shared" si="540"/>
        <v>48</v>
      </c>
      <c r="BB744" s="655">
        <f t="shared" si="541"/>
        <v>833.33333333333337</v>
      </c>
      <c r="BC744" s="655">
        <f t="shared" si="541"/>
        <v>100</v>
      </c>
    </row>
    <row r="745" spans="1:55" ht="12" customHeight="1">
      <c r="A745" s="56"/>
      <c r="B745" s="56"/>
      <c r="C745" s="56"/>
      <c r="D745" s="56"/>
      <c r="E745" s="56"/>
      <c r="F745" s="56"/>
      <c r="G745" s="56"/>
      <c r="H745" s="377"/>
      <c r="I745" s="157"/>
      <c r="J745" s="116">
        <v>386</v>
      </c>
      <c r="K745" s="60" t="s">
        <v>275</v>
      </c>
      <c r="L745" s="315">
        <f t="shared" si="558"/>
        <v>0</v>
      </c>
      <c r="M745" s="315">
        <f t="shared" si="558"/>
        <v>0</v>
      </c>
      <c r="N745" s="337">
        <f t="shared" si="558"/>
        <v>0</v>
      </c>
      <c r="O745" s="337">
        <f t="shared" si="558"/>
        <v>0</v>
      </c>
      <c r="P745" s="292">
        <f t="shared" si="558"/>
        <v>160000</v>
      </c>
      <c r="Q745" s="292">
        <f t="shared" si="558"/>
        <v>50000</v>
      </c>
      <c r="R745" s="441">
        <f t="shared" si="558"/>
        <v>0</v>
      </c>
      <c r="S745" s="292">
        <f t="shared" si="558"/>
        <v>0</v>
      </c>
      <c r="T745" s="292"/>
      <c r="U745" s="292"/>
      <c r="V745" s="469">
        <f t="shared" si="558"/>
        <v>190000</v>
      </c>
      <c r="W745" s="469">
        <f t="shared" si="558"/>
        <v>33500</v>
      </c>
      <c r="X745" s="522">
        <f t="shared" si="558"/>
        <v>100000</v>
      </c>
      <c r="Y745" s="522">
        <f t="shared" si="558"/>
        <v>0</v>
      </c>
      <c r="Z745" s="541" t="b">
        <f t="shared" si="548"/>
        <v>1</v>
      </c>
      <c r="AA745" s="522"/>
      <c r="AB745" s="523">
        <f t="shared" si="558"/>
        <v>160000</v>
      </c>
      <c r="AC745" s="523">
        <f t="shared" si="558"/>
        <v>160000</v>
      </c>
      <c r="AD745" s="524"/>
      <c r="AE745" s="524"/>
      <c r="AF745" s="524"/>
      <c r="AG745" s="524"/>
      <c r="AH745" s="522"/>
      <c r="AI745" s="522">
        <v>100000</v>
      </c>
      <c r="AJ745" s="516"/>
      <c r="AK745" s="516">
        <f>AT745/W745*100</f>
        <v>1343.2835820895523</v>
      </c>
      <c r="AL745" s="516">
        <f>X745/AT745*100</f>
        <v>22.222222222222221</v>
      </c>
      <c r="AM745" s="292"/>
      <c r="AN745" s="413"/>
      <c r="AO745" t="b">
        <f t="shared" si="549"/>
        <v>1</v>
      </c>
      <c r="AP745" s="440">
        <f t="shared" si="559"/>
        <v>0</v>
      </c>
      <c r="AQ745" s="441">
        <v>25000</v>
      </c>
      <c r="AR745" s="440">
        <f>AR746</f>
        <v>0</v>
      </c>
      <c r="AS745" s="441">
        <f t="shared" si="559"/>
        <v>0</v>
      </c>
      <c r="AT745" s="612">
        <f>AT746</f>
        <v>450000</v>
      </c>
      <c r="AU745" s="469">
        <f t="shared" si="559"/>
        <v>12000</v>
      </c>
      <c r="AV745" s="636">
        <v>100000</v>
      </c>
      <c r="AW745" s="636">
        <v>100000</v>
      </c>
      <c r="AX745" s="655" t="str">
        <f t="shared" si="537"/>
        <v/>
      </c>
      <c r="AY745" s="655">
        <f t="shared" si="538"/>
        <v>1800</v>
      </c>
      <c r="AZ745" s="655">
        <f t="shared" si="539"/>
        <v>2.666666666666667</v>
      </c>
      <c r="BA745" s="655">
        <f t="shared" si="540"/>
        <v>48</v>
      </c>
      <c r="BB745" s="655">
        <f t="shared" si="541"/>
        <v>833.33333333333337</v>
      </c>
      <c r="BC745" s="655">
        <f t="shared" si="541"/>
        <v>100</v>
      </c>
    </row>
    <row r="746" spans="1:55" ht="12" customHeight="1">
      <c r="A746" s="36"/>
      <c r="B746" s="36"/>
      <c r="C746" s="36"/>
      <c r="D746" s="36"/>
      <c r="E746" s="36"/>
      <c r="F746" s="36"/>
      <c r="G746" s="36"/>
      <c r="H746" s="204" t="s">
        <v>327</v>
      </c>
      <c r="I746" s="132">
        <v>660</v>
      </c>
      <c r="J746" s="71">
        <v>3861</v>
      </c>
      <c r="K746" s="40" t="s">
        <v>328</v>
      </c>
      <c r="L746" s="309">
        <v>0</v>
      </c>
      <c r="M746" s="309">
        <v>0</v>
      </c>
      <c r="N746" s="339">
        <v>0</v>
      </c>
      <c r="O746" s="339">
        <v>0</v>
      </c>
      <c r="P746" s="294">
        <v>160000</v>
      </c>
      <c r="Q746" s="269">
        <v>50000</v>
      </c>
      <c r="R746" s="443">
        <v>0</v>
      </c>
      <c r="S746" s="294">
        <f>__xlfn.XLOOKUP(H746,[2]Izvršenje_proračuna_po_pozicija!$B$2:$B$153,[2]Izvršenje_proračuna_po_pozicija!$E$2:$E$153,0)</f>
        <v>0</v>
      </c>
      <c r="T746" s="294"/>
      <c r="U746" s="294"/>
      <c r="V746" s="478">
        <v>190000</v>
      </c>
      <c r="W746" s="478">
        <v>33500</v>
      </c>
      <c r="X746" s="544">
        <v>100000</v>
      </c>
      <c r="Y746" s="544"/>
      <c r="Z746" s="541" t="b">
        <f t="shared" si="548"/>
        <v>0</v>
      </c>
      <c r="AA746" s="527"/>
      <c r="AB746" s="528">
        <v>160000</v>
      </c>
      <c r="AC746" s="528">
        <v>160000</v>
      </c>
      <c r="AD746" s="524"/>
      <c r="AE746" s="524"/>
      <c r="AF746" s="524"/>
      <c r="AG746" s="524"/>
      <c r="AH746" s="527"/>
      <c r="AI746" s="544">
        <v>100000</v>
      </c>
      <c r="AJ746" s="516"/>
      <c r="AK746" s="516">
        <f>AT746/W746*100</f>
        <v>1343.2835820895523</v>
      </c>
      <c r="AL746" s="516">
        <f>X746/AT746*100</f>
        <v>22.222222222222221</v>
      </c>
      <c r="AM746" s="294"/>
      <c r="AO746" t="b">
        <f t="shared" si="549"/>
        <v>0</v>
      </c>
      <c r="AQ746" s="443">
        <v>25000</v>
      </c>
      <c r="AS746" s="443">
        <f>__xlfn.XLOOKUP(K746,[1]Izvršenje_proračuna_po_pozicija!$C$25:$C$149,[1]Izvršenje_proračuna_po_pozicija!$E$25:$E$149,0)</f>
        <v>0</v>
      </c>
      <c r="AT746" s="617">
        <v>450000</v>
      </c>
      <c r="AU746" s="478">
        <v>12000</v>
      </c>
      <c r="AV746" s="638">
        <v>100000</v>
      </c>
      <c r="AW746" s="638">
        <v>100000</v>
      </c>
      <c r="AX746" s="655" t="str">
        <f t="shared" si="537"/>
        <v/>
      </c>
      <c r="AY746" s="655">
        <f t="shared" si="538"/>
        <v>1800</v>
      </c>
      <c r="AZ746" s="655">
        <f t="shared" si="539"/>
        <v>2.666666666666667</v>
      </c>
      <c r="BA746" s="655">
        <f t="shared" si="540"/>
        <v>48</v>
      </c>
      <c r="BB746" s="655">
        <f t="shared" si="541"/>
        <v>833.33333333333337</v>
      </c>
      <c r="BC746" s="655">
        <f t="shared" si="541"/>
        <v>100</v>
      </c>
    </row>
    <row r="747" spans="1:55" ht="12" customHeight="1">
      <c r="A747" s="20"/>
      <c r="B747" s="20"/>
      <c r="C747" s="20"/>
      <c r="D747" s="20"/>
      <c r="E747" s="20"/>
      <c r="F747" s="20"/>
      <c r="G747" s="20"/>
      <c r="H747" s="375"/>
      <c r="I747" s="22"/>
      <c r="J747" s="21"/>
      <c r="K747" s="94"/>
      <c r="L747" s="313"/>
      <c r="M747" s="313"/>
      <c r="N747" s="335"/>
      <c r="O747" s="335"/>
      <c r="P747" s="290"/>
      <c r="Q747" s="290"/>
      <c r="R747" s="439"/>
      <c r="S747" s="294">
        <f>__xlfn.XLOOKUP(H747,[2]Izvršenje_proračuna_po_pozicija!$B$2:$B$153,[2]Izvršenje_proračuna_po_pozicija!$E$2:$E$153,0)</f>
        <v>0</v>
      </c>
      <c r="T747" s="294"/>
      <c r="U747" s="294"/>
      <c r="V747" s="474"/>
      <c r="W747" s="474"/>
      <c r="X747" s="539"/>
      <c r="Y747" s="539"/>
      <c r="Z747" s="541" t="b">
        <f t="shared" si="548"/>
        <v>0</v>
      </c>
      <c r="AA747" s="514"/>
      <c r="AB747" s="515"/>
      <c r="AC747" s="515"/>
      <c r="AD747" s="524"/>
      <c r="AE747" s="524"/>
      <c r="AF747" s="524"/>
      <c r="AG747" s="524"/>
      <c r="AH747" s="514"/>
      <c r="AI747" s="539"/>
      <c r="AJ747" s="516"/>
      <c r="AK747" s="516"/>
      <c r="AL747" s="516"/>
      <c r="AM747" s="290"/>
      <c r="AO747" t="b">
        <f t="shared" si="549"/>
        <v>0</v>
      </c>
      <c r="AQ747" s="439"/>
      <c r="AS747" s="439">
        <f>__xlfn.XLOOKUP(K747,[1]Izvršenje_proračuna_po_pozicija!$C$25:$C$149,[1]Izvršenje_proračuna_po_pozicija!$E$25:$E$149,0)</f>
        <v>0</v>
      </c>
      <c r="AT747" s="616"/>
      <c r="AU747" s="474"/>
      <c r="AV747" s="632"/>
      <c r="AW747" s="632"/>
      <c r="AX747" s="655" t="str">
        <f t="shared" si="537"/>
        <v/>
      </c>
      <c r="AY747" s="655" t="str">
        <f t="shared" si="538"/>
        <v/>
      </c>
      <c r="AZ747" s="655" t="str">
        <f t="shared" si="539"/>
        <v/>
      </c>
      <c r="BA747" s="655" t="str">
        <f t="shared" si="540"/>
        <v/>
      </c>
      <c r="BB747" s="655" t="str">
        <f t="shared" si="541"/>
        <v/>
      </c>
      <c r="BC747" s="655" t="str">
        <f t="shared" si="541"/>
        <v/>
      </c>
    </row>
    <row r="748" spans="1:55" ht="12" customHeight="1">
      <c r="A748" s="52"/>
      <c r="B748" s="52"/>
      <c r="C748" s="52"/>
      <c r="D748" s="52"/>
      <c r="E748" s="52"/>
      <c r="F748" s="52"/>
      <c r="G748" s="52"/>
      <c r="H748" s="384"/>
      <c r="I748" s="156"/>
      <c r="J748" s="94">
        <v>4</v>
      </c>
      <c r="K748" s="21" t="s">
        <v>324</v>
      </c>
      <c r="L748" s="315">
        <f t="shared" ref="L748:AC750" si="560">L749</f>
        <v>0</v>
      </c>
      <c r="M748" s="315">
        <f t="shared" si="560"/>
        <v>0</v>
      </c>
      <c r="N748" s="337">
        <f t="shared" si="560"/>
        <v>0</v>
      </c>
      <c r="O748" s="337">
        <f t="shared" si="560"/>
        <v>0</v>
      </c>
      <c r="P748" s="292">
        <f t="shared" si="560"/>
        <v>0</v>
      </c>
      <c r="Q748" s="292">
        <f t="shared" si="560"/>
        <v>0</v>
      </c>
      <c r="R748" s="441">
        <f t="shared" si="560"/>
        <v>0</v>
      </c>
      <c r="S748" s="292">
        <f t="shared" si="560"/>
        <v>0</v>
      </c>
      <c r="T748" s="292"/>
      <c r="U748" s="292"/>
      <c r="V748" s="469">
        <f t="shared" si="560"/>
        <v>0</v>
      </c>
      <c r="W748" s="469">
        <f t="shared" si="560"/>
        <v>0</v>
      </c>
      <c r="X748" s="522">
        <f t="shared" si="560"/>
        <v>0</v>
      </c>
      <c r="Y748" s="522">
        <f t="shared" si="560"/>
        <v>0</v>
      </c>
      <c r="Z748" s="541" t="b">
        <f t="shared" si="548"/>
        <v>1</v>
      </c>
      <c r="AA748" s="522"/>
      <c r="AB748" s="523">
        <f t="shared" si="560"/>
        <v>0</v>
      </c>
      <c r="AC748" s="523">
        <f t="shared" si="560"/>
        <v>0</v>
      </c>
      <c r="AD748" s="524"/>
      <c r="AE748" s="524"/>
      <c r="AF748" s="524"/>
      <c r="AG748" s="524"/>
      <c r="AH748" s="522"/>
      <c r="AI748" s="522">
        <v>0</v>
      </c>
      <c r="AJ748" s="516"/>
      <c r="AK748" s="516"/>
      <c r="AL748" s="516"/>
      <c r="AM748" s="292"/>
      <c r="AO748" t="b">
        <f t="shared" si="549"/>
        <v>1</v>
      </c>
      <c r="AP748" s="440">
        <f>AP749</f>
        <v>0</v>
      </c>
      <c r="AQ748" s="441">
        <v>0</v>
      </c>
      <c r="AR748" s="440">
        <f>AR749</f>
        <v>0</v>
      </c>
      <c r="AS748" s="441">
        <f>__xlfn.XLOOKUP(K748,[1]Izvršenje_proračuna_po_pozicija!$C$25:$C$149,[1]Izvršenje_proračuna_po_pozicija!$E$25:$E$149,0)</f>
        <v>0</v>
      </c>
      <c r="AT748" s="612">
        <f>AT749</f>
        <v>0</v>
      </c>
      <c r="AU748" s="469"/>
      <c r="AV748" s="636">
        <v>0</v>
      </c>
      <c r="AW748" s="636">
        <v>0</v>
      </c>
      <c r="AX748" s="655" t="str">
        <f t="shared" si="537"/>
        <v/>
      </c>
      <c r="AY748" s="655" t="str">
        <f t="shared" si="538"/>
        <v/>
      </c>
      <c r="AZ748" s="655" t="str">
        <f t="shared" si="539"/>
        <v/>
      </c>
      <c r="BA748" s="655" t="str">
        <f t="shared" si="540"/>
        <v/>
      </c>
      <c r="BB748" s="655" t="str">
        <f t="shared" si="541"/>
        <v/>
      </c>
      <c r="BC748" s="655" t="str">
        <f t="shared" si="541"/>
        <v/>
      </c>
    </row>
    <row r="749" spans="1:55" ht="12" customHeight="1">
      <c r="A749" s="355"/>
      <c r="B749" s="355"/>
      <c r="C749" s="355"/>
      <c r="D749" s="355"/>
      <c r="E749" s="355"/>
      <c r="F749" s="355"/>
      <c r="G749" s="355"/>
      <c r="H749" s="379"/>
      <c r="I749" s="359"/>
      <c r="J749" s="356">
        <v>42</v>
      </c>
      <c r="K749" s="358" t="s">
        <v>325</v>
      </c>
      <c r="L749" s="315">
        <f t="shared" si="560"/>
        <v>0</v>
      </c>
      <c r="M749" s="315">
        <f t="shared" si="560"/>
        <v>0</v>
      </c>
      <c r="N749" s="337">
        <f t="shared" si="560"/>
        <v>0</v>
      </c>
      <c r="O749" s="337">
        <f t="shared" si="560"/>
        <v>0</v>
      </c>
      <c r="P749" s="292">
        <f t="shared" si="560"/>
        <v>0</v>
      </c>
      <c r="Q749" s="292">
        <f t="shared" si="560"/>
        <v>0</v>
      </c>
      <c r="R749" s="441">
        <f t="shared" si="560"/>
        <v>0</v>
      </c>
      <c r="S749" s="292">
        <f t="shared" si="560"/>
        <v>0</v>
      </c>
      <c r="T749" s="292"/>
      <c r="U749" s="292"/>
      <c r="V749" s="469">
        <f t="shared" si="560"/>
        <v>0</v>
      </c>
      <c r="W749" s="469">
        <f t="shared" si="560"/>
        <v>0</v>
      </c>
      <c r="X749" s="522">
        <f t="shared" si="560"/>
        <v>0</v>
      </c>
      <c r="Y749" s="522">
        <f t="shared" si="560"/>
        <v>0</v>
      </c>
      <c r="Z749" s="541" t="b">
        <f t="shared" si="548"/>
        <v>1</v>
      </c>
      <c r="AA749" s="522"/>
      <c r="AB749" s="523">
        <f t="shared" si="560"/>
        <v>0</v>
      </c>
      <c r="AC749" s="523">
        <f t="shared" si="560"/>
        <v>0</v>
      </c>
      <c r="AD749" s="524"/>
      <c r="AE749" s="524"/>
      <c r="AF749" s="524"/>
      <c r="AG749" s="524"/>
      <c r="AH749" s="522"/>
      <c r="AI749" s="522">
        <v>0</v>
      </c>
      <c r="AJ749" s="516"/>
      <c r="AK749" s="516"/>
      <c r="AL749" s="516"/>
      <c r="AM749" s="292"/>
      <c r="AO749" t="b">
        <f t="shared" si="549"/>
        <v>1</v>
      </c>
      <c r="AP749" s="440">
        <f>AP750</f>
        <v>0</v>
      </c>
      <c r="AQ749" s="441">
        <v>0</v>
      </c>
      <c r="AR749" s="440">
        <f>AR750</f>
        <v>0</v>
      </c>
      <c r="AS749" s="441">
        <f>__xlfn.XLOOKUP(K749,[1]Izvršenje_proračuna_po_pozicija!$C$25:$C$149,[1]Izvršenje_proračuna_po_pozicija!$E$25:$E$149,0)</f>
        <v>0</v>
      </c>
      <c r="AT749" s="612">
        <f>AT750</f>
        <v>0</v>
      </c>
      <c r="AU749" s="469"/>
      <c r="AV749" s="636">
        <v>0</v>
      </c>
      <c r="AW749" s="636">
        <v>0</v>
      </c>
      <c r="AX749" s="655" t="str">
        <f t="shared" si="537"/>
        <v/>
      </c>
      <c r="AY749" s="655" t="str">
        <f t="shared" si="538"/>
        <v/>
      </c>
      <c r="AZ749" s="655" t="str">
        <f t="shared" si="539"/>
        <v/>
      </c>
      <c r="BA749" s="655" t="str">
        <f t="shared" si="540"/>
        <v/>
      </c>
      <c r="BB749" s="655" t="str">
        <f t="shared" si="541"/>
        <v/>
      </c>
      <c r="BC749" s="655" t="str">
        <f t="shared" si="541"/>
        <v/>
      </c>
    </row>
    <row r="750" spans="1:55" ht="12" customHeight="1">
      <c r="A750" s="56"/>
      <c r="B750" s="56"/>
      <c r="C750" s="56"/>
      <c r="D750" s="56"/>
      <c r="E750" s="56"/>
      <c r="F750" s="56"/>
      <c r="G750" s="56"/>
      <c r="H750" s="377"/>
      <c r="I750" s="157"/>
      <c r="J750" s="116">
        <v>421</v>
      </c>
      <c r="K750" s="60" t="s">
        <v>243</v>
      </c>
      <c r="L750" s="315">
        <f t="shared" si="560"/>
        <v>0</v>
      </c>
      <c r="M750" s="315">
        <f t="shared" si="560"/>
        <v>0</v>
      </c>
      <c r="N750" s="337">
        <f t="shared" si="560"/>
        <v>0</v>
      </c>
      <c r="O750" s="337">
        <f t="shared" si="560"/>
        <v>0</v>
      </c>
      <c r="P750" s="292">
        <f t="shared" si="560"/>
        <v>0</v>
      </c>
      <c r="Q750" s="292">
        <f t="shared" si="560"/>
        <v>0</v>
      </c>
      <c r="R750" s="441">
        <f t="shared" si="560"/>
        <v>0</v>
      </c>
      <c r="S750" s="292">
        <f t="shared" si="560"/>
        <v>0</v>
      </c>
      <c r="T750" s="292"/>
      <c r="U750" s="292"/>
      <c r="V750" s="469">
        <f t="shared" si="560"/>
        <v>0</v>
      </c>
      <c r="W750" s="469">
        <f t="shared" si="560"/>
        <v>0</v>
      </c>
      <c r="X750" s="522">
        <f t="shared" si="560"/>
        <v>0</v>
      </c>
      <c r="Y750" s="522">
        <f t="shared" si="560"/>
        <v>0</v>
      </c>
      <c r="Z750" s="541" t="b">
        <f t="shared" si="548"/>
        <v>1</v>
      </c>
      <c r="AA750" s="522"/>
      <c r="AB750" s="523">
        <f t="shared" si="560"/>
        <v>0</v>
      </c>
      <c r="AC750" s="523">
        <f t="shared" si="560"/>
        <v>0</v>
      </c>
      <c r="AD750" s="524"/>
      <c r="AE750" s="524"/>
      <c r="AF750" s="524"/>
      <c r="AG750" s="524"/>
      <c r="AH750" s="522"/>
      <c r="AI750" s="522">
        <v>0</v>
      </c>
      <c r="AJ750" s="516"/>
      <c r="AK750" s="516"/>
      <c r="AL750" s="516"/>
      <c r="AM750" s="292"/>
      <c r="AO750" t="b">
        <f t="shared" si="549"/>
        <v>1</v>
      </c>
      <c r="AP750" s="440">
        <f>AP751</f>
        <v>0</v>
      </c>
      <c r="AQ750" s="441">
        <v>0</v>
      </c>
      <c r="AR750" s="440">
        <f>AR751</f>
        <v>0</v>
      </c>
      <c r="AS750" s="441">
        <f>__xlfn.XLOOKUP(K750,[1]Izvršenje_proračuna_po_pozicija!$C$25:$C$149,[1]Izvršenje_proračuna_po_pozicija!$E$25:$E$149,0)</f>
        <v>0</v>
      </c>
      <c r="AT750" s="612">
        <f>AT751</f>
        <v>0</v>
      </c>
      <c r="AU750" s="469"/>
      <c r="AV750" s="636">
        <v>0</v>
      </c>
      <c r="AW750" s="636">
        <v>0</v>
      </c>
      <c r="AX750" s="655" t="str">
        <f t="shared" si="537"/>
        <v/>
      </c>
      <c r="AY750" s="655" t="str">
        <f t="shared" si="538"/>
        <v/>
      </c>
      <c r="AZ750" s="655" t="str">
        <f t="shared" si="539"/>
        <v/>
      </c>
      <c r="BA750" s="655" t="str">
        <f t="shared" si="540"/>
        <v/>
      </c>
      <c r="BB750" s="655" t="str">
        <f t="shared" si="541"/>
        <v/>
      </c>
      <c r="BC750" s="655" t="str">
        <f t="shared" si="541"/>
        <v/>
      </c>
    </row>
    <row r="751" spans="1:55" ht="12" customHeight="1">
      <c r="A751" s="36"/>
      <c r="B751" s="36"/>
      <c r="C751" s="36"/>
      <c r="D751" s="36"/>
      <c r="E751" s="36"/>
      <c r="F751" s="36"/>
      <c r="G751" s="36"/>
      <c r="H751" s="204" t="s">
        <v>617</v>
      </c>
      <c r="I751" s="132">
        <v>660</v>
      </c>
      <c r="J751" s="71">
        <v>4214</v>
      </c>
      <c r="K751" s="40" t="s">
        <v>704</v>
      </c>
      <c r="L751" s="309"/>
      <c r="M751" s="309"/>
      <c r="N751" s="339"/>
      <c r="O751" s="339"/>
      <c r="P751" s="294"/>
      <c r="Q751" s="294"/>
      <c r="R751" s="443"/>
      <c r="S751" s="294">
        <f>__xlfn.XLOOKUP(H751,[2]Izvršenje_proračuna_po_pozicija!$B$2:$B$153,[2]Izvršenje_proračuna_po_pozicija!$E$2:$E$153,0)</f>
        <v>0</v>
      </c>
      <c r="T751" s="294"/>
      <c r="U751" s="294"/>
      <c r="V751" s="478"/>
      <c r="W751" s="478"/>
      <c r="X751" s="544"/>
      <c r="Y751" s="544"/>
      <c r="Z751" s="541" t="b">
        <f t="shared" si="548"/>
        <v>0</v>
      </c>
      <c r="AA751" s="527"/>
      <c r="AB751" s="528"/>
      <c r="AC751" s="528"/>
      <c r="AD751" s="524"/>
      <c r="AE751" s="524"/>
      <c r="AF751" s="524"/>
      <c r="AG751" s="524"/>
      <c r="AH751" s="527"/>
      <c r="AI751" s="544"/>
      <c r="AJ751" s="516"/>
      <c r="AK751" s="516"/>
      <c r="AL751" s="516"/>
      <c r="AM751" s="294"/>
      <c r="AO751" t="b">
        <f t="shared" si="549"/>
        <v>0</v>
      </c>
      <c r="AQ751" s="443"/>
      <c r="AS751" s="443">
        <f>__xlfn.XLOOKUP(K751,[1]Izvršenje_proračuna_po_pozicija!$C$25:$C$149,[1]Izvršenje_proračuna_po_pozicija!$E$25:$E$149,0)</f>
        <v>0</v>
      </c>
      <c r="AT751" s="617"/>
      <c r="AU751" s="478"/>
      <c r="AV751" s="638"/>
      <c r="AW751" s="638"/>
      <c r="AX751" s="655" t="str">
        <f t="shared" si="537"/>
        <v/>
      </c>
      <c r="AY751" s="655" t="str">
        <f t="shared" si="538"/>
        <v/>
      </c>
      <c r="AZ751" s="655" t="str">
        <f t="shared" si="539"/>
        <v/>
      </c>
      <c r="BA751" s="655" t="str">
        <f t="shared" si="540"/>
        <v/>
      </c>
      <c r="BB751" s="655" t="str">
        <f t="shared" si="541"/>
        <v/>
      </c>
      <c r="BC751" s="655" t="str">
        <f t="shared" si="541"/>
        <v/>
      </c>
    </row>
    <row r="752" spans="1:55" ht="12" customHeight="1">
      <c r="A752" s="20"/>
      <c r="B752" s="20"/>
      <c r="C752" s="20"/>
      <c r="D752" s="20"/>
      <c r="E752" s="20"/>
      <c r="F752" s="20"/>
      <c r="G752" s="20"/>
      <c r="H752" s="375"/>
      <c r="I752" s="22"/>
      <c r="J752" s="21"/>
      <c r="K752" s="19"/>
      <c r="L752" s="313"/>
      <c r="M752" s="313"/>
      <c r="N752" s="335"/>
      <c r="O752" s="335"/>
      <c r="P752" s="290"/>
      <c r="Q752" s="290"/>
      <c r="R752" s="439"/>
      <c r="S752" s="294">
        <f>__xlfn.XLOOKUP(H752,[2]Izvršenje_proračuna_po_pozicija!$B$2:$B$153,[2]Izvršenje_proračuna_po_pozicija!$E$2:$E$153,0)</f>
        <v>0</v>
      </c>
      <c r="T752" s="294"/>
      <c r="U752" s="294"/>
      <c r="V752" s="474"/>
      <c r="W752" s="474"/>
      <c r="X752" s="539"/>
      <c r="Y752" s="539"/>
      <c r="Z752" s="541" t="b">
        <f t="shared" si="548"/>
        <v>0</v>
      </c>
      <c r="AA752" s="514"/>
      <c r="AB752" s="515"/>
      <c r="AC752" s="515"/>
      <c r="AD752" s="524"/>
      <c r="AE752" s="524"/>
      <c r="AF752" s="524"/>
      <c r="AG752" s="524"/>
      <c r="AH752" s="514"/>
      <c r="AI752" s="539"/>
      <c r="AJ752" s="516"/>
      <c r="AK752" s="516"/>
      <c r="AL752" s="516"/>
      <c r="AM752" s="290"/>
      <c r="AO752" t="b">
        <f t="shared" si="549"/>
        <v>0</v>
      </c>
      <c r="AQ752" s="439"/>
      <c r="AS752" s="439">
        <f>__xlfn.XLOOKUP(K752,[1]Izvršenje_proračuna_po_pozicija!$C$25:$C$149,[1]Izvršenje_proračuna_po_pozicija!$E$25:$E$149,0)</f>
        <v>0</v>
      </c>
      <c r="AT752" s="616"/>
      <c r="AU752" s="474"/>
      <c r="AV752" s="632"/>
      <c r="AW752" s="632"/>
      <c r="AX752" s="655" t="str">
        <f t="shared" si="537"/>
        <v/>
      </c>
      <c r="AY752" s="655" t="str">
        <f t="shared" si="538"/>
        <v/>
      </c>
      <c r="AZ752" s="655" t="str">
        <f t="shared" si="539"/>
        <v/>
      </c>
      <c r="BA752" s="655" t="str">
        <f t="shared" si="540"/>
        <v/>
      </c>
      <c r="BB752" s="655" t="str">
        <f t="shared" si="541"/>
        <v/>
      </c>
      <c r="BC752" s="655" t="str">
        <f t="shared" si="541"/>
        <v/>
      </c>
    </row>
    <row r="753" spans="1:55" ht="12" customHeight="1">
      <c r="A753" s="212" t="s">
        <v>649</v>
      </c>
      <c r="B753" s="130"/>
      <c r="C753" s="130"/>
      <c r="D753" s="130"/>
      <c r="E753" s="130"/>
      <c r="F753" s="130"/>
      <c r="G753" s="130"/>
      <c r="H753" s="383"/>
      <c r="I753" s="170" t="s">
        <v>650</v>
      </c>
      <c r="J753" s="171"/>
      <c r="K753" s="111"/>
      <c r="L753" s="315">
        <f t="shared" ref="L753:S753" si="561">L755</f>
        <v>220425</v>
      </c>
      <c r="M753" s="315">
        <f t="shared" si="561"/>
        <v>29255.425044793945</v>
      </c>
      <c r="N753" s="337">
        <f t="shared" si="561"/>
        <v>0</v>
      </c>
      <c r="O753" s="337">
        <f t="shared" si="561"/>
        <v>0</v>
      </c>
      <c r="P753" s="292">
        <f t="shared" si="561"/>
        <v>265000</v>
      </c>
      <c r="Q753" s="292">
        <f t="shared" si="561"/>
        <v>1000</v>
      </c>
      <c r="R753" s="441">
        <f t="shared" si="561"/>
        <v>70444</v>
      </c>
      <c r="S753" s="292">
        <f t="shared" si="561"/>
        <v>440605.47</v>
      </c>
      <c r="T753" s="292"/>
      <c r="U753" s="292"/>
      <c r="V753" s="469">
        <f>V755</f>
        <v>500000</v>
      </c>
      <c r="W753" s="469">
        <f>W755</f>
        <v>450000</v>
      </c>
      <c r="X753" s="522">
        <f>X755</f>
        <v>0</v>
      </c>
      <c r="Y753" s="522">
        <f>Y755</f>
        <v>0</v>
      </c>
      <c r="Z753" s="541" t="b">
        <f t="shared" si="548"/>
        <v>1</v>
      </c>
      <c r="AA753" s="522"/>
      <c r="AB753" s="523">
        <f>AB755</f>
        <v>0</v>
      </c>
      <c r="AC753" s="523">
        <f>AC755</f>
        <v>0</v>
      </c>
      <c r="AD753" s="524">
        <f>O753/M753*100</f>
        <v>0</v>
      </c>
      <c r="AE753" s="524"/>
      <c r="AF753" s="524"/>
      <c r="AG753" s="524"/>
      <c r="AH753" s="522"/>
      <c r="AI753" s="522">
        <v>0</v>
      </c>
      <c r="AJ753" s="516">
        <f>W753/R753*100</f>
        <v>638.80529214695366</v>
      </c>
      <c r="AK753" s="516">
        <f>AT753/W753*100</f>
        <v>0</v>
      </c>
      <c r="AL753" s="516"/>
      <c r="AM753" s="292"/>
      <c r="AO753" t="b">
        <f t="shared" si="549"/>
        <v>1</v>
      </c>
      <c r="AP753" s="440">
        <f t="shared" ref="AP753:AU753" si="562">AP755</f>
        <v>443654.24</v>
      </c>
      <c r="AQ753" s="441">
        <v>443654.24</v>
      </c>
      <c r="AR753" s="440">
        <f>AR755</f>
        <v>443654.24</v>
      </c>
      <c r="AS753" s="441">
        <f t="shared" si="562"/>
        <v>37402.67</v>
      </c>
      <c r="AT753" s="612">
        <f t="shared" si="562"/>
        <v>0</v>
      </c>
      <c r="AU753" s="469">
        <f t="shared" si="562"/>
        <v>0</v>
      </c>
      <c r="AV753" s="636">
        <v>0</v>
      </c>
      <c r="AW753" s="636">
        <v>0</v>
      </c>
      <c r="AX753" s="655">
        <f t="shared" si="537"/>
        <v>0</v>
      </c>
      <c r="AY753" s="655">
        <f t="shared" si="538"/>
        <v>0</v>
      </c>
      <c r="AZ753" s="655" t="str">
        <f t="shared" si="539"/>
        <v/>
      </c>
      <c r="BA753" s="655">
        <f t="shared" si="540"/>
        <v>0</v>
      </c>
      <c r="BB753" s="655" t="str">
        <f t="shared" si="541"/>
        <v/>
      </c>
      <c r="BC753" s="655" t="str">
        <f t="shared" si="541"/>
        <v/>
      </c>
    </row>
    <row r="754" spans="1:55" ht="12" customHeight="1">
      <c r="A754" s="36"/>
      <c r="B754" s="36"/>
      <c r="C754" s="36"/>
      <c r="D754" s="36"/>
      <c r="E754" s="36"/>
      <c r="F754" s="36"/>
      <c r="G754" s="36"/>
      <c r="H754" s="204"/>
      <c r="I754" s="132"/>
      <c r="J754" s="71"/>
      <c r="K754" s="40"/>
      <c r="L754" s="326"/>
      <c r="M754" s="326"/>
      <c r="N754" s="350"/>
      <c r="O754" s="350"/>
      <c r="P754" s="305"/>
      <c r="Q754" s="305"/>
      <c r="R754" s="461"/>
      <c r="S754" s="294">
        <f>__xlfn.XLOOKUP(H754,[2]Izvršenje_proračuna_po_pozicija!$B$2:$B$153,[2]Izvršenje_proračuna_po_pozicija!$E$2:$E$153,0)</f>
        <v>0</v>
      </c>
      <c r="T754" s="294"/>
      <c r="U754" s="294"/>
      <c r="V754" s="486"/>
      <c r="W754" s="486"/>
      <c r="X754" s="559"/>
      <c r="Y754" s="559"/>
      <c r="Z754" s="541" t="b">
        <f t="shared" si="548"/>
        <v>0</v>
      </c>
      <c r="AA754" s="560"/>
      <c r="AB754" s="561"/>
      <c r="AC754" s="561"/>
      <c r="AD754" s="524"/>
      <c r="AE754" s="524"/>
      <c r="AF754" s="524"/>
      <c r="AG754" s="524"/>
      <c r="AH754" s="560"/>
      <c r="AI754" s="559"/>
      <c r="AJ754" s="516"/>
      <c r="AK754" s="516"/>
      <c r="AL754" s="516"/>
      <c r="AM754" s="305"/>
      <c r="AO754" t="b">
        <f t="shared" si="549"/>
        <v>0</v>
      </c>
      <c r="AQ754" s="461"/>
      <c r="AS754" s="461"/>
      <c r="AT754" s="616"/>
      <c r="AU754" s="486"/>
      <c r="AV754" s="648"/>
      <c r="AW754" s="648"/>
      <c r="AX754" s="655" t="str">
        <f t="shared" si="537"/>
        <v/>
      </c>
      <c r="AY754" s="655" t="str">
        <f t="shared" si="538"/>
        <v/>
      </c>
      <c r="AZ754" s="655" t="str">
        <f t="shared" si="539"/>
        <v/>
      </c>
      <c r="BA754" s="655" t="str">
        <f t="shared" si="540"/>
        <v/>
      </c>
      <c r="BB754" s="655" t="str">
        <f t="shared" si="541"/>
        <v/>
      </c>
      <c r="BC754" s="655" t="str">
        <f t="shared" si="541"/>
        <v/>
      </c>
    </row>
    <row r="755" spans="1:55" ht="12" customHeight="1">
      <c r="A755" s="52"/>
      <c r="B755" s="52"/>
      <c r="C755" s="52"/>
      <c r="D755" s="52"/>
      <c r="E755" s="52"/>
      <c r="F755" s="52"/>
      <c r="G755" s="52"/>
      <c r="H755" s="384"/>
      <c r="I755" s="156"/>
      <c r="J755" s="94">
        <v>4</v>
      </c>
      <c r="K755" s="21" t="s">
        <v>324</v>
      </c>
      <c r="L755" s="315">
        <f t="shared" ref="L755:S756" si="563">L756</f>
        <v>220425</v>
      </c>
      <c r="M755" s="315">
        <f t="shared" si="563"/>
        <v>29255.425044793945</v>
      </c>
      <c r="N755" s="337">
        <f t="shared" si="563"/>
        <v>0</v>
      </c>
      <c r="O755" s="337">
        <f t="shared" si="563"/>
        <v>0</v>
      </c>
      <c r="P755" s="292">
        <f t="shared" si="563"/>
        <v>265000</v>
      </c>
      <c r="Q755" s="292">
        <f t="shared" si="563"/>
        <v>1000</v>
      </c>
      <c r="R755" s="441">
        <f t="shared" si="563"/>
        <v>70444</v>
      </c>
      <c r="S755" s="292">
        <f t="shared" si="563"/>
        <v>440605.47</v>
      </c>
      <c r="T755" s="292"/>
      <c r="U755" s="292"/>
      <c r="V755" s="469">
        <f t="shared" ref="V755:Y756" si="564">V756</f>
        <v>500000</v>
      </c>
      <c r="W755" s="469">
        <f t="shared" si="564"/>
        <v>450000</v>
      </c>
      <c r="X755" s="522">
        <f t="shared" si="564"/>
        <v>0</v>
      </c>
      <c r="Y755" s="522">
        <f t="shared" si="564"/>
        <v>0</v>
      </c>
      <c r="Z755" s="541" t="b">
        <f t="shared" si="548"/>
        <v>1</v>
      </c>
      <c r="AA755" s="522"/>
      <c r="AB755" s="523">
        <f>AB756</f>
        <v>0</v>
      </c>
      <c r="AC755" s="523">
        <f>AC756</f>
        <v>0</v>
      </c>
      <c r="AD755" s="524">
        <f>O755/M755*100</f>
        <v>0</v>
      </c>
      <c r="AE755" s="524"/>
      <c r="AF755" s="524"/>
      <c r="AG755" s="524"/>
      <c r="AH755" s="522"/>
      <c r="AI755" s="522">
        <v>0</v>
      </c>
      <c r="AJ755" s="516">
        <f>W755/R755*100</f>
        <v>638.80529214695366</v>
      </c>
      <c r="AK755" s="516">
        <f>AT755/W755*100</f>
        <v>0</v>
      </c>
      <c r="AL755" s="516"/>
      <c r="AM755" s="292"/>
      <c r="AO755" t="b">
        <f t="shared" si="549"/>
        <v>1</v>
      </c>
      <c r="AP755" s="440">
        <f t="shared" ref="AP755:AU756" si="565">AP756</f>
        <v>443654.24</v>
      </c>
      <c r="AQ755" s="441">
        <v>443654.24</v>
      </c>
      <c r="AR755" s="440">
        <f>AR756</f>
        <v>443654.24</v>
      </c>
      <c r="AS755" s="441">
        <f t="shared" si="565"/>
        <v>37402.67</v>
      </c>
      <c r="AT755" s="612">
        <f>AT756</f>
        <v>0</v>
      </c>
      <c r="AU755" s="469">
        <f t="shared" si="565"/>
        <v>0</v>
      </c>
      <c r="AV755" s="636">
        <v>0</v>
      </c>
      <c r="AW755" s="636">
        <v>0</v>
      </c>
      <c r="AX755" s="655">
        <f t="shared" si="537"/>
        <v>0</v>
      </c>
      <c r="AY755" s="655">
        <f t="shared" si="538"/>
        <v>0</v>
      </c>
      <c r="AZ755" s="655" t="str">
        <f t="shared" si="539"/>
        <v/>
      </c>
      <c r="BA755" s="655">
        <f t="shared" si="540"/>
        <v>0</v>
      </c>
      <c r="BB755" s="655" t="str">
        <f t="shared" si="541"/>
        <v/>
      </c>
      <c r="BC755" s="655" t="str">
        <f t="shared" si="541"/>
        <v/>
      </c>
    </row>
    <row r="756" spans="1:55" ht="12" customHeight="1">
      <c r="A756" s="355"/>
      <c r="B756" s="355"/>
      <c r="C756" s="355"/>
      <c r="D756" s="355"/>
      <c r="E756" s="355"/>
      <c r="F756" s="355"/>
      <c r="G756" s="355"/>
      <c r="H756" s="379"/>
      <c r="I756" s="359"/>
      <c r="J756" s="356">
        <v>42</v>
      </c>
      <c r="K756" s="358" t="s">
        <v>325</v>
      </c>
      <c r="L756" s="315">
        <f t="shared" si="563"/>
        <v>220425</v>
      </c>
      <c r="M756" s="315">
        <f t="shared" si="563"/>
        <v>29255.425044793945</v>
      </c>
      <c r="N756" s="337">
        <f t="shared" si="563"/>
        <v>0</v>
      </c>
      <c r="O756" s="337">
        <f t="shared" si="563"/>
        <v>0</v>
      </c>
      <c r="P756" s="292">
        <f t="shared" si="563"/>
        <v>265000</v>
      </c>
      <c r="Q756" s="292">
        <f t="shared" si="563"/>
        <v>1000</v>
      </c>
      <c r="R756" s="441">
        <f t="shared" si="563"/>
        <v>70444</v>
      </c>
      <c r="S756" s="292">
        <f t="shared" si="563"/>
        <v>440605.47</v>
      </c>
      <c r="T756" s="292"/>
      <c r="U756" s="292"/>
      <c r="V756" s="469">
        <f t="shared" si="564"/>
        <v>500000</v>
      </c>
      <c r="W756" s="469">
        <f t="shared" si="564"/>
        <v>450000</v>
      </c>
      <c r="X756" s="522">
        <f t="shared" si="564"/>
        <v>0</v>
      </c>
      <c r="Y756" s="522">
        <f t="shared" si="564"/>
        <v>0</v>
      </c>
      <c r="Z756" s="541" t="b">
        <f t="shared" si="548"/>
        <v>1</v>
      </c>
      <c r="AA756" s="522"/>
      <c r="AB756" s="523">
        <f>AB757</f>
        <v>0</v>
      </c>
      <c r="AC756" s="523">
        <f>AC757</f>
        <v>0</v>
      </c>
      <c r="AD756" s="524">
        <f>O756/M756*100</f>
        <v>0</v>
      </c>
      <c r="AE756" s="524"/>
      <c r="AF756" s="524"/>
      <c r="AG756" s="524"/>
      <c r="AH756" s="522"/>
      <c r="AI756" s="522">
        <v>0</v>
      </c>
      <c r="AJ756" s="516">
        <f>W756/R756*100</f>
        <v>638.80529214695366</v>
      </c>
      <c r="AK756" s="516">
        <f>AT756/W756*100</f>
        <v>0</v>
      </c>
      <c r="AL756" s="516"/>
      <c r="AM756" s="292"/>
      <c r="AO756" t="b">
        <f t="shared" si="549"/>
        <v>1</v>
      </c>
      <c r="AP756" s="440">
        <f t="shared" si="565"/>
        <v>443654.24</v>
      </c>
      <c r="AQ756" s="441">
        <v>443654.24</v>
      </c>
      <c r="AR756" s="440">
        <f>AR757</f>
        <v>443654.24</v>
      </c>
      <c r="AS756" s="441">
        <f t="shared" si="565"/>
        <v>37402.67</v>
      </c>
      <c r="AT756" s="612">
        <f>AT757</f>
        <v>0</v>
      </c>
      <c r="AU756" s="469">
        <f t="shared" si="565"/>
        <v>0</v>
      </c>
      <c r="AV756" s="636">
        <v>0</v>
      </c>
      <c r="AW756" s="636">
        <v>0</v>
      </c>
      <c r="AX756" s="655">
        <f t="shared" si="537"/>
        <v>0</v>
      </c>
      <c r="AY756" s="655">
        <f t="shared" si="538"/>
        <v>0</v>
      </c>
      <c r="AZ756" s="655" t="str">
        <f t="shared" si="539"/>
        <v/>
      </c>
      <c r="BA756" s="655">
        <f t="shared" si="540"/>
        <v>0</v>
      </c>
      <c r="BB756" s="655" t="str">
        <f t="shared" si="541"/>
        <v/>
      </c>
      <c r="BC756" s="655" t="str">
        <f t="shared" si="541"/>
        <v/>
      </c>
    </row>
    <row r="757" spans="1:55" ht="12" customHeight="1">
      <c r="A757" s="56"/>
      <c r="B757" s="56"/>
      <c r="C757" s="56"/>
      <c r="D757" s="56"/>
      <c r="E757" s="56"/>
      <c r="F757" s="56"/>
      <c r="G757" s="56"/>
      <c r="H757" s="377"/>
      <c r="I757" s="157"/>
      <c r="J757" s="116">
        <v>421</v>
      </c>
      <c r="K757" s="60" t="s">
        <v>243</v>
      </c>
      <c r="L757" s="315">
        <f>L758</f>
        <v>220425</v>
      </c>
      <c r="M757" s="315">
        <f>M758</f>
        <v>29255.425044793945</v>
      </c>
      <c r="N757" s="337">
        <f t="shared" ref="N757:S757" si="566">N758+N759</f>
        <v>0</v>
      </c>
      <c r="O757" s="337">
        <f t="shared" si="566"/>
        <v>0</v>
      </c>
      <c r="P757" s="292">
        <f t="shared" si="566"/>
        <v>265000</v>
      </c>
      <c r="Q757" s="292">
        <f t="shared" si="566"/>
        <v>1000</v>
      </c>
      <c r="R757" s="441">
        <f t="shared" si="566"/>
        <v>70444</v>
      </c>
      <c r="S757" s="292">
        <f t="shared" si="566"/>
        <v>440605.47</v>
      </c>
      <c r="T757" s="292"/>
      <c r="U757" s="292"/>
      <c r="V757" s="469">
        <f>V758+V759</f>
        <v>500000</v>
      </c>
      <c r="W757" s="469">
        <f>W758+W759</f>
        <v>450000</v>
      </c>
      <c r="X757" s="522">
        <f>X758+X759</f>
        <v>0</v>
      </c>
      <c r="Y757" s="522">
        <f>Y758+Y759</f>
        <v>0</v>
      </c>
      <c r="Z757" s="541" t="b">
        <f t="shared" si="548"/>
        <v>1</v>
      </c>
      <c r="AA757" s="522"/>
      <c r="AB757" s="523">
        <f>AB758+AB759</f>
        <v>0</v>
      </c>
      <c r="AC757" s="523">
        <f>AC758+AC759</f>
        <v>0</v>
      </c>
      <c r="AD757" s="524">
        <f>O757/M757*100</f>
        <v>0</v>
      </c>
      <c r="AE757" s="524"/>
      <c r="AF757" s="524"/>
      <c r="AG757" s="524"/>
      <c r="AH757" s="522"/>
      <c r="AI757" s="522">
        <v>0</v>
      </c>
      <c r="AJ757" s="516">
        <f>W757/R757*100</f>
        <v>638.80529214695366</v>
      </c>
      <c r="AK757" s="516">
        <f>AT757/W757*100</f>
        <v>0</v>
      </c>
      <c r="AL757" s="516"/>
      <c r="AM757" s="292"/>
      <c r="AN757" s="413"/>
      <c r="AO757" t="b">
        <f t="shared" si="549"/>
        <v>1</v>
      </c>
      <c r="AP757" s="440">
        <f t="shared" ref="AP757:AU757" si="567">AP758+AP759</f>
        <v>443654.24</v>
      </c>
      <c r="AQ757" s="441">
        <v>443654.24</v>
      </c>
      <c r="AR757" s="440">
        <f>AR758+AR759</f>
        <v>443654.24</v>
      </c>
      <c r="AS757" s="441">
        <f t="shared" si="567"/>
        <v>37402.67</v>
      </c>
      <c r="AT757" s="612">
        <f t="shared" si="567"/>
        <v>0</v>
      </c>
      <c r="AU757" s="469">
        <f t="shared" si="567"/>
        <v>0</v>
      </c>
      <c r="AV757" s="636">
        <v>0</v>
      </c>
      <c r="AW757" s="636">
        <v>0</v>
      </c>
      <c r="AX757" s="655">
        <f t="shared" si="537"/>
        <v>0</v>
      </c>
      <c r="AY757" s="655">
        <f t="shared" si="538"/>
        <v>0</v>
      </c>
      <c r="AZ757" s="655" t="str">
        <f t="shared" si="539"/>
        <v/>
      </c>
      <c r="BA757" s="655">
        <f t="shared" si="540"/>
        <v>0</v>
      </c>
      <c r="BB757" s="655" t="str">
        <f t="shared" si="541"/>
        <v/>
      </c>
      <c r="BC757" s="655" t="str">
        <f t="shared" si="541"/>
        <v/>
      </c>
    </row>
    <row r="758" spans="1:55" ht="12" customHeight="1">
      <c r="A758" s="36"/>
      <c r="B758" s="36"/>
      <c r="C758" s="36"/>
      <c r="D758" s="36"/>
      <c r="E758" s="36"/>
      <c r="F758" s="36"/>
      <c r="G758" s="36"/>
      <c r="H758" s="204" t="s">
        <v>691</v>
      </c>
      <c r="I758" s="132">
        <v>660</v>
      </c>
      <c r="J758" s="71">
        <v>4212</v>
      </c>
      <c r="K758" s="40" t="s">
        <v>648</v>
      </c>
      <c r="L758" s="309">
        <v>220425</v>
      </c>
      <c r="M758" s="309">
        <f>220425/7.5345</f>
        <v>29255.425044793945</v>
      </c>
      <c r="N758" s="339">
        <v>0</v>
      </c>
      <c r="O758" s="339">
        <v>0</v>
      </c>
      <c r="P758" s="294">
        <v>0</v>
      </c>
      <c r="Q758" s="294">
        <v>0</v>
      </c>
      <c r="R758" s="443">
        <v>0</v>
      </c>
      <c r="S758" s="294">
        <f>__xlfn.XLOOKUP(H758,[2]Izvršenje_proračuna_po_pozicija!$B$2:$B$153,[2]Izvršenje_proračuna_po_pozicija!$E$2:$E$153,0)</f>
        <v>0</v>
      </c>
      <c r="T758" s="294"/>
      <c r="U758" s="294"/>
      <c r="V758" s="478">
        <v>0</v>
      </c>
      <c r="W758" s="478"/>
      <c r="X758" s="544"/>
      <c r="Y758" s="544"/>
      <c r="Z758" s="541" t="b">
        <f t="shared" si="548"/>
        <v>0</v>
      </c>
      <c r="AA758" s="527"/>
      <c r="AB758" s="528">
        <v>0</v>
      </c>
      <c r="AC758" s="528">
        <v>0</v>
      </c>
      <c r="AD758" s="524">
        <f>O758/M758*100</f>
        <v>0</v>
      </c>
      <c r="AE758" s="524"/>
      <c r="AF758" s="524"/>
      <c r="AG758" s="524"/>
      <c r="AH758" s="527"/>
      <c r="AI758" s="544"/>
      <c r="AJ758" s="516"/>
      <c r="AK758" s="516"/>
      <c r="AL758" s="516"/>
      <c r="AM758" s="294"/>
      <c r="AN758" s="413"/>
      <c r="AO758" t="b">
        <f t="shared" si="549"/>
        <v>0</v>
      </c>
      <c r="AQ758" s="443"/>
      <c r="AS758" s="443">
        <f>__xlfn.XLOOKUP(K758,[1]Izvršenje_proračuna_po_pozicija!$C$25:$C$149,[1]Izvršenje_proračuna_po_pozicija!$E$25:$E$149,0)</f>
        <v>0</v>
      </c>
      <c r="AT758" s="617"/>
      <c r="AU758" s="478"/>
      <c r="AV758" s="638"/>
      <c r="AW758" s="638"/>
      <c r="AX758" s="655" t="str">
        <f t="shared" si="537"/>
        <v/>
      </c>
      <c r="AY758" s="655" t="str">
        <f t="shared" si="538"/>
        <v/>
      </c>
      <c r="AZ758" s="655" t="str">
        <f t="shared" si="539"/>
        <v/>
      </c>
      <c r="BA758" s="655" t="str">
        <f t="shared" si="540"/>
        <v/>
      </c>
      <c r="BB758" s="655" t="str">
        <f t="shared" si="541"/>
        <v/>
      </c>
      <c r="BC758" s="655" t="str">
        <f t="shared" si="541"/>
        <v/>
      </c>
    </row>
    <row r="759" spans="1:55" ht="12" customHeight="1">
      <c r="A759" s="36"/>
      <c r="B759" s="36"/>
      <c r="C759" s="36"/>
      <c r="D759" s="36"/>
      <c r="E759" s="36"/>
      <c r="F759" s="36"/>
      <c r="G759" s="36"/>
      <c r="H759" s="204" t="s">
        <v>786</v>
      </c>
      <c r="I759" s="132">
        <v>660</v>
      </c>
      <c r="J759" s="71">
        <v>4212</v>
      </c>
      <c r="K759" s="255" t="s">
        <v>787</v>
      </c>
      <c r="L759" s="309"/>
      <c r="M759" s="309"/>
      <c r="N759" s="339">
        <v>0</v>
      </c>
      <c r="O759" s="339">
        <f>N759/7.5345</f>
        <v>0</v>
      </c>
      <c r="P759" s="294">
        <v>265000</v>
      </c>
      <c r="Q759" s="269">
        <v>1000</v>
      </c>
      <c r="R759" s="443">
        <v>70444</v>
      </c>
      <c r="S759" s="294">
        <f>__xlfn.XLOOKUP(H759,[2]Izvršenje_proračuna_po_pozicija!$B$2:$B$153,[2]Izvršenje_proračuna_po_pozicija!$E$2:$E$153,0)</f>
        <v>440605.47</v>
      </c>
      <c r="T759" s="294"/>
      <c r="U759" s="294"/>
      <c r="V759" s="478">
        <v>500000</v>
      </c>
      <c r="W759" s="478">
        <v>450000</v>
      </c>
      <c r="X759" s="544"/>
      <c r="Y759" s="544"/>
      <c r="Z759" s="541" t="b">
        <f t="shared" si="548"/>
        <v>0</v>
      </c>
      <c r="AA759" s="527"/>
      <c r="AB759" s="528">
        <v>0</v>
      </c>
      <c r="AC759" s="528">
        <v>0</v>
      </c>
      <c r="AD759" s="524"/>
      <c r="AE759" s="524"/>
      <c r="AF759" s="524"/>
      <c r="AG759" s="524"/>
      <c r="AH759" s="527"/>
      <c r="AI759" s="544"/>
      <c r="AJ759" s="516">
        <f>W759/R759*100</f>
        <v>638.80529214695366</v>
      </c>
      <c r="AK759" s="516">
        <f>AT759/W759*100</f>
        <v>0</v>
      </c>
      <c r="AL759" s="516"/>
      <c r="AM759" s="294"/>
      <c r="AN759" s="413"/>
      <c r="AO759" t="b">
        <f t="shared" si="549"/>
        <v>0</v>
      </c>
      <c r="AP759" s="493">
        <v>443654.24</v>
      </c>
      <c r="AQ759" s="443">
        <v>443654.24</v>
      </c>
      <c r="AR759" s="493">
        <v>443654.24</v>
      </c>
      <c r="AS759" s="443">
        <v>37402.67</v>
      </c>
      <c r="AT759" s="617"/>
      <c r="AU759" s="478">
        <v>0</v>
      </c>
      <c r="AV759" s="638"/>
      <c r="AW759" s="638"/>
      <c r="AX759" s="655" t="str">
        <f t="shared" si="537"/>
        <v/>
      </c>
      <c r="AY759" s="655" t="str">
        <f t="shared" si="538"/>
        <v/>
      </c>
      <c r="AZ759" s="655" t="str">
        <f t="shared" si="539"/>
        <v/>
      </c>
      <c r="BA759" s="655">
        <f t="shared" si="540"/>
        <v>0</v>
      </c>
      <c r="BB759" s="655" t="str">
        <f t="shared" si="541"/>
        <v/>
      </c>
      <c r="BC759" s="655" t="str">
        <f t="shared" si="541"/>
        <v/>
      </c>
    </row>
    <row r="760" spans="1:55" ht="12" customHeight="1">
      <c r="A760" s="20"/>
      <c r="B760" s="20"/>
      <c r="C760" s="20"/>
      <c r="D760" s="20"/>
      <c r="E760" s="20"/>
      <c r="F760" s="20"/>
      <c r="G760" s="20"/>
      <c r="H760" s="375"/>
      <c r="I760" s="22"/>
      <c r="J760" s="21"/>
      <c r="K760" s="19"/>
      <c r="L760" s="313"/>
      <c r="M760" s="313"/>
      <c r="N760" s="335"/>
      <c r="O760" s="335"/>
      <c r="P760" s="290"/>
      <c r="Q760" s="290"/>
      <c r="R760" s="439"/>
      <c r="S760" s="294">
        <f>__xlfn.XLOOKUP(H760,[2]Izvršenje_proračuna_po_pozicija!$B$2:$B$153,[2]Izvršenje_proračuna_po_pozicija!$E$2:$E$153,0)</f>
        <v>0</v>
      </c>
      <c r="T760" s="294"/>
      <c r="U760" s="294"/>
      <c r="V760" s="474"/>
      <c r="W760" s="474"/>
      <c r="X760" s="539"/>
      <c r="Y760" s="539"/>
      <c r="Z760" s="541" t="b">
        <f t="shared" si="548"/>
        <v>0</v>
      </c>
      <c r="AA760" s="514"/>
      <c r="AB760" s="515"/>
      <c r="AC760" s="515"/>
      <c r="AD760" s="524"/>
      <c r="AE760" s="524"/>
      <c r="AF760" s="524"/>
      <c r="AG760" s="524"/>
      <c r="AH760" s="514"/>
      <c r="AI760" s="539"/>
      <c r="AJ760" s="516"/>
      <c r="AK760" s="516"/>
      <c r="AL760" s="516"/>
      <c r="AM760" s="290"/>
      <c r="AO760" t="b">
        <f t="shared" si="549"/>
        <v>0</v>
      </c>
      <c r="AQ760" s="439"/>
      <c r="AS760" s="439">
        <f>__xlfn.XLOOKUP(K760,[1]Izvršenje_proračuna_po_pozicija!$C$25:$C$149,[1]Izvršenje_proračuna_po_pozicija!$E$25:$E$149,0)</f>
        <v>0</v>
      </c>
      <c r="AT760" s="616"/>
      <c r="AU760" s="474"/>
      <c r="AV760" s="632"/>
      <c r="AW760" s="632"/>
      <c r="AX760" s="655" t="str">
        <f t="shared" si="537"/>
        <v/>
      </c>
      <c r="AY760" s="655" t="str">
        <f t="shared" si="538"/>
        <v/>
      </c>
      <c r="AZ760" s="655" t="str">
        <f t="shared" si="539"/>
        <v/>
      </c>
      <c r="BA760" s="655" t="str">
        <f t="shared" si="540"/>
        <v/>
      </c>
      <c r="BB760" s="655" t="str">
        <f t="shared" si="541"/>
        <v/>
      </c>
      <c r="BC760" s="655" t="str">
        <f t="shared" si="541"/>
        <v/>
      </c>
    </row>
    <row r="761" spans="1:55" ht="12" customHeight="1">
      <c r="A761" s="212" t="s">
        <v>676</v>
      </c>
      <c r="B761" s="130"/>
      <c r="C761" s="130"/>
      <c r="D761" s="130"/>
      <c r="E761" s="130"/>
      <c r="F761" s="130"/>
      <c r="G761" s="130"/>
      <c r="H761" s="383"/>
      <c r="I761" s="170" t="s">
        <v>677</v>
      </c>
      <c r="J761" s="171"/>
      <c r="K761" s="111"/>
      <c r="L761" s="315">
        <f t="shared" ref="L761:S761" si="568">L763</f>
        <v>0</v>
      </c>
      <c r="M761" s="315">
        <f t="shared" si="568"/>
        <v>0</v>
      </c>
      <c r="N761" s="337">
        <f t="shared" si="568"/>
        <v>16000</v>
      </c>
      <c r="O761" s="337">
        <f t="shared" si="568"/>
        <v>2123.5649346340169</v>
      </c>
      <c r="P761" s="292">
        <f t="shared" si="568"/>
        <v>425000</v>
      </c>
      <c r="Q761" s="292">
        <f t="shared" si="568"/>
        <v>525000</v>
      </c>
      <c r="R761" s="441">
        <f t="shared" si="568"/>
        <v>520620</v>
      </c>
      <c r="S761" s="292">
        <f t="shared" si="568"/>
        <v>12633.97</v>
      </c>
      <c r="T761" s="292"/>
      <c r="U761" s="292"/>
      <c r="V761" s="469">
        <f>V763</f>
        <v>0</v>
      </c>
      <c r="W761" s="469">
        <f>W763</f>
        <v>15000</v>
      </c>
      <c r="X761" s="522">
        <f>X763</f>
        <v>0</v>
      </c>
      <c r="Y761" s="522">
        <f>Y763</f>
        <v>0</v>
      </c>
      <c r="Z761" s="541" t="b">
        <f t="shared" si="548"/>
        <v>1</v>
      </c>
      <c r="AA761" s="522"/>
      <c r="AB761" s="523">
        <f>AB763</f>
        <v>0</v>
      </c>
      <c r="AC761" s="523">
        <f>AC763</f>
        <v>0</v>
      </c>
      <c r="AD761" s="524"/>
      <c r="AE761" s="524"/>
      <c r="AF761" s="524"/>
      <c r="AG761" s="524"/>
      <c r="AH761" s="522"/>
      <c r="AI761" s="522">
        <v>0</v>
      </c>
      <c r="AJ761" s="516">
        <f>W761/R761*100</f>
        <v>2.8811801313818139</v>
      </c>
      <c r="AK761" s="516">
        <f>AT761/W761*100</f>
        <v>0</v>
      </c>
      <c r="AL761" s="516"/>
      <c r="AM761" s="292"/>
      <c r="AO761" t="b">
        <f t="shared" si="549"/>
        <v>1</v>
      </c>
      <c r="AP761" s="440">
        <f t="shared" ref="AP761:AU761" si="569">AP763</f>
        <v>15771.47</v>
      </c>
      <c r="AQ761" s="441">
        <v>15771.47</v>
      </c>
      <c r="AR761" s="440">
        <f>AR763</f>
        <v>15771.47</v>
      </c>
      <c r="AS761" s="441">
        <f t="shared" si="569"/>
        <v>7250</v>
      </c>
      <c r="AT761" s="612">
        <f t="shared" si="569"/>
        <v>0</v>
      </c>
      <c r="AU761" s="469">
        <f t="shared" si="569"/>
        <v>7250</v>
      </c>
      <c r="AV761" s="636">
        <v>0</v>
      </c>
      <c r="AW761" s="636">
        <v>0</v>
      </c>
      <c r="AX761" s="655">
        <f t="shared" si="537"/>
        <v>0</v>
      </c>
      <c r="AY761" s="655">
        <f t="shared" si="538"/>
        <v>0</v>
      </c>
      <c r="AZ761" s="655" t="str">
        <f t="shared" si="539"/>
        <v/>
      </c>
      <c r="BA761" s="655">
        <f t="shared" si="540"/>
        <v>45.969082146432768</v>
      </c>
      <c r="BB761" s="655">
        <f t="shared" si="541"/>
        <v>0</v>
      </c>
      <c r="BC761" s="655" t="str">
        <f t="shared" si="541"/>
        <v/>
      </c>
    </row>
    <row r="762" spans="1:55" ht="12" customHeight="1">
      <c r="A762" s="36"/>
      <c r="B762" s="36"/>
      <c r="C762" s="36"/>
      <c r="D762" s="36"/>
      <c r="E762" s="36"/>
      <c r="F762" s="36"/>
      <c r="G762" s="36"/>
      <c r="H762" s="204"/>
      <c r="I762" s="132"/>
      <c r="J762" s="71"/>
      <c r="K762" s="40"/>
      <c r="L762" s="326"/>
      <c r="M762" s="326"/>
      <c r="N762" s="350"/>
      <c r="O762" s="350"/>
      <c r="P762" s="305"/>
      <c r="Q762" s="305"/>
      <c r="R762" s="461"/>
      <c r="S762" s="294">
        <f>__xlfn.XLOOKUP(H762,[2]Izvršenje_proračuna_po_pozicija!$B$2:$B$153,[2]Izvršenje_proračuna_po_pozicija!$E$2:$E$153,0)</f>
        <v>0</v>
      </c>
      <c r="T762" s="294"/>
      <c r="U762" s="294"/>
      <c r="V762" s="486"/>
      <c r="W762" s="486"/>
      <c r="X762" s="559"/>
      <c r="Y762" s="559"/>
      <c r="Z762" s="541" t="b">
        <f t="shared" si="548"/>
        <v>0</v>
      </c>
      <c r="AA762" s="560"/>
      <c r="AB762" s="561"/>
      <c r="AC762" s="561"/>
      <c r="AD762" s="524"/>
      <c r="AE762" s="524"/>
      <c r="AF762" s="524"/>
      <c r="AG762" s="524"/>
      <c r="AH762" s="560"/>
      <c r="AI762" s="559"/>
      <c r="AJ762" s="516"/>
      <c r="AK762" s="516"/>
      <c r="AL762" s="516"/>
      <c r="AM762" s="305"/>
      <c r="AO762" t="b">
        <f t="shared" si="549"/>
        <v>0</v>
      </c>
      <c r="AQ762" s="461"/>
      <c r="AS762" s="461"/>
      <c r="AT762" s="616"/>
      <c r="AU762" s="486"/>
      <c r="AV762" s="648"/>
      <c r="AW762" s="648"/>
      <c r="AX762" s="655" t="str">
        <f t="shared" si="537"/>
        <v/>
      </c>
      <c r="AY762" s="655" t="str">
        <f t="shared" si="538"/>
        <v/>
      </c>
      <c r="AZ762" s="655" t="str">
        <f t="shared" si="539"/>
        <v/>
      </c>
      <c r="BA762" s="655" t="str">
        <f t="shared" si="540"/>
        <v/>
      </c>
      <c r="BB762" s="655" t="str">
        <f t="shared" si="541"/>
        <v/>
      </c>
      <c r="BC762" s="655" t="str">
        <f t="shared" si="541"/>
        <v/>
      </c>
    </row>
    <row r="763" spans="1:55" ht="12" customHeight="1">
      <c r="A763" s="52"/>
      <c r="B763" s="52"/>
      <c r="C763" s="52"/>
      <c r="D763" s="52"/>
      <c r="E763" s="52"/>
      <c r="F763" s="52"/>
      <c r="G763" s="52"/>
      <c r="H763" s="384"/>
      <c r="I763" s="156"/>
      <c r="J763" s="94">
        <v>4</v>
      </c>
      <c r="K763" s="21" t="s">
        <v>324</v>
      </c>
      <c r="L763" s="315">
        <f t="shared" ref="L763:AC765" si="570">L764</f>
        <v>0</v>
      </c>
      <c r="M763" s="315">
        <f t="shared" si="570"/>
        <v>0</v>
      </c>
      <c r="N763" s="337">
        <f t="shared" si="570"/>
        <v>16000</v>
      </c>
      <c r="O763" s="337">
        <f t="shared" si="570"/>
        <v>2123.5649346340169</v>
      </c>
      <c r="P763" s="292">
        <f t="shared" si="570"/>
        <v>425000</v>
      </c>
      <c r="Q763" s="292">
        <f t="shared" si="570"/>
        <v>525000</v>
      </c>
      <c r="R763" s="441">
        <f t="shared" si="570"/>
        <v>520620</v>
      </c>
      <c r="S763" s="292">
        <f t="shared" si="570"/>
        <v>12633.97</v>
      </c>
      <c r="T763" s="292"/>
      <c r="U763" s="292"/>
      <c r="V763" s="469">
        <f t="shared" si="570"/>
        <v>0</v>
      </c>
      <c r="W763" s="469">
        <f t="shared" si="570"/>
        <v>15000</v>
      </c>
      <c r="X763" s="522">
        <f t="shared" si="570"/>
        <v>0</v>
      </c>
      <c r="Y763" s="522">
        <f t="shared" si="570"/>
        <v>0</v>
      </c>
      <c r="Z763" s="541" t="b">
        <f t="shared" si="548"/>
        <v>1</v>
      </c>
      <c r="AA763" s="522"/>
      <c r="AB763" s="523">
        <f t="shared" si="570"/>
        <v>0</v>
      </c>
      <c r="AC763" s="523">
        <f t="shared" si="570"/>
        <v>0</v>
      </c>
      <c r="AD763" s="524"/>
      <c r="AE763" s="524"/>
      <c r="AF763" s="524"/>
      <c r="AG763" s="524"/>
      <c r="AH763" s="522"/>
      <c r="AI763" s="522">
        <v>0</v>
      </c>
      <c r="AJ763" s="516">
        <f>W763/R763*100</f>
        <v>2.8811801313818139</v>
      </c>
      <c r="AK763" s="516">
        <f>AT763/W763*100</f>
        <v>0</v>
      </c>
      <c r="AL763" s="516"/>
      <c r="AM763" s="292"/>
      <c r="AO763" t="b">
        <f t="shared" si="549"/>
        <v>1</v>
      </c>
      <c r="AP763" s="440">
        <f t="shared" ref="AP763:AU765" si="571">AP764</f>
        <v>15771.47</v>
      </c>
      <c r="AQ763" s="441">
        <v>15771.47</v>
      </c>
      <c r="AR763" s="440">
        <f>AR764</f>
        <v>15771.47</v>
      </c>
      <c r="AS763" s="441">
        <f t="shared" si="571"/>
        <v>7250</v>
      </c>
      <c r="AT763" s="612">
        <f>AT764</f>
        <v>0</v>
      </c>
      <c r="AU763" s="469">
        <f t="shared" si="571"/>
        <v>7250</v>
      </c>
      <c r="AV763" s="636">
        <v>0</v>
      </c>
      <c r="AW763" s="636">
        <v>0</v>
      </c>
      <c r="AX763" s="655">
        <f t="shared" si="537"/>
        <v>0</v>
      </c>
      <c r="AY763" s="655">
        <f t="shared" si="538"/>
        <v>0</v>
      </c>
      <c r="AZ763" s="655" t="str">
        <f t="shared" si="539"/>
        <v/>
      </c>
      <c r="BA763" s="655">
        <f t="shared" si="540"/>
        <v>45.969082146432768</v>
      </c>
      <c r="BB763" s="655">
        <f t="shared" si="541"/>
        <v>0</v>
      </c>
      <c r="BC763" s="655" t="str">
        <f t="shared" si="541"/>
        <v/>
      </c>
    </row>
    <row r="764" spans="1:55" ht="12" customHeight="1">
      <c r="A764" s="355"/>
      <c r="B764" s="355"/>
      <c r="C764" s="355"/>
      <c r="D764" s="355"/>
      <c r="E764" s="355"/>
      <c r="F764" s="355"/>
      <c r="G764" s="355"/>
      <c r="H764" s="379"/>
      <c r="I764" s="359"/>
      <c r="J764" s="356">
        <v>42</v>
      </c>
      <c r="K764" s="358" t="s">
        <v>325</v>
      </c>
      <c r="L764" s="315">
        <f t="shared" si="570"/>
        <v>0</v>
      </c>
      <c r="M764" s="315">
        <f t="shared" si="570"/>
        <v>0</v>
      </c>
      <c r="N764" s="337">
        <f t="shared" si="570"/>
        <v>16000</v>
      </c>
      <c r="O764" s="337">
        <f t="shared" si="570"/>
        <v>2123.5649346340169</v>
      </c>
      <c r="P764" s="292">
        <f t="shared" si="570"/>
        <v>425000</v>
      </c>
      <c r="Q764" s="292">
        <f t="shared" si="570"/>
        <v>525000</v>
      </c>
      <c r="R764" s="441">
        <f t="shared" si="570"/>
        <v>520620</v>
      </c>
      <c r="S764" s="292">
        <f t="shared" si="570"/>
        <v>12633.97</v>
      </c>
      <c r="T764" s="292"/>
      <c r="U764" s="292"/>
      <c r="V764" s="469">
        <f t="shared" si="570"/>
        <v>0</v>
      </c>
      <c r="W764" s="469">
        <f t="shared" si="570"/>
        <v>15000</v>
      </c>
      <c r="X764" s="522">
        <f t="shared" si="570"/>
        <v>0</v>
      </c>
      <c r="Y764" s="522">
        <f t="shared" si="570"/>
        <v>0</v>
      </c>
      <c r="Z764" s="541" t="b">
        <f t="shared" si="548"/>
        <v>1</v>
      </c>
      <c r="AA764" s="522"/>
      <c r="AB764" s="523">
        <f t="shared" si="570"/>
        <v>0</v>
      </c>
      <c r="AC764" s="523">
        <f t="shared" si="570"/>
        <v>0</v>
      </c>
      <c r="AD764" s="524"/>
      <c r="AE764" s="524"/>
      <c r="AF764" s="524"/>
      <c r="AG764" s="524"/>
      <c r="AH764" s="522"/>
      <c r="AI764" s="522">
        <v>0</v>
      </c>
      <c r="AJ764" s="516">
        <f>W764/R764*100</f>
        <v>2.8811801313818139</v>
      </c>
      <c r="AK764" s="516">
        <f>AT764/W764*100</f>
        <v>0</v>
      </c>
      <c r="AL764" s="516"/>
      <c r="AM764" s="292"/>
      <c r="AO764" t="b">
        <f t="shared" si="549"/>
        <v>1</v>
      </c>
      <c r="AP764" s="440">
        <f t="shared" si="571"/>
        <v>15771.47</v>
      </c>
      <c r="AQ764" s="441">
        <v>15771.47</v>
      </c>
      <c r="AR764" s="440">
        <f>AR765</f>
        <v>15771.47</v>
      </c>
      <c r="AS764" s="441">
        <f t="shared" si="571"/>
        <v>7250</v>
      </c>
      <c r="AT764" s="612">
        <f>AT765</f>
        <v>0</v>
      </c>
      <c r="AU764" s="469">
        <f t="shared" si="571"/>
        <v>7250</v>
      </c>
      <c r="AV764" s="636">
        <v>0</v>
      </c>
      <c r="AW764" s="636">
        <v>0</v>
      </c>
      <c r="AX764" s="655">
        <f t="shared" si="537"/>
        <v>0</v>
      </c>
      <c r="AY764" s="655">
        <f t="shared" si="538"/>
        <v>0</v>
      </c>
      <c r="AZ764" s="655" t="str">
        <f t="shared" si="539"/>
        <v/>
      </c>
      <c r="BA764" s="655">
        <f t="shared" si="540"/>
        <v>45.969082146432768</v>
      </c>
      <c r="BB764" s="655">
        <f t="shared" si="541"/>
        <v>0</v>
      </c>
      <c r="BC764" s="655" t="str">
        <f t="shared" si="541"/>
        <v/>
      </c>
    </row>
    <row r="765" spans="1:55" ht="12" customHeight="1">
      <c r="A765" s="56"/>
      <c r="B765" s="56"/>
      <c r="C765" s="56"/>
      <c r="D765" s="56"/>
      <c r="E765" s="56"/>
      <c r="F765" s="56"/>
      <c r="G765" s="56"/>
      <c r="H765" s="377"/>
      <c r="I765" s="157"/>
      <c r="J765" s="116">
        <v>421</v>
      </c>
      <c r="K765" s="60" t="s">
        <v>243</v>
      </c>
      <c r="L765" s="315">
        <f t="shared" si="570"/>
        <v>0</v>
      </c>
      <c r="M765" s="315">
        <f t="shared" si="570"/>
        <v>0</v>
      </c>
      <c r="N765" s="337">
        <f t="shared" si="570"/>
        <v>16000</v>
      </c>
      <c r="O765" s="337">
        <f t="shared" si="570"/>
        <v>2123.5649346340169</v>
      </c>
      <c r="P765" s="292">
        <f t="shared" si="570"/>
        <v>425000</v>
      </c>
      <c r="Q765" s="292">
        <f t="shared" si="570"/>
        <v>525000</v>
      </c>
      <c r="R765" s="441">
        <f t="shared" si="570"/>
        <v>520620</v>
      </c>
      <c r="S765" s="292">
        <f t="shared" si="570"/>
        <v>12633.97</v>
      </c>
      <c r="T765" s="292"/>
      <c r="U765" s="292"/>
      <c r="V765" s="469">
        <f t="shared" si="570"/>
        <v>0</v>
      </c>
      <c r="W765" s="469">
        <f t="shared" si="570"/>
        <v>15000</v>
      </c>
      <c r="X765" s="522">
        <f t="shared" si="570"/>
        <v>0</v>
      </c>
      <c r="Y765" s="522">
        <f t="shared" si="570"/>
        <v>0</v>
      </c>
      <c r="Z765" s="541" t="b">
        <f t="shared" si="548"/>
        <v>1</v>
      </c>
      <c r="AA765" s="522"/>
      <c r="AB765" s="523">
        <f t="shared" si="570"/>
        <v>0</v>
      </c>
      <c r="AC765" s="523">
        <f t="shared" si="570"/>
        <v>0</v>
      </c>
      <c r="AD765" s="524"/>
      <c r="AE765" s="524"/>
      <c r="AF765" s="524"/>
      <c r="AG765" s="524"/>
      <c r="AH765" s="522"/>
      <c r="AI765" s="522">
        <v>0</v>
      </c>
      <c r="AJ765" s="516">
        <f>W765/R765*100</f>
        <v>2.8811801313818139</v>
      </c>
      <c r="AK765" s="516">
        <f>AT765/W765*100</f>
        <v>0</v>
      </c>
      <c r="AL765" s="516"/>
      <c r="AM765" s="292"/>
      <c r="AN765" s="413"/>
      <c r="AO765" t="b">
        <f t="shared" si="549"/>
        <v>1</v>
      </c>
      <c r="AP765" s="440">
        <f t="shared" si="571"/>
        <v>15771.47</v>
      </c>
      <c r="AQ765" s="441">
        <v>15771.47</v>
      </c>
      <c r="AR765" s="440">
        <f>AR766</f>
        <v>15771.47</v>
      </c>
      <c r="AS765" s="441">
        <f t="shared" si="571"/>
        <v>7250</v>
      </c>
      <c r="AT765" s="612">
        <f>AT766</f>
        <v>0</v>
      </c>
      <c r="AU765" s="469">
        <f t="shared" si="571"/>
        <v>7250</v>
      </c>
      <c r="AV765" s="636">
        <v>0</v>
      </c>
      <c r="AW765" s="636">
        <v>0</v>
      </c>
      <c r="AX765" s="655">
        <f t="shared" si="537"/>
        <v>0</v>
      </c>
      <c r="AY765" s="655">
        <f t="shared" si="538"/>
        <v>0</v>
      </c>
      <c r="AZ765" s="655" t="str">
        <f t="shared" si="539"/>
        <v/>
      </c>
      <c r="BA765" s="655">
        <f t="shared" si="540"/>
        <v>45.969082146432768</v>
      </c>
      <c r="BB765" s="655">
        <f t="shared" si="541"/>
        <v>0</v>
      </c>
      <c r="BC765" s="655" t="str">
        <f t="shared" si="541"/>
        <v/>
      </c>
    </row>
    <row r="766" spans="1:55" ht="12" customHeight="1">
      <c r="A766" s="36"/>
      <c r="B766" s="36"/>
      <c r="C766" s="36"/>
      <c r="D766" s="36"/>
      <c r="E766" s="36"/>
      <c r="F766" s="36"/>
      <c r="G766" s="36"/>
      <c r="H766" s="204" t="s">
        <v>697</v>
      </c>
      <c r="I766" s="132">
        <v>660</v>
      </c>
      <c r="J766" s="71">
        <v>4212</v>
      </c>
      <c r="K766" s="40" t="s">
        <v>678</v>
      </c>
      <c r="L766" s="309">
        <v>0</v>
      </c>
      <c r="M766" s="309">
        <v>0</v>
      </c>
      <c r="N766" s="339">
        <v>16000</v>
      </c>
      <c r="O766" s="339">
        <f>N766/7.5345</f>
        <v>2123.5649346340169</v>
      </c>
      <c r="P766" s="294">
        <v>425000</v>
      </c>
      <c r="Q766" s="269">
        <v>525000</v>
      </c>
      <c r="R766" s="443">
        <v>520620</v>
      </c>
      <c r="S766" s="294">
        <f>__xlfn.XLOOKUP(H766,[2]Izvršenje_proračuna_po_pozicija!$B$2:$B$153,[2]Izvršenje_proračuna_po_pozicija!$E$2:$E$153,0)</f>
        <v>12633.97</v>
      </c>
      <c r="T766" s="294"/>
      <c r="U766" s="294"/>
      <c r="V766" s="478">
        <v>0</v>
      </c>
      <c r="W766" s="478">
        <v>15000</v>
      </c>
      <c r="X766" s="544">
        <v>0</v>
      </c>
      <c r="Y766" s="544"/>
      <c r="Z766" s="541" t="b">
        <f t="shared" si="548"/>
        <v>0</v>
      </c>
      <c r="AA766" s="527"/>
      <c r="AB766" s="528">
        <v>0</v>
      </c>
      <c r="AC766" s="528">
        <v>0</v>
      </c>
      <c r="AD766" s="524"/>
      <c r="AE766" s="524"/>
      <c r="AF766" s="524"/>
      <c r="AG766" s="524"/>
      <c r="AH766" s="527"/>
      <c r="AI766" s="544">
        <v>0</v>
      </c>
      <c r="AJ766" s="516">
        <f>W766/R766*100</f>
        <v>2.8811801313818139</v>
      </c>
      <c r="AK766" s="516">
        <f>AT766/W766*100</f>
        <v>0</v>
      </c>
      <c r="AL766" s="516"/>
      <c r="AM766" s="294"/>
      <c r="AO766" t="b">
        <f t="shared" si="549"/>
        <v>0</v>
      </c>
      <c r="AP766" s="493">
        <v>15771.47</v>
      </c>
      <c r="AQ766" s="443">
        <v>15771.47</v>
      </c>
      <c r="AR766" s="493">
        <v>15771.47</v>
      </c>
      <c r="AS766" s="443">
        <f>__xlfn.XLOOKUP(K766,[1]Izvršenje_proračuna_po_pozicija!$C$25:$C$149,[1]Izvršenje_proračuna_po_pozicija!$E$25:$E$149,0)</f>
        <v>7250</v>
      </c>
      <c r="AT766" s="617">
        <v>0</v>
      </c>
      <c r="AU766" s="478">
        <v>7250</v>
      </c>
      <c r="AV766" s="638">
        <v>0</v>
      </c>
      <c r="AW766" s="638">
        <v>0</v>
      </c>
      <c r="AX766" s="655">
        <f t="shared" si="537"/>
        <v>0</v>
      </c>
      <c r="AY766" s="655">
        <f t="shared" si="538"/>
        <v>0</v>
      </c>
      <c r="AZ766" s="655" t="str">
        <f t="shared" si="539"/>
        <v/>
      </c>
      <c r="BA766" s="655">
        <f t="shared" si="540"/>
        <v>45.969082146432768</v>
      </c>
      <c r="BB766" s="655">
        <f t="shared" si="541"/>
        <v>0</v>
      </c>
      <c r="BC766" s="655" t="str">
        <f t="shared" si="541"/>
        <v/>
      </c>
    </row>
    <row r="767" spans="1:55" ht="12" customHeight="1">
      <c r="A767" s="36"/>
      <c r="B767" s="36"/>
      <c r="C767" s="36"/>
      <c r="D767" s="36"/>
      <c r="E767" s="36"/>
      <c r="F767" s="36"/>
      <c r="G767" s="36"/>
      <c r="H767" s="204"/>
      <c r="I767" s="132"/>
      <c r="J767" s="71"/>
      <c r="K767" s="40"/>
      <c r="L767" s="309"/>
      <c r="M767" s="309"/>
      <c r="N767" s="339"/>
      <c r="O767" s="339"/>
      <c r="P767" s="294"/>
      <c r="Q767" s="269"/>
      <c r="R767" s="443"/>
      <c r="S767" s="294"/>
      <c r="T767" s="294"/>
      <c r="U767" s="294"/>
      <c r="V767" s="478"/>
      <c r="W767" s="478"/>
      <c r="X767" s="544"/>
      <c r="Y767" s="544"/>
      <c r="Z767" s="541"/>
      <c r="AA767" s="527"/>
      <c r="AB767" s="528"/>
      <c r="AC767" s="528"/>
      <c r="AD767" s="524"/>
      <c r="AE767" s="524"/>
      <c r="AF767" s="524"/>
      <c r="AG767" s="524"/>
      <c r="AH767" s="527"/>
      <c r="AI767" s="544"/>
      <c r="AJ767" s="516"/>
      <c r="AK767" s="516"/>
      <c r="AL767" s="516"/>
      <c r="AM767" s="294"/>
      <c r="AP767" s="493"/>
      <c r="AQ767" s="443"/>
      <c r="AS767" s="443"/>
      <c r="AT767" s="617"/>
      <c r="AU767" s="478"/>
      <c r="AV767" s="632"/>
      <c r="AW767" s="632"/>
      <c r="AX767" s="655" t="str">
        <f t="shared" si="537"/>
        <v/>
      </c>
      <c r="AY767" s="655" t="str">
        <f t="shared" ref="AY767:AY830" si="572">IF(AND(ISNUMBER(AT767), ISNUMBER(AQ772), AQ772&lt;&gt;0), (AT767/AQ772)*100, "")</f>
        <v/>
      </c>
      <c r="AZ767" s="655" t="str">
        <f t="shared" si="539"/>
        <v/>
      </c>
      <c r="BA767" s="655" t="str">
        <f t="shared" ref="BA767:BA830" si="573">IF(AND(ISNUMBER(AU767), ISNUMBER(AQ772), AQ772&lt;&gt;0), (AU767/AQ772)*100, "")</f>
        <v/>
      </c>
      <c r="BB767" s="655" t="str">
        <f t="shared" si="541"/>
        <v/>
      </c>
      <c r="BC767" s="655" t="str">
        <f t="shared" si="541"/>
        <v/>
      </c>
    </row>
    <row r="768" spans="1:55" ht="12" customHeight="1">
      <c r="A768" s="142"/>
      <c r="B768" s="142"/>
      <c r="C768" s="142"/>
      <c r="D768" s="142"/>
      <c r="E768" s="142"/>
      <c r="F768" s="142"/>
      <c r="G768" s="142"/>
      <c r="H768" s="390"/>
      <c r="I768" s="173" t="s">
        <v>492</v>
      </c>
      <c r="J768" s="174"/>
      <c r="K768" s="107"/>
      <c r="L768" s="315">
        <f t="shared" ref="L768:S768" si="574">L769+L776</f>
        <v>79852</v>
      </c>
      <c r="M768" s="315">
        <f t="shared" si="574"/>
        <v>10598.181697524718</v>
      </c>
      <c r="N768" s="337">
        <f t="shared" si="574"/>
        <v>86356</v>
      </c>
      <c r="O768" s="337">
        <f t="shared" si="574"/>
        <v>11461.410843453446</v>
      </c>
      <c r="P768" s="292">
        <f t="shared" si="574"/>
        <v>20000</v>
      </c>
      <c r="Q768" s="292">
        <f t="shared" si="574"/>
        <v>22000</v>
      </c>
      <c r="R768" s="441">
        <f t="shared" si="574"/>
        <v>10574</v>
      </c>
      <c r="S768" s="292">
        <f t="shared" si="574"/>
        <v>3923.75</v>
      </c>
      <c r="T768" s="292"/>
      <c r="U768" s="292"/>
      <c r="V768" s="469">
        <f>V769+V776</f>
        <v>25000</v>
      </c>
      <c r="W768" s="469">
        <f>W769+W776</f>
        <v>18000</v>
      </c>
      <c r="X768" s="522">
        <f>X769+X776</f>
        <v>35000</v>
      </c>
      <c r="Y768" s="522">
        <f>Y769+Y776</f>
        <v>0</v>
      </c>
      <c r="Z768" s="541" t="b">
        <f t="shared" ref="Z768:Z831" si="575">__xlfn.ISFORMULA(R768)</f>
        <v>1</v>
      </c>
      <c r="AA768" s="522"/>
      <c r="AB768" s="523">
        <f>AB769+AB776</f>
        <v>20000</v>
      </c>
      <c r="AC768" s="523">
        <f>AC769+AC776</f>
        <v>20000</v>
      </c>
      <c r="AD768" s="524">
        <f>O768/M768*100</f>
        <v>108.14506837649651</v>
      </c>
      <c r="AE768" s="524">
        <f>P768/O768*100</f>
        <v>174.49858724350364</v>
      </c>
      <c r="AF768" s="524">
        <f>Q768/P768*100</f>
        <v>110.00000000000001</v>
      </c>
      <c r="AG768" s="524">
        <f>AB768/Q768*100</f>
        <v>90.909090909090907</v>
      </c>
      <c r="AH768" s="522"/>
      <c r="AI768" s="522">
        <v>35000</v>
      </c>
      <c r="AJ768" s="516">
        <f>W768/R768*100</f>
        <v>170.22886324947984</v>
      </c>
      <c r="AK768" s="516">
        <f>AT768/W768*100</f>
        <v>150</v>
      </c>
      <c r="AL768" s="516">
        <f>X768/AT768*100</f>
        <v>129.62962962962962</v>
      </c>
      <c r="AM768" s="292"/>
      <c r="AO768" t="b">
        <f t="shared" ref="AO768:AO831" si="576">__xlfn.ISFORMULA(AT768)</f>
        <v>1</v>
      </c>
      <c r="AP768" s="440">
        <f t="shared" ref="AP768:AU768" si="577">AP769+AP776</f>
        <v>5406.15</v>
      </c>
      <c r="AQ768" s="441">
        <v>5406.15</v>
      </c>
      <c r="AR768" s="440">
        <f>AR769+AR776</f>
        <v>5406.15</v>
      </c>
      <c r="AS768" s="441">
        <f t="shared" si="577"/>
        <v>0</v>
      </c>
      <c r="AT768" s="612">
        <f t="shared" si="577"/>
        <v>27000</v>
      </c>
      <c r="AU768" s="469">
        <f t="shared" si="577"/>
        <v>24000</v>
      </c>
      <c r="AV768" s="636">
        <v>35000</v>
      </c>
      <c r="AW768" s="636">
        <v>35000</v>
      </c>
      <c r="AX768" s="655">
        <f t="shared" si="537"/>
        <v>255.34329487421979</v>
      </c>
      <c r="AY768" s="655">
        <f t="shared" si="572"/>
        <v>691.2176951729964</v>
      </c>
      <c r="AZ768" s="655">
        <f t="shared" si="539"/>
        <v>88.888888888888886</v>
      </c>
      <c r="BA768" s="655">
        <f t="shared" si="573"/>
        <v>614.41572904266343</v>
      </c>
      <c r="BB768" s="655">
        <f t="shared" si="541"/>
        <v>145.83333333333331</v>
      </c>
      <c r="BC768" s="655">
        <f t="shared" si="541"/>
        <v>100</v>
      </c>
    </row>
    <row r="769" spans="1:55" ht="12" customHeight="1">
      <c r="A769" s="212" t="s">
        <v>474</v>
      </c>
      <c r="B769" s="130"/>
      <c r="C769" s="130"/>
      <c r="D769" s="130"/>
      <c r="E769" s="130"/>
      <c r="F769" s="130"/>
      <c r="G769" s="130"/>
      <c r="H769" s="388"/>
      <c r="I769" s="167" t="s">
        <v>329</v>
      </c>
      <c r="J769" s="168"/>
      <c r="K769" s="169"/>
      <c r="L769" s="320">
        <f t="shared" ref="L769:S769" si="578">L771</f>
        <v>31852</v>
      </c>
      <c r="M769" s="320">
        <f t="shared" si="578"/>
        <v>4227.4868936226685</v>
      </c>
      <c r="N769" s="344">
        <f t="shared" si="578"/>
        <v>56356</v>
      </c>
      <c r="O769" s="344">
        <f t="shared" si="578"/>
        <v>7479.7265910146652</v>
      </c>
      <c r="P769" s="299">
        <f t="shared" si="578"/>
        <v>10000</v>
      </c>
      <c r="Q769" s="299">
        <f t="shared" si="578"/>
        <v>12000</v>
      </c>
      <c r="R769" s="447">
        <f t="shared" si="578"/>
        <v>6574</v>
      </c>
      <c r="S769" s="299">
        <f t="shared" si="578"/>
        <v>2423.75</v>
      </c>
      <c r="T769" s="299"/>
      <c r="U769" s="299"/>
      <c r="V769" s="477">
        <f>V771</f>
        <v>12000</v>
      </c>
      <c r="W769" s="477">
        <f>W771</f>
        <v>8000</v>
      </c>
      <c r="X769" s="542">
        <f>X771</f>
        <v>15000</v>
      </c>
      <c r="Y769" s="542">
        <f>Y771</f>
        <v>0</v>
      </c>
      <c r="Z769" s="541" t="b">
        <f t="shared" si="575"/>
        <v>1</v>
      </c>
      <c r="AA769" s="542"/>
      <c r="AB769" s="543">
        <f>AB771</f>
        <v>10000</v>
      </c>
      <c r="AC769" s="543">
        <f>AC771</f>
        <v>10000</v>
      </c>
      <c r="AD769" s="524">
        <f>O769/M769*100</f>
        <v>176.93080497300014</v>
      </c>
      <c r="AE769" s="524">
        <f>P769/O769*100</f>
        <v>133.69472638228405</v>
      </c>
      <c r="AF769" s="524">
        <f>Q769/P769*100</f>
        <v>120</v>
      </c>
      <c r="AG769" s="524">
        <f>AB769/Q769*100</f>
        <v>83.333333333333343</v>
      </c>
      <c r="AH769" s="542"/>
      <c r="AI769" s="542">
        <v>15000</v>
      </c>
      <c r="AJ769" s="516">
        <f>W769/R769*100</f>
        <v>121.69151201703681</v>
      </c>
      <c r="AK769" s="516">
        <f>AT769/W769*100</f>
        <v>150</v>
      </c>
      <c r="AL769" s="516">
        <f>X769/AT769*100</f>
        <v>125</v>
      </c>
      <c r="AM769" s="299"/>
      <c r="AO769" t="b">
        <f t="shared" si="576"/>
        <v>1</v>
      </c>
      <c r="AP769" s="503">
        <f>AP771</f>
        <v>3906.15</v>
      </c>
      <c r="AQ769" s="447">
        <v>3906.15</v>
      </c>
      <c r="AR769" s="503">
        <f>AR771</f>
        <v>3906.15</v>
      </c>
      <c r="AS769" s="447">
        <f>AS771</f>
        <v>0</v>
      </c>
      <c r="AT769" s="611">
        <f>AT771</f>
        <v>12000</v>
      </c>
      <c r="AU769" s="477">
        <f>AU771</f>
        <v>12000</v>
      </c>
      <c r="AV769" s="643">
        <v>15000</v>
      </c>
      <c r="AW769" s="643">
        <v>15000</v>
      </c>
      <c r="AX769" s="655">
        <f t="shared" si="537"/>
        <v>182.53726802555522</v>
      </c>
      <c r="AY769" s="655">
        <f t="shared" si="572"/>
        <v>307.20786452133171</v>
      </c>
      <c r="AZ769" s="655">
        <f t="shared" si="539"/>
        <v>100</v>
      </c>
      <c r="BA769" s="655">
        <f t="shared" si="573"/>
        <v>307.20786452133171</v>
      </c>
      <c r="BB769" s="655">
        <f t="shared" si="541"/>
        <v>125</v>
      </c>
      <c r="BC769" s="655">
        <f t="shared" si="541"/>
        <v>100</v>
      </c>
    </row>
    <row r="770" spans="1:55" ht="12" customHeight="1">
      <c r="A770" s="25"/>
      <c r="B770" s="25"/>
      <c r="C770" s="25"/>
      <c r="D770" s="25"/>
      <c r="E770" s="25"/>
      <c r="F770" s="25"/>
      <c r="G770" s="25"/>
      <c r="H770" s="389"/>
      <c r="I770" s="30"/>
      <c r="J770" s="29"/>
      <c r="K770" s="29"/>
      <c r="L770" s="313"/>
      <c r="M770" s="313"/>
      <c r="N770" s="335"/>
      <c r="O770" s="335"/>
      <c r="P770" s="290"/>
      <c r="Q770" s="290"/>
      <c r="R770" s="439"/>
      <c r="S770" s="294">
        <f>__xlfn.XLOOKUP(H770,[2]Izvršenje_proračuna_po_pozicija!$B$2:$B$153,[2]Izvršenje_proračuna_po_pozicija!$E$2:$E$153,0)</f>
        <v>0</v>
      </c>
      <c r="T770" s="294"/>
      <c r="U770" s="294"/>
      <c r="V770" s="474"/>
      <c r="W770" s="474"/>
      <c r="X770" s="539"/>
      <c r="Y770" s="539"/>
      <c r="Z770" s="541" t="b">
        <f t="shared" si="575"/>
        <v>0</v>
      </c>
      <c r="AA770" s="514"/>
      <c r="AB770" s="515"/>
      <c r="AC770" s="515"/>
      <c r="AD770" s="524"/>
      <c r="AE770" s="524"/>
      <c r="AF770" s="524"/>
      <c r="AG770" s="524"/>
      <c r="AH770" s="514"/>
      <c r="AI770" s="539"/>
      <c r="AJ770" s="516"/>
      <c r="AK770" s="516"/>
      <c r="AL770" s="516"/>
      <c r="AM770" s="290"/>
      <c r="AO770" t="b">
        <f t="shared" si="576"/>
        <v>0</v>
      </c>
      <c r="AQ770" s="439"/>
      <c r="AS770" s="439"/>
      <c r="AT770" s="616"/>
      <c r="AU770" s="474"/>
      <c r="AV770" s="632"/>
      <c r="AW770" s="632"/>
      <c r="AX770" s="655" t="str">
        <f t="shared" si="537"/>
        <v/>
      </c>
      <c r="AY770" s="655" t="str">
        <f t="shared" si="572"/>
        <v/>
      </c>
      <c r="AZ770" s="655" t="str">
        <f t="shared" si="539"/>
        <v/>
      </c>
      <c r="BA770" s="655" t="str">
        <f t="shared" si="573"/>
        <v/>
      </c>
      <c r="BB770" s="655" t="str">
        <f t="shared" si="541"/>
        <v/>
      </c>
      <c r="BC770" s="655" t="str">
        <f t="shared" si="541"/>
        <v/>
      </c>
    </row>
    <row r="771" spans="1:55" ht="12" customHeight="1">
      <c r="A771" s="52"/>
      <c r="B771" s="52"/>
      <c r="C771" s="52"/>
      <c r="D771" s="52"/>
      <c r="E771" s="52"/>
      <c r="F771" s="52"/>
      <c r="G771" s="52"/>
      <c r="H771" s="384"/>
      <c r="I771" s="156"/>
      <c r="J771" s="94">
        <v>3</v>
      </c>
      <c r="K771" s="21" t="s">
        <v>94</v>
      </c>
      <c r="L771" s="315">
        <f t="shared" ref="L771:AC773" si="579">L772</f>
        <v>31852</v>
      </c>
      <c r="M771" s="315">
        <f t="shared" si="579"/>
        <v>4227.4868936226685</v>
      </c>
      <c r="N771" s="337">
        <f t="shared" si="579"/>
        <v>56356</v>
      </c>
      <c r="O771" s="337">
        <f t="shared" si="579"/>
        <v>7479.7265910146652</v>
      </c>
      <c r="P771" s="292">
        <f t="shared" si="579"/>
        <v>10000</v>
      </c>
      <c r="Q771" s="292">
        <f t="shared" si="579"/>
        <v>12000</v>
      </c>
      <c r="R771" s="441">
        <f t="shared" si="579"/>
        <v>6574</v>
      </c>
      <c r="S771" s="292">
        <f t="shared" si="579"/>
        <v>2423.75</v>
      </c>
      <c r="T771" s="292"/>
      <c r="U771" s="292"/>
      <c r="V771" s="469">
        <f t="shared" si="579"/>
        <v>12000</v>
      </c>
      <c r="W771" s="469">
        <f t="shared" si="579"/>
        <v>8000</v>
      </c>
      <c r="X771" s="522">
        <f t="shared" si="579"/>
        <v>15000</v>
      </c>
      <c r="Y771" s="522">
        <f t="shared" si="579"/>
        <v>0</v>
      </c>
      <c r="Z771" s="541" t="b">
        <f t="shared" si="575"/>
        <v>1</v>
      </c>
      <c r="AA771" s="522"/>
      <c r="AB771" s="523">
        <f t="shared" si="579"/>
        <v>10000</v>
      </c>
      <c r="AC771" s="523">
        <f t="shared" si="579"/>
        <v>10000</v>
      </c>
      <c r="AD771" s="524">
        <f>O771/M771*100</f>
        <v>176.93080497300014</v>
      </c>
      <c r="AE771" s="524">
        <f t="shared" ref="AE771:AF774" si="580">P771/O771*100</f>
        <v>133.69472638228405</v>
      </c>
      <c r="AF771" s="524">
        <f t="shared" si="580"/>
        <v>120</v>
      </c>
      <c r="AG771" s="524">
        <f>AB771/Q771*100</f>
        <v>83.333333333333343</v>
      </c>
      <c r="AH771" s="522"/>
      <c r="AI771" s="522">
        <v>15000</v>
      </c>
      <c r="AJ771" s="516">
        <f>W771/R771*100</f>
        <v>121.69151201703681</v>
      </c>
      <c r="AK771" s="516">
        <f>AT771/W771*100</f>
        <v>150</v>
      </c>
      <c r="AL771" s="516">
        <f>X771/AT771*100</f>
        <v>125</v>
      </c>
      <c r="AM771" s="292"/>
      <c r="AO771" t="b">
        <f t="shared" si="576"/>
        <v>1</v>
      </c>
      <c r="AP771" s="440">
        <f>AP772</f>
        <v>3906.15</v>
      </c>
      <c r="AQ771" s="441">
        <v>3906.15</v>
      </c>
      <c r="AR771" s="440">
        <f t="shared" ref="AR771:AU773" si="581">AR772</f>
        <v>3906.15</v>
      </c>
      <c r="AS771" s="441">
        <f t="shared" si="581"/>
        <v>0</v>
      </c>
      <c r="AT771" s="612">
        <f t="shared" si="581"/>
        <v>12000</v>
      </c>
      <c r="AU771" s="469">
        <f t="shared" si="581"/>
        <v>12000</v>
      </c>
      <c r="AV771" s="636">
        <v>15000</v>
      </c>
      <c r="AW771" s="636">
        <v>15000</v>
      </c>
      <c r="AX771" s="655">
        <f t="shared" si="537"/>
        <v>182.53726802555522</v>
      </c>
      <c r="AY771" s="655">
        <f t="shared" si="572"/>
        <v>800</v>
      </c>
      <c r="AZ771" s="655">
        <f t="shared" si="539"/>
        <v>100</v>
      </c>
      <c r="BA771" s="655">
        <f t="shared" si="573"/>
        <v>800</v>
      </c>
      <c r="BB771" s="655">
        <f t="shared" si="541"/>
        <v>125</v>
      </c>
      <c r="BC771" s="655">
        <f t="shared" si="541"/>
        <v>100</v>
      </c>
    </row>
    <row r="772" spans="1:55" ht="12" customHeight="1">
      <c r="A772" s="355"/>
      <c r="B772" s="355"/>
      <c r="C772" s="355"/>
      <c r="D772" s="355"/>
      <c r="E772" s="355"/>
      <c r="F772" s="355"/>
      <c r="G772" s="355"/>
      <c r="H772" s="379"/>
      <c r="I772" s="359"/>
      <c r="J772" s="356">
        <v>32</v>
      </c>
      <c r="K772" s="358" t="s">
        <v>103</v>
      </c>
      <c r="L772" s="315">
        <f t="shared" si="579"/>
        <v>31852</v>
      </c>
      <c r="M772" s="315">
        <f t="shared" si="579"/>
        <v>4227.4868936226685</v>
      </c>
      <c r="N772" s="337">
        <f t="shared" si="579"/>
        <v>56356</v>
      </c>
      <c r="O772" s="337">
        <f t="shared" si="579"/>
        <v>7479.7265910146652</v>
      </c>
      <c r="P772" s="292">
        <f t="shared" si="579"/>
        <v>10000</v>
      </c>
      <c r="Q772" s="292">
        <f t="shared" si="579"/>
        <v>12000</v>
      </c>
      <c r="R772" s="441">
        <f t="shared" si="579"/>
        <v>6574</v>
      </c>
      <c r="S772" s="292">
        <f t="shared" si="579"/>
        <v>2423.75</v>
      </c>
      <c r="T772" s="292"/>
      <c r="U772" s="292"/>
      <c r="V772" s="469">
        <f t="shared" si="579"/>
        <v>12000</v>
      </c>
      <c r="W772" s="469">
        <f t="shared" si="579"/>
        <v>8000</v>
      </c>
      <c r="X772" s="522">
        <f t="shared" si="579"/>
        <v>15000</v>
      </c>
      <c r="Y772" s="522">
        <f t="shared" si="579"/>
        <v>0</v>
      </c>
      <c r="Z772" s="541" t="b">
        <f t="shared" si="575"/>
        <v>1</v>
      </c>
      <c r="AA772" s="522"/>
      <c r="AB772" s="523">
        <f t="shared" si="579"/>
        <v>10000</v>
      </c>
      <c r="AC772" s="523">
        <f t="shared" si="579"/>
        <v>10000</v>
      </c>
      <c r="AD772" s="524">
        <f>O772/M772*100</f>
        <v>176.93080497300014</v>
      </c>
      <c r="AE772" s="524">
        <f t="shared" si="580"/>
        <v>133.69472638228405</v>
      </c>
      <c r="AF772" s="524">
        <f t="shared" si="580"/>
        <v>120</v>
      </c>
      <c r="AG772" s="524">
        <f>AB772/Q772*100</f>
        <v>83.333333333333343</v>
      </c>
      <c r="AH772" s="522"/>
      <c r="AI772" s="522">
        <v>15000</v>
      </c>
      <c r="AJ772" s="516">
        <f>W772/R772*100</f>
        <v>121.69151201703681</v>
      </c>
      <c r="AK772" s="516">
        <f>AT772/W772*100</f>
        <v>150</v>
      </c>
      <c r="AL772" s="516">
        <f>X772/AT772*100</f>
        <v>125</v>
      </c>
      <c r="AM772" s="292"/>
      <c r="AO772" t="b">
        <f t="shared" si="576"/>
        <v>1</v>
      </c>
      <c r="AP772" s="440">
        <f>AP773</f>
        <v>3906.15</v>
      </c>
      <c r="AQ772" s="441">
        <v>3906.15</v>
      </c>
      <c r="AR772" s="440">
        <f t="shared" si="581"/>
        <v>3906.15</v>
      </c>
      <c r="AS772" s="441">
        <f t="shared" si="581"/>
        <v>0</v>
      </c>
      <c r="AT772" s="612">
        <f t="shared" si="581"/>
        <v>12000</v>
      </c>
      <c r="AU772" s="469">
        <f t="shared" si="581"/>
        <v>12000</v>
      </c>
      <c r="AV772" s="636">
        <v>15000</v>
      </c>
      <c r="AW772" s="636">
        <v>15000</v>
      </c>
      <c r="AX772" s="655">
        <f t="shared" si="537"/>
        <v>182.53726802555522</v>
      </c>
      <c r="AY772" s="655" t="str">
        <f t="shared" si="572"/>
        <v/>
      </c>
      <c r="AZ772" s="655">
        <f t="shared" si="539"/>
        <v>100</v>
      </c>
      <c r="BA772" s="655" t="str">
        <f t="shared" si="573"/>
        <v/>
      </c>
      <c r="BB772" s="655">
        <f t="shared" si="541"/>
        <v>125</v>
      </c>
      <c r="BC772" s="655">
        <f t="shared" si="541"/>
        <v>100</v>
      </c>
    </row>
    <row r="773" spans="1:55" ht="12" customHeight="1">
      <c r="A773" s="56"/>
      <c r="B773" s="56"/>
      <c r="C773" s="56"/>
      <c r="D773" s="56"/>
      <c r="E773" s="56"/>
      <c r="F773" s="56"/>
      <c r="G773" s="56"/>
      <c r="H773" s="377"/>
      <c r="I773" s="157"/>
      <c r="J773" s="116">
        <v>329</v>
      </c>
      <c r="K773" s="60" t="s">
        <v>330</v>
      </c>
      <c r="L773" s="315">
        <f t="shared" si="579"/>
        <v>31852</v>
      </c>
      <c r="M773" s="315">
        <f t="shared" si="579"/>
        <v>4227.4868936226685</v>
      </c>
      <c r="N773" s="337">
        <f t="shared" si="579"/>
        <v>56356</v>
      </c>
      <c r="O773" s="337">
        <f t="shared" si="579"/>
        <v>7479.7265910146652</v>
      </c>
      <c r="P773" s="292">
        <f t="shared" si="579"/>
        <v>10000</v>
      </c>
      <c r="Q773" s="292">
        <f t="shared" si="579"/>
        <v>12000</v>
      </c>
      <c r="R773" s="441">
        <f t="shared" si="579"/>
        <v>6574</v>
      </c>
      <c r="S773" s="292">
        <f t="shared" si="579"/>
        <v>2423.75</v>
      </c>
      <c r="T773" s="292"/>
      <c r="U773" s="292"/>
      <c r="V773" s="469">
        <f t="shared" si="579"/>
        <v>12000</v>
      </c>
      <c r="W773" s="469">
        <f t="shared" si="579"/>
        <v>8000</v>
      </c>
      <c r="X773" s="522">
        <f t="shared" si="579"/>
        <v>15000</v>
      </c>
      <c r="Y773" s="522">
        <f t="shared" si="579"/>
        <v>0</v>
      </c>
      <c r="Z773" s="541" t="b">
        <f t="shared" si="575"/>
        <v>1</v>
      </c>
      <c r="AA773" s="522"/>
      <c r="AB773" s="523">
        <f t="shared" si="579"/>
        <v>10000</v>
      </c>
      <c r="AC773" s="523">
        <f t="shared" si="579"/>
        <v>10000</v>
      </c>
      <c r="AD773" s="524">
        <f>O773/M773*100</f>
        <v>176.93080497300014</v>
      </c>
      <c r="AE773" s="524">
        <f t="shared" si="580"/>
        <v>133.69472638228405</v>
      </c>
      <c r="AF773" s="524">
        <f t="shared" si="580"/>
        <v>120</v>
      </c>
      <c r="AG773" s="524">
        <f>AB773/Q773*100</f>
        <v>83.333333333333343</v>
      </c>
      <c r="AH773" s="522"/>
      <c r="AI773" s="522">
        <v>15000</v>
      </c>
      <c r="AJ773" s="516">
        <f>W773/R773*100</f>
        <v>121.69151201703681</v>
      </c>
      <c r="AK773" s="516">
        <f>AT773/W773*100</f>
        <v>150</v>
      </c>
      <c r="AL773" s="516">
        <f>X773/AT773*100</f>
        <v>125</v>
      </c>
      <c r="AM773" s="292"/>
      <c r="AO773" t="b">
        <f t="shared" si="576"/>
        <v>1</v>
      </c>
      <c r="AP773" s="440">
        <f>AP774</f>
        <v>3906.15</v>
      </c>
      <c r="AQ773" s="441">
        <v>3906.15</v>
      </c>
      <c r="AR773" s="440">
        <f t="shared" si="581"/>
        <v>3906.15</v>
      </c>
      <c r="AS773" s="441">
        <f t="shared" si="581"/>
        <v>0</v>
      </c>
      <c r="AT773" s="612">
        <f t="shared" si="581"/>
        <v>12000</v>
      </c>
      <c r="AU773" s="469">
        <f t="shared" si="581"/>
        <v>12000</v>
      </c>
      <c r="AV773" s="636">
        <v>15000</v>
      </c>
      <c r="AW773" s="636">
        <v>15000</v>
      </c>
      <c r="AX773" s="655">
        <f t="shared" si="537"/>
        <v>182.53726802555522</v>
      </c>
      <c r="AY773" s="655">
        <f t="shared" si="572"/>
        <v>800</v>
      </c>
      <c r="AZ773" s="655">
        <f t="shared" si="539"/>
        <v>100</v>
      </c>
      <c r="BA773" s="655">
        <f t="shared" si="573"/>
        <v>800</v>
      </c>
      <c r="BB773" s="655">
        <f t="shared" si="541"/>
        <v>125</v>
      </c>
      <c r="BC773" s="655">
        <f t="shared" si="541"/>
        <v>100</v>
      </c>
    </row>
    <row r="774" spans="1:55" ht="12" customHeight="1">
      <c r="A774" s="36"/>
      <c r="B774" s="36"/>
      <c r="C774" s="36"/>
      <c r="D774" s="36"/>
      <c r="E774" s="36"/>
      <c r="F774" s="36"/>
      <c r="G774" s="36"/>
      <c r="H774" s="244" t="s">
        <v>331</v>
      </c>
      <c r="I774" s="166">
        <v>760</v>
      </c>
      <c r="J774" s="134">
        <v>3299</v>
      </c>
      <c r="K774" s="135" t="s">
        <v>332</v>
      </c>
      <c r="L774" s="324">
        <v>31852</v>
      </c>
      <c r="M774" s="324">
        <f>31852/7.5345</f>
        <v>4227.4868936226685</v>
      </c>
      <c r="N774" s="348">
        <v>56356</v>
      </c>
      <c r="O774" s="348">
        <f>N774/7.5345</f>
        <v>7479.7265910146652</v>
      </c>
      <c r="P774" s="303">
        <v>10000</v>
      </c>
      <c r="Q774" s="372">
        <v>12000</v>
      </c>
      <c r="R774" s="460">
        <v>6574</v>
      </c>
      <c r="S774" s="294">
        <f>__xlfn.XLOOKUP(H774,[2]Izvršenje_proračuna_po_pozicija!$B$2:$B$153,[2]Izvršenje_proračuna_po_pozicija!$E$2:$E$153,0)</f>
        <v>2423.75</v>
      </c>
      <c r="T774" s="303"/>
      <c r="U774" s="303"/>
      <c r="V774" s="484">
        <v>12000</v>
      </c>
      <c r="W774" s="484">
        <v>8000</v>
      </c>
      <c r="X774" s="554">
        <v>15000</v>
      </c>
      <c r="Y774" s="554"/>
      <c r="Z774" s="541" t="b">
        <f t="shared" si="575"/>
        <v>0</v>
      </c>
      <c r="AA774" s="555"/>
      <c r="AB774" s="556">
        <v>10000</v>
      </c>
      <c r="AC774" s="556">
        <v>10000</v>
      </c>
      <c r="AD774" s="524">
        <f>O774/M774*100</f>
        <v>176.93080497300014</v>
      </c>
      <c r="AE774" s="524">
        <f t="shared" si="580"/>
        <v>133.69472638228405</v>
      </c>
      <c r="AF774" s="524">
        <f t="shared" si="580"/>
        <v>120</v>
      </c>
      <c r="AG774" s="524">
        <f>AB774/Q774*100</f>
        <v>83.333333333333343</v>
      </c>
      <c r="AH774" s="555"/>
      <c r="AI774" s="554">
        <v>15000</v>
      </c>
      <c r="AJ774" s="516">
        <f>W774/R774*100</f>
        <v>121.69151201703681</v>
      </c>
      <c r="AK774" s="516">
        <f>AT774/W774*100</f>
        <v>150</v>
      </c>
      <c r="AL774" s="516">
        <f>X774/AT774*100</f>
        <v>125</v>
      </c>
      <c r="AM774" s="303"/>
      <c r="AO774" t="b">
        <f t="shared" si="576"/>
        <v>0</v>
      </c>
      <c r="AP774" s="505">
        <v>3906.15</v>
      </c>
      <c r="AQ774" s="460">
        <v>3906.15</v>
      </c>
      <c r="AR774" s="505">
        <v>3906.15</v>
      </c>
      <c r="AS774" s="460">
        <f>__xlfn.XLOOKUP(K774,[1]Izvršenje_proračuna_po_pozicija!$C$25:$C$149,[1]Izvršenje_proračuna_po_pozicija!$E$25:$E$149,0)</f>
        <v>0</v>
      </c>
      <c r="AT774" s="619">
        <v>12000</v>
      </c>
      <c r="AU774" s="484">
        <v>12000</v>
      </c>
      <c r="AV774" s="646">
        <v>15000</v>
      </c>
      <c r="AW774" s="646">
        <v>15000</v>
      </c>
      <c r="AX774" s="655">
        <f t="shared" si="537"/>
        <v>182.53726802555522</v>
      </c>
      <c r="AY774" s="655" t="str">
        <f t="shared" si="572"/>
        <v/>
      </c>
      <c r="AZ774" s="655">
        <f t="shared" si="539"/>
        <v>100</v>
      </c>
      <c r="BA774" s="655" t="str">
        <f t="shared" si="573"/>
        <v/>
      </c>
      <c r="BB774" s="655">
        <f t="shared" ref="BB774:BC837" si="582">IF(AND(ISNUMBER(AV774), ISNUMBER(AU774), AU774&lt;&gt;0), (AV774/AU774)*100, "")</f>
        <v>125</v>
      </c>
      <c r="BC774" s="655">
        <f t="shared" si="582"/>
        <v>100</v>
      </c>
    </row>
    <row r="775" spans="1:55" ht="12" customHeight="1">
      <c r="A775" s="36"/>
      <c r="B775" s="36"/>
      <c r="C775" s="36"/>
      <c r="D775" s="36"/>
      <c r="E775" s="36"/>
      <c r="F775" s="36"/>
      <c r="G775" s="36"/>
      <c r="H775" s="244"/>
      <c r="I775" s="166"/>
      <c r="J775" s="134"/>
      <c r="K775" s="135"/>
      <c r="L775" s="324"/>
      <c r="M775" s="324"/>
      <c r="N775" s="348"/>
      <c r="O775" s="348"/>
      <c r="P775" s="303"/>
      <c r="Q775" s="303"/>
      <c r="R775" s="460"/>
      <c r="S775" s="294">
        <f>__xlfn.XLOOKUP(H775,[2]Izvršenje_proračuna_po_pozicija!$B$2:$B$153,[2]Izvršenje_proračuna_po_pozicija!$E$2:$E$153,0)</f>
        <v>0</v>
      </c>
      <c r="T775" s="303"/>
      <c r="U775" s="303"/>
      <c r="V775" s="484"/>
      <c r="W775" s="484"/>
      <c r="X775" s="554"/>
      <c r="Y775" s="554"/>
      <c r="Z775" s="541" t="b">
        <f t="shared" si="575"/>
        <v>0</v>
      </c>
      <c r="AA775" s="555"/>
      <c r="AB775" s="556"/>
      <c r="AC775" s="556"/>
      <c r="AD775" s="524"/>
      <c r="AE775" s="524"/>
      <c r="AF775" s="524"/>
      <c r="AG775" s="524"/>
      <c r="AH775" s="555"/>
      <c r="AI775" s="554"/>
      <c r="AJ775" s="516"/>
      <c r="AK775" s="516"/>
      <c r="AL775" s="516"/>
      <c r="AM775" s="303"/>
      <c r="AO775" t="b">
        <f t="shared" si="576"/>
        <v>0</v>
      </c>
      <c r="AQ775" s="460"/>
      <c r="AS775" s="460">
        <f>__xlfn.XLOOKUP(K775,[1]Izvršenje_proračuna_po_pozicija!$C$25:$C$149,[1]Izvršenje_proračuna_po_pozicija!$E$25:$E$149,0)</f>
        <v>0</v>
      </c>
      <c r="AT775" s="619"/>
      <c r="AU775" s="484"/>
      <c r="AV775" s="646"/>
      <c r="AW775" s="646"/>
      <c r="AX775" s="655" t="str">
        <f t="shared" si="537"/>
        <v/>
      </c>
      <c r="AY775" s="655" t="str">
        <f t="shared" si="572"/>
        <v/>
      </c>
      <c r="AZ775" s="655" t="str">
        <f t="shared" si="539"/>
        <v/>
      </c>
      <c r="BA775" s="655" t="str">
        <f t="shared" si="573"/>
        <v/>
      </c>
      <c r="BB775" s="655" t="str">
        <f t="shared" si="582"/>
        <v/>
      </c>
      <c r="BC775" s="655" t="str">
        <f t="shared" si="582"/>
        <v/>
      </c>
    </row>
    <row r="776" spans="1:55" ht="12" customHeight="1">
      <c r="A776" s="212" t="s">
        <v>475</v>
      </c>
      <c r="B776" s="130"/>
      <c r="C776" s="130"/>
      <c r="D776" s="130"/>
      <c r="E776" s="130"/>
      <c r="F776" s="130"/>
      <c r="G776" s="130"/>
      <c r="H776" s="388"/>
      <c r="I776" s="167" t="s">
        <v>333</v>
      </c>
      <c r="J776" s="168"/>
      <c r="K776" s="169"/>
      <c r="L776" s="320">
        <f t="shared" ref="L776:S776" si="583">L778</f>
        <v>48000</v>
      </c>
      <c r="M776" s="320">
        <f t="shared" si="583"/>
        <v>6370.6948039020499</v>
      </c>
      <c r="N776" s="344">
        <f t="shared" si="583"/>
        <v>30000</v>
      </c>
      <c r="O776" s="344">
        <f t="shared" si="583"/>
        <v>3981.6842524387812</v>
      </c>
      <c r="P776" s="299">
        <f t="shared" si="583"/>
        <v>10000</v>
      </c>
      <c r="Q776" s="299">
        <f t="shared" si="583"/>
        <v>10000</v>
      </c>
      <c r="R776" s="447">
        <f t="shared" si="583"/>
        <v>4000</v>
      </c>
      <c r="S776" s="299">
        <f t="shared" si="583"/>
        <v>1500</v>
      </c>
      <c r="T776" s="299"/>
      <c r="U776" s="299"/>
      <c r="V776" s="477">
        <f>V778</f>
        <v>13000</v>
      </c>
      <c r="W776" s="477">
        <f>W778</f>
        <v>10000</v>
      </c>
      <c r="X776" s="542">
        <f>X778</f>
        <v>20000</v>
      </c>
      <c r="Y776" s="542">
        <f>Y778</f>
        <v>0</v>
      </c>
      <c r="Z776" s="541" t="b">
        <f t="shared" si="575"/>
        <v>1</v>
      </c>
      <c r="AA776" s="542"/>
      <c r="AB776" s="543">
        <f>AB778</f>
        <v>10000</v>
      </c>
      <c r="AC776" s="543">
        <f>AC778</f>
        <v>10000</v>
      </c>
      <c r="AD776" s="524">
        <f>O776/M776*100</f>
        <v>62.5</v>
      </c>
      <c r="AE776" s="524">
        <f>P776/O776*100</f>
        <v>251.15000000000003</v>
      </c>
      <c r="AF776" s="524">
        <f>Q776/P776*100</f>
        <v>100</v>
      </c>
      <c r="AG776" s="524">
        <f>AB776/Q776*100</f>
        <v>100</v>
      </c>
      <c r="AH776" s="542"/>
      <c r="AI776" s="542">
        <v>20000</v>
      </c>
      <c r="AJ776" s="516">
        <f>W776/R776*100</f>
        <v>250</v>
      </c>
      <c r="AK776" s="516">
        <f>AT776/W776*100</f>
        <v>150</v>
      </c>
      <c r="AL776" s="516">
        <f>X776/AT776*100</f>
        <v>133.33333333333331</v>
      </c>
      <c r="AM776" s="299"/>
      <c r="AO776" t="b">
        <f t="shared" si="576"/>
        <v>1</v>
      </c>
      <c r="AP776" s="503">
        <f t="shared" ref="AP776:AU776" si="584">AP778</f>
        <v>1500</v>
      </c>
      <c r="AQ776" s="447">
        <v>1500</v>
      </c>
      <c r="AR776" s="503">
        <f>AR778</f>
        <v>1500</v>
      </c>
      <c r="AS776" s="447">
        <f t="shared" si="584"/>
        <v>0</v>
      </c>
      <c r="AT776" s="611">
        <f t="shared" si="584"/>
        <v>15000</v>
      </c>
      <c r="AU776" s="477">
        <f t="shared" si="584"/>
        <v>12000</v>
      </c>
      <c r="AV776" s="643">
        <v>20000</v>
      </c>
      <c r="AW776" s="643">
        <v>20000</v>
      </c>
      <c r="AX776" s="655">
        <f t="shared" si="537"/>
        <v>375</v>
      </c>
      <c r="AY776" s="655">
        <f t="shared" si="572"/>
        <v>1000</v>
      </c>
      <c r="AZ776" s="655">
        <f t="shared" si="539"/>
        <v>80</v>
      </c>
      <c r="BA776" s="655">
        <f t="shared" si="573"/>
        <v>800</v>
      </c>
      <c r="BB776" s="655">
        <f t="shared" si="582"/>
        <v>166.66666666666669</v>
      </c>
      <c r="BC776" s="655">
        <f t="shared" si="582"/>
        <v>100</v>
      </c>
    </row>
    <row r="777" spans="1:55" ht="12" customHeight="1">
      <c r="A777" s="25"/>
      <c r="B777" s="25"/>
      <c r="C777" s="25"/>
      <c r="D777" s="25"/>
      <c r="E777" s="25"/>
      <c r="F777" s="25"/>
      <c r="G777" s="25"/>
      <c r="H777" s="382"/>
      <c r="I777" s="114"/>
      <c r="J777" s="94"/>
      <c r="K777" s="26"/>
      <c r="L777" s="317"/>
      <c r="M777" s="317"/>
      <c r="N777" s="341"/>
      <c r="O777" s="341"/>
      <c r="P777" s="296"/>
      <c r="Q777" s="296"/>
      <c r="R777" s="445"/>
      <c r="S777" s="294">
        <f>__xlfn.XLOOKUP(H777,[2]Izvršenje_proračuna_po_pozicija!$B$2:$B$153,[2]Izvršenje_proračuna_po_pozicija!$E$2:$E$153,0)</f>
        <v>0</v>
      </c>
      <c r="T777" s="294"/>
      <c r="U777" s="294"/>
      <c r="V777" s="481"/>
      <c r="W777" s="481"/>
      <c r="X777" s="549"/>
      <c r="Y777" s="549"/>
      <c r="Z777" s="541" t="b">
        <f t="shared" si="575"/>
        <v>0</v>
      </c>
      <c r="AA777" s="531"/>
      <c r="AB777" s="532"/>
      <c r="AC777" s="532"/>
      <c r="AD777" s="524"/>
      <c r="AE777" s="524"/>
      <c r="AF777" s="524"/>
      <c r="AG777" s="524"/>
      <c r="AH777" s="531"/>
      <c r="AI777" s="549"/>
      <c r="AJ777" s="516"/>
      <c r="AK777" s="516"/>
      <c r="AL777" s="516"/>
      <c r="AM777" s="296"/>
      <c r="AO777" t="b">
        <f t="shared" si="576"/>
        <v>0</v>
      </c>
      <c r="AQ777" s="445"/>
      <c r="AS777" s="445"/>
      <c r="AT777" s="616"/>
      <c r="AU777" s="481"/>
      <c r="AV777" s="640"/>
      <c r="AW777" s="640"/>
      <c r="AX777" s="655" t="str">
        <f t="shared" si="537"/>
        <v/>
      </c>
      <c r="AY777" s="655" t="str">
        <f t="shared" si="572"/>
        <v/>
      </c>
      <c r="AZ777" s="655" t="str">
        <f t="shared" si="539"/>
        <v/>
      </c>
      <c r="BA777" s="655" t="str">
        <f t="shared" si="573"/>
        <v/>
      </c>
      <c r="BB777" s="655" t="str">
        <f t="shared" si="582"/>
        <v/>
      </c>
      <c r="BC777" s="655" t="str">
        <f t="shared" si="582"/>
        <v/>
      </c>
    </row>
    <row r="778" spans="1:55" ht="12" customHeight="1">
      <c r="A778" s="363"/>
      <c r="B778" s="363"/>
      <c r="C778" s="363"/>
      <c r="D778" s="363"/>
      <c r="E778" s="363"/>
      <c r="F778" s="363"/>
      <c r="G778" s="363"/>
      <c r="H778" s="369"/>
      <c r="I778" s="359"/>
      <c r="J778" s="356">
        <v>38</v>
      </c>
      <c r="K778" s="358" t="s">
        <v>144</v>
      </c>
      <c r="L778" s="315">
        <f t="shared" ref="L778:S778" si="585">L780</f>
        <v>48000</v>
      </c>
      <c r="M778" s="315">
        <f t="shared" si="585"/>
        <v>6370.6948039020499</v>
      </c>
      <c r="N778" s="337">
        <f t="shared" si="585"/>
        <v>30000</v>
      </c>
      <c r="O778" s="337">
        <f t="shared" si="585"/>
        <v>3981.6842524387812</v>
      </c>
      <c r="P778" s="292">
        <f t="shared" si="585"/>
        <v>10000</v>
      </c>
      <c r="Q778" s="292">
        <f t="shared" si="585"/>
        <v>10000</v>
      </c>
      <c r="R778" s="441">
        <f t="shared" si="585"/>
        <v>4000</v>
      </c>
      <c r="S778" s="292">
        <f t="shared" si="585"/>
        <v>1500</v>
      </c>
      <c r="T778" s="292"/>
      <c r="U778" s="292"/>
      <c r="V778" s="469">
        <f>V780</f>
        <v>13000</v>
      </c>
      <c r="W778" s="469">
        <f>W780</f>
        <v>10000</v>
      </c>
      <c r="X778" s="522">
        <f>X780</f>
        <v>20000</v>
      </c>
      <c r="Y778" s="522">
        <f>Y780</f>
        <v>0</v>
      </c>
      <c r="Z778" s="541" t="b">
        <f t="shared" si="575"/>
        <v>1</v>
      </c>
      <c r="AA778" s="522"/>
      <c r="AB778" s="523">
        <f>AB780</f>
        <v>10000</v>
      </c>
      <c r="AC778" s="523">
        <f>AC780</f>
        <v>10000</v>
      </c>
      <c r="AD778" s="524">
        <f>O778/M778*100</f>
        <v>62.5</v>
      </c>
      <c r="AE778" s="524">
        <f>P778/O778*100</f>
        <v>251.15000000000003</v>
      </c>
      <c r="AF778" s="524">
        <f>Q778/P778*100</f>
        <v>100</v>
      </c>
      <c r="AG778" s="524">
        <f>AB778/Q778*100</f>
        <v>100</v>
      </c>
      <c r="AH778" s="522"/>
      <c r="AI778" s="522">
        <v>20000</v>
      </c>
      <c r="AJ778" s="516">
        <f>W778/R778*100</f>
        <v>250</v>
      </c>
      <c r="AK778" s="516">
        <f>AT778/W778*100</f>
        <v>150</v>
      </c>
      <c r="AL778" s="516">
        <f>X778/AT778*100</f>
        <v>133.33333333333331</v>
      </c>
      <c r="AM778" s="292"/>
      <c r="AO778" t="b">
        <f t="shared" si="576"/>
        <v>1</v>
      </c>
      <c r="AP778" s="440">
        <f t="shared" ref="AP778:AU778" si="586">AP780</f>
        <v>1500</v>
      </c>
      <c r="AQ778" s="441">
        <v>1500</v>
      </c>
      <c r="AR778" s="440">
        <f>AR780</f>
        <v>1500</v>
      </c>
      <c r="AS778" s="441">
        <f t="shared" si="586"/>
        <v>0</v>
      </c>
      <c r="AT778" s="612">
        <f t="shared" si="586"/>
        <v>15000</v>
      </c>
      <c r="AU778" s="469">
        <f t="shared" si="586"/>
        <v>12000</v>
      </c>
      <c r="AV778" s="636">
        <v>20000</v>
      </c>
      <c r="AW778" s="636">
        <v>20000</v>
      </c>
      <c r="AX778" s="655">
        <f t="shared" si="537"/>
        <v>375</v>
      </c>
      <c r="AY778" s="655">
        <f t="shared" si="572"/>
        <v>1000</v>
      </c>
      <c r="AZ778" s="655">
        <f t="shared" si="539"/>
        <v>80</v>
      </c>
      <c r="BA778" s="655">
        <f t="shared" si="573"/>
        <v>800</v>
      </c>
      <c r="BB778" s="655">
        <f t="shared" si="582"/>
        <v>166.66666666666669</v>
      </c>
      <c r="BC778" s="655">
        <f t="shared" si="582"/>
        <v>100</v>
      </c>
    </row>
    <row r="779" spans="1:55" ht="12" customHeight="1">
      <c r="A779" s="20"/>
      <c r="B779" s="20"/>
      <c r="C779" s="20"/>
      <c r="D779" s="20"/>
      <c r="E779" s="20"/>
      <c r="F779" s="20"/>
      <c r="G779" s="20"/>
      <c r="H779" s="375"/>
      <c r="I779" s="22"/>
      <c r="J779" s="21"/>
      <c r="K779" s="19"/>
      <c r="L779" s="313">
        <v>1</v>
      </c>
      <c r="M779" s="313">
        <v>2</v>
      </c>
      <c r="N779" s="335">
        <v>3</v>
      </c>
      <c r="O779" s="335">
        <v>4</v>
      </c>
      <c r="P779" s="290">
        <v>5</v>
      </c>
      <c r="Q779" s="290">
        <v>6</v>
      </c>
      <c r="R779" s="439"/>
      <c r="S779" s="294">
        <f>__xlfn.XLOOKUP(H779,[2]Izvršenje_proračuna_po_pozicija!$B$2:$B$153,[2]Izvršenje_proračuna_po_pozicija!$E$2:$E$153,0)</f>
        <v>0</v>
      </c>
      <c r="T779" s="294"/>
      <c r="U779" s="294"/>
      <c r="V779" s="474">
        <v>5</v>
      </c>
      <c r="W779" s="474"/>
      <c r="X779" s="539"/>
      <c r="Y779" s="539"/>
      <c r="Z779" s="541" t="b">
        <f t="shared" si="575"/>
        <v>0</v>
      </c>
      <c r="AA779" s="514"/>
      <c r="AB779" s="515">
        <v>7</v>
      </c>
      <c r="AC779" s="515">
        <v>8</v>
      </c>
      <c r="AD779" s="515">
        <v>9</v>
      </c>
      <c r="AE779" s="515">
        <v>10</v>
      </c>
      <c r="AF779" s="515">
        <v>11</v>
      </c>
      <c r="AG779" s="515">
        <v>12</v>
      </c>
      <c r="AH779" s="514"/>
      <c r="AI779" s="539"/>
      <c r="AJ779" s="516"/>
      <c r="AK779" s="516"/>
      <c r="AL779" s="516"/>
      <c r="AM779" s="290"/>
      <c r="AO779" t="b">
        <f t="shared" si="576"/>
        <v>0</v>
      </c>
      <c r="AQ779" s="439"/>
      <c r="AS779" s="439"/>
      <c r="AT779" s="616"/>
      <c r="AU779" s="474"/>
      <c r="AV779" s="632"/>
      <c r="AW779" s="632"/>
      <c r="AX779" s="655" t="str">
        <f t="shared" ref="AX779:AX842" si="587">IF(AND(ISNUMBER(AT779), ISNUMBER(R779), R779&lt;&gt;0), (AT779/R779)*100, "")</f>
        <v/>
      </c>
      <c r="AY779" s="655" t="str">
        <f t="shared" si="572"/>
        <v/>
      </c>
      <c r="AZ779" s="655" t="str">
        <f t="shared" ref="AZ779:AZ842" si="588">IF(AND(ISNUMBER(AU779), ISNUMBER(AT779), AT779&lt;&gt;0), (AU779/AT779)*100, "")</f>
        <v/>
      </c>
      <c r="BA779" s="655" t="str">
        <f t="shared" si="573"/>
        <v/>
      </c>
      <c r="BB779" s="655" t="str">
        <f t="shared" si="582"/>
        <v/>
      </c>
      <c r="BC779" s="655" t="str">
        <f t="shared" si="582"/>
        <v/>
      </c>
    </row>
    <row r="780" spans="1:55" ht="12" customHeight="1">
      <c r="A780" s="56"/>
      <c r="B780" s="175"/>
      <c r="C780" s="175"/>
      <c r="D780" s="175"/>
      <c r="E780" s="175"/>
      <c r="F780" s="175"/>
      <c r="G780" s="175"/>
      <c r="H780" s="397"/>
      <c r="I780" s="176"/>
      <c r="J780" s="116">
        <v>381</v>
      </c>
      <c r="K780" s="60" t="s">
        <v>236</v>
      </c>
      <c r="L780" s="315">
        <f t="shared" ref="L780:AC780" si="589">L781</f>
        <v>48000</v>
      </c>
      <c r="M780" s="315">
        <f t="shared" si="589"/>
        <v>6370.6948039020499</v>
      </c>
      <c r="N780" s="337">
        <f t="shared" si="589"/>
        <v>30000</v>
      </c>
      <c r="O780" s="337">
        <f t="shared" si="589"/>
        <v>3981.6842524387812</v>
      </c>
      <c r="P780" s="292">
        <f t="shared" si="589"/>
        <v>10000</v>
      </c>
      <c r="Q780" s="292">
        <f t="shared" si="589"/>
        <v>10000</v>
      </c>
      <c r="R780" s="441">
        <f t="shared" si="589"/>
        <v>4000</v>
      </c>
      <c r="S780" s="292">
        <f t="shared" si="589"/>
        <v>1500</v>
      </c>
      <c r="T780" s="292"/>
      <c r="U780" s="292"/>
      <c r="V780" s="469">
        <f t="shared" si="589"/>
        <v>13000</v>
      </c>
      <c r="W780" s="469">
        <f t="shared" si="589"/>
        <v>10000</v>
      </c>
      <c r="X780" s="522">
        <f t="shared" si="589"/>
        <v>20000</v>
      </c>
      <c r="Y780" s="522">
        <f t="shared" si="589"/>
        <v>0</v>
      </c>
      <c r="Z780" s="541" t="b">
        <f t="shared" si="575"/>
        <v>1</v>
      </c>
      <c r="AA780" s="522"/>
      <c r="AB780" s="523">
        <f t="shared" si="589"/>
        <v>10000</v>
      </c>
      <c r="AC780" s="523">
        <f t="shared" si="589"/>
        <v>10000</v>
      </c>
      <c r="AD780" s="524">
        <f>O780/M780*100</f>
        <v>62.5</v>
      </c>
      <c r="AE780" s="524">
        <f>P780/O780*100</f>
        <v>251.15000000000003</v>
      </c>
      <c r="AF780" s="524">
        <f>Q780/P780*100</f>
        <v>100</v>
      </c>
      <c r="AG780" s="524">
        <f>AB780/Q780*100</f>
        <v>100</v>
      </c>
      <c r="AH780" s="522"/>
      <c r="AI780" s="522">
        <v>20000</v>
      </c>
      <c r="AJ780" s="516">
        <f>W780/R780*100</f>
        <v>250</v>
      </c>
      <c r="AK780" s="516">
        <f>AT780/W780*100</f>
        <v>150</v>
      </c>
      <c r="AL780" s="516">
        <f>X780/AT780*100</f>
        <v>133.33333333333331</v>
      </c>
      <c r="AM780" s="292"/>
      <c r="AO780" t="b">
        <f t="shared" si="576"/>
        <v>1</v>
      </c>
      <c r="AP780" s="440">
        <f t="shared" ref="AP780:AU780" si="590">AP781</f>
        <v>1500</v>
      </c>
      <c r="AQ780" s="441">
        <v>1500</v>
      </c>
      <c r="AR780" s="440">
        <f>AR781</f>
        <v>1500</v>
      </c>
      <c r="AS780" s="441">
        <f t="shared" si="590"/>
        <v>0</v>
      </c>
      <c r="AT780" s="612">
        <f>AT781</f>
        <v>15000</v>
      </c>
      <c r="AU780" s="469">
        <f t="shared" si="590"/>
        <v>12000</v>
      </c>
      <c r="AV780" s="636">
        <v>20000</v>
      </c>
      <c r="AW780" s="636">
        <v>20000</v>
      </c>
      <c r="AX780" s="655">
        <f t="shared" si="587"/>
        <v>375</v>
      </c>
      <c r="AY780" s="655" t="str">
        <f t="shared" si="572"/>
        <v/>
      </c>
      <c r="AZ780" s="655">
        <f t="shared" si="588"/>
        <v>80</v>
      </c>
      <c r="BA780" s="655" t="str">
        <f t="shared" si="573"/>
        <v/>
      </c>
      <c r="BB780" s="655">
        <f t="shared" si="582"/>
        <v>166.66666666666669</v>
      </c>
      <c r="BC780" s="655">
        <f t="shared" si="582"/>
        <v>100</v>
      </c>
    </row>
    <row r="781" spans="1:55" ht="12" customHeight="1">
      <c r="A781" s="66"/>
      <c r="B781" s="66"/>
      <c r="C781" s="66"/>
      <c r="D781" s="66"/>
      <c r="E781" s="66"/>
      <c r="F781" s="66"/>
      <c r="G781" s="66"/>
      <c r="H781" s="196"/>
      <c r="I781" s="132"/>
      <c r="J781" s="71">
        <v>3811</v>
      </c>
      <c r="K781" s="40" t="s">
        <v>145</v>
      </c>
      <c r="L781" s="315">
        <v>48000</v>
      </c>
      <c r="M781" s="315">
        <f>48000/7.5345</f>
        <v>6370.6948039020499</v>
      </c>
      <c r="N781" s="337">
        <v>30000</v>
      </c>
      <c r="O781" s="337">
        <f>N781/7.5345</f>
        <v>3981.6842524387812</v>
      </c>
      <c r="P781" s="292">
        <v>10000</v>
      </c>
      <c r="Q781" s="292">
        <v>10000</v>
      </c>
      <c r="R781" s="441">
        <f>R782+R783+R784+R785+R786</f>
        <v>4000</v>
      </c>
      <c r="S781" s="292">
        <f>S782+S783+S784+S785+S786</f>
        <v>1500</v>
      </c>
      <c r="T781" s="292"/>
      <c r="U781" s="292"/>
      <c r="V781" s="469">
        <f>V782+V783+V784+V785+V786</f>
        <v>13000</v>
      </c>
      <c r="W781" s="469">
        <f>W782+W783+W784+W785+W786</f>
        <v>10000</v>
      </c>
      <c r="X781" s="522">
        <f>X782+X783+X784+X785+X786</f>
        <v>20000</v>
      </c>
      <c r="Y781" s="522">
        <f>Y782+Y783+Y784+Y785+Y786</f>
        <v>0</v>
      </c>
      <c r="Z781" s="541" t="b">
        <f t="shared" si="575"/>
        <v>1</v>
      </c>
      <c r="AA781" s="522"/>
      <c r="AB781" s="523">
        <v>10000</v>
      </c>
      <c r="AC781" s="523">
        <v>10000</v>
      </c>
      <c r="AD781" s="524">
        <f>O781/M781*100</f>
        <v>62.5</v>
      </c>
      <c r="AE781" s="524">
        <f>P781/O781*100</f>
        <v>251.15000000000003</v>
      </c>
      <c r="AF781" s="524">
        <f>Q781/P781*100</f>
        <v>100</v>
      </c>
      <c r="AG781" s="524">
        <f>AB781/Q781*100</f>
        <v>100</v>
      </c>
      <c r="AH781" s="522"/>
      <c r="AI781" s="522">
        <v>20000</v>
      </c>
      <c r="AJ781" s="516">
        <f>W781/R781*100</f>
        <v>250</v>
      </c>
      <c r="AK781" s="516">
        <f>AT781/W781*100</f>
        <v>150</v>
      </c>
      <c r="AL781" s="516">
        <f>X781/AT781*100</f>
        <v>133.33333333333331</v>
      </c>
      <c r="AM781" s="292"/>
      <c r="AO781" t="b">
        <f t="shared" si="576"/>
        <v>1</v>
      </c>
      <c r="AP781" s="440">
        <f t="shared" ref="AP781:AU781" si="591">AP782+AP783+AP784+AP785+AP786</f>
        <v>1500</v>
      </c>
      <c r="AQ781" s="441">
        <v>1500</v>
      </c>
      <c r="AR781" s="440">
        <f>AR782+AR783+AR784+AR785+AR786</f>
        <v>1500</v>
      </c>
      <c r="AS781" s="441">
        <f t="shared" si="591"/>
        <v>0</v>
      </c>
      <c r="AT781" s="612">
        <f t="shared" si="591"/>
        <v>15000</v>
      </c>
      <c r="AU781" s="469">
        <f t="shared" si="591"/>
        <v>12000</v>
      </c>
      <c r="AV781" s="636">
        <v>20000</v>
      </c>
      <c r="AW781" s="636">
        <v>20000</v>
      </c>
      <c r="AX781" s="655">
        <f t="shared" si="587"/>
        <v>375</v>
      </c>
      <c r="AY781" s="655" t="str">
        <f t="shared" si="572"/>
        <v/>
      </c>
      <c r="AZ781" s="655">
        <f t="shared" si="588"/>
        <v>80</v>
      </c>
      <c r="BA781" s="655" t="str">
        <f t="shared" si="573"/>
        <v/>
      </c>
      <c r="BB781" s="655">
        <f t="shared" si="582"/>
        <v>166.66666666666669</v>
      </c>
      <c r="BC781" s="655">
        <f t="shared" si="582"/>
        <v>100</v>
      </c>
    </row>
    <row r="782" spans="1:55" ht="12" customHeight="1">
      <c r="A782" s="36"/>
      <c r="B782" s="36"/>
      <c r="C782" s="36"/>
      <c r="D782" s="36"/>
      <c r="E782" s="36"/>
      <c r="F782" s="36"/>
      <c r="G782" s="36"/>
      <c r="H782" s="204">
        <v>135</v>
      </c>
      <c r="I782" s="132">
        <v>760</v>
      </c>
      <c r="J782" s="71">
        <v>3811</v>
      </c>
      <c r="K782" s="40" t="s">
        <v>705</v>
      </c>
      <c r="L782" s="309">
        <v>0</v>
      </c>
      <c r="M782" s="309">
        <v>0</v>
      </c>
      <c r="N782" s="339">
        <v>0</v>
      </c>
      <c r="O782" s="339">
        <v>0</v>
      </c>
      <c r="P782" s="294">
        <v>0</v>
      </c>
      <c r="Q782" s="294">
        <v>0</v>
      </c>
      <c r="R782" s="443">
        <v>0</v>
      </c>
      <c r="S782" s="294">
        <f>__xlfn.XLOOKUP(H782,[2]Izvršenje_proračuna_po_pozicija!$B$2:$B$153,[2]Izvršenje_proračuna_po_pozicija!$E$2:$E$153,0)</f>
        <v>0</v>
      </c>
      <c r="T782" s="294"/>
      <c r="U782" s="294"/>
      <c r="V782" s="478">
        <v>0</v>
      </c>
      <c r="W782" s="478"/>
      <c r="X782" s="544"/>
      <c r="Y782" s="544"/>
      <c r="Z782" s="541" t="b">
        <f t="shared" si="575"/>
        <v>0</v>
      </c>
      <c r="AA782" s="527"/>
      <c r="AB782" s="528">
        <v>0</v>
      </c>
      <c r="AC782" s="528">
        <v>0</v>
      </c>
      <c r="AD782" s="524"/>
      <c r="AE782" s="524"/>
      <c r="AF782" s="524"/>
      <c r="AG782" s="524"/>
      <c r="AH782" s="527"/>
      <c r="AI782" s="544"/>
      <c r="AJ782" s="516"/>
      <c r="AK782" s="516"/>
      <c r="AL782" s="516"/>
      <c r="AM782" s="294"/>
      <c r="AO782" t="b">
        <f t="shared" si="576"/>
        <v>0</v>
      </c>
      <c r="AQ782" s="443"/>
      <c r="AS782" s="443">
        <f>__xlfn.XLOOKUP(K782,[1]Izvršenje_proračuna_po_pozicija!$C$25:$C$149,[1]Izvršenje_proračuna_po_pozicija!$E$25:$E$149,0)</f>
        <v>0</v>
      </c>
      <c r="AT782" s="617"/>
      <c r="AU782" s="478"/>
      <c r="AV782" s="638"/>
      <c r="AW782" s="638"/>
      <c r="AX782" s="655" t="str">
        <f t="shared" si="587"/>
        <v/>
      </c>
      <c r="AY782" s="655" t="str">
        <f t="shared" si="572"/>
        <v/>
      </c>
      <c r="AZ782" s="655" t="str">
        <f t="shared" si="588"/>
        <v/>
      </c>
      <c r="BA782" s="655" t="str">
        <f t="shared" si="573"/>
        <v/>
      </c>
      <c r="BB782" s="655" t="str">
        <f t="shared" si="582"/>
        <v/>
      </c>
      <c r="BC782" s="655" t="str">
        <f t="shared" si="582"/>
        <v/>
      </c>
    </row>
    <row r="783" spans="1:55" ht="12" customHeight="1">
      <c r="A783" s="36"/>
      <c r="B783" s="36"/>
      <c r="C783" s="36"/>
      <c r="D783" s="36"/>
      <c r="E783" s="36"/>
      <c r="F783" s="36"/>
      <c r="G783" s="36"/>
      <c r="H783" s="204" t="s">
        <v>737</v>
      </c>
      <c r="I783" s="132">
        <v>760</v>
      </c>
      <c r="J783" s="71">
        <v>3811</v>
      </c>
      <c r="K783" s="40" t="s">
        <v>788</v>
      </c>
      <c r="L783" s="309">
        <v>0</v>
      </c>
      <c r="M783" s="309">
        <v>0</v>
      </c>
      <c r="N783" s="339">
        <v>0</v>
      </c>
      <c r="O783" s="339">
        <f>30000/7.5345</f>
        <v>3981.6842524387812</v>
      </c>
      <c r="P783" s="294">
        <v>4000</v>
      </c>
      <c r="Q783" s="294">
        <v>4000</v>
      </c>
      <c r="R783" s="443"/>
      <c r="S783" s="294">
        <f>__xlfn.XLOOKUP(H783,[2]Izvršenje_proračuna_po_pozicija!$B$2:$B$153,[2]Izvršenje_proračuna_po_pozicija!$E$2:$E$153,0)</f>
        <v>1500</v>
      </c>
      <c r="T783" s="294"/>
      <c r="U783" s="294"/>
      <c r="V783" s="478">
        <v>5000</v>
      </c>
      <c r="W783" s="478">
        <v>2000</v>
      </c>
      <c r="X783" s="544">
        <v>5000</v>
      </c>
      <c r="Y783" s="544"/>
      <c r="Z783" s="541" t="b">
        <f t="shared" si="575"/>
        <v>0</v>
      </c>
      <c r="AA783" s="527"/>
      <c r="AB783" s="528"/>
      <c r="AC783" s="528"/>
      <c r="AD783" s="524"/>
      <c r="AE783" s="524"/>
      <c r="AF783" s="524"/>
      <c r="AG783" s="524"/>
      <c r="AH783" s="527"/>
      <c r="AI783" s="544">
        <v>5000</v>
      </c>
      <c r="AJ783" s="516"/>
      <c r="AK783" s="516">
        <f>AT783/W783*100</f>
        <v>150</v>
      </c>
      <c r="AL783" s="516">
        <f>X783/AT783*100</f>
        <v>166.66666666666669</v>
      </c>
      <c r="AM783" s="294"/>
      <c r="AO783" t="b">
        <f t="shared" si="576"/>
        <v>0</v>
      </c>
      <c r="AP783" s="493">
        <v>1500</v>
      </c>
      <c r="AQ783" s="443">
        <v>1500</v>
      </c>
      <c r="AR783" s="493">
        <v>1500</v>
      </c>
      <c r="AS783" s="443">
        <f>__xlfn.XLOOKUP(K783,[1]Izvršenje_proračuna_po_pozicija!$C$25:$C$149,[1]Izvršenje_proračuna_po_pozicija!$E$25:$E$149,0)</f>
        <v>0</v>
      </c>
      <c r="AT783" s="617">
        <v>3000</v>
      </c>
      <c r="AU783" s="478"/>
      <c r="AV783" s="638">
        <v>5000</v>
      </c>
      <c r="AW783" s="638">
        <v>5000</v>
      </c>
      <c r="AX783" s="655" t="str">
        <f t="shared" si="587"/>
        <v/>
      </c>
      <c r="AY783" s="655">
        <f t="shared" si="572"/>
        <v>1.5285896711973046</v>
      </c>
      <c r="AZ783" s="655" t="str">
        <f t="shared" si="588"/>
        <v/>
      </c>
      <c r="BA783" s="655" t="str">
        <f t="shared" si="573"/>
        <v/>
      </c>
      <c r="BB783" s="655" t="str">
        <f t="shared" si="582"/>
        <v/>
      </c>
      <c r="BC783" s="655">
        <f t="shared" si="582"/>
        <v>100</v>
      </c>
    </row>
    <row r="784" spans="1:55" ht="12" customHeight="1">
      <c r="A784" s="36"/>
      <c r="B784" s="36"/>
      <c r="C784" s="36"/>
      <c r="D784" s="36"/>
      <c r="E784" s="36"/>
      <c r="F784" s="36"/>
      <c r="G784" s="36"/>
      <c r="H784" s="204">
        <v>139</v>
      </c>
      <c r="I784" s="132">
        <v>760</v>
      </c>
      <c r="J784" s="71">
        <v>3811</v>
      </c>
      <c r="K784" s="40" t="s">
        <v>334</v>
      </c>
      <c r="L784" s="309">
        <v>35000</v>
      </c>
      <c r="M784" s="309">
        <f>35000/7.5345</f>
        <v>4645.298294511912</v>
      </c>
      <c r="N784" s="339"/>
      <c r="O784" s="339"/>
      <c r="P784" s="294"/>
      <c r="Q784" s="294"/>
      <c r="R784" s="443">
        <v>4000</v>
      </c>
      <c r="S784" s="294">
        <f>__xlfn.XLOOKUP(H784,[2]Izvršenje_proračuna_po_pozicija!$B$2:$B$153,[2]Izvršenje_proračuna_po_pozicija!$E$2:$E$153,0)</f>
        <v>0</v>
      </c>
      <c r="T784" s="294"/>
      <c r="U784" s="294"/>
      <c r="V784" s="478"/>
      <c r="W784" s="478"/>
      <c r="X784" s="544"/>
      <c r="Y784" s="544"/>
      <c r="Z784" s="541" t="b">
        <f t="shared" si="575"/>
        <v>0</v>
      </c>
      <c r="AA784" s="527"/>
      <c r="AB784" s="528"/>
      <c r="AC784" s="528"/>
      <c r="AD784" s="524">
        <f>O784/M784*100</f>
        <v>0</v>
      </c>
      <c r="AE784" s="524"/>
      <c r="AF784" s="524"/>
      <c r="AG784" s="524"/>
      <c r="AH784" s="527"/>
      <c r="AI784" s="544"/>
      <c r="AJ784" s="516">
        <f>W784/R784*100</f>
        <v>0</v>
      </c>
      <c r="AK784" s="516"/>
      <c r="AL784" s="516"/>
      <c r="AM784" s="294"/>
      <c r="AO784" t="b">
        <f t="shared" si="576"/>
        <v>0</v>
      </c>
      <c r="AQ784" s="443"/>
      <c r="AS784" s="443">
        <f>__xlfn.XLOOKUP(K784,[1]Izvršenje_proračuna_po_pozicija!$C$25:$C$149,[1]Izvršenje_proračuna_po_pozicija!$E$25:$E$149,0)</f>
        <v>0</v>
      </c>
      <c r="AT784" s="617"/>
      <c r="AU784" s="478"/>
      <c r="AV784" s="638"/>
      <c r="AW784" s="638"/>
      <c r="AX784" s="655" t="str">
        <f t="shared" si="587"/>
        <v/>
      </c>
      <c r="AY784" s="655" t="str">
        <f t="shared" si="572"/>
        <v/>
      </c>
      <c r="AZ784" s="655" t="str">
        <f t="shared" si="588"/>
        <v/>
      </c>
      <c r="BA784" s="655" t="str">
        <f t="shared" si="573"/>
        <v/>
      </c>
      <c r="BB784" s="655" t="str">
        <f t="shared" si="582"/>
        <v/>
      </c>
      <c r="BC784" s="655" t="str">
        <f t="shared" si="582"/>
        <v/>
      </c>
    </row>
    <row r="785" spans="1:55" ht="12" customHeight="1">
      <c r="A785" s="36"/>
      <c r="B785" s="36"/>
      <c r="C785" s="36"/>
      <c r="D785" s="36"/>
      <c r="E785" s="36"/>
      <c r="F785" s="36"/>
      <c r="G785" s="36"/>
      <c r="H785" s="204" t="s">
        <v>335</v>
      </c>
      <c r="I785" s="132">
        <v>760</v>
      </c>
      <c r="J785" s="71">
        <v>3811</v>
      </c>
      <c r="K785" s="40" t="s">
        <v>336</v>
      </c>
      <c r="L785" s="309">
        <v>13000</v>
      </c>
      <c r="M785" s="309">
        <f>13000/7.5345</f>
        <v>1725.3965093901386</v>
      </c>
      <c r="N785" s="339"/>
      <c r="O785" s="339"/>
      <c r="P785" s="294"/>
      <c r="Q785" s="294"/>
      <c r="R785" s="443"/>
      <c r="S785" s="294">
        <f>__xlfn.XLOOKUP(H785,[2]Izvršenje_proračuna_po_pozicija!$B$2:$B$153,[2]Izvršenje_proračuna_po_pozicija!$E$2:$E$153,0)</f>
        <v>0</v>
      </c>
      <c r="T785" s="294"/>
      <c r="U785" s="294"/>
      <c r="V785" s="478">
        <v>8000</v>
      </c>
      <c r="W785" s="478">
        <v>8000</v>
      </c>
      <c r="X785" s="544">
        <v>15000</v>
      </c>
      <c r="Y785" s="544"/>
      <c r="Z785" s="541" t="b">
        <f t="shared" si="575"/>
        <v>0</v>
      </c>
      <c r="AA785" s="527"/>
      <c r="AB785" s="528"/>
      <c r="AC785" s="528"/>
      <c r="AD785" s="524">
        <f>O785/M785*100</f>
        <v>0</v>
      </c>
      <c r="AE785" s="524"/>
      <c r="AF785" s="524"/>
      <c r="AG785" s="524"/>
      <c r="AH785" s="527"/>
      <c r="AI785" s="544">
        <v>15000</v>
      </c>
      <c r="AJ785" s="516"/>
      <c r="AK785" s="516">
        <f>AT785/W785*100</f>
        <v>150</v>
      </c>
      <c r="AL785" s="516">
        <f>X785/AT785*100</f>
        <v>125</v>
      </c>
      <c r="AM785" s="294"/>
      <c r="AO785" t="b">
        <f t="shared" si="576"/>
        <v>0</v>
      </c>
      <c r="AP785" s="493"/>
      <c r="AQ785" s="443"/>
      <c r="AR785" s="493"/>
      <c r="AS785" s="443">
        <f>__xlfn.XLOOKUP(K785,[1]Izvršenje_proračuna_po_pozicija!$C$25:$C$149,[1]Izvršenje_proračuna_po_pozicija!$E$25:$E$149,0)</f>
        <v>0</v>
      </c>
      <c r="AT785" s="617">
        <v>12000</v>
      </c>
      <c r="AU785" s="478">
        <v>12000</v>
      </c>
      <c r="AV785" s="638">
        <v>15000</v>
      </c>
      <c r="AW785" s="638">
        <v>15000</v>
      </c>
      <c r="AX785" s="655" t="str">
        <f t="shared" si="587"/>
        <v/>
      </c>
      <c r="AY785" s="655" t="str">
        <f t="shared" si="572"/>
        <v/>
      </c>
      <c r="AZ785" s="655">
        <f t="shared" si="588"/>
        <v>100</v>
      </c>
      <c r="BA785" s="655" t="str">
        <f t="shared" si="573"/>
        <v/>
      </c>
      <c r="BB785" s="655">
        <f t="shared" si="582"/>
        <v>125</v>
      </c>
      <c r="BC785" s="655">
        <f t="shared" si="582"/>
        <v>100</v>
      </c>
    </row>
    <row r="786" spans="1:55" ht="12" customHeight="1">
      <c r="A786" s="66"/>
      <c r="B786" s="66"/>
      <c r="C786" s="66"/>
      <c r="D786" s="66"/>
      <c r="E786" s="66"/>
      <c r="F786" s="66"/>
      <c r="G786" s="66"/>
      <c r="H786" s="196" t="s">
        <v>625</v>
      </c>
      <c r="I786" s="132">
        <v>760</v>
      </c>
      <c r="J786" s="71">
        <v>3811</v>
      </c>
      <c r="K786" s="40" t="s">
        <v>626</v>
      </c>
      <c r="L786" s="316"/>
      <c r="M786" s="316"/>
      <c r="N786" s="338"/>
      <c r="O786" s="338"/>
      <c r="P786" s="293"/>
      <c r="Q786" s="293"/>
      <c r="R786" s="442"/>
      <c r="S786" s="294">
        <f>__xlfn.XLOOKUP(H786,[2]Izvršenje_proračuna_po_pozicija!$B$2:$B$153,[2]Izvršenje_proračuna_po_pozicija!$E$2:$E$153,0)</f>
        <v>0</v>
      </c>
      <c r="T786" s="294"/>
      <c r="U786" s="294"/>
      <c r="V786" s="475"/>
      <c r="W786" s="475"/>
      <c r="X786" s="540"/>
      <c r="Y786" s="540"/>
      <c r="Z786" s="541" t="b">
        <f t="shared" si="575"/>
        <v>0</v>
      </c>
      <c r="AA786" s="525"/>
      <c r="AB786" s="526"/>
      <c r="AC786" s="526"/>
      <c r="AD786" s="524"/>
      <c r="AE786" s="524"/>
      <c r="AF786" s="524"/>
      <c r="AG786" s="524"/>
      <c r="AH786" s="525"/>
      <c r="AI786" s="540"/>
      <c r="AJ786" s="516"/>
      <c r="AK786" s="516"/>
      <c r="AL786" s="516"/>
      <c r="AM786" s="293"/>
      <c r="AO786" t="b">
        <f t="shared" si="576"/>
        <v>0</v>
      </c>
      <c r="AQ786" s="442"/>
      <c r="AS786" s="442">
        <f>__xlfn.XLOOKUP(K786,[1]Izvršenje_proračuna_po_pozicija!$C$25:$C$149,[1]Izvršenje_proračuna_po_pozicija!$E$25:$E$149,0)</f>
        <v>0</v>
      </c>
      <c r="AT786" s="617"/>
      <c r="AU786" s="475"/>
      <c r="AV786" s="637"/>
      <c r="AW786" s="637"/>
      <c r="AX786" s="655" t="str">
        <f t="shared" si="587"/>
        <v/>
      </c>
      <c r="AY786" s="655" t="str">
        <f t="shared" si="572"/>
        <v/>
      </c>
      <c r="AZ786" s="655" t="str">
        <f t="shared" si="588"/>
        <v/>
      </c>
      <c r="BA786" s="655" t="str">
        <f t="shared" si="573"/>
        <v/>
      </c>
      <c r="BB786" s="655" t="str">
        <f t="shared" si="582"/>
        <v/>
      </c>
      <c r="BC786" s="655" t="str">
        <f t="shared" si="582"/>
        <v/>
      </c>
    </row>
    <row r="787" spans="1:55" ht="12" customHeight="1">
      <c r="A787" s="20"/>
      <c r="B787" s="20"/>
      <c r="C787" s="20"/>
      <c r="D787" s="20"/>
      <c r="E787" s="20"/>
      <c r="F787" s="20"/>
      <c r="G787" s="20"/>
      <c r="H787" s="375"/>
      <c r="I787" s="22"/>
      <c r="J787" s="21"/>
      <c r="K787" s="94"/>
      <c r="L787" s="313"/>
      <c r="M787" s="313"/>
      <c r="N787" s="335"/>
      <c r="O787" s="335"/>
      <c r="P787" s="290"/>
      <c r="Q787" s="290"/>
      <c r="R787" s="439"/>
      <c r="S787" s="294">
        <f>__xlfn.XLOOKUP(H787,[2]Izvršenje_proračuna_po_pozicija!$B$2:$B$153,[2]Izvršenje_proračuna_po_pozicija!$E$2:$E$153,0)</f>
        <v>0</v>
      </c>
      <c r="T787" s="294"/>
      <c r="U787" s="294"/>
      <c r="V787" s="474"/>
      <c r="W787" s="474"/>
      <c r="X787" s="539"/>
      <c r="Y787" s="539"/>
      <c r="Z787" s="541" t="b">
        <f t="shared" si="575"/>
        <v>0</v>
      </c>
      <c r="AA787" s="514"/>
      <c r="AB787" s="515"/>
      <c r="AC787" s="515"/>
      <c r="AD787" s="524"/>
      <c r="AE787" s="524"/>
      <c r="AF787" s="524"/>
      <c r="AG787" s="524"/>
      <c r="AH787" s="514"/>
      <c r="AI787" s="539"/>
      <c r="AJ787" s="516"/>
      <c r="AK787" s="516"/>
      <c r="AL787" s="516"/>
      <c r="AM787" s="290"/>
      <c r="AO787" t="b">
        <f t="shared" si="576"/>
        <v>0</v>
      </c>
      <c r="AQ787" s="439"/>
      <c r="AS787" s="439">
        <f>__xlfn.XLOOKUP(K787,[1]Izvršenje_proračuna_po_pozicija!$C$25:$C$149,[1]Izvršenje_proračuna_po_pozicija!$E$25:$E$149,0)</f>
        <v>0</v>
      </c>
      <c r="AT787" s="616"/>
      <c r="AU787" s="474"/>
      <c r="AV787" s="632"/>
      <c r="AW787" s="632"/>
      <c r="AX787" s="655" t="str">
        <f t="shared" si="587"/>
        <v/>
      </c>
      <c r="AY787" s="655" t="str">
        <f t="shared" si="572"/>
        <v/>
      </c>
      <c r="AZ787" s="655" t="str">
        <f t="shared" si="588"/>
        <v/>
      </c>
      <c r="BA787" s="655" t="str">
        <f t="shared" si="573"/>
        <v/>
      </c>
      <c r="BB787" s="655" t="str">
        <f t="shared" si="582"/>
        <v/>
      </c>
      <c r="BC787" s="655" t="str">
        <f t="shared" si="582"/>
        <v/>
      </c>
    </row>
    <row r="788" spans="1:55" ht="12" customHeight="1">
      <c r="A788" s="142"/>
      <c r="B788" s="142"/>
      <c r="C788" s="142"/>
      <c r="D788" s="142"/>
      <c r="E788" s="142"/>
      <c r="F788" s="142"/>
      <c r="G788" s="142"/>
      <c r="H788" s="391"/>
      <c r="I788" s="180" t="s">
        <v>493</v>
      </c>
      <c r="J788" s="181"/>
      <c r="K788" s="182"/>
      <c r="L788" s="320">
        <f t="shared" ref="L788:S788" si="592">L789+L796+L812</f>
        <v>901464</v>
      </c>
      <c r="M788" s="320">
        <f t="shared" si="592"/>
        <v>119644.83376468245</v>
      </c>
      <c r="N788" s="344">
        <f t="shared" si="592"/>
        <v>623282</v>
      </c>
      <c r="O788" s="344">
        <f t="shared" si="592"/>
        <v>82723.73747428495</v>
      </c>
      <c r="P788" s="299">
        <f t="shared" si="592"/>
        <v>138000</v>
      </c>
      <c r="Q788" s="299">
        <f t="shared" si="592"/>
        <v>166300</v>
      </c>
      <c r="R788" s="447">
        <f t="shared" si="592"/>
        <v>91076</v>
      </c>
      <c r="S788" s="299">
        <f t="shared" si="592"/>
        <v>96259.34</v>
      </c>
      <c r="T788" s="299"/>
      <c r="U788" s="299"/>
      <c r="V788" s="477">
        <f>V789+V796+V812</f>
        <v>127000</v>
      </c>
      <c r="W788" s="477">
        <f>W789+W796+W812</f>
        <v>253000</v>
      </c>
      <c r="X788" s="542">
        <f>X789+X796+X812</f>
        <v>95000</v>
      </c>
      <c r="Y788" s="542">
        <f>Y789+Y796+Y812</f>
        <v>0</v>
      </c>
      <c r="Z788" s="541" t="b">
        <f t="shared" si="575"/>
        <v>1</v>
      </c>
      <c r="AA788" s="542"/>
      <c r="AB788" s="543">
        <f>AB789+AB796+AB812</f>
        <v>147000</v>
      </c>
      <c r="AC788" s="543">
        <f>AC789+AC796+AC812</f>
        <v>147000</v>
      </c>
      <c r="AD788" s="524">
        <f>O788/M788*100</f>
        <v>69.141086055571819</v>
      </c>
      <c r="AE788" s="524">
        <f>P788/O788*100</f>
        <v>166.82031568375152</v>
      </c>
      <c r="AF788" s="524">
        <f>Q788/P788*100</f>
        <v>120.50724637681158</v>
      </c>
      <c r="AG788" s="524">
        <f>AB788/Q788*100</f>
        <v>88.394467829224283</v>
      </c>
      <c r="AH788" s="542"/>
      <c r="AI788" s="542">
        <v>95000</v>
      </c>
      <c r="AJ788" s="516">
        <f>W788/R788*100</f>
        <v>277.78997760112435</v>
      </c>
      <c r="AK788" s="516">
        <f>AT788/W788*100</f>
        <v>40.316205533596836</v>
      </c>
      <c r="AL788" s="516">
        <f>X788/AT788*100</f>
        <v>93.137254901960787</v>
      </c>
      <c r="AM788" s="299"/>
      <c r="AO788" t="b">
        <f t="shared" si="576"/>
        <v>1</v>
      </c>
      <c r="AP788" s="503">
        <f t="shared" ref="AP788:AU788" si="593">AP789+AP796+AP812</f>
        <v>96259.34</v>
      </c>
      <c r="AQ788" s="447">
        <v>196259.34</v>
      </c>
      <c r="AR788" s="503">
        <f>AR789+AR796+AR812</f>
        <v>96259.34</v>
      </c>
      <c r="AS788" s="447">
        <f t="shared" si="593"/>
        <v>50618.319999999992</v>
      </c>
      <c r="AT788" s="611">
        <f t="shared" si="593"/>
        <v>102000</v>
      </c>
      <c r="AU788" s="477">
        <f t="shared" si="593"/>
        <v>297000</v>
      </c>
      <c r="AV788" s="643">
        <v>95000</v>
      </c>
      <c r="AW788" s="643">
        <v>95000</v>
      </c>
      <c r="AX788" s="655">
        <f t="shared" si="587"/>
        <v>111.99437832140191</v>
      </c>
      <c r="AY788" s="655">
        <f t="shared" si="572"/>
        <v>261.14112527247005</v>
      </c>
      <c r="AZ788" s="655">
        <f t="shared" si="588"/>
        <v>291.1764705882353</v>
      </c>
      <c r="BA788" s="655">
        <f t="shared" si="573"/>
        <v>760.38151182278045</v>
      </c>
      <c r="BB788" s="655">
        <f t="shared" si="582"/>
        <v>31.986531986531986</v>
      </c>
      <c r="BC788" s="655">
        <f t="shared" si="582"/>
        <v>100</v>
      </c>
    </row>
    <row r="789" spans="1:55" ht="12" customHeight="1">
      <c r="A789" s="212" t="s">
        <v>474</v>
      </c>
      <c r="B789" s="130"/>
      <c r="C789" s="130"/>
      <c r="D789" s="130"/>
      <c r="E789" s="130"/>
      <c r="F789" s="130"/>
      <c r="G789" s="130"/>
      <c r="H789" s="383"/>
      <c r="I789" s="170" t="s">
        <v>548</v>
      </c>
      <c r="J789" s="171"/>
      <c r="K789" s="45"/>
      <c r="L789" s="315">
        <f t="shared" ref="L789:S789" si="594">L791</f>
        <v>420464</v>
      </c>
      <c r="M789" s="315">
        <f t="shared" si="594"/>
        <v>55805.162917247326</v>
      </c>
      <c r="N789" s="337">
        <f t="shared" si="594"/>
        <v>288282</v>
      </c>
      <c r="O789" s="337">
        <f t="shared" si="594"/>
        <v>38261.596655385227</v>
      </c>
      <c r="P789" s="292">
        <f t="shared" si="594"/>
        <v>26000</v>
      </c>
      <c r="Q789" s="292">
        <f t="shared" si="594"/>
        <v>39000</v>
      </c>
      <c r="R789" s="441">
        <f t="shared" si="594"/>
        <v>38876</v>
      </c>
      <c r="S789" s="292">
        <f t="shared" si="594"/>
        <v>39059.339999999997</v>
      </c>
      <c r="T789" s="292"/>
      <c r="U789" s="292"/>
      <c r="V789" s="469">
        <f>V791</f>
        <v>40000</v>
      </c>
      <c r="W789" s="469">
        <f>W791</f>
        <v>40000</v>
      </c>
      <c r="X789" s="522">
        <f>X791</f>
        <v>0</v>
      </c>
      <c r="Y789" s="522">
        <f>Y791</f>
        <v>0</v>
      </c>
      <c r="Z789" s="541" t="b">
        <f t="shared" si="575"/>
        <v>1</v>
      </c>
      <c r="AA789" s="522"/>
      <c r="AB789" s="523">
        <f>AB791</f>
        <v>35000</v>
      </c>
      <c r="AC789" s="523">
        <f>AC791</f>
        <v>35000</v>
      </c>
      <c r="AD789" s="524">
        <f>O789/M789*100</f>
        <v>68.562825830511059</v>
      </c>
      <c r="AE789" s="524">
        <f>P789/O789*100</f>
        <v>67.953254105355171</v>
      </c>
      <c r="AF789" s="524">
        <f>Q789/P789*100</f>
        <v>150</v>
      </c>
      <c r="AG789" s="524">
        <f>AB789/Q789*100</f>
        <v>89.743589743589752</v>
      </c>
      <c r="AH789" s="522"/>
      <c r="AI789" s="522">
        <v>0</v>
      </c>
      <c r="AJ789" s="516">
        <f>W789/R789*100</f>
        <v>102.89124395513942</v>
      </c>
      <c r="AK789" s="516">
        <f>AT789/W789*100</f>
        <v>0</v>
      </c>
      <c r="AL789" s="516"/>
      <c r="AM789" s="292"/>
      <c r="AO789" t="b">
        <f t="shared" si="576"/>
        <v>1</v>
      </c>
      <c r="AP789" s="440">
        <f>AP791</f>
        <v>39059.339999999997</v>
      </c>
      <c r="AQ789" s="441">
        <v>39059.339999999997</v>
      </c>
      <c r="AR789" s="440">
        <f>AR791</f>
        <v>39059.339999999997</v>
      </c>
      <c r="AS789" s="441">
        <f>AS791</f>
        <v>9103.1299999999992</v>
      </c>
      <c r="AT789" s="612">
        <f>AT791</f>
        <v>0</v>
      </c>
      <c r="AU789" s="469">
        <f>AU791</f>
        <v>40000</v>
      </c>
      <c r="AV789" s="636">
        <v>0</v>
      </c>
      <c r="AW789" s="636">
        <v>0</v>
      </c>
      <c r="AX789" s="655">
        <f t="shared" si="587"/>
        <v>0</v>
      </c>
      <c r="AY789" s="655">
        <f t="shared" si="572"/>
        <v>0</v>
      </c>
      <c r="AZ789" s="655" t="str">
        <f t="shared" si="588"/>
        <v/>
      </c>
      <c r="BA789" s="655">
        <f t="shared" si="573"/>
        <v>102.40828442057651</v>
      </c>
      <c r="BB789" s="655">
        <f t="shared" si="582"/>
        <v>0</v>
      </c>
      <c r="BC789" s="655" t="str">
        <f t="shared" si="582"/>
        <v/>
      </c>
    </row>
    <row r="790" spans="1:55" ht="12" customHeight="1">
      <c r="A790" s="20"/>
      <c r="B790" s="20"/>
      <c r="C790" s="20"/>
      <c r="D790" s="20"/>
      <c r="E790" s="20"/>
      <c r="F790" s="20"/>
      <c r="G790" s="20"/>
      <c r="H790" s="375"/>
      <c r="I790" s="22"/>
      <c r="J790" s="21"/>
      <c r="K790" s="19"/>
      <c r="L790" s="313"/>
      <c r="M790" s="313"/>
      <c r="N790" s="335"/>
      <c r="O790" s="335"/>
      <c r="P790" s="290"/>
      <c r="Q790" s="290"/>
      <c r="R790" s="439"/>
      <c r="S790" s="294">
        <f>__xlfn.XLOOKUP(H790,[2]Izvršenje_proračuna_po_pozicija!$B$2:$B$153,[2]Izvršenje_proračuna_po_pozicija!$E$2:$E$153,0)</f>
        <v>0</v>
      </c>
      <c r="T790" s="294"/>
      <c r="U790" s="294"/>
      <c r="V790" s="474"/>
      <c r="W790" s="474"/>
      <c r="X790" s="539"/>
      <c r="Y790" s="539"/>
      <c r="Z790" s="541" t="b">
        <f t="shared" si="575"/>
        <v>0</v>
      </c>
      <c r="AA790" s="514"/>
      <c r="AB790" s="515"/>
      <c r="AC790" s="515"/>
      <c r="AD790" s="524"/>
      <c r="AE790" s="524"/>
      <c r="AF790" s="524"/>
      <c r="AG790" s="524"/>
      <c r="AH790" s="514"/>
      <c r="AI790" s="539"/>
      <c r="AJ790" s="516"/>
      <c r="AK790" s="516"/>
      <c r="AL790" s="516"/>
      <c r="AM790" s="290"/>
      <c r="AO790" t="b">
        <f t="shared" si="576"/>
        <v>0</v>
      </c>
      <c r="AQ790" s="439"/>
      <c r="AS790" s="439"/>
      <c r="AT790" s="616"/>
      <c r="AU790" s="474"/>
      <c r="AV790" s="632"/>
      <c r="AW790" s="632"/>
      <c r="AX790" s="655" t="str">
        <f t="shared" si="587"/>
        <v/>
      </c>
      <c r="AY790" s="655" t="str">
        <f t="shared" si="572"/>
        <v/>
      </c>
      <c r="AZ790" s="655" t="str">
        <f t="shared" si="588"/>
        <v/>
      </c>
      <c r="BA790" s="655" t="str">
        <f t="shared" si="573"/>
        <v/>
      </c>
      <c r="BB790" s="655" t="str">
        <f t="shared" si="582"/>
        <v/>
      </c>
      <c r="BC790" s="655" t="str">
        <f t="shared" si="582"/>
        <v/>
      </c>
    </row>
    <row r="791" spans="1:55" ht="12" customHeight="1">
      <c r="A791" s="52"/>
      <c r="B791" s="52"/>
      <c r="C791" s="52"/>
      <c r="D791" s="52"/>
      <c r="E791" s="52"/>
      <c r="F791" s="52"/>
      <c r="G791" s="52"/>
      <c r="H791" s="384"/>
      <c r="I791" s="156"/>
      <c r="J791" s="94">
        <v>3</v>
      </c>
      <c r="K791" s="21" t="s">
        <v>94</v>
      </c>
      <c r="L791" s="315">
        <f t="shared" ref="L791:AC793" si="595">L792</f>
        <v>420464</v>
      </c>
      <c r="M791" s="315">
        <f t="shared" si="595"/>
        <v>55805.162917247326</v>
      </c>
      <c r="N791" s="337">
        <f t="shared" si="595"/>
        <v>288282</v>
      </c>
      <c r="O791" s="337">
        <f t="shared" si="595"/>
        <v>38261.596655385227</v>
      </c>
      <c r="P791" s="292">
        <f t="shared" si="595"/>
        <v>26000</v>
      </c>
      <c r="Q791" s="292">
        <f t="shared" si="595"/>
        <v>39000</v>
      </c>
      <c r="R791" s="441">
        <f t="shared" si="595"/>
        <v>38876</v>
      </c>
      <c r="S791" s="292">
        <f t="shared" si="595"/>
        <v>39059.339999999997</v>
      </c>
      <c r="T791" s="292"/>
      <c r="U791" s="292"/>
      <c r="V791" s="469">
        <f t="shared" si="595"/>
        <v>40000</v>
      </c>
      <c r="W791" s="469">
        <f t="shared" si="595"/>
        <v>40000</v>
      </c>
      <c r="X791" s="522">
        <f t="shared" si="595"/>
        <v>0</v>
      </c>
      <c r="Y791" s="522">
        <f t="shared" si="595"/>
        <v>0</v>
      </c>
      <c r="Z791" s="541" t="b">
        <f t="shared" si="575"/>
        <v>1</v>
      </c>
      <c r="AA791" s="522"/>
      <c r="AB791" s="523">
        <f t="shared" si="595"/>
        <v>35000</v>
      </c>
      <c r="AC791" s="523">
        <f t="shared" si="595"/>
        <v>35000</v>
      </c>
      <c r="AD791" s="524">
        <f>O791/M791*100</f>
        <v>68.562825830511059</v>
      </c>
      <c r="AE791" s="524">
        <f t="shared" ref="AE791:AF794" si="596">P791/O791*100</f>
        <v>67.953254105355171</v>
      </c>
      <c r="AF791" s="524">
        <f t="shared" si="596"/>
        <v>150</v>
      </c>
      <c r="AG791" s="524">
        <f>AB791/Q791*100</f>
        <v>89.743589743589752</v>
      </c>
      <c r="AH791" s="522"/>
      <c r="AI791" s="522">
        <v>0</v>
      </c>
      <c r="AJ791" s="516">
        <f>W791/R791*100</f>
        <v>102.89124395513942</v>
      </c>
      <c r="AK791" s="516">
        <f>AT791/W791*100</f>
        <v>0</v>
      </c>
      <c r="AL791" s="516"/>
      <c r="AM791" s="292"/>
      <c r="AO791" t="b">
        <f t="shared" si="576"/>
        <v>1</v>
      </c>
      <c r="AP791" s="440">
        <f>AP792</f>
        <v>39059.339999999997</v>
      </c>
      <c r="AQ791" s="441">
        <v>39059.339999999997</v>
      </c>
      <c r="AR791" s="440">
        <f t="shared" ref="AR791:AU793" si="597">AR792</f>
        <v>39059.339999999997</v>
      </c>
      <c r="AS791" s="441">
        <f t="shared" si="597"/>
        <v>9103.1299999999992</v>
      </c>
      <c r="AT791" s="612">
        <f t="shared" si="597"/>
        <v>0</v>
      </c>
      <c r="AU791" s="469">
        <f t="shared" si="597"/>
        <v>40000</v>
      </c>
      <c r="AV791" s="636">
        <v>0</v>
      </c>
      <c r="AW791" s="636">
        <v>0</v>
      </c>
      <c r="AX791" s="655">
        <f t="shared" si="587"/>
        <v>0</v>
      </c>
      <c r="AY791" s="655">
        <f t="shared" si="572"/>
        <v>0</v>
      </c>
      <c r="AZ791" s="655" t="str">
        <f t="shared" si="588"/>
        <v/>
      </c>
      <c r="BA791" s="655">
        <f t="shared" si="573"/>
        <v>69.930069930069934</v>
      </c>
      <c r="BB791" s="655">
        <f t="shared" si="582"/>
        <v>0</v>
      </c>
      <c r="BC791" s="655" t="str">
        <f t="shared" si="582"/>
        <v/>
      </c>
    </row>
    <row r="792" spans="1:55" ht="12" customHeight="1">
      <c r="A792" s="355"/>
      <c r="B792" s="355"/>
      <c r="C792" s="355"/>
      <c r="D792" s="355"/>
      <c r="E792" s="355"/>
      <c r="F792" s="355"/>
      <c r="G792" s="355"/>
      <c r="H792" s="379"/>
      <c r="I792" s="359"/>
      <c r="J792" s="356">
        <v>32</v>
      </c>
      <c r="K792" s="358" t="s">
        <v>103</v>
      </c>
      <c r="L792" s="315">
        <f t="shared" si="595"/>
        <v>420464</v>
      </c>
      <c r="M792" s="315">
        <f t="shared" si="595"/>
        <v>55805.162917247326</v>
      </c>
      <c r="N792" s="337">
        <f t="shared" si="595"/>
        <v>288282</v>
      </c>
      <c r="O792" s="337">
        <f t="shared" si="595"/>
        <v>38261.596655385227</v>
      </c>
      <c r="P792" s="292">
        <f t="shared" si="595"/>
        <v>26000</v>
      </c>
      <c r="Q792" s="292">
        <f t="shared" si="595"/>
        <v>39000</v>
      </c>
      <c r="R792" s="441">
        <f t="shared" si="595"/>
        <v>38876</v>
      </c>
      <c r="S792" s="292">
        <f t="shared" si="595"/>
        <v>39059.339999999997</v>
      </c>
      <c r="T792" s="292"/>
      <c r="U792" s="292"/>
      <c r="V792" s="469">
        <f t="shared" si="595"/>
        <v>40000</v>
      </c>
      <c r="W792" s="469">
        <f t="shared" si="595"/>
        <v>40000</v>
      </c>
      <c r="X792" s="522">
        <f t="shared" si="595"/>
        <v>0</v>
      </c>
      <c r="Y792" s="522">
        <f t="shared" si="595"/>
        <v>0</v>
      </c>
      <c r="Z792" s="541" t="b">
        <f t="shared" si="575"/>
        <v>1</v>
      </c>
      <c r="AA792" s="522"/>
      <c r="AB792" s="523">
        <f t="shared" si="595"/>
        <v>35000</v>
      </c>
      <c r="AC792" s="523">
        <f t="shared" si="595"/>
        <v>35000</v>
      </c>
      <c r="AD792" s="524">
        <f>O792/M792*100</f>
        <v>68.562825830511059</v>
      </c>
      <c r="AE792" s="524">
        <f t="shared" si="596"/>
        <v>67.953254105355171</v>
      </c>
      <c r="AF792" s="524">
        <f t="shared" si="596"/>
        <v>150</v>
      </c>
      <c r="AG792" s="524">
        <f>AB792/Q792*100</f>
        <v>89.743589743589752</v>
      </c>
      <c r="AH792" s="522"/>
      <c r="AI792" s="522">
        <v>0</v>
      </c>
      <c r="AJ792" s="516">
        <f>W792/R792*100</f>
        <v>102.89124395513942</v>
      </c>
      <c r="AK792" s="516">
        <f>AT792/W792*100</f>
        <v>0</v>
      </c>
      <c r="AL792" s="516"/>
      <c r="AM792" s="292"/>
      <c r="AO792" t="b">
        <f t="shared" si="576"/>
        <v>1</v>
      </c>
      <c r="AP792" s="440">
        <f>AP793</f>
        <v>39059.339999999997</v>
      </c>
      <c r="AQ792" s="441">
        <v>39059.339999999997</v>
      </c>
      <c r="AR792" s="440">
        <f t="shared" si="597"/>
        <v>39059.339999999997</v>
      </c>
      <c r="AS792" s="441">
        <f t="shared" si="597"/>
        <v>9103.1299999999992</v>
      </c>
      <c r="AT792" s="612">
        <f t="shared" si="597"/>
        <v>0</v>
      </c>
      <c r="AU792" s="469">
        <f t="shared" si="597"/>
        <v>40000</v>
      </c>
      <c r="AV792" s="636">
        <v>0</v>
      </c>
      <c r="AW792" s="636">
        <v>0</v>
      </c>
      <c r="AX792" s="655">
        <f t="shared" si="587"/>
        <v>0</v>
      </c>
      <c r="AY792" s="655" t="str">
        <f t="shared" si="572"/>
        <v/>
      </c>
      <c r="AZ792" s="655" t="str">
        <f t="shared" si="588"/>
        <v/>
      </c>
      <c r="BA792" s="655" t="str">
        <f t="shared" si="573"/>
        <v/>
      </c>
      <c r="BB792" s="655">
        <f t="shared" si="582"/>
        <v>0</v>
      </c>
      <c r="BC792" s="655" t="str">
        <f t="shared" si="582"/>
        <v/>
      </c>
    </row>
    <row r="793" spans="1:55" ht="12" customHeight="1">
      <c r="A793" s="56"/>
      <c r="B793" s="56"/>
      <c r="C793" s="56"/>
      <c r="D793" s="56"/>
      <c r="E793" s="56"/>
      <c r="F793" s="56"/>
      <c r="G793" s="56"/>
      <c r="H793" s="377"/>
      <c r="I793" s="157"/>
      <c r="J793" s="116">
        <v>323</v>
      </c>
      <c r="K793" s="60" t="s">
        <v>191</v>
      </c>
      <c r="L793" s="315">
        <f t="shared" si="595"/>
        <v>420464</v>
      </c>
      <c r="M793" s="315">
        <f t="shared" si="595"/>
        <v>55805.162917247326</v>
      </c>
      <c r="N793" s="337">
        <f t="shared" si="595"/>
        <v>288282</v>
      </c>
      <c r="O793" s="337">
        <f t="shared" si="595"/>
        <v>38261.596655385227</v>
      </c>
      <c r="P793" s="292">
        <f t="shared" si="595"/>
        <v>26000</v>
      </c>
      <c r="Q793" s="292">
        <f t="shared" si="595"/>
        <v>39000</v>
      </c>
      <c r="R793" s="441">
        <f t="shared" si="595"/>
        <v>38876</v>
      </c>
      <c r="S793" s="292">
        <f t="shared" si="595"/>
        <v>39059.339999999997</v>
      </c>
      <c r="T793" s="292"/>
      <c r="U793" s="292"/>
      <c r="V793" s="469">
        <f t="shared" si="595"/>
        <v>40000</v>
      </c>
      <c r="W793" s="469">
        <f t="shared" si="595"/>
        <v>40000</v>
      </c>
      <c r="X793" s="522">
        <f t="shared" si="595"/>
        <v>0</v>
      </c>
      <c r="Y793" s="522">
        <f t="shared" si="595"/>
        <v>0</v>
      </c>
      <c r="Z793" s="541" t="b">
        <f t="shared" si="575"/>
        <v>1</v>
      </c>
      <c r="AA793" s="522"/>
      <c r="AB793" s="523">
        <f t="shared" si="595"/>
        <v>35000</v>
      </c>
      <c r="AC793" s="523">
        <f t="shared" si="595"/>
        <v>35000</v>
      </c>
      <c r="AD793" s="524">
        <f>O793/M793*100</f>
        <v>68.562825830511059</v>
      </c>
      <c r="AE793" s="524">
        <f t="shared" si="596"/>
        <v>67.953254105355171</v>
      </c>
      <c r="AF793" s="524">
        <f t="shared" si="596"/>
        <v>150</v>
      </c>
      <c r="AG793" s="524">
        <f>AB793/Q793*100</f>
        <v>89.743589743589752</v>
      </c>
      <c r="AH793" s="522"/>
      <c r="AI793" s="522">
        <v>0</v>
      </c>
      <c r="AJ793" s="516">
        <f>W793/R793*100</f>
        <v>102.89124395513942</v>
      </c>
      <c r="AK793" s="516">
        <f>AT793/W793*100</f>
        <v>0</v>
      </c>
      <c r="AL793" s="516"/>
      <c r="AM793" s="292"/>
      <c r="AN793" s="413"/>
      <c r="AO793" t="b">
        <f t="shared" si="576"/>
        <v>1</v>
      </c>
      <c r="AP793" s="440">
        <f>AP794</f>
        <v>39059.339999999997</v>
      </c>
      <c r="AQ793" s="441">
        <v>39059.339999999997</v>
      </c>
      <c r="AR793" s="440">
        <f t="shared" si="597"/>
        <v>39059.339999999997</v>
      </c>
      <c r="AS793" s="441">
        <f t="shared" si="597"/>
        <v>9103.1299999999992</v>
      </c>
      <c r="AT793" s="612">
        <f t="shared" si="597"/>
        <v>0</v>
      </c>
      <c r="AU793" s="469">
        <f t="shared" si="597"/>
        <v>40000</v>
      </c>
      <c r="AV793" s="636">
        <v>0</v>
      </c>
      <c r="AW793" s="636">
        <v>0</v>
      </c>
      <c r="AX793" s="655">
        <f t="shared" si="587"/>
        <v>0</v>
      </c>
      <c r="AY793" s="655">
        <f t="shared" si="572"/>
        <v>0</v>
      </c>
      <c r="AZ793" s="655" t="str">
        <f t="shared" si="588"/>
        <v/>
      </c>
      <c r="BA793" s="655">
        <f t="shared" si="573"/>
        <v>69.930069930069934</v>
      </c>
      <c r="BB793" s="655">
        <f t="shared" si="582"/>
        <v>0</v>
      </c>
      <c r="BC793" s="655" t="str">
        <f t="shared" si="582"/>
        <v/>
      </c>
    </row>
    <row r="794" spans="1:55" ht="12" customHeight="1">
      <c r="A794" s="36"/>
      <c r="B794" s="36"/>
      <c r="C794" s="36"/>
      <c r="D794" s="36"/>
      <c r="E794" s="36"/>
      <c r="F794" s="36"/>
      <c r="G794" s="36"/>
      <c r="H794" s="204" t="s">
        <v>339</v>
      </c>
      <c r="I794" s="118">
        <v>810</v>
      </c>
      <c r="J794" s="71">
        <v>3232</v>
      </c>
      <c r="K794" s="40" t="s">
        <v>468</v>
      </c>
      <c r="L794" s="309">
        <v>420464</v>
      </c>
      <c r="M794" s="309">
        <f>420464/7.5345</f>
        <v>55805.162917247326</v>
      </c>
      <c r="N794" s="339">
        <v>288282</v>
      </c>
      <c r="O794" s="339">
        <f>N794/7.5345</f>
        <v>38261.596655385227</v>
      </c>
      <c r="P794" s="294">
        <v>26000</v>
      </c>
      <c r="Q794" s="269">
        <v>39000</v>
      </c>
      <c r="R794" s="443">
        <v>38876</v>
      </c>
      <c r="S794" s="294">
        <f>__xlfn.XLOOKUP(H794,[2]Izvršenje_proračuna_po_pozicija!$B$2:$B$153,[2]Izvršenje_proračuna_po_pozicija!$E$2:$E$153,0)</f>
        <v>39059.339999999997</v>
      </c>
      <c r="T794" s="294"/>
      <c r="U794" s="294"/>
      <c r="V794" s="478">
        <v>40000</v>
      </c>
      <c r="W794" s="478">
        <v>40000</v>
      </c>
      <c r="X794" s="544"/>
      <c r="Y794" s="544"/>
      <c r="Z794" s="541" t="b">
        <f t="shared" si="575"/>
        <v>0</v>
      </c>
      <c r="AA794" s="527"/>
      <c r="AB794" s="528">
        <v>35000</v>
      </c>
      <c r="AC794" s="528">
        <v>35000</v>
      </c>
      <c r="AD794" s="524">
        <f>O794/M794*100</f>
        <v>68.562825830511059</v>
      </c>
      <c r="AE794" s="524">
        <f t="shared" si="596"/>
        <v>67.953254105355171</v>
      </c>
      <c r="AF794" s="524">
        <f t="shared" si="596"/>
        <v>150</v>
      </c>
      <c r="AG794" s="524">
        <f>AB794/Q794*100</f>
        <v>89.743589743589752</v>
      </c>
      <c r="AH794" s="527"/>
      <c r="AI794" s="544"/>
      <c r="AJ794" s="516">
        <f>W794/R794*100</f>
        <v>102.89124395513942</v>
      </c>
      <c r="AK794" s="516">
        <f>AT794/W794*100</f>
        <v>0</v>
      </c>
      <c r="AL794" s="516"/>
      <c r="AM794" s="294"/>
      <c r="AO794" t="b">
        <f t="shared" si="576"/>
        <v>0</v>
      </c>
      <c r="AP794" s="493">
        <v>39059.339999999997</v>
      </c>
      <c r="AQ794" s="443">
        <v>39059.339999999997</v>
      </c>
      <c r="AR794" s="493">
        <v>39059.339999999997</v>
      </c>
      <c r="AS794" s="443">
        <v>9103.1299999999992</v>
      </c>
      <c r="AT794" s="617"/>
      <c r="AU794" s="478">
        <v>40000</v>
      </c>
      <c r="AV794" s="638"/>
      <c r="AW794" s="638"/>
      <c r="AX794" s="655" t="str">
        <f t="shared" si="587"/>
        <v/>
      </c>
      <c r="AY794" s="655" t="str">
        <f t="shared" si="572"/>
        <v/>
      </c>
      <c r="AZ794" s="655" t="str">
        <f t="shared" si="588"/>
        <v/>
      </c>
      <c r="BA794" s="655">
        <f t="shared" si="573"/>
        <v>69.930069930069934</v>
      </c>
      <c r="BB794" s="655" t="str">
        <f t="shared" si="582"/>
        <v/>
      </c>
      <c r="BC794" s="655" t="str">
        <f t="shared" si="582"/>
        <v/>
      </c>
    </row>
    <row r="795" spans="1:55" ht="12" customHeight="1">
      <c r="A795" s="20"/>
      <c r="B795" s="20"/>
      <c r="C795" s="20"/>
      <c r="D795" s="20"/>
      <c r="E795" s="20"/>
      <c r="F795" s="20"/>
      <c r="G795" s="20"/>
      <c r="H795" s="375"/>
      <c r="I795" s="22"/>
      <c r="J795" s="21"/>
      <c r="K795" s="19"/>
      <c r="L795" s="313"/>
      <c r="M795" s="313"/>
      <c r="N795" s="335"/>
      <c r="O795" s="335"/>
      <c r="P795" s="290"/>
      <c r="Q795" s="290"/>
      <c r="R795" s="439"/>
      <c r="S795" s="294">
        <f>__xlfn.XLOOKUP(H795,[2]Izvršenje_proračuna_po_pozicija!$B$2:$B$153,[2]Izvršenje_proračuna_po_pozicija!$E$2:$E$153,0)</f>
        <v>0</v>
      </c>
      <c r="T795" s="294"/>
      <c r="U795" s="294"/>
      <c r="V795" s="474"/>
      <c r="W795" s="474"/>
      <c r="X795" s="539"/>
      <c r="Y795" s="539"/>
      <c r="Z795" s="541" t="b">
        <f t="shared" si="575"/>
        <v>0</v>
      </c>
      <c r="AA795" s="514"/>
      <c r="AB795" s="515"/>
      <c r="AC795" s="515"/>
      <c r="AD795" s="524"/>
      <c r="AE795" s="524"/>
      <c r="AF795" s="524"/>
      <c r="AG795" s="524"/>
      <c r="AH795" s="514"/>
      <c r="AI795" s="539"/>
      <c r="AJ795" s="516"/>
      <c r="AK795" s="516"/>
      <c r="AL795" s="516"/>
      <c r="AM795" s="290"/>
      <c r="AO795" t="b">
        <f t="shared" si="576"/>
        <v>0</v>
      </c>
      <c r="AQ795" s="439"/>
      <c r="AS795" s="439">
        <f>__xlfn.XLOOKUP(K795,[1]Izvršenje_proračuna_po_pozicija!$C$25:$C$149,[1]Izvršenje_proračuna_po_pozicija!$E$25:$E$149,0)</f>
        <v>0</v>
      </c>
      <c r="AT795" s="616"/>
      <c r="AU795" s="474"/>
      <c r="AV795" s="632"/>
      <c r="AW795" s="632"/>
      <c r="AX795" s="655" t="str">
        <f t="shared" si="587"/>
        <v/>
      </c>
      <c r="AY795" s="655" t="str">
        <f t="shared" si="572"/>
        <v/>
      </c>
      <c r="AZ795" s="655" t="str">
        <f t="shared" si="588"/>
        <v/>
      </c>
      <c r="BA795" s="655" t="str">
        <f t="shared" si="573"/>
        <v/>
      </c>
      <c r="BB795" s="655" t="str">
        <f t="shared" si="582"/>
        <v/>
      </c>
      <c r="BC795" s="655" t="str">
        <f t="shared" si="582"/>
        <v/>
      </c>
    </row>
    <row r="796" spans="1:55" ht="12" customHeight="1">
      <c r="A796" s="212" t="s">
        <v>475</v>
      </c>
      <c r="B796" s="130"/>
      <c r="C796" s="130"/>
      <c r="D796" s="130"/>
      <c r="E796" s="130"/>
      <c r="F796" s="130"/>
      <c r="G796" s="130"/>
      <c r="H796" s="383"/>
      <c r="I796" s="170" t="s">
        <v>338</v>
      </c>
      <c r="J796" s="171"/>
      <c r="K796" s="111"/>
      <c r="L796" s="315">
        <f t="shared" ref="L796:S796" si="598">L798</f>
        <v>306000</v>
      </c>
      <c r="M796" s="315">
        <f t="shared" si="598"/>
        <v>40613.179374875574</v>
      </c>
      <c r="N796" s="337">
        <f t="shared" si="598"/>
        <v>315000</v>
      </c>
      <c r="O796" s="337">
        <f t="shared" si="598"/>
        <v>41807.684650607203</v>
      </c>
      <c r="P796" s="292">
        <f t="shared" si="598"/>
        <v>52000</v>
      </c>
      <c r="Q796" s="292">
        <f t="shared" si="598"/>
        <v>52000</v>
      </c>
      <c r="R796" s="441">
        <f t="shared" si="598"/>
        <v>52200</v>
      </c>
      <c r="S796" s="292">
        <f t="shared" si="598"/>
        <v>57200</v>
      </c>
      <c r="T796" s="292"/>
      <c r="U796" s="292"/>
      <c r="V796" s="469">
        <f>V798</f>
        <v>57000</v>
      </c>
      <c r="W796" s="469">
        <f>W798</f>
        <v>57000</v>
      </c>
      <c r="X796" s="522">
        <f>X798</f>
        <v>75000</v>
      </c>
      <c r="Y796" s="522">
        <f>Y798</f>
        <v>0</v>
      </c>
      <c r="Z796" s="541" t="b">
        <f t="shared" si="575"/>
        <v>1</v>
      </c>
      <c r="AA796" s="522"/>
      <c r="AB796" s="523">
        <f>AB798</f>
        <v>52000</v>
      </c>
      <c r="AC796" s="523">
        <f>AC798</f>
        <v>52000</v>
      </c>
      <c r="AD796" s="524">
        <f>O796/M796*100</f>
        <v>102.94117647058823</v>
      </c>
      <c r="AE796" s="524">
        <f>P796/O796*100</f>
        <v>124.37904761904764</v>
      </c>
      <c r="AF796" s="524">
        <f>Q796/P796*100</f>
        <v>100</v>
      </c>
      <c r="AG796" s="524">
        <f>AB796/Q796*100</f>
        <v>100</v>
      </c>
      <c r="AH796" s="522"/>
      <c r="AI796" s="522">
        <v>75000</v>
      </c>
      <c r="AJ796" s="516">
        <f>W796/R796*100</f>
        <v>109.19540229885058</v>
      </c>
      <c r="AK796" s="516">
        <f>AT796/W796*100</f>
        <v>126.31578947368421</v>
      </c>
      <c r="AL796" s="516">
        <f>X796/AT796*100</f>
        <v>104.16666666666667</v>
      </c>
      <c r="AM796" s="292"/>
      <c r="AO796" t="b">
        <f t="shared" si="576"/>
        <v>1</v>
      </c>
      <c r="AP796" s="440">
        <f t="shared" ref="AP796:AU796" si="599">AP798</f>
        <v>57200</v>
      </c>
      <c r="AQ796" s="441">
        <v>57200</v>
      </c>
      <c r="AR796" s="440">
        <f>AR798</f>
        <v>57200</v>
      </c>
      <c r="AS796" s="441">
        <f t="shared" si="599"/>
        <v>14000</v>
      </c>
      <c r="AT796" s="612">
        <f t="shared" si="599"/>
        <v>72000</v>
      </c>
      <c r="AU796" s="469">
        <f t="shared" si="599"/>
        <v>72000</v>
      </c>
      <c r="AV796" s="636">
        <v>75000</v>
      </c>
      <c r="AW796" s="636">
        <v>75000</v>
      </c>
      <c r="AX796" s="655">
        <f t="shared" si="587"/>
        <v>137.93103448275863</v>
      </c>
      <c r="AY796" s="655">
        <f t="shared" si="572"/>
        <v>125.87412587412588</v>
      </c>
      <c r="AZ796" s="655">
        <f t="shared" si="588"/>
        <v>100</v>
      </c>
      <c r="BA796" s="655">
        <f t="shared" si="573"/>
        <v>125.87412587412588</v>
      </c>
      <c r="BB796" s="655">
        <f t="shared" si="582"/>
        <v>104.16666666666667</v>
      </c>
      <c r="BC796" s="655">
        <f t="shared" si="582"/>
        <v>100</v>
      </c>
    </row>
    <row r="797" spans="1:55" ht="12" customHeight="1">
      <c r="A797" s="25"/>
      <c r="B797" s="25"/>
      <c r="C797" s="25"/>
      <c r="D797" s="25"/>
      <c r="E797" s="25"/>
      <c r="F797" s="25"/>
      <c r="G797" s="25"/>
      <c r="H797" s="389"/>
      <c r="I797" s="30"/>
      <c r="J797" s="29"/>
      <c r="K797" s="29"/>
      <c r="L797" s="313"/>
      <c r="M797" s="313"/>
      <c r="N797" s="335"/>
      <c r="O797" s="335"/>
      <c r="P797" s="290"/>
      <c r="Q797" s="290"/>
      <c r="R797" s="439"/>
      <c r="S797" s="294">
        <f>__xlfn.XLOOKUP(H797,[2]Izvršenje_proračuna_po_pozicija!$B$2:$B$153,[2]Izvršenje_proračuna_po_pozicija!$E$2:$E$153,0)</f>
        <v>0</v>
      </c>
      <c r="T797" s="294"/>
      <c r="U797" s="294"/>
      <c r="V797" s="474"/>
      <c r="W797" s="474"/>
      <c r="X797" s="539"/>
      <c r="Y797" s="539"/>
      <c r="Z797" s="541" t="b">
        <f t="shared" si="575"/>
        <v>0</v>
      </c>
      <c r="AA797" s="514"/>
      <c r="AB797" s="515"/>
      <c r="AC797" s="515"/>
      <c r="AD797" s="524"/>
      <c r="AE797" s="524"/>
      <c r="AF797" s="524"/>
      <c r="AG797" s="524"/>
      <c r="AH797" s="514"/>
      <c r="AI797" s="539"/>
      <c r="AJ797" s="516"/>
      <c r="AK797" s="516"/>
      <c r="AL797" s="516"/>
      <c r="AM797" s="290"/>
      <c r="AO797" t="b">
        <f t="shared" si="576"/>
        <v>0</v>
      </c>
      <c r="AQ797" s="439"/>
      <c r="AS797" s="439"/>
      <c r="AT797" s="616"/>
      <c r="AU797" s="474"/>
      <c r="AV797" s="632"/>
      <c r="AW797" s="632"/>
      <c r="AX797" s="655" t="str">
        <f t="shared" si="587"/>
        <v/>
      </c>
      <c r="AY797" s="655" t="str">
        <f t="shared" si="572"/>
        <v/>
      </c>
      <c r="AZ797" s="655" t="str">
        <f t="shared" si="588"/>
        <v/>
      </c>
      <c r="BA797" s="655" t="str">
        <f t="shared" si="573"/>
        <v/>
      </c>
      <c r="BB797" s="655" t="str">
        <f t="shared" si="582"/>
        <v/>
      </c>
      <c r="BC797" s="655" t="str">
        <f t="shared" si="582"/>
        <v/>
      </c>
    </row>
    <row r="798" spans="1:55" ht="12" customHeight="1">
      <c r="A798" s="52"/>
      <c r="B798" s="52"/>
      <c r="C798" s="52"/>
      <c r="D798" s="52"/>
      <c r="E798" s="52"/>
      <c r="F798" s="52"/>
      <c r="G798" s="52"/>
      <c r="H798" s="384"/>
      <c r="I798" s="156"/>
      <c r="J798" s="94">
        <v>3</v>
      </c>
      <c r="K798" s="21" t="s">
        <v>94</v>
      </c>
      <c r="L798" s="315">
        <f t="shared" ref="L798:AC801" si="600">L799</f>
        <v>306000</v>
      </c>
      <c r="M798" s="315">
        <f t="shared" si="600"/>
        <v>40613.179374875574</v>
      </c>
      <c r="N798" s="337">
        <f t="shared" si="600"/>
        <v>315000</v>
      </c>
      <c r="O798" s="337">
        <f t="shared" si="600"/>
        <v>41807.684650607203</v>
      </c>
      <c r="P798" s="292">
        <f t="shared" si="600"/>
        <v>52000</v>
      </c>
      <c r="Q798" s="292">
        <f t="shared" si="600"/>
        <v>52000</v>
      </c>
      <c r="R798" s="441">
        <f t="shared" si="600"/>
        <v>52200</v>
      </c>
      <c r="S798" s="292">
        <f t="shared" si="600"/>
        <v>57200</v>
      </c>
      <c r="T798" s="292"/>
      <c r="U798" s="292"/>
      <c r="V798" s="469">
        <f t="shared" ref="V798:Y801" si="601">V799</f>
        <v>57000</v>
      </c>
      <c r="W798" s="469">
        <f t="shared" si="601"/>
        <v>57000</v>
      </c>
      <c r="X798" s="522">
        <f t="shared" si="601"/>
        <v>75000</v>
      </c>
      <c r="Y798" s="522">
        <f t="shared" si="601"/>
        <v>0</v>
      </c>
      <c r="Z798" s="541" t="b">
        <f t="shared" si="575"/>
        <v>1</v>
      </c>
      <c r="AA798" s="522"/>
      <c r="AB798" s="523">
        <f t="shared" si="600"/>
        <v>52000</v>
      </c>
      <c r="AC798" s="523">
        <f t="shared" si="600"/>
        <v>52000</v>
      </c>
      <c r="AD798" s="524">
        <f t="shared" ref="AD798:AD810" si="602">O798/M798*100</f>
        <v>102.94117647058823</v>
      </c>
      <c r="AE798" s="524">
        <f t="shared" ref="AE798:AF802" si="603">P798/O798*100</f>
        <v>124.37904761904764</v>
      </c>
      <c r="AF798" s="524">
        <f t="shared" si="603"/>
        <v>100</v>
      </c>
      <c r="AG798" s="524">
        <f>AB798/Q798*100</f>
        <v>100</v>
      </c>
      <c r="AH798" s="522"/>
      <c r="AI798" s="522">
        <v>75000</v>
      </c>
      <c r="AJ798" s="516">
        <f t="shared" ref="AJ798:AJ810" si="604">W798/R798*100</f>
        <v>109.19540229885058</v>
      </c>
      <c r="AK798" s="516">
        <f>AT798/W798*100</f>
        <v>126.31578947368421</v>
      </c>
      <c r="AL798" s="516">
        <f>X798/AT798*100</f>
        <v>104.16666666666667</v>
      </c>
      <c r="AM798" s="292"/>
      <c r="AO798" t="b">
        <f t="shared" si="576"/>
        <v>1</v>
      </c>
      <c r="AP798" s="440">
        <f t="shared" ref="AP798:AU801" si="605">AP799</f>
        <v>57200</v>
      </c>
      <c r="AQ798" s="441">
        <v>57200</v>
      </c>
      <c r="AR798" s="440">
        <f>AR799</f>
        <v>57200</v>
      </c>
      <c r="AS798" s="441">
        <f t="shared" si="605"/>
        <v>14000</v>
      </c>
      <c r="AT798" s="612">
        <f>AT799</f>
        <v>72000</v>
      </c>
      <c r="AU798" s="469">
        <f t="shared" si="605"/>
        <v>72000</v>
      </c>
      <c r="AV798" s="636">
        <v>75000</v>
      </c>
      <c r="AW798" s="636">
        <v>75000</v>
      </c>
      <c r="AX798" s="655">
        <f t="shared" si="587"/>
        <v>137.93103448275863</v>
      </c>
      <c r="AY798" s="655" t="str">
        <f t="shared" si="572"/>
        <v/>
      </c>
      <c r="AZ798" s="655">
        <f t="shared" si="588"/>
        <v>100</v>
      </c>
      <c r="BA798" s="655" t="str">
        <f t="shared" si="573"/>
        <v/>
      </c>
      <c r="BB798" s="655">
        <f t="shared" si="582"/>
        <v>104.16666666666667</v>
      </c>
      <c r="BC798" s="655">
        <f t="shared" si="582"/>
        <v>100</v>
      </c>
    </row>
    <row r="799" spans="1:55" ht="12" customHeight="1">
      <c r="A799" s="355"/>
      <c r="B799" s="355"/>
      <c r="C799" s="355"/>
      <c r="D799" s="355"/>
      <c r="E799" s="355"/>
      <c r="F799" s="355"/>
      <c r="G799" s="355"/>
      <c r="H799" s="379"/>
      <c r="I799" s="359"/>
      <c r="J799" s="356">
        <v>38</v>
      </c>
      <c r="K799" s="358" t="s">
        <v>144</v>
      </c>
      <c r="L799" s="315">
        <f t="shared" si="600"/>
        <v>306000</v>
      </c>
      <c r="M799" s="315">
        <f t="shared" si="600"/>
        <v>40613.179374875574</v>
      </c>
      <c r="N799" s="337">
        <f t="shared" si="600"/>
        <v>315000</v>
      </c>
      <c r="O799" s="337">
        <f t="shared" si="600"/>
        <v>41807.684650607203</v>
      </c>
      <c r="P799" s="292">
        <f t="shared" si="600"/>
        <v>52000</v>
      </c>
      <c r="Q799" s="292">
        <f t="shared" si="600"/>
        <v>52000</v>
      </c>
      <c r="R799" s="441">
        <f t="shared" si="600"/>
        <v>52200</v>
      </c>
      <c r="S799" s="292">
        <f t="shared" si="600"/>
        <v>57200</v>
      </c>
      <c r="T799" s="292"/>
      <c r="U799" s="292"/>
      <c r="V799" s="469">
        <f t="shared" si="601"/>
        <v>57000</v>
      </c>
      <c r="W799" s="469">
        <f t="shared" si="601"/>
        <v>57000</v>
      </c>
      <c r="X799" s="522">
        <f t="shared" si="601"/>
        <v>75000</v>
      </c>
      <c r="Y799" s="522">
        <f t="shared" si="601"/>
        <v>0</v>
      </c>
      <c r="Z799" s="541" t="b">
        <f t="shared" si="575"/>
        <v>1</v>
      </c>
      <c r="AA799" s="522"/>
      <c r="AB799" s="523">
        <f t="shared" si="600"/>
        <v>52000</v>
      </c>
      <c r="AC799" s="523">
        <f t="shared" si="600"/>
        <v>52000</v>
      </c>
      <c r="AD799" s="524">
        <f t="shared" si="602"/>
        <v>102.94117647058823</v>
      </c>
      <c r="AE799" s="524">
        <f t="shared" si="603"/>
        <v>124.37904761904764</v>
      </c>
      <c r="AF799" s="524">
        <f t="shared" si="603"/>
        <v>100</v>
      </c>
      <c r="AG799" s="524">
        <f>AB799/Q799*100</f>
        <v>100</v>
      </c>
      <c r="AH799" s="522"/>
      <c r="AI799" s="522">
        <v>75000</v>
      </c>
      <c r="AJ799" s="516">
        <f t="shared" si="604"/>
        <v>109.19540229885058</v>
      </c>
      <c r="AK799" s="516">
        <f>AT799/W799*100</f>
        <v>126.31578947368421</v>
      </c>
      <c r="AL799" s="516">
        <f>X799/AT799*100</f>
        <v>104.16666666666667</v>
      </c>
      <c r="AM799" s="292"/>
      <c r="AO799" t="b">
        <f t="shared" si="576"/>
        <v>1</v>
      </c>
      <c r="AP799" s="440">
        <f t="shared" si="605"/>
        <v>57200</v>
      </c>
      <c r="AQ799" s="441">
        <v>57200</v>
      </c>
      <c r="AR799" s="440">
        <f>AR800</f>
        <v>57200</v>
      </c>
      <c r="AS799" s="441">
        <f t="shared" si="605"/>
        <v>14000</v>
      </c>
      <c r="AT799" s="612">
        <f>AT800</f>
        <v>72000</v>
      </c>
      <c r="AU799" s="469">
        <f t="shared" si="605"/>
        <v>72000</v>
      </c>
      <c r="AV799" s="636">
        <v>75000</v>
      </c>
      <c r="AW799" s="636">
        <v>75000</v>
      </c>
      <c r="AX799" s="655">
        <f t="shared" si="587"/>
        <v>137.93103448275863</v>
      </c>
      <c r="AY799" s="655" t="str">
        <f t="shared" si="572"/>
        <v/>
      </c>
      <c r="AZ799" s="655">
        <f t="shared" si="588"/>
        <v>100</v>
      </c>
      <c r="BA799" s="655" t="str">
        <f t="shared" si="573"/>
        <v/>
      </c>
      <c r="BB799" s="655">
        <f t="shared" si="582"/>
        <v>104.16666666666667</v>
      </c>
      <c r="BC799" s="655">
        <f t="shared" si="582"/>
        <v>100</v>
      </c>
    </row>
    <row r="800" spans="1:55" ht="12" customHeight="1">
      <c r="A800" s="56"/>
      <c r="B800" s="56"/>
      <c r="C800" s="56"/>
      <c r="D800" s="56"/>
      <c r="E800" s="56"/>
      <c r="F800" s="56"/>
      <c r="G800" s="56"/>
      <c r="H800" s="377"/>
      <c r="I800" s="157"/>
      <c r="J800" s="116">
        <v>381</v>
      </c>
      <c r="K800" s="60" t="s">
        <v>236</v>
      </c>
      <c r="L800" s="315">
        <f t="shared" si="600"/>
        <v>306000</v>
      </c>
      <c r="M800" s="315">
        <f t="shared" si="600"/>
        <v>40613.179374875574</v>
      </c>
      <c r="N800" s="337">
        <f t="shared" si="600"/>
        <v>315000</v>
      </c>
      <c r="O800" s="337">
        <f t="shared" si="600"/>
        <v>41807.684650607203</v>
      </c>
      <c r="P800" s="292">
        <f t="shared" si="600"/>
        <v>52000</v>
      </c>
      <c r="Q800" s="292">
        <f t="shared" si="600"/>
        <v>52000</v>
      </c>
      <c r="R800" s="441">
        <f t="shared" si="600"/>
        <v>52200</v>
      </c>
      <c r="S800" s="292">
        <f t="shared" si="600"/>
        <v>57200</v>
      </c>
      <c r="T800" s="292"/>
      <c r="U800" s="292"/>
      <c r="V800" s="469">
        <f t="shared" si="601"/>
        <v>57000</v>
      </c>
      <c r="W800" s="469">
        <f t="shared" si="601"/>
        <v>57000</v>
      </c>
      <c r="X800" s="522">
        <f t="shared" si="601"/>
        <v>75000</v>
      </c>
      <c r="Y800" s="522">
        <f t="shared" si="601"/>
        <v>0</v>
      </c>
      <c r="Z800" s="541" t="b">
        <f t="shared" si="575"/>
        <v>1</v>
      </c>
      <c r="AA800" s="522"/>
      <c r="AB800" s="523">
        <f t="shared" si="600"/>
        <v>52000</v>
      </c>
      <c r="AC800" s="523">
        <f t="shared" si="600"/>
        <v>52000</v>
      </c>
      <c r="AD800" s="524">
        <f t="shared" si="602"/>
        <v>102.94117647058823</v>
      </c>
      <c r="AE800" s="524">
        <f t="shared" si="603"/>
        <v>124.37904761904764</v>
      </c>
      <c r="AF800" s="524">
        <f t="shared" si="603"/>
        <v>100</v>
      </c>
      <c r="AG800" s="524">
        <f>AB800/Q800*100</f>
        <v>100</v>
      </c>
      <c r="AH800" s="522"/>
      <c r="AI800" s="522">
        <v>75000</v>
      </c>
      <c r="AJ800" s="516">
        <f t="shared" si="604"/>
        <v>109.19540229885058</v>
      </c>
      <c r="AK800" s="516">
        <f>AT800/W800*100</f>
        <v>126.31578947368421</v>
      </c>
      <c r="AL800" s="516">
        <f>X800/AT800*100</f>
        <v>104.16666666666667</v>
      </c>
      <c r="AM800" s="292"/>
      <c r="AO800" t="b">
        <f t="shared" si="576"/>
        <v>1</v>
      </c>
      <c r="AP800" s="440">
        <f t="shared" si="605"/>
        <v>57200</v>
      </c>
      <c r="AQ800" s="441">
        <v>57200</v>
      </c>
      <c r="AR800" s="440">
        <f>AR801</f>
        <v>57200</v>
      </c>
      <c r="AS800" s="441">
        <f t="shared" si="605"/>
        <v>14000</v>
      </c>
      <c r="AT800" s="612">
        <f>AT801</f>
        <v>72000</v>
      </c>
      <c r="AU800" s="469">
        <f t="shared" si="605"/>
        <v>72000</v>
      </c>
      <c r="AV800" s="636">
        <v>75000</v>
      </c>
      <c r="AW800" s="636">
        <v>75000</v>
      </c>
      <c r="AX800" s="655">
        <f t="shared" si="587"/>
        <v>137.93103448275863</v>
      </c>
      <c r="AY800" s="655" t="str">
        <f t="shared" si="572"/>
        <v/>
      </c>
      <c r="AZ800" s="655">
        <f t="shared" si="588"/>
        <v>100</v>
      </c>
      <c r="BA800" s="655" t="str">
        <f t="shared" si="573"/>
        <v/>
      </c>
      <c r="BB800" s="655">
        <f t="shared" si="582"/>
        <v>104.16666666666667</v>
      </c>
      <c r="BC800" s="655">
        <f t="shared" si="582"/>
        <v>100</v>
      </c>
    </row>
    <row r="801" spans="1:55" ht="12" customHeight="1">
      <c r="A801" s="36"/>
      <c r="B801" s="36"/>
      <c r="C801" s="36"/>
      <c r="D801" s="36"/>
      <c r="E801" s="36"/>
      <c r="F801" s="36"/>
      <c r="G801" s="36"/>
      <c r="H801" s="204"/>
      <c r="I801" s="132"/>
      <c r="J801" s="71">
        <v>3811</v>
      </c>
      <c r="K801" s="40" t="s">
        <v>145</v>
      </c>
      <c r="L801" s="315">
        <f t="shared" si="600"/>
        <v>306000</v>
      </c>
      <c r="M801" s="315">
        <f t="shared" si="600"/>
        <v>40613.179374875574</v>
      </c>
      <c r="N801" s="337">
        <f t="shared" si="600"/>
        <v>315000</v>
      </c>
      <c r="O801" s="337">
        <f t="shared" si="600"/>
        <v>41807.684650607203</v>
      </c>
      <c r="P801" s="292">
        <f t="shared" si="600"/>
        <v>52000</v>
      </c>
      <c r="Q801" s="292">
        <f t="shared" si="600"/>
        <v>52000</v>
      </c>
      <c r="R801" s="441">
        <f t="shared" si="600"/>
        <v>52200</v>
      </c>
      <c r="S801" s="292">
        <f t="shared" si="600"/>
        <v>57200</v>
      </c>
      <c r="T801" s="292"/>
      <c r="U801" s="292"/>
      <c r="V801" s="469">
        <f t="shared" si="601"/>
        <v>57000</v>
      </c>
      <c r="W801" s="469">
        <f t="shared" si="601"/>
        <v>57000</v>
      </c>
      <c r="X801" s="522">
        <f t="shared" si="601"/>
        <v>75000</v>
      </c>
      <c r="Y801" s="522">
        <f t="shared" si="601"/>
        <v>0</v>
      </c>
      <c r="Z801" s="541" t="b">
        <f t="shared" si="575"/>
        <v>1</v>
      </c>
      <c r="AA801" s="522"/>
      <c r="AB801" s="523">
        <f t="shared" si="600"/>
        <v>52000</v>
      </c>
      <c r="AC801" s="523">
        <f t="shared" si="600"/>
        <v>52000</v>
      </c>
      <c r="AD801" s="524">
        <f t="shared" si="602"/>
        <v>102.94117647058823</v>
      </c>
      <c r="AE801" s="524">
        <f t="shared" si="603"/>
        <v>124.37904761904764</v>
      </c>
      <c r="AF801" s="524">
        <f t="shared" si="603"/>
        <v>100</v>
      </c>
      <c r="AG801" s="524">
        <f>AB801/Q801*100</f>
        <v>100</v>
      </c>
      <c r="AH801" s="522"/>
      <c r="AI801" s="522">
        <v>75000</v>
      </c>
      <c r="AJ801" s="516">
        <f t="shared" si="604"/>
        <v>109.19540229885058</v>
      </c>
      <c r="AK801" s="516">
        <f>AT801/W801*100</f>
        <v>126.31578947368421</v>
      </c>
      <c r="AL801" s="516">
        <f>X801/AT801*100</f>
        <v>104.16666666666667</v>
      </c>
      <c r="AM801" s="292"/>
      <c r="AO801" t="b">
        <f t="shared" si="576"/>
        <v>1</v>
      </c>
      <c r="AP801" s="440">
        <f t="shared" si="605"/>
        <v>57200</v>
      </c>
      <c r="AQ801" s="441">
        <v>57200</v>
      </c>
      <c r="AR801" s="440">
        <f>AR802</f>
        <v>57200</v>
      </c>
      <c r="AS801" s="441">
        <f t="shared" si="605"/>
        <v>14000</v>
      </c>
      <c r="AT801" s="612">
        <f>AT802</f>
        <v>72000</v>
      </c>
      <c r="AU801" s="469">
        <f t="shared" si="605"/>
        <v>72000</v>
      </c>
      <c r="AV801" s="636">
        <v>75000</v>
      </c>
      <c r="AW801" s="636">
        <v>75000</v>
      </c>
      <c r="AX801" s="655">
        <f t="shared" si="587"/>
        <v>137.93103448275863</v>
      </c>
      <c r="AY801" s="655" t="str">
        <f t="shared" si="572"/>
        <v/>
      </c>
      <c r="AZ801" s="655">
        <f t="shared" si="588"/>
        <v>100</v>
      </c>
      <c r="BA801" s="655" t="str">
        <f t="shared" si="573"/>
        <v/>
      </c>
      <c r="BB801" s="655">
        <f t="shared" si="582"/>
        <v>104.16666666666667</v>
      </c>
      <c r="BC801" s="655">
        <f t="shared" si="582"/>
        <v>100</v>
      </c>
    </row>
    <row r="802" spans="1:55" ht="12" customHeight="1">
      <c r="A802" s="36"/>
      <c r="B802" s="36"/>
      <c r="C802" s="36"/>
      <c r="D802" s="36"/>
      <c r="E802" s="36"/>
      <c r="F802" s="36"/>
      <c r="G802" s="36"/>
      <c r="H802" s="204"/>
      <c r="I802" s="132"/>
      <c r="J802" s="71">
        <v>3811</v>
      </c>
      <c r="K802" s="40" t="s">
        <v>340</v>
      </c>
      <c r="L802" s="315">
        <v>306000</v>
      </c>
      <c r="M802" s="315">
        <f>306000/7.5345</f>
        <v>40613.179374875574</v>
      </c>
      <c r="N802" s="337">
        <v>315000</v>
      </c>
      <c r="O802" s="337">
        <f>N802/7.5345</f>
        <v>41807.684650607203</v>
      </c>
      <c r="P802" s="292">
        <v>52000</v>
      </c>
      <c r="Q802" s="292">
        <v>52000</v>
      </c>
      <c r="R802" s="441">
        <f>SUM(R803:R810)</f>
        <v>52200</v>
      </c>
      <c r="S802" s="292">
        <f>SUM(S803:S810)</f>
        <v>57200</v>
      </c>
      <c r="T802" s="292"/>
      <c r="U802" s="292"/>
      <c r="V802" s="469">
        <f>SUM(V803:V810)</f>
        <v>57000</v>
      </c>
      <c r="W802" s="469">
        <f>SUM(W803:W810)</f>
        <v>57000</v>
      </c>
      <c r="X802" s="522">
        <f>SUM(X803:X810)</f>
        <v>75000</v>
      </c>
      <c r="Y802" s="522">
        <f>SUM(Y803:Y810)</f>
        <v>0</v>
      </c>
      <c r="Z802" s="541" t="b">
        <f t="shared" si="575"/>
        <v>1</v>
      </c>
      <c r="AA802" s="522"/>
      <c r="AB802" s="523">
        <v>52000</v>
      </c>
      <c r="AC802" s="523">
        <v>52000</v>
      </c>
      <c r="AD802" s="524">
        <f t="shared" si="602"/>
        <v>102.94117647058823</v>
      </c>
      <c r="AE802" s="524">
        <f t="shared" si="603"/>
        <v>124.37904761904764</v>
      </c>
      <c r="AF802" s="524">
        <f t="shared" si="603"/>
        <v>100</v>
      </c>
      <c r="AG802" s="524">
        <f>AB802/Q802*100</f>
        <v>100</v>
      </c>
      <c r="AH802" s="522"/>
      <c r="AI802" s="522">
        <v>75000</v>
      </c>
      <c r="AJ802" s="516">
        <f t="shared" si="604"/>
        <v>109.19540229885058</v>
      </c>
      <c r="AK802" s="516">
        <f>AT802/W802*100</f>
        <v>126.31578947368421</v>
      </c>
      <c r="AL802" s="516">
        <f>X802/AT802*100</f>
        <v>104.16666666666667</v>
      </c>
      <c r="AM802" s="292"/>
      <c r="AO802" t="b">
        <f t="shared" si="576"/>
        <v>1</v>
      </c>
      <c r="AP802" s="440">
        <f>SUM(AP803:AP810)</f>
        <v>57200</v>
      </c>
      <c r="AQ802" s="441">
        <v>57200</v>
      </c>
      <c r="AR802" s="440">
        <f>SUM(AR803:AR810)</f>
        <v>57200</v>
      </c>
      <c r="AS802" s="441">
        <f>SUM(AS803:AS810)</f>
        <v>14000</v>
      </c>
      <c r="AT802" s="612">
        <f>SUM(AT803:AT810)</f>
        <v>72000</v>
      </c>
      <c r="AU802" s="469">
        <f>SUM(AU803:AU810)</f>
        <v>72000</v>
      </c>
      <c r="AV802" s="636">
        <v>75000</v>
      </c>
      <c r="AW802" s="636">
        <v>75000</v>
      </c>
      <c r="AX802" s="655">
        <f t="shared" si="587"/>
        <v>137.93103448275863</v>
      </c>
      <c r="AY802" s="655" t="str">
        <f t="shared" si="572"/>
        <v/>
      </c>
      <c r="AZ802" s="655">
        <f t="shared" si="588"/>
        <v>100</v>
      </c>
      <c r="BA802" s="655" t="str">
        <f t="shared" si="573"/>
        <v/>
      </c>
      <c r="BB802" s="655">
        <f t="shared" si="582"/>
        <v>104.16666666666667</v>
      </c>
      <c r="BC802" s="655">
        <f t="shared" si="582"/>
        <v>100</v>
      </c>
    </row>
    <row r="803" spans="1:55" ht="12" customHeight="1">
      <c r="A803" s="36"/>
      <c r="B803" s="36"/>
      <c r="C803" s="36"/>
      <c r="D803" s="36"/>
      <c r="E803" s="36"/>
      <c r="F803" s="36"/>
      <c r="G803" s="36"/>
      <c r="H803" s="204">
        <v>146</v>
      </c>
      <c r="I803" s="132">
        <v>810</v>
      </c>
      <c r="J803" s="71">
        <v>3811</v>
      </c>
      <c r="K803" s="40" t="s">
        <v>341</v>
      </c>
      <c r="L803" s="309">
        <v>30000</v>
      </c>
      <c r="M803" s="309">
        <f>30000/7.5345</f>
        <v>3981.6842524387812</v>
      </c>
      <c r="N803" s="339"/>
      <c r="O803" s="339"/>
      <c r="P803" s="294"/>
      <c r="Q803" s="294"/>
      <c r="R803" s="443">
        <v>5600</v>
      </c>
      <c r="S803" s="294">
        <f>__xlfn.XLOOKUP(H803,[2]Izvršenje_proračuna_po_pozicija!$B$2:$B$153,[2]Izvršenje_proračuna_po_pozicija!$E$2:$E$153,0)</f>
        <v>0</v>
      </c>
      <c r="T803" s="294"/>
      <c r="U803" s="294"/>
      <c r="V803" s="478"/>
      <c r="W803" s="478"/>
      <c r="X803" s="544"/>
      <c r="Y803" s="544"/>
      <c r="Z803" s="541" t="b">
        <f t="shared" si="575"/>
        <v>0</v>
      </c>
      <c r="AA803" s="527"/>
      <c r="AB803" s="528"/>
      <c r="AC803" s="528"/>
      <c r="AD803" s="524">
        <f t="shared" si="602"/>
        <v>0</v>
      </c>
      <c r="AE803" s="524"/>
      <c r="AF803" s="524"/>
      <c r="AG803" s="524"/>
      <c r="AH803" s="527"/>
      <c r="AI803" s="544"/>
      <c r="AJ803" s="516">
        <f t="shared" si="604"/>
        <v>0</v>
      </c>
      <c r="AK803" s="516"/>
      <c r="AL803" s="516"/>
      <c r="AM803" s="294"/>
      <c r="AO803" t="b">
        <f t="shared" si="576"/>
        <v>0</v>
      </c>
      <c r="AQ803" s="443"/>
      <c r="AS803" s="443">
        <f>__xlfn.XLOOKUP(K803,[1]Izvršenje_proračuna_po_pozicija!$C$25:$C$149,[1]Izvršenje_proračuna_po_pozicija!$E$25:$E$149,0)</f>
        <v>0</v>
      </c>
      <c r="AT803" s="617"/>
      <c r="AU803" s="478"/>
      <c r="AV803" s="638"/>
      <c r="AW803" s="638"/>
      <c r="AX803" s="655" t="str">
        <f t="shared" si="587"/>
        <v/>
      </c>
      <c r="AY803" s="655" t="str">
        <f t="shared" si="572"/>
        <v/>
      </c>
      <c r="AZ803" s="655" t="str">
        <f t="shared" si="588"/>
        <v/>
      </c>
      <c r="BA803" s="655" t="str">
        <f t="shared" si="573"/>
        <v/>
      </c>
      <c r="BB803" s="655" t="str">
        <f t="shared" si="582"/>
        <v/>
      </c>
      <c r="BC803" s="655" t="str">
        <f t="shared" si="582"/>
        <v/>
      </c>
    </row>
    <row r="804" spans="1:55" ht="12" customHeight="1">
      <c r="A804" s="36"/>
      <c r="B804" s="36"/>
      <c r="C804" s="36"/>
      <c r="D804" s="36"/>
      <c r="E804" s="36"/>
      <c r="F804" s="36"/>
      <c r="G804" s="36"/>
      <c r="H804" s="204">
        <v>147</v>
      </c>
      <c r="I804" s="132">
        <v>810</v>
      </c>
      <c r="J804" s="71">
        <v>3811</v>
      </c>
      <c r="K804" s="40" t="s">
        <v>342</v>
      </c>
      <c r="L804" s="309">
        <v>80000</v>
      </c>
      <c r="M804" s="309">
        <f>80000/7.5345</f>
        <v>10617.824673170084</v>
      </c>
      <c r="N804" s="339"/>
      <c r="O804" s="339"/>
      <c r="P804" s="294"/>
      <c r="Q804" s="294"/>
      <c r="R804" s="443">
        <v>11000</v>
      </c>
      <c r="S804" s="294">
        <f>__xlfn.XLOOKUP(H804,[2]Izvršenje_proračuna_po_pozicija!$B$2:$B$153,[2]Izvršenje_proračuna_po_pozicija!$E$2:$E$153,0)</f>
        <v>0</v>
      </c>
      <c r="T804" s="294"/>
      <c r="U804" s="294"/>
      <c r="V804" s="478"/>
      <c r="W804" s="478"/>
      <c r="X804" s="544"/>
      <c r="Y804" s="544"/>
      <c r="Z804" s="541" t="b">
        <f t="shared" si="575"/>
        <v>0</v>
      </c>
      <c r="AA804" s="527"/>
      <c r="AB804" s="528"/>
      <c r="AC804" s="528"/>
      <c r="AD804" s="524">
        <f t="shared" si="602"/>
        <v>0</v>
      </c>
      <c r="AE804" s="524"/>
      <c r="AF804" s="524"/>
      <c r="AG804" s="524"/>
      <c r="AH804" s="527"/>
      <c r="AI804" s="544"/>
      <c r="AJ804" s="516">
        <f t="shared" si="604"/>
        <v>0</v>
      </c>
      <c r="AK804" s="516"/>
      <c r="AL804" s="516"/>
      <c r="AM804" s="294"/>
      <c r="AO804" t="b">
        <f t="shared" si="576"/>
        <v>0</v>
      </c>
      <c r="AQ804" s="443"/>
      <c r="AS804" s="443">
        <f>__xlfn.XLOOKUP(K804,[1]Izvršenje_proračuna_po_pozicija!$C$25:$C$149,[1]Izvršenje_proračuna_po_pozicija!$E$25:$E$149,0)</f>
        <v>0</v>
      </c>
      <c r="AT804" s="617"/>
      <c r="AU804" s="478"/>
      <c r="AV804" s="638"/>
      <c r="AW804" s="638"/>
      <c r="AX804" s="655" t="str">
        <f t="shared" si="587"/>
        <v/>
      </c>
      <c r="AY804" s="655" t="str">
        <f t="shared" si="572"/>
        <v/>
      </c>
      <c r="AZ804" s="655" t="str">
        <f t="shared" si="588"/>
        <v/>
      </c>
      <c r="BA804" s="655" t="str">
        <f t="shared" si="573"/>
        <v/>
      </c>
      <c r="BB804" s="655" t="str">
        <f t="shared" si="582"/>
        <v/>
      </c>
      <c r="BC804" s="655" t="str">
        <f t="shared" si="582"/>
        <v/>
      </c>
    </row>
    <row r="805" spans="1:55" ht="12" customHeight="1">
      <c r="A805" s="36"/>
      <c r="B805" s="36"/>
      <c r="C805" s="36"/>
      <c r="D805" s="36"/>
      <c r="E805" s="36"/>
      <c r="F805" s="36"/>
      <c r="G805" s="36"/>
      <c r="H805" s="204">
        <v>148</v>
      </c>
      <c r="I805" s="132">
        <v>810</v>
      </c>
      <c r="J805" s="71">
        <v>3811</v>
      </c>
      <c r="K805" s="40" t="s">
        <v>343</v>
      </c>
      <c r="L805" s="309">
        <v>75000</v>
      </c>
      <c r="M805" s="309">
        <f>75000/7.5345</f>
        <v>9954.2106310969539</v>
      </c>
      <c r="N805" s="339"/>
      <c r="O805" s="339"/>
      <c r="P805" s="294"/>
      <c r="Q805" s="294"/>
      <c r="R805" s="443">
        <v>10600</v>
      </c>
      <c r="S805" s="294">
        <f>__xlfn.XLOOKUP(H805,[2]Izvršenje_proračuna_po_pozicija!$B$2:$B$153,[2]Izvršenje_proračuna_po_pozicija!$E$2:$E$153,0)</f>
        <v>0</v>
      </c>
      <c r="T805" s="294"/>
      <c r="U805" s="294"/>
      <c r="V805" s="478"/>
      <c r="W805" s="478"/>
      <c r="X805" s="544"/>
      <c r="Y805" s="544"/>
      <c r="Z805" s="541" t="b">
        <f t="shared" si="575"/>
        <v>0</v>
      </c>
      <c r="AA805" s="527"/>
      <c r="AB805" s="528"/>
      <c r="AC805" s="528"/>
      <c r="AD805" s="524">
        <f t="shared" si="602"/>
        <v>0</v>
      </c>
      <c r="AE805" s="524"/>
      <c r="AF805" s="524"/>
      <c r="AG805" s="524"/>
      <c r="AH805" s="527"/>
      <c r="AI805" s="544"/>
      <c r="AJ805" s="516">
        <f t="shared" si="604"/>
        <v>0</v>
      </c>
      <c r="AK805" s="516"/>
      <c r="AL805" s="516"/>
      <c r="AM805" s="294"/>
      <c r="AO805" t="b">
        <f t="shared" si="576"/>
        <v>0</v>
      </c>
      <c r="AQ805" s="443"/>
      <c r="AS805" s="443">
        <f>__xlfn.XLOOKUP(K805,[1]Izvršenje_proračuna_po_pozicija!$C$25:$C$149,[1]Izvršenje_proračuna_po_pozicija!$E$25:$E$149,0)</f>
        <v>0</v>
      </c>
      <c r="AT805" s="617"/>
      <c r="AU805" s="478"/>
      <c r="AV805" s="638"/>
      <c r="AW805" s="638"/>
      <c r="AX805" s="655" t="str">
        <f t="shared" si="587"/>
        <v/>
      </c>
      <c r="AY805" s="655" t="str">
        <f t="shared" si="572"/>
        <v/>
      </c>
      <c r="AZ805" s="655" t="str">
        <f t="shared" si="588"/>
        <v/>
      </c>
      <c r="BA805" s="655" t="str">
        <f t="shared" si="573"/>
        <v/>
      </c>
      <c r="BB805" s="655" t="str">
        <f t="shared" si="582"/>
        <v/>
      </c>
      <c r="BC805" s="655" t="str">
        <f t="shared" si="582"/>
        <v/>
      </c>
    </row>
    <row r="806" spans="1:55" ht="12" customHeight="1">
      <c r="A806" s="36"/>
      <c r="B806" s="36"/>
      <c r="C806" s="36"/>
      <c r="D806" s="36"/>
      <c r="E806" s="36"/>
      <c r="F806" s="36"/>
      <c r="G806" s="36"/>
      <c r="H806" s="204">
        <v>149</v>
      </c>
      <c r="I806" s="132">
        <v>810</v>
      </c>
      <c r="J806" s="71">
        <v>3811</v>
      </c>
      <c r="K806" s="40" t="s">
        <v>344</v>
      </c>
      <c r="L806" s="309">
        <v>51000</v>
      </c>
      <c r="M806" s="309">
        <f>51000/7.5345</f>
        <v>6768.863229145928</v>
      </c>
      <c r="N806" s="339"/>
      <c r="O806" s="339"/>
      <c r="P806" s="294"/>
      <c r="Q806" s="294"/>
      <c r="R806" s="443">
        <v>11000</v>
      </c>
      <c r="S806" s="294">
        <f>__xlfn.XLOOKUP(H806,[2]Izvršenje_proračuna_po_pozicija!$B$2:$B$153,[2]Izvršenje_proračuna_po_pozicija!$E$2:$E$153,0)</f>
        <v>0</v>
      </c>
      <c r="T806" s="294"/>
      <c r="U806" s="294"/>
      <c r="V806" s="478"/>
      <c r="W806" s="478"/>
      <c r="X806" s="544"/>
      <c r="Y806" s="544"/>
      <c r="Z806" s="541" t="b">
        <f t="shared" si="575"/>
        <v>0</v>
      </c>
      <c r="AA806" s="527"/>
      <c r="AB806" s="528"/>
      <c r="AC806" s="528"/>
      <c r="AD806" s="524">
        <f t="shared" si="602"/>
        <v>0</v>
      </c>
      <c r="AE806" s="524"/>
      <c r="AF806" s="524"/>
      <c r="AG806" s="524"/>
      <c r="AH806" s="527"/>
      <c r="AI806" s="544"/>
      <c r="AJ806" s="516">
        <f t="shared" si="604"/>
        <v>0</v>
      </c>
      <c r="AK806" s="516"/>
      <c r="AL806" s="516"/>
      <c r="AM806" s="294"/>
      <c r="AO806" t="b">
        <f t="shared" si="576"/>
        <v>0</v>
      </c>
      <c r="AQ806" s="443"/>
      <c r="AS806" s="443">
        <f>__xlfn.XLOOKUP(K806,[1]Izvršenje_proračuna_po_pozicija!$C$25:$C$149,[1]Izvršenje_proračuna_po_pozicija!$E$25:$E$149,0)</f>
        <v>0</v>
      </c>
      <c r="AT806" s="617"/>
      <c r="AU806" s="478"/>
      <c r="AV806" s="638"/>
      <c r="AW806" s="638"/>
      <c r="AX806" s="655" t="str">
        <f t="shared" si="587"/>
        <v/>
      </c>
      <c r="AY806" s="655" t="str">
        <f t="shared" si="572"/>
        <v/>
      </c>
      <c r="AZ806" s="655" t="str">
        <f t="shared" si="588"/>
        <v/>
      </c>
      <c r="BA806" s="655" t="str">
        <f t="shared" si="573"/>
        <v/>
      </c>
      <c r="BB806" s="655" t="str">
        <f t="shared" si="582"/>
        <v/>
      </c>
      <c r="BC806" s="655" t="str">
        <f t="shared" si="582"/>
        <v/>
      </c>
    </row>
    <row r="807" spans="1:55" ht="12" customHeight="1">
      <c r="A807" s="36"/>
      <c r="B807" s="36"/>
      <c r="C807" s="36"/>
      <c r="D807" s="36"/>
      <c r="E807" s="36"/>
      <c r="F807" s="36"/>
      <c r="G807" s="36"/>
      <c r="H807" s="204">
        <v>151</v>
      </c>
      <c r="I807" s="132">
        <v>810</v>
      </c>
      <c r="J807" s="71">
        <v>3811</v>
      </c>
      <c r="K807" s="40" t="s">
        <v>345</v>
      </c>
      <c r="L807" s="309">
        <v>10000</v>
      </c>
      <c r="M807" s="309">
        <f>10000/7.5345</f>
        <v>1327.2280841462605</v>
      </c>
      <c r="N807" s="339"/>
      <c r="O807" s="339"/>
      <c r="P807" s="294"/>
      <c r="Q807" s="294"/>
      <c r="R807" s="443">
        <v>3000</v>
      </c>
      <c r="S807" s="294">
        <f>__xlfn.XLOOKUP(H807,[2]Izvršenje_proračuna_po_pozicija!$B$2:$B$153,[2]Izvršenje_proračuna_po_pozicija!$E$2:$E$153,0)</f>
        <v>0</v>
      </c>
      <c r="T807" s="294"/>
      <c r="U807" s="294"/>
      <c r="V807" s="478"/>
      <c r="W807" s="478"/>
      <c r="X807" s="544"/>
      <c r="Y807" s="544"/>
      <c r="Z807" s="541" t="b">
        <f t="shared" si="575"/>
        <v>0</v>
      </c>
      <c r="AA807" s="527"/>
      <c r="AB807" s="528"/>
      <c r="AC807" s="528"/>
      <c r="AD807" s="524">
        <f t="shared" si="602"/>
        <v>0</v>
      </c>
      <c r="AE807" s="524"/>
      <c r="AF807" s="524"/>
      <c r="AG807" s="524"/>
      <c r="AH807" s="527"/>
      <c r="AI807" s="544"/>
      <c r="AJ807" s="516">
        <f t="shared" si="604"/>
        <v>0</v>
      </c>
      <c r="AK807" s="516"/>
      <c r="AL807" s="516"/>
      <c r="AM807" s="294"/>
      <c r="AO807" t="b">
        <f t="shared" si="576"/>
        <v>0</v>
      </c>
      <c r="AQ807" s="443"/>
      <c r="AS807" s="443">
        <f>__xlfn.XLOOKUP(K807,[1]Izvršenje_proračuna_po_pozicija!$C$25:$C$149,[1]Izvršenje_proračuna_po_pozicija!$E$25:$E$149,0)</f>
        <v>0</v>
      </c>
      <c r="AT807" s="617"/>
      <c r="AU807" s="478"/>
      <c r="AV807" s="638"/>
      <c r="AW807" s="638"/>
      <c r="AX807" s="655" t="str">
        <f t="shared" si="587"/>
        <v/>
      </c>
      <c r="AY807" s="655" t="str">
        <f t="shared" si="572"/>
        <v/>
      </c>
      <c r="AZ807" s="655" t="str">
        <f t="shared" si="588"/>
        <v/>
      </c>
      <c r="BA807" s="655" t="str">
        <f t="shared" si="573"/>
        <v/>
      </c>
      <c r="BB807" s="655" t="str">
        <f t="shared" si="582"/>
        <v/>
      </c>
      <c r="BC807" s="655" t="str">
        <f t="shared" si="582"/>
        <v/>
      </c>
    </row>
    <row r="808" spans="1:55" ht="12" customHeight="1">
      <c r="A808" s="36"/>
      <c r="B808" s="36"/>
      <c r="C808" s="36"/>
      <c r="D808" s="36"/>
      <c r="E808" s="36"/>
      <c r="F808" s="36"/>
      <c r="G808" s="36"/>
      <c r="H808" s="204">
        <v>152</v>
      </c>
      <c r="I808" s="132">
        <v>810</v>
      </c>
      <c r="J808" s="71">
        <v>3811</v>
      </c>
      <c r="K808" s="40" t="s">
        <v>346</v>
      </c>
      <c r="L808" s="309">
        <v>17000</v>
      </c>
      <c r="M808" s="309">
        <f>17000/7.5345</f>
        <v>2256.2877430486428</v>
      </c>
      <c r="N808" s="339"/>
      <c r="O808" s="339"/>
      <c r="P808" s="294"/>
      <c r="Q808" s="294"/>
      <c r="R808" s="443">
        <v>3000</v>
      </c>
      <c r="S808" s="294">
        <f>__xlfn.XLOOKUP(H808,[2]Izvršenje_proračuna_po_pozicija!$B$2:$B$153,[2]Izvršenje_proračuna_po_pozicija!$E$2:$E$153,0)</f>
        <v>0</v>
      </c>
      <c r="T808" s="294"/>
      <c r="U808" s="294"/>
      <c r="V808" s="478"/>
      <c r="W808" s="478"/>
      <c r="X808" s="544"/>
      <c r="Y808" s="544"/>
      <c r="Z808" s="541" t="b">
        <f t="shared" si="575"/>
        <v>0</v>
      </c>
      <c r="AA808" s="527"/>
      <c r="AB808" s="528"/>
      <c r="AC808" s="528"/>
      <c r="AD808" s="524">
        <f t="shared" si="602"/>
        <v>0</v>
      </c>
      <c r="AE808" s="524"/>
      <c r="AF808" s="524"/>
      <c r="AG808" s="524"/>
      <c r="AH808" s="527"/>
      <c r="AI808" s="544"/>
      <c r="AJ808" s="516">
        <f t="shared" si="604"/>
        <v>0</v>
      </c>
      <c r="AK808" s="516"/>
      <c r="AL808" s="516"/>
      <c r="AM808" s="294"/>
      <c r="AO808" t="b">
        <f t="shared" si="576"/>
        <v>0</v>
      </c>
      <c r="AQ808" s="443"/>
      <c r="AS808" s="443">
        <f>__xlfn.XLOOKUP(K808,[1]Izvršenje_proračuna_po_pozicija!$C$25:$C$149,[1]Izvršenje_proračuna_po_pozicija!$E$25:$E$149,0)</f>
        <v>0</v>
      </c>
      <c r="AT808" s="617"/>
      <c r="AU808" s="478"/>
      <c r="AV808" s="638"/>
      <c r="AW808" s="638"/>
      <c r="AX808" s="655" t="str">
        <f t="shared" si="587"/>
        <v/>
      </c>
      <c r="AY808" s="655" t="str">
        <f t="shared" si="572"/>
        <v/>
      </c>
      <c r="AZ808" s="655" t="str">
        <f t="shared" si="588"/>
        <v/>
      </c>
      <c r="BA808" s="655" t="str">
        <f t="shared" si="573"/>
        <v/>
      </c>
      <c r="BB808" s="655" t="str">
        <f t="shared" si="582"/>
        <v/>
      </c>
      <c r="BC808" s="655" t="str">
        <f t="shared" si="582"/>
        <v/>
      </c>
    </row>
    <row r="809" spans="1:55" ht="12" customHeight="1">
      <c r="A809" s="36"/>
      <c r="B809" s="36"/>
      <c r="C809" s="36"/>
      <c r="D809" s="36"/>
      <c r="E809" s="36"/>
      <c r="F809" s="36"/>
      <c r="G809" s="36"/>
      <c r="H809" s="204">
        <v>153</v>
      </c>
      <c r="I809" s="132">
        <v>810</v>
      </c>
      <c r="J809" s="71">
        <v>3811</v>
      </c>
      <c r="K809" s="40" t="s">
        <v>347</v>
      </c>
      <c r="L809" s="309">
        <v>15000</v>
      </c>
      <c r="M809" s="309">
        <f>15000/7.5345</f>
        <v>1990.8421262193906</v>
      </c>
      <c r="N809" s="339"/>
      <c r="O809" s="339"/>
      <c r="P809" s="294"/>
      <c r="Q809" s="294"/>
      <c r="R809" s="443">
        <v>3000</v>
      </c>
      <c r="S809" s="294">
        <f>__xlfn.XLOOKUP(H809,[2]Izvršenje_proračuna_po_pozicija!$B$2:$B$153,[2]Izvršenje_proračuna_po_pozicija!$E$2:$E$153,0)</f>
        <v>0</v>
      </c>
      <c r="T809" s="294"/>
      <c r="U809" s="294"/>
      <c r="V809" s="478"/>
      <c r="W809" s="478"/>
      <c r="X809" s="544"/>
      <c r="Y809" s="544"/>
      <c r="Z809" s="541" t="b">
        <f t="shared" si="575"/>
        <v>0</v>
      </c>
      <c r="AA809" s="527"/>
      <c r="AB809" s="528"/>
      <c r="AC809" s="528"/>
      <c r="AD809" s="524">
        <f t="shared" si="602"/>
        <v>0</v>
      </c>
      <c r="AE809" s="524"/>
      <c r="AF809" s="524"/>
      <c r="AG809" s="524"/>
      <c r="AH809" s="527"/>
      <c r="AI809" s="544"/>
      <c r="AJ809" s="516">
        <f t="shared" si="604"/>
        <v>0</v>
      </c>
      <c r="AK809" s="516"/>
      <c r="AL809" s="516"/>
      <c r="AM809" s="294"/>
      <c r="AO809" t="b">
        <f t="shared" si="576"/>
        <v>0</v>
      </c>
      <c r="AQ809" s="443"/>
      <c r="AS809" s="443">
        <f>__xlfn.XLOOKUP(K809,[1]Izvršenje_proračuna_po_pozicija!$C$25:$C$149,[1]Izvršenje_proračuna_po_pozicija!$E$25:$E$149,0)</f>
        <v>0</v>
      </c>
      <c r="AT809" s="617"/>
      <c r="AU809" s="478"/>
      <c r="AV809" s="638"/>
      <c r="AW809" s="638"/>
      <c r="AX809" s="655" t="str">
        <f t="shared" si="587"/>
        <v/>
      </c>
      <c r="AY809" s="655" t="str">
        <f t="shared" si="572"/>
        <v/>
      </c>
      <c r="AZ809" s="655" t="str">
        <f t="shared" si="588"/>
        <v/>
      </c>
      <c r="BA809" s="655" t="str">
        <f t="shared" si="573"/>
        <v/>
      </c>
      <c r="BB809" s="655" t="str">
        <f t="shared" si="582"/>
        <v/>
      </c>
      <c r="BC809" s="655" t="str">
        <f t="shared" si="582"/>
        <v/>
      </c>
    </row>
    <row r="810" spans="1:55" ht="12" customHeight="1">
      <c r="A810" s="36"/>
      <c r="B810" s="36"/>
      <c r="C810" s="36"/>
      <c r="D810" s="36"/>
      <c r="E810" s="36"/>
      <c r="F810" s="36"/>
      <c r="G810" s="36"/>
      <c r="H810" s="204" t="s">
        <v>871</v>
      </c>
      <c r="I810" s="132">
        <v>810</v>
      </c>
      <c r="J810" s="71">
        <v>3811</v>
      </c>
      <c r="K810" s="40" t="s">
        <v>348</v>
      </c>
      <c r="L810" s="309">
        <v>28000</v>
      </c>
      <c r="M810" s="309">
        <f>28000/7.5345</f>
        <v>3716.2386356095294</v>
      </c>
      <c r="N810" s="339"/>
      <c r="O810" s="339"/>
      <c r="P810" s="294"/>
      <c r="Q810" s="294"/>
      <c r="R810" s="443">
        <v>5000</v>
      </c>
      <c r="S810" s="294">
        <f>__xlfn.XLOOKUP(H810,[2]Izvršenje_proračuna_po_pozicija!$B$2:$B$153,[2]Izvršenje_proračuna_po_pozicija!$E$2:$E$153,0)</f>
        <v>57200</v>
      </c>
      <c r="T810" s="294"/>
      <c r="U810" s="294"/>
      <c r="V810" s="478">
        <v>57000</v>
      </c>
      <c r="W810" s="478">
        <v>57000</v>
      </c>
      <c r="X810" s="544">
        <v>75000</v>
      </c>
      <c r="Y810" s="544"/>
      <c r="Z810" s="541" t="b">
        <f t="shared" si="575"/>
        <v>0</v>
      </c>
      <c r="AA810" s="527"/>
      <c r="AB810" s="528"/>
      <c r="AC810" s="528"/>
      <c r="AD810" s="524">
        <f t="shared" si="602"/>
        <v>0</v>
      </c>
      <c r="AE810" s="524"/>
      <c r="AF810" s="524"/>
      <c r="AG810" s="524"/>
      <c r="AH810" s="527"/>
      <c r="AI810" s="544">
        <v>75000</v>
      </c>
      <c r="AJ810" s="516">
        <f t="shared" si="604"/>
        <v>1140</v>
      </c>
      <c r="AK810" s="516">
        <f>AT810/W810*100</f>
        <v>126.31578947368421</v>
      </c>
      <c r="AL810" s="516">
        <f>X810/AT810*100</f>
        <v>104.16666666666667</v>
      </c>
      <c r="AM810" s="294"/>
      <c r="AO810" t="b">
        <f t="shared" si="576"/>
        <v>0</v>
      </c>
      <c r="AP810" s="493">
        <v>57200</v>
      </c>
      <c r="AQ810" s="443">
        <v>57200</v>
      </c>
      <c r="AR810" s="493">
        <v>57200</v>
      </c>
      <c r="AS810" s="443">
        <v>14000</v>
      </c>
      <c r="AT810" s="617">
        <v>72000</v>
      </c>
      <c r="AU810" s="478">
        <v>72000</v>
      </c>
      <c r="AV810" s="638">
        <v>75000</v>
      </c>
      <c r="AW810" s="638">
        <v>75000</v>
      </c>
      <c r="AX810" s="655">
        <f t="shared" si="587"/>
        <v>1440</v>
      </c>
      <c r="AY810" s="655">
        <f t="shared" si="572"/>
        <v>72</v>
      </c>
      <c r="AZ810" s="655">
        <f t="shared" si="588"/>
        <v>100</v>
      </c>
      <c r="BA810" s="655">
        <f t="shared" si="573"/>
        <v>72</v>
      </c>
      <c r="BB810" s="655">
        <f t="shared" si="582"/>
        <v>104.16666666666667</v>
      </c>
      <c r="BC810" s="655">
        <f t="shared" si="582"/>
        <v>100</v>
      </c>
    </row>
    <row r="811" spans="1:55" ht="12" customHeight="1">
      <c r="A811" s="36"/>
      <c r="B811" s="36"/>
      <c r="C811" s="36"/>
      <c r="D811" s="36"/>
      <c r="E811" s="36"/>
      <c r="F811" s="36"/>
      <c r="G811" s="36"/>
      <c r="H811" s="204"/>
      <c r="I811" s="132"/>
      <c r="J811" s="71"/>
      <c r="K811" s="40"/>
      <c r="L811" s="328"/>
      <c r="M811" s="328"/>
      <c r="N811" s="352"/>
      <c r="O811" s="352"/>
      <c r="P811" s="307"/>
      <c r="Q811" s="307"/>
      <c r="R811" s="463"/>
      <c r="S811" s="294">
        <f>__xlfn.XLOOKUP(H811,[2]Izvršenje_proračuna_po_pozicija!$B$2:$B$153,[2]Izvršenje_proračuna_po_pozicija!$E$2:$E$153,0)</f>
        <v>0</v>
      </c>
      <c r="T811" s="307"/>
      <c r="U811" s="307"/>
      <c r="V811" s="488"/>
      <c r="W811" s="488"/>
      <c r="X811" s="564"/>
      <c r="Y811" s="564"/>
      <c r="Z811" s="541" t="b">
        <f t="shared" si="575"/>
        <v>0</v>
      </c>
      <c r="AA811" s="565"/>
      <c r="AB811" s="566"/>
      <c r="AC811" s="566"/>
      <c r="AD811" s="524"/>
      <c r="AE811" s="524"/>
      <c r="AF811" s="524"/>
      <c r="AG811" s="524"/>
      <c r="AH811" s="565"/>
      <c r="AI811" s="564"/>
      <c r="AJ811" s="516"/>
      <c r="AK811" s="516"/>
      <c r="AL811" s="516"/>
      <c r="AM811" s="307"/>
      <c r="AO811" t="b">
        <f t="shared" si="576"/>
        <v>0</v>
      </c>
      <c r="AQ811" s="463"/>
      <c r="AS811" s="463">
        <f>__xlfn.XLOOKUP(K811,[1]Izvršenje_proračuna_po_pozicija!$C$25:$C$149,[1]Izvršenje_proračuna_po_pozicija!$E$25:$E$149,0)</f>
        <v>0</v>
      </c>
      <c r="AT811" s="620"/>
      <c r="AU811" s="488"/>
      <c r="AV811" s="650"/>
      <c r="AW811" s="650"/>
      <c r="AX811" s="655" t="str">
        <f t="shared" si="587"/>
        <v/>
      </c>
      <c r="AY811" s="655" t="str">
        <f t="shared" si="572"/>
        <v/>
      </c>
      <c r="AZ811" s="655" t="str">
        <f t="shared" si="588"/>
        <v/>
      </c>
      <c r="BA811" s="655" t="str">
        <f t="shared" si="573"/>
        <v/>
      </c>
      <c r="BB811" s="655" t="str">
        <f t="shared" si="582"/>
        <v/>
      </c>
      <c r="BC811" s="655" t="str">
        <f t="shared" si="582"/>
        <v/>
      </c>
    </row>
    <row r="812" spans="1:55" ht="12" customHeight="1">
      <c r="A812" s="212" t="s">
        <v>476</v>
      </c>
      <c r="B812" s="130"/>
      <c r="C812" s="130"/>
      <c r="D812" s="130"/>
      <c r="E812" s="130"/>
      <c r="F812" s="130"/>
      <c r="G812" s="130"/>
      <c r="H812" s="383"/>
      <c r="I812" s="170" t="s">
        <v>631</v>
      </c>
      <c r="J812" s="171"/>
      <c r="K812" s="45"/>
      <c r="L812" s="315">
        <f t="shared" ref="L812:S812" si="606">L814</f>
        <v>175000</v>
      </c>
      <c r="M812" s="315">
        <f t="shared" si="606"/>
        <v>23226.491472559559</v>
      </c>
      <c r="N812" s="337">
        <f t="shared" si="606"/>
        <v>20000</v>
      </c>
      <c r="O812" s="337">
        <f t="shared" si="606"/>
        <v>2654.4561682925209</v>
      </c>
      <c r="P812" s="292">
        <f t="shared" si="606"/>
        <v>60000</v>
      </c>
      <c r="Q812" s="292">
        <f t="shared" si="606"/>
        <v>75300</v>
      </c>
      <c r="R812" s="441">
        <f t="shared" si="606"/>
        <v>0</v>
      </c>
      <c r="S812" s="292">
        <f t="shared" si="606"/>
        <v>0</v>
      </c>
      <c r="T812" s="292"/>
      <c r="U812" s="292"/>
      <c r="V812" s="469">
        <f>V814</f>
        <v>30000</v>
      </c>
      <c r="W812" s="469">
        <f>W814</f>
        <v>156000</v>
      </c>
      <c r="X812" s="522">
        <f>X814</f>
        <v>20000</v>
      </c>
      <c r="Y812" s="522">
        <f>Y814</f>
        <v>0</v>
      </c>
      <c r="Z812" s="541" t="b">
        <f t="shared" si="575"/>
        <v>1</v>
      </c>
      <c r="AA812" s="522"/>
      <c r="AB812" s="523">
        <f>AB814</f>
        <v>60000</v>
      </c>
      <c r="AC812" s="523">
        <f>AC814</f>
        <v>60000</v>
      </c>
      <c r="AD812" s="524">
        <f>O812/M812*100</f>
        <v>11.428571428571429</v>
      </c>
      <c r="AE812" s="524"/>
      <c r="AF812" s="524"/>
      <c r="AG812" s="524"/>
      <c r="AH812" s="522"/>
      <c r="AI812" s="522">
        <v>20000</v>
      </c>
      <c r="AJ812" s="516"/>
      <c r="AK812" s="516">
        <f>AT812/W812*100</f>
        <v>19.230769230769234</v>
      </c>
      <c r="AL812" s="516">
        <f>X812/AT812*100</f>
        <v>66.666666666666657</v>
      </c>
      <c r="AM812" s="292"/>
      <c r="AO812" t="b">
        <f t="shared" si="576"/>
        <v>1</v>
      </c>
      <c r="AP812" s="440">
        <f t="shared" ref="AP812:AU812" si="607">AP814</f>
        <v>0</v>
      </c>
      <c r="AQ812" s="441">
        <v>100000</v>
      </c>
      <c r="AR812" s="440">
        <f>AR814</f>
        <v>0</v>
      </c>
      <c r="AS812" s="441">
        <f t="shared" si="607"/>
        <v>27515.19</v>
      </c>
      <c r="AT812" s="612">
        <f t="shared" si="607"/>
        <v>30000</v>
      </c>
      <c r="AU812" s="469">
        <f t="shared" si="607"/>
        <v>185000</v>
      </c>
      <c r="AV812" s="636">
        <v>20000</v>
      </c>
      <c r="AW812" s="636">
        <v>20000</v>
      </c>
      <c r="AX812" s="655" t="str">
        <f t="shared" si="587"/>
        <v/>
      </c>
      <c r="AY812" s="655" t="str">
        <f t="shared" si="572"/>
        <v/>
      </c>
      <c r="AZ812" s="655">
        <f t="shared" si="588"/>
        <v>616.66666666666674</v>
      </c>
      <c r="BA812" s="655" t="str">
        <f t="shared" si="573"/>
        <v/>
      </c>
      <c r="BB812" s="655">
        <f t="shared" si="582"/>
        <v>10.810810810810811</v>
      </c>
      <c r="BC812" s="655">
        <f t="shared" si="582"/>
        <v>100</v>
      </c>
    </row>
    <row r="813" spans="1:55" ht="12" customHeight="1">
      <c r="A813" s="20"/>
      <c r="B813" s="20"/>
      <c r="C813" s="20"/>
      <c r="D813" s="20"/>
      <c r="E813" s="20"/>
      <c r="F813" s="20"/>
      <c r="G813" s="20"/>
      <c r="H813" s="375"/>
      <c r="I813" s="22"/>
      <c r="J813" s="21"/>
      <c r="K813" s="19"/>
      <c r="L813" s="313"/>
      <c r="M813" s="313"/>
      <c r="N813" s="335"/>
      <c r="O813" s="335"/>
      <c r="P813" s="290"/>
      <c r="Q813" s="290"/>
      <c r="R813" s="439"/>
      <c r="S813" s="294">
        <f>__xlfn.XLOOKUP(H813,[2]Izvršenje_proračuna_po_pozicija!$B$2:$B$153,[2]Izvršenje_proračuna_po_pozicija!$E$2:$E$153,0)</f>
        <v>0</v>
      </c>
      <c r="T813" s="294"/>
      <c r="U813" s="294"/>
      <c r="V813" s="474"/>
      <c r="W813" s="474"/>
      <c r="X813" s="539"/>
      <c r="Y813" s="539"/>
      <c r="Z813" s="541" t="b">
        <f t="shared" si="575"/>
        <v>0</v>
      </c>
      <c r="AA813" s="514"/>
      <c r="AB813" s="515"/>
      <c r="AC813" s="515"/>
      <c r="AD813" s="524"/>
      <c r="AE813" s="524"/>
      <c r="AF813" s="524"/>
      <c r="AG813" s="524"/>
      <c r="AH813" s="514"/>
      <c r="AI813" s="539"/>
      <c r="AJ813" s="516"/>
      <c r="AK813" s="516"/>
      <c r="AL813" s="516"/>
      <c r="AM813" s="290"/>
      <c r="AO813" t="b">
        <f t="shared" si="576"/>
        <v>0</v>
      </c>
      <c r="AQ813" s="439"/>
      <c r="AS813" s="439"/>
      <c r="AT813" s="616"/>
      <c r="AU813" s="474"/>
      <c r="AV813" s="632"/>
      <c r="AW813" s="632"/>
      <c r="AX813" s="655" t="str">
        <f t="shared" si="587"/>
        <v/>
      </c>
      <c r="AY813" s="655" t="str">
        <f t="shared" si="572"/>
        <v/>
      </c>
      <c r="AZ813" s="655" t="str">
        <f t="shared" si="588"/>
        <v/>
      </c>
      <c r="BA813" s="655" t="str">
        <f t="shared" si="573"/>
        <v/>
      </c>
      <c r="BB813" s="655" t="str">
        <f t="shared" si="582"/>
        <v/>
      </c>
      <c r="BC813" s="655" t="str">
        <f t="shared" si="582"/>
        <v/>
      </c>
    </row>
    <row r="814" spans="1:55" ht="12" customHeight="1">
      <c r="A814" s="52"/>
      <c r="B814" s="52"/>
      <c r="C814" s="52"/>
      <c r="D814" s="52"/>
      <c r="E814" s="52"/>
      <c r="F814" s="52"/>
      <c r="G814" s="52"/>
      <c r="H814" s="384"/>
      <c r="I814" s="156"/>
      <c r="J814" s="94">
        <v>3</v>
      </c>
      <c r="K814" s="21" t="s">
        <v>94</v>
      </c>
      <c r="L814" s="315">
        <f t="shared" ref="L814:AC815" si="608">L815</f>
        <v>175000</v>
      </c>
      <c r="M814" s="315">
        <f t="shared" si="608"/>
        <v>23226.491472559559</v>
      </c>
      <c r="N814" s="337">
        <f t="shared" si="608"/>
        <v>20000</v>
      </c>
      <c r="O814" s="337">
        <f t="shared" si="608"/>
        <v>2654.4561682925209</v>
      </c>
      <c r="P814" s="292">
        <f t="shared" si="608"/>
        <v>60000</v>
      </c>
      <c r="Q814" s="292">
        <f t="shared" si="608"/>
        <v>75300</v>
      </c>
      <c r="R814" s="441">
        <f t="shared" si="608"/>
        <v>0</v>
      </c>
      <c r="S814" s="292">
        <f t="shared" si="608"/>
        <v>0</v>
      </c>
      <c r="T814" s="292"/>
      <c r="U814" s="292"/>
      <c r="V814" s="469">
        <f t="shared" si="608"/>
        <v>30000</v>
      </c>
      <c r="W814" s="469">
        <f t="shared" si="608"/>
        <v>156000</v>
      </c>
      <c r="X814" s="522">
        <f t="shared" si="608"/>
        <v>20000</v>
      </c>
      <c r="Y814" s="522">
        <f t="shared" si="608"/>
        <v>0</v>
      </c>
      <c r="Z814" s="541" t="b">
        <f t="shared" si="575"/>
        <v>1</v>
      </c>
      <c r="AA814" s="522"/>
      <c r="AB814" s="523">
        <f t="shared" si="608"/>
        <v>60000</v>
      </c>
      <c r="AC814" s="523">
        <f t="shared" si="608"/>
        <v>60000</v>
      </c>
      <c r="AD814" s="524">
        <f>O814/M814*100</f>
        <v>11.428571428571429</v>
      </c>
      <c r="AE814" s="524"/>
      <c r="AF814" s="524"/>
      <c r="AG814" s="524"/>
      <c r="AH814" s="522"/>
      <c r="AI814" s="522">
        <v>20000</v>
      </c>
      <c r="AJ814" s="516"/>
      <c r="AK814" s="516">
        <f>AT814/W814*100</f>
        <v>19.230769230769234</v>
      </c>
      <c r="AL814" s="516">
        <f>X814/AT814*100</f>
        <v>66.666666666666657</v>
      </c>
      <c r="AM814" s="292"/>
      <c r="AO814" t="b">
        <f t="shared" si="576"/>
        <v>1</v>
      </c>
      <c r="AP814" s="440">
        <f t="shared" ref="AP814:AU815" si="609">AP815</f>
        <v>0</v>
      </c>
      <c r="AQ814" s="441">
        <v>100000</v>
      </c>
      <c r="AR814" s="440">
        <f>AR815</f>
        <v>0</v>
      </c>
      <c r="AS814" s="441">
        <f t="shared" si="609"/>
        <v>27515.19</v>
      </c>
      <c r="AT814" s="612">
        <f>AT815</f>
        <v>30000</v>
      </c>
      <c r="AU814" s="469">
        <f t="shared" si="609"/>
        <v>185000</v>
      </c>
      <c r="AV814" s="636">
        <v>20000</v>
      </c>
      <c r="AW814" s="636">
        <v>20000</v>
      </c>
      <c r="AX814" s="655" t="str">
        <f t="shared" si="587"/>
        <v/>
      </c>
      <c r="AY814" s="655" t="str">
        <f t="shared" si="572"/>
        <v/>
      </c>
      <c r="AZ814" s="655">
        <f t="shared" si="588"/>
        <v>616.66666666666674</v>
      </c>
      <c r="BA814" s="655" t="str">
        <f t="shared" si="573"/>
        <v/>
      </c>
      <c r="BB814" s="655">
        <f t="shared" si="582"/>
        <v>10.810810810810811</v>
      </c>
      <c r="BC814" s="655">
        <f t="shared" si="582"/>
        <v>100</v>
      </c>
    </row>
    <row r="815" spans="1:55" ht="12" customHeight="1">
      <c r="A815" s="355"/>
      <c r="B815" s="355"/>
      <c r="C815" s="355"/>
      <c r="D815" s="355"/>
      <c r="E815" s="355"/>
      <c r="F815" s="355"/>
      <c r="G815" s="355"/>
      <c r="H815" s="379"/>
      <c r="I815" s="359"/>
      <c r="J815" s="356">
        <v>38</v>
      </c>
      <c r="K815" s="358" t="s">
        <v>103</v>
      </c>
      <c r="L815" s="315">
        <f t="shared" si="608"/>
        <v>175000</v>
      </c>
      <c r="M815" s="315">
        <f t="shared" si="608"/>
        <v>23226.491472559559</v>
      </c>
      <c r="N815" s="337">
        <f t="shared" si="608"/>
        <v>20000</v>
      </c>
      <c r="O815" s="337">
        <f t="shared" si="608"/>
        <v>2654.4561682925209</v>
      </c>
      <c r="P815" s="292">
        <f t="shared" si="608"/>
        <v>60000</v>
      </c>
      <c r="Q815" s="292">
        <f t="shared" si="608"/>
        <v>75300</v>
      </c>
      <c r="R815" s="441">
        <f t="shared" si="608"/>
        <v>0</v>
      </c>
      <c r="S815" s="292">
        <f t="shared" si="608"/>
        <v>0</v>
      </c>
      <c r="T815" s="292"/>
      <c r="U815" s="292"/>
      <c r="V815" s="469">
        <f t="shared" si="608"/>
        <v>30000</v>
      </c>
      <c r="W815" s="469">
        <f t="shared" si="608"/>
        <v>156000</v>
      </c>
      <c r="X815" s="522">
        <f t="shared" si="608"/>
        <v>20000</v>
      </c>
      <c r="Y815" s="522">
        <f t="shared" si="608"/>
        <v>0</v>
      </c>
      <c r="Z815" s="541" t="b">
        <f t="shared" si="575"/>
        <v>1</v>
      </c>
      <c r="AA815" s="522"/>
      <c r="AB815" s="523">
        <f t="shared" si="608"/>
        <v>60000</v>
      </c>
      <c r="AC815" s="523">
        <f t="shared" si="608"/>
        <v>60000</v>
      </c>
      <c r="AD815" s="524">
        <f>O815/M815*100</f>
        <v>11.428571428571429</v>
      </c>
      <c r="AE815" s="524"/>
      <c r="AF815" s="524"/>
      <c r="AG815" s="524"/>
      <c r="AH815" s="522"/>
      <c r="AI815" s="522">
        <v>20000</v>
      </c>
      <c r="AJ815" s="516"/>
      <c r="AK815" s="516">
        <f>AT815/W815*100</f>
        <v>19.230769230769234</v>
      </c>
      <c r="AL815" s="516">
        <f>X815/AT815*100</f>
        <v>66.666666666666657</v>
      </c>
      <c r="AM815" s="292"/>
      <c r="AO815" t="b">
        <f t="shared" si="576"/>
        <v>1</v>
      </c>
      <c r="AP815" s="440">
        <f t="shared" si="609"/>
        <v>0</v>
      </c>
      <c r="AQ815" s="441">
        <v>100000</v>
      </c>
      <c r="AR815" s="440">
        <f>AR816</f>
        <v>0</v>
      </c>
      <c r="AS815" s="441">
        <f t="shared" si="609"/>
        <v>27515.19</v>
      </c>
      <c r="AT815" s="612">
        <f>AT816</f>
        <v>30000</v>
      </c>
      <c r="AU815" s="469">
        <f t="shared" si="609"/>
        <v>185000</v>
      </c>
      <c r="AV815" s="636">
        <v>20000</v>
      </c>
      <c r="AW815" s="636">
        <v>20000</v>
      </c>
      <c r="AX815" s="655" t="str">
        <f t="shared" si="587"/>
        <v/>
      </c>
      <c r="AY815" s="655" t="str">
        <f t="shared" si="572"/>
        <v/>
      </c>
      <c r="AZ815" s="655">
        <f t="shared" si="588"/>
        <v>616.66666666666674</v>
      </c>
      <c r="BA815" s="655" t="str">
        <f t="shared" si="573"/>
        <v/>
      </c>
      <c r="BB815" s="655">
        <f t="shared" si="582"/>
        <v>10.810810810810811</v>
      </c>
      <c r="BC815" s="655">
        <f t="shared" si="582"/>
        <v>100</v>
      </c>
    </row>
    <row r="816" spans="1:55" ht="12" customHeight="1">
      <c r="A816" s="56"/>
      <c r="B816" s="56"/>
      <c r="C816" s="56"/>
      <c r="D816" s="56"/>
      <c r="E816" s="56"/>
      <c r="F816" s="56"/>
      <c r="G816" s="56"/>
      <c r="H816" s="377"/>
      <c r="I816" s="157"/>
      <c r="J816" s="116">
        <v>386</v>
      </c>
      <c r="K816" s="60" t="s">
        <v>191</v>
      </c>
      <c r="L816" s="315">
        <f t="shared" ref="L816:S816" si="610">L818</f>
        <v>175000</v>
      </c>
      <c r="M816" s="315">
        <f t="shared" si="610"/>
        <v>23226.491472559559</v>
      </c>
      <c r="N816" s="337">
        <f t="shared" si="610"/>
        <v>20000</v>
      </c>
      <c r="O816" s="337">
        <f t="shared" si="610"/>
        <v>2654.4561682925209</v>
      </c>
      <c r="P816" s="292">
        <f t="shared" si="610"/>
        <v>60000</v>
      </c>
      <c r="Q816" s="292">
        <f t="shared" si="610"/>
        <v>75300</v>
      </c>
      <c r="R816" s="441">
        <f t="shared" si="610"/>
        <v>0</v>
      </c>
      <c r="S816" s="292">
        <f t="shared" si="610"/>
        <v>0</v>
      </c>
      <c r="T816" s="292"/>
      <c r="U816" s="292"/>
      <c r="V816" s="469">
        <f>V818</f>
        <v>30000</v>
      </c>
      <c r="W816" s="469">
        <f>W818</f>
        <v>156000</v>
      </c>
      <c r="X816" s="522">
        <f>X818</f>
        <v>20000</v>
      </c>
      <c r="Y816" s="522">
        <f>Y818</f>
        <v>0</v>
      </c>
      <c r="Z816" s="541" t="b">
        <f t="shared" si="575"/>
        <v>1</v>
      </c>
      <c r="AA816" s="522"/>
      <c r="AB816" s="523">
        <f>AB818</f>
        <v>60000</v>
      </c>
      <c r="AC816" s="523">
        <f>AC818</f>
        <v>60000</v>
      </c>
      <c r="AD816" s="524">
        <f>O816/M816*100</f>
        <v>11.428571428571429</v>
      </c>
      <c r="AE816" s="524"/>
      <c r="AF816" s="524"/>
      <c r="AG816" s="524"/>
      <c r="AH816" s="522"/>
      <c r="AI816" s="522">
        <v>20000</v>
      </c>
      <c r="AJ816" s="516"/>
      <c r="AK816" s="516">
        <f>AT816/W816*100</f>
        <v>19.230769230769234</v>
      </c>
      <c r="AL816" s="516">
        <f>X816/AT816*100</f>
        <v>66.666666666666657</v>
      </c>
      <c r="AM816" s="292"/>
      <c r="AO816" t="b">
        <f t="shared" si="576"/>
        <v>1</v>
      </c>
      <c r="AP816" s="440">
        <f t="shared" ref="AP816:AU816" si="611">AP818</f>
        <v>0</v>
      </c>
      <c r="AQ816" s="441">
        <v>100000</v>
      </c>
      <c r="AR816" s="440">
        <f>AR818</f>
        <v>0</v>
      </c>
      <c r="AS816" s="441">
        <f t="shared" si="611"/>
        <v>27515.19</v>
      </c>
      <c r="AT816" s="612">
        <f t="shared" si="611"/>
        <v>30000</v>
      </c>
      <c r="AU816" s="469">
        <f t="shared" si="611"/>
        <v>185000</v>
      </c>
      <c r="AV816" s="636">
        <v>20000</v>
      </c>
      <c r="AW816" s="636">
        <v>20000</v>
      </c>
      <c r="AX816" s="655" t="str">
        <f t="shared" si="587"/>
        <v/>
      </c>
      <c r="AY816" s="655">
        <f t="shared" si="572"/>
        <v>12.470270874235821</v>
      </c>
      <c r="AZ816" s="655">
        <f t="shared" si="588"/>
        <v>616.66666666666674</v>
      </c>
      <c r="BA816" s="655">
        <f t="shared" si="573"/>
        <v>76.900003724454237</v>
      </c>
      <c r="BB816" s="655">
        <f t="shared" si="582"/>
        <v>10.810810810810811</v>
      </c>
      <c r="BC816" s="655">
        <f t="shared" si="582"/>
        <v>100</v>
      </c>
    </row>
    <row r="817" spans="1:55" ht="12" customHeight="1">
      <c r="A817" s="20"/>
      <c r="B817" s="20"/>
      <c r="C817" s="20"/>
      <c r="D817" s="20"/>
      <c r="E817" s="20"/>
      <c r="F817" s="20"/>
      <c r="G817" s="20"/>
      <c r="H817" s="375"/>
      <c r="I817" s="22"/>
      <c r="J817" s="21"/>
      <c r="K817" s="19"/>
      <c r="L817" s="313">
        <v>1</v>
      </c>
      <c r="M817" s="313">
        <v>2</v>
      </c>
      <c r="N817" s="335">
        <v>3</v>
      </c>
      <c r="O817" s="335">
        <v>4</v>
      </c>
      <c r="P817" s="290">
        <v>5</v>
      </c>
      <c r="Q817" s="290">
        <v>6</v>
      </c>
      <c r="R817" s="439"/>
      <c r="S817" s="294">
        <f>__xlfn.XLOOKUP(H817,[2]Izvršenje_proračuna_po_pozicija!$B$2:$B$153,[2]Izvršenje_proračuna_po_pozicija!$E$2:$E$153,0)</f>
        <v>0</v>
      </c>
      <c r="T817" s="294"/>
      <c r="U817" s="294"/>
      <c r="V817" s="474">
        <v>5</v>
      </c>
      <c r="W817" s="474"/>
      <c r="X817" s="539"/>
      <c r="Y817" s="539"/>
      <c r="Z817" s="541" t="b">
        <f t="shared" si="575"/>
        <v>0</v>
      </c>
      <c r="AA817" s="514"/>
      <c r="AB817" s="515">
        <v>7</v>
      </c>
      <c r="AC817" s="515">
        <v>8</v>
      </c>
      <c r="AD817" s="515">
        <v>9</v>
      </c>
      <c r="AE817" s="515">
        <v>10</v>
      </c>
      <c r="AF817" s="515">
        <v>11</v>
      </c>
      <c r="AG817" s="515">
        <v>12</v>
      </c>
      <c r="AH817" s="514"/>
      <c r="AI817" s="539"/>
      <c r="AJ817" s="516"/>
      <c r="AK817" s="516"/>
      <c r="AL817" s="516"/>
      <c r="AM817" s="290"/>
      <c r="AN817" s="413"/>
      <c r="AO817" t="b">
        <f t="shared" si="576"/>
        <v>0</v>
      </c>
      <c r="AQ817" s="439"/>
      <c r="AS817" s="439">
        <f>__xlfn.XLOOKUP(K817,[1]Izvršenje_proračuna_po_pozicija!$C$25:$C$149,[1]Izvršenje_proračuna_po_pozicija!$E$25:$E$149,0)</f>
        <v>0</v>
      </c>
      <c r="AT817" s="616"/>
      <c r="AU817" s="474"/>
      <c r="AV817" s="632"/>
      <c r="AW817" s="632"/>
      <c r="AX817" s="655" t="str">
        <f t="shared" si="587"/>
        <v/>
      </c>
      <c r="AY817" s="655" t="str">
        <f t="shared" si="572"/>
        <v/>
      </c>
      <c r="AZ817" s="655" t="str">
        <f t="shared" si="588"/>
        <v/>
      </c>
      <c r="BA817" s="655" t="str">
        <f t="shared" si="573"/>
        <v/>
      </c>
      <c r="BB817" s="655" t="str">
        <f t="shared" si="582"/>
        <v/>
      </c>
      <c r="BC817" s="655" t="str">
        <f t="shared" si="582"/>
        <v/>
      </c>
    </row>
    <row r="818" spans="1:55" ht="12" customHeight="1">
      <c r="A818" s="36"/>
      <c r="B818" s="36"/>
      <c r="C818" s="36"/>
      <c r="D818" s="36"/>
      <c r="E818" s="36"/>
      <c r="F818" s="36"/>
      <c r="G818" s="36"/>
      <c r="H818" s="204">
        <v>156</v>
      </c>
      <c r="I818" s="118">
        <v>810</v>
      </c>
      <c r="J818" s="71">
        <v>3861</v>
      </c>
      <c r="K818" s="40" t="s">
        <v>668</v>
      </c>
      <c r="L818" s="309">
        <v>175000</v>
      </c>
      <c r="M818" s="309">
        <f>175000/7.5345</f>
        <v>23226.491472559559</v>
      </c>
      <c r="N818" s="339">
        <v>20000</v>
      </c>
      <c r="O818" s="339">
        <f>N818/7.5345</f>
        <v>2654.4561682925209</v>
      </c>
      <c r="P818" s="294">
        <f>P819+P820</f>
        <v>60000</v>
      </c>
      <c r="Q818" s="269">
        <f>Q819+Q820</f>
        <v>75300</v>
      </c>
      <c r="R818" s="443">
        <v>0</v>
      </c>
      <c r="S818" s="294">
        <f>__xlfn.XLOOKUP(H818,[2]Izvršenje_proračuna_po_pozicija!$B$2:$B$153,[2]Izvršenje_proračuna_po_pozicija!$E$2:$E$153,0)</f>
        <v>0</v>
      </c>
      <c r="T818" s="294"/>
      <c r="U818" s="294"/>
      <c r="V818" s="478">
        <v>30000</v>
      </c>
      <c r="W818" s="478">
        <v>156000</v>
      </c>
      <c r="X818" s="544">
        <v>20000</v>
      </c>
      <c r="Y818" s="544"/>
      <c r="Z818" s="541" t="b">
        <f t="shared" si="575"/>
        <v>0</v>
      </c>
      <c r="AA818" s="527"/>
      <c r="AB818" s="528">
        <v>60000</v>
      </c>
      <c r="AC818" s="528">
        <v>60000</v>
      </c>
      <c r="AD818" s="524">
        <f>O818/M818*100</f>
        <v>11.428571428571429</v>
      </c>
      <c r="AE818" s="524"/>
      <c r="AF818" s="524"/>
      <c r="AG818" s="524"/>
      <c r="AH818" s="527"/>
      <c r="AI818" s="544">
        <v>20000</v>
      </c>
      <c r="AJ818" s="516"/>
      <c r="AK818" s="516">
        <f>AT818/W818*100</f>
        <v>19.230769230769234</v>
      </c>
      <c r="AL818" s="516">
        <f>X818/AT818*100</f>
        <v>66.666666666666657</v>
      </c>
      <c r="AM818" s="294"/>
      <c r="AN818" s="413"/>
      <c r="AO818" t="b">
        <f t="shared" si="576"/>
        <v>0</v>
      </c>
      <c r="AQ818" s="443">
        <v>100000</v>
      </c>
      <c r="AS818" s="443">
        <f>__xlfn.XLOOKUP(K818,[1]Izvršenje_proračuna_po_pozicija!$C$25:$C$149,[1]Izvršenje_proračuna_po_pozicija!$E$25:$E$149,0)</f>
        <v>27515.19</v>
      </c>
      <c r="AT818" s="617">
        <v>30000</v>
      </c>
      <c r="AU818" s="478">
        <v>185000</v>
      </c>
      <c r="AV818" s="638">
        <v>20000</v>
      </c>
      <c r="AW818" s="638">
        <v>20000</v>
      </c>
      <c r="AX818" s="655" t="str">
        <f t="shared" si="587"/>
        <v/>
      </c>
      <c r="AY818" s="655" t="str">
        <f t="shared" si="572"/>
        <v/>
      </c>
      <c r="AZ818" s="655">
        <f t="shared" si="588"/>
        <v>616.66666666666674</v>
      </c>
      <c r="BA818" s="655" t="str">
        <f t="shared" si="573"/>
        <v/>
      </c>
      <c r="BB818" s="655">
        <f t="shared" si="582"/>
        <v>10.810810810810811</v>
      </c>
      <c r="BC818" s="655">
        <f t="shared" si="582"/>
        <v>100</v>
      </c>
    </row>
    <row r="819" spans="1:55" ht="12" customHeight="1">
      <c r="A819" s="36"/>
      <c r="B819" s="36"/>
      <c r="C819" s="36"/>
      <c r="D819" s="36"/>
      <c r="E819" s="36"/>
      <c r="F819" s="36"/>
      <c r="G819" s="36"/>
      <c r="H819" s="204"/>
      <c r="I819" s="118"/>
      <c r="J819" s="71"/>
      <c r="K819" s="40" t="s">
        <v>810</v>
      </c>
      <c r="L819" s="309"/>
      <c r="M819" s="309"/>
      <c r="N819" s="339"/>
      <c r="O819" s="339"/>
      <c r="P819" s="294">
        <v>30000</v>
      </c>
      <c r="Q819" s="294">
        <v>75300</v>
      </c>
      <c r="R819" s="443">
        <v>0</v>
      </c>
      <c r="S819" s="294">
        <f>__xlfn.XLOOKUP(H819,[2]Izvršenje_proračuna_po_pozicija!$B$2:$B$153,[2]Izvršenje_proračuna_po_pozicija!$E$2:$E$153,0)</f>
        <v>0</v>
      </c>
      <c r="T819" s="294"/>
      <c r="U819" s="294"/>
      <c r="V819" s="478">
        <v>0</v>
      </c>
      <c r="W819" s="478"/>
      <c r="X819" s="544"/>
      <c r="Y819" s="544"/>
      <c r="Z819" s="541" t="b">
        <f t="shared" si="575"/>
        <v>0</v>
      </c>
      <c r="AA819" s="527"/>
      <c r="AB819" s="528"/>
      <c r="AC819" s="528"/>
      <c r="AD819" s="524"/>
      <c r="AE819" s="524"/>
      <c r="AF819" s="524"/>
      <c r="AG819" s="524"/>
      <c r="AH819" s="527"/>
      <c r="AI819" s="544"/>
      <c r="AJ819" s="516"/>
      <c r="AK819" s="516"/>
      <c r="AL819" s="516"/>
      <c r="AM819" s="294"/>
      <c r="AN819" s="413"/>
      <c r="AO819" t="b">
        <f t="shared" si="576"/>
        <v>0</v>
      </c>
      <c r="AQ819" s="443"/>
      <c r="AS819" s="443">
        <f>__xlfn.XLOOKUP(K819,[1]Izvršenje_proračuna_po_pozicija!$C$25:$C$149,[1]Izvršenje_proračuna_po_pozicija!$E$25:$E$149,0)</f>
        <v>0</v>
      </c>
      <c r="AT819" s="617"/>
      <c r="AU819" s="478"/>
      <c r="AV819" s="638"/>
      <c r="AW819" s="638"/>
      <c r="AX819" s="655" t="str">
        <f t="shared" si="587"/>
        <v/>
      </c>
      <c r="AY819" s="655" t="str">
        <f t="shared" si="572"/>
        <v/>
      </c>
      <c r="AZ819" s="655" t="str">
        <f t="shared" si="588"/>
        <v/>
      </c>
      <c r="BA819" s="655" t="str">
        <f t="shared" si="573"/>
        <v/>
      </c>
      <c r="BB819" s="655" t="str">
        <f t="shared" si="582"/>
        <v/>
      </c>
      <c r="BC819" s="655" t="str">
        <f t="shared" si="582"/>
        <v/>
      </c>
    </row>
    <row r="820" spans="1:55" ht="12" customHeight="1">
      <c r="A820" s="36"/>
      <c r="B820" s="36"/>
      <c r="C820" s="36"/>
      <c r="D820" s="36"/>
      <c r="E820" s="36"/>
      <c r="F820" s="36"/>
      <c r="G820" s="36"/>
      <c r="H820" s="204"/>
      <c r="I820" s="118"/>
      <c r="J820" s="71"/>
      <c r="K820" s="40" t="s">
        <v>809</v>
      </c>
      <c r="L820" s="309"/>
      <c r="M820" s="309"/>
      <c r="N820" s="339"/>
      <c r="O820" s="339"/>
      <c r="P820" s="294">
        <v>30000</v>
      </c>
      <c r="Q820" s="294">
        <v>0</v>
      </c>
      <c r="R820" s="443">
        <v>0</v>
      </c>
      <c r="S820" s="294">
        <f>__xlfn.XLOOKUP(H820,[2]Izvršenje_proračuna_po_pozicija!$B$2:$B$153,[2]Izvršenje_proračuna_po_pozicija!$E$2:$E$153,0)</f>
        <v>0</v>
      </c>
      <c r="T820" s="294"/>
      <c r="U820" s="294"/>
      <c r="V820" s="478">
        <v>30000</v>
      </c>
      <c r="W820" s="478"/>
      <c r="X820" s="544"/>
      <c r="Y820" s="544"/>
      <c r="Z820" s="541" t="b">
        <f t="shared" si="575"/>
        <v>0</v>
      </c>
      <c r="AA820" s="527"/>
      <c r="AB820" s="528"/>
      <c r="AC820" s="528"/>
      <c r="AD820" s="524"/>
      <c r="AE820" s="524"/>
      <c r="AF820" s="524"/>
      <c r="AG820" s="524"/>
      <c r="AH820" s="527"/>
      <c r="AI820" s="544"/>
      <c r="AJ820" s="516"/>
      <c r="AK820" s="516"/>
      <c r="AL820" s="516"/>
      <c r="AM820" s="294"/>
      <c r="AO820" t="b">
        <f t="shared" si="576"/>
        <v>0</v>
      </c>
      <c r="AQ820" s="443"/>
      <c r="AS820" s="443">
        <f>__xlfn.XLOOKUP(K820,[1]Izvršenje_proračuna_po_pozicija!$C$25:$C$149,[1]Izvršenje_proračuna_po_pozicija!$E$25:$E$149,0)</f>
        <v>0</v>
      </c>
      <c r="AT820" s="617"/>
      <c r="AU820" s="478"/>
      <c r="AV820" s="638"/>
      <c r="AW820" s="638"/>
      <c r="AX820" s="655" t="str">
        <f t="shared" si="587"/>
        <v/>
      </c>
      <c r="AY820" s="655" t="str">
        <f t="shared" si="572"/>
        <v/>
      </c>
      <c r="AZ820" s="655" t="str">
        <f t="shared" si="588"/>
        <v/>
      </c>
      <c r="BA820" s="655" t="str">
        <f t="shared" si="573"/>
        <v/>
      </c>
      <c r="BB820" s="655" t="str">
        <f t="shared" si="582"/>
        <v/>
      </c>
      <c r="BC820" s="655" t="str">
        <f t="shared" si="582"/>
        <v/>
      </c>
    </row>
    <row r="821" spans="1:55" ht="12" customHeight="1">
      <c r="A821" s="142"/>
      <c r="B821" s="142"/>
      <c r="C821" s="142"/>
      <c r="D821" s="142"/>
      <c r="E821" s="142"/>
      <c r="F821" s="142"/>
      <c r="G821" s="142"/>
      <c r="H821" s="390"/>
      <c r="I821" s="173" t="s">
        <v>494</v>
      </c>
      <c r="J821" s="174"/>
      <c r="K821" s="51"/>
      <c r="L821" s="315">
        <f t="shared" ref="L821:S821" si="612">L822+L830+L845+L854</f>
        <v>699707</v>
      </c>
      <c r="M821" s="315">
        <f t="shared" si="612"/>
        <v>92867.078107372727</v>
      </c>
      <c r="N821" s="337">
        <f t="shared" si="612"/>
        <v>676138</v>
      </c>
      <c r="O821" s="337">
        <f t="shared" si="612"/>
        <v>89738.934235848414</v>
      </c>
      <c r="P821" s="292">
        <f t="shared" si="612"/>
        <v>110099.50892560887</v>
      </c>
      <c r="Q821" s="292">
        <f t="shared" si="612"/>
        <v>196000</v>
      </c>
      <c r="R821" s="441">
        <f t="shared" si="612"/>
        <v>287633</v>
      </c>
      <c r="S821" s="292">
        <f t="shared" si="612"/>
        <v>160266.73000000001</v>
      </c>
      <c r="T821" s="292"/>
      <c r="U821" s="292"/>
      <c r="V821" s="469">
        <f>V822+V830+V845+V854</f>
        <v>144630</v>
      </c>
      <c r="W821" s="469">
        <f>W822+W830+W845+W854</f>
        <v>211700</v>
      </c>
      <c r="X821" s="522">
        <f>X822+X830+X845+X854</f>
        <v>232000</v>
      </c>
      <c r="Y821" s="522">
        <f>Y822+Y830+Y845+Y854</f>
        <v>0</v>
      </c>
      <c r="Z821" s="541" t="b">
        <f t="shared" si="575"/>
        <v>1</v>
      </c>
      <c r="AA821" s="522"/>
      <c r="AB821" s="523">
        <f>AB822+AB830+AB845+AB854</f>
        <v>109500</v>
      </c>
      <c r="AC821" s="523">
        <f>AC822+AC830+AC845+AC854</f>
        <v>109500</v>
      </c>
      <c r="AD821" s="524">
        <f>O821/M821*100</f>
        <v>96.631590079847712</v>
      </c>
      <c r="AE821" s="524">
        <f>P821/O821*100</f>
        <v>122.6886745013592</v>
      </c>
      <c r="AF821" s="524">
        <f>Q821/P821*100</f>
        <v>178.02077585326168</v>
      </c>
      <c r="AG821" s="524">
        <f>AB821/Q821*100</f>
        <v>55.867346938775512</v>
      </c>
      <c r="AH821" s="522"/>
      <c r="AI821" s="522">
        <v>232000</v>
      </c>
      <c r="AJ821" s="516">
        <f>W821/R821*100</f>
        <v>73.600734269016428</v>
      </c>
      <c r="AK821" s="516">
        <f>AT821/W821*100</f>
        <v>99.905526688710438</v>
      </c>
      <c r="AL821" s="516">
        <f>X821/AT821*100</f>
        <v>109.69267139479906</v>
      </c>
      <c r="AM821" s="292"/>
      <c r="AO821" t="b">
        <f t="shared" si="576"/>
        <v>1</v>
      </c>
      <c r="AP821" s="440">
        <f t="shared" ref="AP821:AU821" si="613">AP822+AP830+AP845+AP854</f>
        <v>240572.16</v>
      </c>
      <c r="AQ821" s="441">
        <v>240572.16</v>
      </c>
      <c r="AR821" s="440">
        <f>AR822+AR830+AR845+AR854</f>
        <v>240572.16</v>
      </c>
      <c r="AS821" s="441">
        <f t="shared" si="613"/>
        <v>78450</v>
      </c>
      <c r="AT821" s="612">
        <f t="shared" si="613"/>
        <v>211500</v>
      </c>
      <c r="AU821" s="469">
        <f t="shared" si="613"/>
        <v>321500</v>
      </c>
      <c r="AV821" s="636">
        <v>232000</v>
      </c>
      <c r="AW821" s="636">
        <v>232000</v>
      </c>
      <c r="AX821" s="655">
        <f t="shared" si="587"/>
        <v>73.531201218219039</v>
      </c>
      <c r="AY821" s="655">
        <f t="shared" si="572"/>
        <v>4086.0011475577694</v>
      </c>
      <c r="AZ821" s="655">
        <f t="shared" si="588"/>
        <v>152.00945626477542</v>
      </c>
      <c r="BA821" s="655">
        <f t="shared" si="573"/>
        <v>6211.1081273750488</v>
      </c>
      <c r="BB821" s="655">
        <f t="shared" si="582"/>
        <v>72.161741835147737</v>
      </c>
      <c r="BC821" s="655">
        <f t="shared" si="582"/>
        <v>100</v>
      </c>
    </row>
    <row r="822" spans="1:55" ht="12" customHeight="1">
      <c r="A822" s="212" t="s">
        <v>474</v>
      </c>
      <c r="B822" s="130"/>
      <c r="C822" s="130"/>
      <c r="D822" s="130"/>
      <c r="E822" s="130"/>
      <c r="F822" s="130"/>
      <c r="G822" s="130"/>
      <c r="H822" s="388"/>
      <c r="I822" s="167" t="s">
        <v>349</v>
      </c>
      <c r="J822" s="168"/>
      <c r="K822" s="169"/>
      <c r="L822" s="320">
        <f t="shared" ref="L822:S822" si="614">L824</f>
        <v>54250</v>
      </c>
      <c r="M822" s="320">
        <f t="shared" si="614"/>
        <v>7200.2123564934627</v>
      </c>
      <c r="N822" s="344">
        <f t="shared" si="614"/>
        <v>15000</v>
      </c>
      <c r="O822" s="344">
        <f t="shared" si="614"/>
        <v>1990.8421262193906</v>
      </c>
      <c r="P822" s="299">
        <f t="shared" si="614"/>
        <v>4800</v>
      </c>
      <c r="Q822" s="299">
        <f t="shared" si="614"/>
        <v>5600</v>
      </c>
      <c r="R822" s="447">
        <f t="shared" si="614"/>
        <v>3185</v>
      </c>
      <c r="S822" s="299">
        <f t="shared" si="614"/>
        <v>0</v>
      </c>
      <c r="T822" s="299"/>
      <c r="U822" s="299"/>
      <c r="V822" s="477">
        <f>V824</f>
        <v>1600</v>
      </c>
      <c r="W822" s="477">
        <f>W824</f>
        <v>1800</v>
      </c>
      <c r="X822" s="542">
        <f>X824</f>
        <v>0</v>
      </c>
      <c r="Y822" s="542">
        <f>Y824</f>
        <v>0</v>
      </c>
      <c r="Z822" s="541" t="b">
        <f t="shared" si="575"/>
        <v>1</v>
      </c>
      <c r="AA822" s="542"/>
      <c r="AB822" s="543">
        <f>AB824</f>
        <v>0</v>
      </c>
      <c r="AC822" s="543">
        <f>AC824</f>
        <v>0</v>
      </c>
      <c r="AD822" s="524">
        <f>O822/M822*100</f>
        <v>27.649769585253459</v>
      </c>
      <c r="AE822" s="524"/>
      <c r="AF822" s="524"/>
      <c r="AG822" s="524"/>
      <c r="AH822" s="542"/>
      <c r="AI822" s="542">
        <v>0</v>
      </c>
      <c r="AJ822" s="516">
        <f>W822/R822*100</f>
        <v>56.514913657770805</v>
      </c>
      <c r="AK822" s="516">
        <f>AT822/W822*100</f>
        <v>0</v>
      </c>
      <c r="AL822" s="516"/>
      <c r="AM822" s="299"/>
      <c r="AO822" t="b">
        <f t="shared" si="576"/>
        <v>1</v>
      </c>
      <c r="AP822" s="503">
        <f t="shared" ref="AP822:AU822" si="615">AP824</f>
        <v>5176.21</v>
      </c>
      <c r="AQ822" s="447">
        <v>5176.21</v>
      </c>
      <c r="AR822" s="503">
        <f>AR824</f>
        <v>5176.21</v>
      </c>
      <c r="AS822" s="447">
        <f t="shared" si="615"/>
        <v>0</v>
      </c>
      <c r="AT822" s="611">
        <f t="shared" si="615"/>
        <v>0</v>
      </c>
      <c r="AU822" s="477">
        <f t="shared" si="615"/>
        <v>0</v>
      </c>
      <c r="AV822" s="643">
        <v>0</v>
      </c>
      <c r="AW822" s="643">
        <v>0</v>
      </c>
      <c r="AX822" s="655">
        <f t="shared" si="587"/>
        <v>0</v>
      </c>
      <c r="AY822" s="655">
        <f t="shared" si="572"/>
        <v>0</v>
      </c>
      <c r="AZ822" s="655" t="str">
        <f t="shared" si="588"/>
        <v/>
      </c>
      <c r="BA822" s="655">
        <f t="shared" si="573"/>
        <v>0</v>
      </c>
      <c r="BB822" s="655" t="str">
        <f t="shared" si="582"/>
        <v/>
      </c>
      <c r="BC822" s="655" t="str">
        <f t="shared" si="582"/>
        <v/>
      </c>
    </row>
    <row r="823" spans="1:55" ht="12" customHeight="1">
      <c r="A823" s="20"/>
      <c r="B823" s="20"/>
      <c r="C823" s="20"/>
      <c r="D823" s="20"/>
      <c r="E823" s="20"/>
      <c r="F823" s="20"/>
      <c r="G823" s="20"/>
      <c r="H823" s="375"/>
      <c r="I823" s="22"/>
      <c r="J823" s="21"/>
      <c r="K823" s="19"/>
      <c r="L823" s="313"/>
      <c r="M823" s="313"/>
      <c r="N823" s="335"/>
      <c r="O823" s="335"/>
      <c r="P823" s="290"/>
      <c r="Q823" s="290"/>
      <c r="R823" s="439"/>
      <c r="S823" s="294">
        <f>__xlfn.XLOOKUP(H823,[2]Izvršenje_proračuna_po_pozicija!$B$2:$B$153,[2]Izvršenje_proračuna_po_pozicija!$E$2:$E$153,0)</f>
        <v>0</v>
      </c>
      <c r="T823" s="294"/>
      <c r="U823" s="294"/>
      <c r="V823" s="474"/>
      <c r="W823" s="474"/>
      <c r="X823" s="539"/>
      <c r="Y823" s="539"/>
      <c r="Z823" s="541" t="b">
        <f t="shared" si="575"/>
        <v>0</v>
      </c>
      <c r="AA823" s="514"/>
      <c r="AB823" s="515"/>
      <c r="AC823" s="515"/>
      <c r="AD823" s="524"/>
      <c r="AE823" s="524"/>
      <c r="AF823" s="524"/>
      <c r="AG823" s="524"/>
      <c r="AH823" s="514"/>
      <c r="AI823" s="539"/>
      <c r="AJ823" s="516"/>
      <c r="AK823" s="516"/>
      <c r="AL823" s="516"/>
      <c r="AM823" s="290"/>
      <c r="AO823" t="b">
        <f t="shared" si="576"/>
        <v>0</v>
      </c>
      <c r="AQ823" s="439"/>
      <c r="AS823" s="439"/>
      <c r="AT823" s="616"/>
      <c r="AU823" s="474"/>
      <c r="AV823" s="632"/>
      <c r="AW823" s="632"/>
      <c r="AX823" s="655" t="str">
        <f t="shared" si="587"/>
        <v/>
      </c>
      <c r="AY823" s="655" t="str">
        <f t="shared" si="572"/>
        <v/>
      </c>
      <c r="AZ823" s="655" t="str">
        <f t="shared" si="588"/>
        <v/>
      </c>
      <c r="BA823" s="655" t="str">
        <f t="shared" si="573"/>
        <v/>
      </c>
      <c r="BB823" s="655" t="str">
        <f t="shared" si="582"/>
        <v/>
      </c>
      <c r="BC823" s="655" t="str">
        <f t="shared" si="582"/>
        <v/>
      </c>
    </row>
    <row r="824" spans="1:55" ht="12" customHeight="1">
      <c r="A824" s="52"/>
      <c r="B824" s="52"/>
      <c r="C824" s="52"/>
      <c r="D824" s="52"/>
      <c r="E824" s="52"/>
      <c r="F824" s="52"/>
      <c r="G824" s="52"/>
      <c r="H824" s="384"/>
      <c r="I824" s="156"/>
      <c r="J824" s="94">
        <v>3</v>
      </c>
      <c r="K824" s="21" t="s">
        <v>94</v>
      </c>
      <c r="L824" s="315">
        <f t="shared" ref="L824:S824" si="616">L826</f>
        <v>54250</v>
      </c>
      <c r="M824" s="315">
        <f t="shared" si="616"/>
        <v>7200.2123564934627</v>
      </c>
      <c r="N824" s="337">
        <f t="shared" si="616"/>
        <v>15000</v>
      </c>
      <c r="O824" s="337">
        <f t="shared" si="616"/>
        <v>1990.8421262193906</v>
      </c>
      <c r="P824" s="292">
        <f t="shared" si="616"/>
        <v>4800</v>
      </c>
      <c r="Q824" s="292">
        <f t="shared" si="616"/>
        <v>5600</v>
      </c>
      <c r="R824" s="441">
        <f t="shared" si="616"/>
        <v>3185</v>
      </c>
      <c r="S824" s="292">
        <f t="shared" si="616"/>
        <v>0</v>
      </c>
      <c r="T824" s="292"/>
      <c r="U824" s="292"/>
      <c r="V824" s="469">
        <f>V826</f>
        <v>1600</v>
      </c>
      <c r="W824" s="469">
        <f>W826</f>
        <v>1800</v>
      </c>
      <c r="X824" s="522">
        <f>X826</f>
        <v>0</v>
      </c>
      <c r="Y824" s="522">
        <f>Y826</f>
        <v>0</v>
      </c>
      <c r="Z824" s="541" t="b">
        <f t="shared" si="575"/>
        <v>1</v>
      </c>
      <c r="AA824" s="522"/>
      <c r="AB824" s="523">
        <f>AB826</f>
        <v>0</v>
      </c>
      <c r="AC824" s="523">
        <f>AC826</f>
        <v>0</v>
      </c>
      <c r="AD824" s="524">
        <f>O824/M824*100</f>
        <v>27.649769585253459</v>
      </c>
      <c r="AE824" s="524"/>
      <c r="AF824" s="524"/>
      <c r="AG824" s="524"/>
      <c r="AH824" s="522"/>
      <c r="AI824" s="522">
        <v>0</v>
      </c>
      <c r="AJ824" s="516">
        <f>W824/R824*100</f>
        <v>56.514913657770805</v>
      </c>
      <c r="AK824" s="516">
        <f>AT824/W824*100</f>
        <v>0</v>
      </c>
      <c r="AL824" s="516"/>
      <c r="AM824" s="292"/>
      <c r="AO824" t="b">
        <f t="shared" si="576"/>
        <v>1</v>
      </c>
      <c r="AP824" s="440">
        <f t="shared" ref="AP824:AU824" si="617">AP826</f>
        <v>5176.21</v>
      </c>
      <c r="AQ824" s="441">
        <v>5176.21</v>
      </c>
      <c r="AR824" s="440">
        <f>AR826</f>
        <v>5176.21</v>
      </c>
      <c r="AS824" s="441">
        <f t="shared" si="617"/>
        <v>0</v>
      </c>
      <c r="AT824" s="612">
        <f t="shared" si="617"/>
        <v>0</v>
      </c>
      <c r="AU824" s="469">
        <f t="shared" si="617"/>
        <v>0</v>
      </c>
      <c r="AV824" s="636">
        <v>0</v>
      </c>
      <c r="AW824" s="636">
        <v>0</v>
      </c>
      <c r="AX824" s="655">
        <f t="shared" si="587"/>
        <v>0</v>
      </c>
      <c r="AY824" s="655" t="str">
        <f t="shared" si="572"/>
        <v/>
      </c>
      <c r="AZ824" s="655" t="str">
        <f t="shared" si="588"/>
        <v/>
      </c>
      <c r="BA824" s="655" t="str">
        <f t="shared" si="573"/>
        <v/>
      </c>
      <c r="BB824" s="655" t="str">
        <f t="shared" si="582"/>
        <v/>
      </c>
      <c r="BC824" s="655" t="str">
        <f t="shared" si="582"/>
        <v/>
      </c>
    </row>
    <row r="825" spans="1:55" ht="12" customHeight="1">
      <c r="A825" s="20"/>
      <c r="B825" s="20"/>
      <c r="C825" s="20"/>
      <c r="D825" s="20"/>
      <c r="E825" s="20"/>
      <c r="F825" s="20"/>
      <c r="G825" s="20"/>
      <c r="H825" s="375"/>
      <c r="I825" s="22"/>
      <c r="J825" s="21"/>
      <c r="K825" s="94"/>
      <c r="L825" s="313"/>
      <c r="M825" s="313"/>
      <c r="N825" s="335"/>
      <c r="O825" s="335"/>
      <c r="P825" s="290"/>
      <c r="Q825" s="290"/>
      <c r="R825" s="439"/>
      <c r="S825" s="294">
        <f>__xlfn.XLOOKUP(H825,[2]Izvršenje_proračuna_po_pozicija!$B$2:$B$153,[2]Izvršenje_proračuna_po_pozicija!$E$2:$E$153,0)</f>
        <v>0</v>
      </c>
      <c r="T825" s="294"/>
      <c r="U825" s="294"/>
      <c r="V825" s="474"/>
      <c r="W825" s="474"/>
      <c r="X825" s="539"/>
      <c r="Y825" s="539"/>
      <c r="Z825" s="541" t="b">
        <f t="shared" si="575"/>
        <v>0</v>
      </c>
      <c r="AA825" s="514"/>
      <c r="AB825" s="515"/>
      <c r="AC825" s="515"/>
      <c r="AD825" s="524"/>
      <c r="AE825" s="524"/>
      <c r="AF825" s="524"/>
      <c r="AG825" s="524"/>
      <c r="AH825" s="514"/>
      <c r="AI825" s="539"/>
      <c r="AJ825" s="516"/>
      <c r="AK825" s="516"/>
      <c r="AL825" s="516"/>
      <c r="AM825" s="290"/>
      <c r="AO825" t="b">
        <f t="shared" si="576"/>
        <v>0</v>
      </c>
      <c r="AQ825" s="439"/>
      <c r="AS825" s="439"/>
      <c r="AT825" s="616"/>
      <c r="AU825" s="474"/>
      <c r="AV825" s="632"/>
      <c r="AW825" s="632"/>
      <c r="AX825" s="655" t="str">
        <f t="shared" si="587"/>
        <v/>
      </c>
      <c r="AY825" s="655" t="str">
        <f t="shared" si="572"/>
        <v/>
      </c>
      <c r="AZ825" s="655" t="str">
        <f t="shared" si="588"/>
        <v/>
      </c>
      <c r="BA825" s="655" t="str">
        <f t="shared" si="573"/>
        <v/>
      </c>
      <c r="BB825" s="655" t="str">
        <f t="shared" si="582"/>
        <v/>
      </c>
      <c r="BC825" s="655" t="str">
        <f t="shared" si="582"/>
        <v/>
      </c>
    </row>
    <row r="826" spans="1:55" ht="12" customHeight="1">
      <c r="A826" s="355"/>
      <c r="B826" s="355"/>
      <c r="C826" s="355"/>
      <c r="D826" s="355"/>
      <c r="E826" s="355"/>
      <c r="F826" s="355"/>
      <c r="G826" s="355"/>
      <c r="H826" s="379"/>
      <c r="I826" s="359"/>
      <c r="J826" s="356">
        <v>32</v>
      </c>
      <c r="K826" s="358" t="s">
        <v>103</v>
      </c>
      <c r="L826" s="315">
        <f t="shared" ref="L826:S827" si="618">L827</f>
        <v>54250</v>
      </c>
      <c r="M826" s="315">
        <f t="shared" si="618"/>
        <v>7200.2123564934627</v>
      </c>
      <c r="N826" s="337">
        <f t="shared" si="618"/>
        <v>15000</v>
      </c>
      <c r="O826" s="337">
        <f t="shared" si="618"/>
        <v>1990.8421262193906</v>
      </c>
      <c r="P826" s="292">
        <f t="shared" si="618"/>
        <v>4800</v>
      </c>
      <c r="Q826" s="292">
        <f t="shared" si="618"/>
        <v>5600</v>
      </c>
      <c r="R826" s="441">
        <f t="shared" si="618"/>
        <v>3185</v>
      </c>
      <c r="S826" s="292">
        <f t="shared" si="618"/>
        <v>0</v>
      </c>
      <c r="T826" s="292"/>
      <c r="U826" s="292"/>
      <c r="V826" s="469">
        <f t="shared" ref="V826:Y827" si="619">V827</f>
        <v>1600</v>
      </c>
      <c r="W826" s="469">
        <f t="shared" si="619"/>
        <v>1800</v>
      </c>
      <c r="X826" s="522">
        <f t="shared" si="619"/>
        <v>0</v>
      </c>
      <c r="Y826" s="522">
        <f t="shared" si="619"/>
        <v>0</v>
      </c>
      <c r="Z826" s="541" t="b">
        <f t="shared" si="575"/>
        <v>1</v>
      </c>
      <c r="AA826" s="522"/>
      <c r="AB826" s="523">
        <f>AB827</f>
        <v>0</v>
      </c>
      <c r="AC826" s="523">
        <f>AC827</f>
        <v>0</v>
      </c>
      <c r="AD826" s="524">
        <f>O826/M826*100</f>
        <v>27.649769585253459</v>
      </c>
      <c r="AE826" s="524"/>
      <c r="AF826" s="524"/>
      <c r="AG826" s="524"/>
      <c r="AH826" s="522"/>
      <c r="AI826" s="522">
        <v>0</v>
      </c>
      <c r="AJ826" s="516">
        <f>W826/R826*100</f>
        <v>56.514913657770805</v>
      </c>
      <c r="AK826" s="516">
        <f>AT826/W826*100</f>
        <v>0</v>
      </c>
      <c r="AL826" s="516"/>
      <c r="AM826" s="292"/>
      <c r="AO826" t="b">
        <f t="shared" si="576"/>
        <v>1</v>
      </c>
      <c r="AP826" s="440">
        <f>AP827</f>
        <v>5176.21</v>
      </c>
      <c r="AQ826" s="441">
        <v>5176.21</v>
      </c>
      <c r="AR826" s="440">
        <f t="shared" ref="AR826:AU827" si="620">AR827</f>
        <v>5176.21</v>
      </c>
      <c r="AS826" s="441">
        <f t="shared" si="620"/>
        <v>0</v>
      </c>
      <c r="AT826" s="612">
        <f t="shared" si="620"/>
        <v>0</v>
      </c>
      <c r="AU826" s="469">
        <f t="shared" si="620"/>
        <v>0</v>
      </c>
      <c r="AV826" s="636">
        <v>0</v>
      </c>
      <c r="AW826" s="636">
        <v>0</v>
      </c>
      <c r="AX826" s="655">
        <f t="shared" si="587"/>
        <v>0</v>
      </c>
      <c r="AY826" s="655" t="str">
        <f t="shared" si="572"/>
        <v/>
      </c>
      <c r="AZ826" s="655" t="str">
        <f t="shared" si="588"/>
        <v/>
      </c>
      <c r="BA826" s="655" t="str">
        <f t="shared" si="573"/>
        <v/>
      </c>
      <c r="BB826" s="655" t="str">
        <f t="shared" si="582"/>
        <v/>
      </c>
      <c r="BC826" s="655" t="str">
        <f t="shared" si="582"/>
        <v/>
      </c>
    </row>
    <row r="827" spans="1:55" ht="12" customHeight="1">
      <c r="A827" s="56"/>
      <c r="B827" s="56"/>
      <c r="C827" s="56"/>
      <c r="D827" s="56"/>
      <c r="E827" s="56"/>
      <c r="F827" s="56"/>
      <c r="G827" s="56"/>
      <c r="H827" s="377"/>
      <c r="I827" s="157"/>
      <c r="J827" s="116">
        <v>323</v>
      </c>
      <c r="K827" s="60" t="s">
        <v>191</v>
      </c>
      <c r="L827" s="315">
        <f t="shared" si="618"/>
        <v>54250</v>
      </c>
      <c r="M827" s="315">
        <f t="shared" si="618"/>
        <v>7200.2123564934627</v>
      </c>
      <c r="N827" s="337">
        <f t="shared" si="618"/>
        <v>15000</v>
      </c>
      <c r="O827" s="337">
        <f t="shared" si="618"/>
        <v>1990.8421262193906</v>
      </c>
      <c r="P827" s="292">
        <f t="shared" si="618"/>
        <v>4800</v>
      </c>
      <c r="Q827" s="292">
        <f t="shared" si="618"/>
        <v>5600</v>
      </c>
      <c r="R827" s="441">
        <f t="shared" si="618"/>
        <v>3185</v>
      </c>
      <c r="S827" s="292">
        <f t="shared" si="618"/>
        <v>0</v>
      </c>
      <c r="T827" s="292"/>
      <c r="U827" s="292"/>
      <c r="V827" s="469">
        <f t="shared" si="619"/>
        <v>1600</v>
      </c>
      <c r="W827" s="469">
        <f t="shared" si="619"/>
        <v>1800</v>
      </c>
      <c r="X827" s="522">
        <f t="shared" si="619"/>
        <v>0</v>
      </c>
      <c r="Y827" s="522">
        <f t="shared" si="619"/>
        <v>0</v>
      </c>
      <c r="Z827" s="541" t="b">
        <f t="shared" si="575"/>
        <v>1</v>
      </c>
      <c r="AA827" s="522"/>
      <c r="AB827" s="523">
        <f>AB828</f>
        <v>0</v>
      </c>
      <c r="AC827" s="523">
        <f>AC828</f>
        <v>0</v>
      </c>
      <c r="AD827" s="524">
        <f>O827/M827*100</f>
        <v>27.649769585253459</v>
      </c>
      <c r="AE827" s="524"/>
      <c r="AF827" s="524"/>
      <c r="AG827" s="524"/>
      <c r="AH827" s="522"/>
      <c r="AI827" s="522">
        <v>0</v>
      </c>
      <c r="AJ827" s="516">
        <f>W827/R827*100</f>
        <v>56.514913657770805</v>
      </c>
      <c r="AK827" s="516">
        <f>AT827/W827*100</f>
        <v>0</v>
      </c>
      <c r="AL827" s="516"/>
      <c r="AM827" s="292"/>
      <c r="AO827" t="b">
        <f t="shared" si="576"/>
        <v>1</v>
      </c>
      <c r="AP827" s="440">
        <f>AP828</f>
        <v>5176.21</v>
      </c>
      <c r="AQ827" s="441">
        <v>5176.21</v>
      </c>
      <c r="AR827" s="440">
        <f t="shared" si="620"/>
        <v>5176.21</v>
      </c>
      <c r="AS827" s="441">
        <f t="shared" si="620"/>
        <v>0</v>
      </c>
      <c r="AT827" s="612">
        <f t="shared" si="620"/>
        <v>0</v>
      </c>
      <c r="AU827" s="469">
        <f t="shared" si="620"/>
        <v>0</v>
      </c>
      <c r="AV827" s="636">
        <v>0</v>
      </c>
      <c r="AW827" s="636">
        <v>0</v>
      </c>
      <c r="AX827" s="655">
        <f t="shared" si="587"/>
        <v>0</v>
      </c>
      <c r="AY827" s="655">
        <f t="shared" si="572"/>
        <v>0</v>
      </c>
      <c r="AZ827" s="655" t="str">
        <f t="shared" si="588"/>
        <v/>
      </c>
      <c r="BA827" s="655">
        <f t="shared" si="573"/>
        <v>0</v>
      </c>
      <c r="BB827" s="655" t="str">
        <f t="shared" si="582"/>
        <v/>
      </c>
      <c r="BC827" s="655" t="str">
        <f t="shared" si="582"/>
        <v/>
      </c>
    </row>
    <row r="828" spans="1:55" ht="12" customHeight="1">
      <c r="A828" s="36"/>
      <c r="B828" s="36"/>
      <c r="C828" s="36"/>
      <c r="D828" s="36"/>
      <c r="E828" s="36"/>
      <c r="F828" s="36"/>
      <c r="G828" s="36"/>
      <c r="H828" s="204">
        <v>114</v>
      </c>
      <c r="I828" s="132">
        <v>820</v>
      </c>
      <c r="J828" s="71">
        <v>3235</v>
      </c>
      <c r="K828" s="40" t="s">
        <v>350</v>
      </c>
      <c r="L828" s="309">
        <v>54250</v>
      </c>
      <c r="M828" s="309">
        <f>54250/7.5345</f>
        <v>7200.2123564934627</v>
      </c>
      <c r="N828" s="339">
        <v>15000</v>
      </c>
      <c r="O828" s="339">
        <f>N828/7.5345</f>
        <v>1990.8421262193906</v>
      </c>
      <c r="P828" s="294">
        <v>4800</v>
      </c>
      <c r="Q828" s="269">
        <v>5600</v>
      </c>
      <c r="R828" s="443">
        <v>3185</v>
      </c>
      <c r="S828" s="294">
        <f>__xlfn.XLOOKUP(H828,[2]Izvršenje_proračuna_po_pozicija!$B$2:$B$153,[2]Izvršenje_proračuna_po_pozicija!$E$2:$E$153,0)</f>
        <v>0</v>
      </c>
      <c r="T828" s="294"/>
      <c r="U828" s="294"/>
      <c r="V828" s="478">
        <v>1600</v>
      </c>
      <c r="W828" s="478">
        <v>1800</v>
      </c>
      <c r="X828" s="544"/>
      <c r="Y828" s="544"/>
      <c r="Z828" s="541" t="b">
        <f t="shared" si="575"/>
        <v>0</v>
      </c>
      <c r="AA828" s="527"/>
      <c r="AB828" s="528">
        <v>0</v>
      </c>
      <c r="AC828" s="528">
        <v>0</v>
      </c>
      <c r="AD828" s="524">
        <f>O828/M828*100</f>
        <v>27.649769585253459</v>
      </c>
      <c r="AE828" s="524"/>
      <c r="AF828" s="524"/>
      <c r="AG828" s="524"/>
      <c r="AH828" s="527"/>
      <c r="AI828" s="544"/>
      <c r="AJ828" s="516">
        <f>W828/R828*100</f>
        <v>56.514913657770805</v>
      </c>
      <c r="AK828" s="516">
        <f>AT828/W828*100</f>
        <v>0</v>
      </c>
      <c r="AL828" s="516"/>
      <c r="AM828" s="294"/>
      <c r="AO828" t="b">
        <f t="shared" si="576"/>
        <v>0</v>
      </c>
      <c r="AP828" s="493">
        <v>5176.21</v>
      </c>
      <c r="AQ828" s="443">
        <v>5176.21</v>
      </c>
      <c r="AR828" s="493">
        <v>5176.21</v>
      </c>
      <c r="AS828" s="443">
        <f>__xlfn.XLOOKUP(K828,[1]Izvršenje_proračuna_po_pozicija!$C$25:$C$149,[1]Izvršenje_proračuna_po_pozicija!$E$25:$E$149,0)</f>
        <v>0</v>
      </c>
      <c r="AT828" s="617"/>
      <c r="AU828" s="478"/>
      <c r="AV828" s="638"/>
      <c r="AW828" s="638"/>
      <c r="AX828" s="655" t="str">
        <f t="shared" si="587"/>
        <v/>
      </c>
      <c r="AY828" s="655" t="str">
        <f t="shared" si="572"/>
        <v/>
      </c>
      <c r="AZ828" s="655" t="str">
        <f t="shared" si="588"/>
        <v/>
      </c>
      <c r="BA828" s="655" t="str">
        <f t="shared" si="573"/>
        <v/>
      </c>
      <c r="BB828" s="655" t="str">
        <f t="shared" si="582"/>
        <v/>
      </c>
      <c r="BC828" s="655" t="str">
        <f t="shared" si="582"/>
        <v/>
      </c>
    </row>
    <row r="829" spans="1:55" ht="12" customHeight="1">
      <c r="A829" s="25"/>
      <c r="B829" s="25"/>
      <c r="C829" s="25"/>
      <c r="D829" s="25"/>
      <c r="E829" s="25"/>
      <c r="F829" s="25"/>
      <c r="G829" s="25"/>
      <c r="H829" s="382"/>
      <c r="I829" s="114"/>
      <c r="J829" s="94"/>
      <c r="K829" s="26"/>
      <c r="L829" s="317"/>
      <c r="M829" s="317"/>
      <c r="N829" s="341"/>
      <c r="O829" s="341"/>
      <c r="P829" s="296"/>
      <c r="Q829" s="296"/>
      <c r="R829" s="445"/>
      <c r="S829" s="294">
        <f>__xlfn.XLOOKUP(H829,[2]Izvršenje_proračuna_po_pozicija!$B$2:$B$153,[2]Izvršenje_proračuna_po_pozicija!$E$2:$E$153,0)</f>
        <v>0</v>
      </c>
      <c r="T829" s="294"/>
      <c r="U829" s="294"/>
      <c r="V829" s="481"/>
      <c r="W829" s="481"/>
      <c r="X829" s="549"/>
      <c r="Y829" s="549"/>
      <c r="Z829" s="541" t="b">
        <f t="shared" si="575"/>
        <v>0</v>
      </c>
      <c r="AA829" s="531"/>
      <c r="AB829" s="532"/>
      <c r="AC829" s="532"/>
      <c r="AD829" s="524"/>
      <c r="AE829" s="524"/>
      <c r="AF829" s="524"/>
      <c r="AG829" s="524"/>
      <c r="AH829" s="531"/>
      <c r="AI829" s="549"/>
      <c r="AJ829" s="516"/>
      <c r="AK829" s="516"/>
      <c r="AL829" s="516"/>
      <c r="AM829" s="296"/>
      <c r="AO829" t="b">
        <f t="shared" si="576"/>
        <v>0</v>
      </c>
      <c r="AQ829" s="445"/>
      <c r="AS829" s="445">
        <f>__xlfn.XLOOKUP(K829,[1]Izvršenje_proračuna_po_pozicija!$C$25:$C$149,[1]Izvršenje_proračuna_po_pozicija!$E$25:$E$149,0)</f>
        <v>0</v>
      </c>
      <c r="AT829" s="616"/>
      <c r="AU829" s="481"/>
      <c r="AV829" s="640"/>
      <c r="AW829" s="640"/>
      <c r="AX829" s="655" t="str">
        <f t="shared" si="587"/>
        <v/>
      </c>
      <c r="AY829" s="655" t="str">
        <f t="shared" si="572"/>
        <v/>
      </c>
      <c r="AZ829" s="655" t="str">
        <f t="shared" si="588"/>
        <v/>
      </c>
      <c r="BA829" s="655" t="str">
        <f t="shared" si="573"/>
        <v/>
      </c>
      <c r="BB829" s="655" t="str">
        <f t="shared" si="582"/>
        <v/>
      </c>
      <c r="BC829" s="655" t="str">
        <f t="shared" si="582"/>
        <v/>
      </c>
    </row>
    <row r="830" spans="1:55" ht="12" customHeight="1">
      <c r="A830" s="212" t="s">
        <v>475</v>
      </c>
      <c r="B830" s="130"/>
      <c r="C830" s="130"/>
      <c r="D830" s="130"/>
      <c r="E830" s="130"/>
      <c r="F830" s="130"/>
      <c r="G830" s="130"/>
      <c r="H830" s="383"/>
      <c r="I830" s="170" t="s">
        <v>351</v>
      </c>
      <c r="J830" s="171"/>
      <c r="K830" s="111"/>
      <c r="L830" s="315">
        <f t="shared" ref="L830:S830" si="621">L832</f>
        <v>480332</v>
      </c>
      <c r="M830" s="315">
        <f t="shared" si="621"/>
        <v>63751.012011414146</v>
      </c>
      <c r="N830" s="337">
        <f t="shared" si="621"/>
        <v>477138</v>
      </c>
      <c r="O830" s="337">
        <f t="shared" si="621"/>
        <v>63327.095361337837</v>
      </c>
      <c r="P830" s="292">
        <f t="shared" si="621"/>
        <v>72999.508925608869</v>
      </c>
      <c r="Q830" s="292">
        <f t="shared" si="621"/>
        <v>115200</v>
      </c>
      <c r="R830" s="441">
        <f t="shared" si="621"/>
        <v>106096</v>
      </c>
      <c r="S830" s="292">
        <f t="shared" si="621"/>
        <v>132666.73000000001</v>
      </c>
      <c r="T830" s="292"/>
      <c r="U830" s="292"/>
      <c r="V830" s="469">
        <f>V832</f>
        <v>115230</v>
      </c>
      <c r="W830" s="469">
        <f>W832</f>
        <v>168100</v>
      </c>
      <c r="X830" s="522">
        <f>X832</f>
        <v>192000</v>
      </c>
      <c r="Y830" s="522">
        <f>Y832</f>
        <v>0</v>
      </c>
      <c r="Z830" s="541" t="b">
        <f t="shared" si="575"/>
        <v>1</v>
      </c>
      <c r="AA830" s="522"/>
      <c r="AB830" s="523">
        <f>AB832</f>
        <v>76500</v>
      </c>
      <c r="AC830" s="523">
        <f>AC832</f>
        <v>76500</v>
      </c>
      <c r="AD830" s="524">
        <f>O830/M830*100</f>
        <v>99.335043261743976</v>
      </c>
      <c r="AE830" s="524">
        <f>P830/O830*100</f>
        <v>115.27373631947154</v>
      </c>
      <c r="AF830" s="524">
        <f>Q830/P830*100</f>
        <v>157.80928076844475</v>
      </c>
      <c r="AG830" s="524">
        <f>AB830/Q830*100</f>
        <v>66.40625</v>
      </c>
      <c r="AH830" s="522"/>
      <c r="AI830" s="522">
        <v>192000</v>
      </c>
      <c r="AJ830" s="516">
        <f>W830/R830*100</f>
        <v>158.44141155180213</v>
      </c>
      <c r="AK830" s="516">
        <f>AT830/W830*100</f>
        <v>100.83283759666865</v>
      </c>
      <c r="AL830" s="516">
        <f>X830/AT830*100</f>
        <v>113.27433628318585</v>
      </c>
      <c r="AM830" s="292"/>
      <c r="AO830" t="b">
        <f t="shared" si="576"/>
        <v>1</v>
      </c>
      <c r="AP830" s="440">
        <f t="shared" ref="AP830:AU830" si="622">AP832</f>
        <v>160099.19</v>
      </c>
      <c r="AQ830" s="441">
        <v>160099.19</v>
      </c>
      <c r="AR830" s="440">
        <f>AR832</f>
        <v>160099.19</v>
      </c>
      <c r="AS830" s="441">
        <f t="shared" si="622"/>
        <v>66350</v>
      </c>
      <c r="AT830" s="612">
        <f t="shared" si="622"/>
        <v>169500</v>
      </c>
      <c r="AU830" s="469">
        <f t="shared" si="622"/>
        <v>245500</v>
      </c>
      <c r="AV830" s="636">
        <v>192000</v>
      </c>
      <c r="AW830" s="636">
        <v>192000</v>
      </c>
      <c r="AX830" s="655">
        <f t="shared" si="587"/>
        <v>159.76097119589804</v>
      </c>
      <c r="AY830" s="655">
        <f t="shared" si="572"/>
        <v>28250</v>
      </c>
      <c r="AZ830" s="655">
        <f t="shared" si="588"/>
        <v>144.83775811209441</v>
      </c>
      <c r="BA830" s="655">
        <f t="shared" si="573"/>
        <v>40916.666666666672</v>
      </c>
      <c r="BB830" s="655">
        <f t="shared" si="582"/>
        <v>78.207739307535633</v>
      </c>
      <c r="BC830" s="655">
        <f t="shared" si="582"/>
        <v>100</v>
      </c>
    </row>
    <row r="831" spans="1:55" ht="12" customHeight="1">
      <c r="A831" s="20"/>
      <c r="B831" s="20"/>
      <c r="C831" s="20"/>
      <c r="D831" s="20"/>
      <c r="E831" s="20"/>
      <c r="F831" s="20"/>
      <c r="G831" s="20"/>
      <c r="H831" s="375"/>
      <c r="I831" s="22"/>
      <c r="J831" s="21"/>
      <c r="K831" s="19"/>
      <c r="L831" s="313"/>
      <c r="M831" s="313"/>
      <c r="N831" s="335"/>
      <c r="O831" s="335"/>
      <c r="P831" s="290"/>
      <c r="Q831" s="290"/>
      <c r="R831" s="439"/>
      <c r="S831" s="294">
        <f>__xlfn.XLOOKUP(H831,[2]Izvršenje_proračuna_po_pozicija!$B$2:$B$153,[2]Izvršenje_proračuna_po_pozicija!$E$2:$E$153,0)</f>
        <v>0</v>
      </c>
      <c r="T831" s="294"/>
      <c r="U831" s="294"/>
      <c r="V831" s="474"/>
      <c r="W831" s="474"/>
      <c r="X831" s="539"/>
      <c r="Y831" s="539"/>
      <c r="Z831" s="541" t="b">
        <f t="shared" si="575"/>
        <v>0</v>
      </c>
      <c r="AA831" s="514"/>
      <c r="AB831" s="515"/>
      <c r="AC831" s="515"/>
      <c r="AD831" s="524"/>
      <c r="AE831" s="524"/>
      <c r="AF831" s="524"/>
      <c r="AG831" s="524"/>
      <c r="AH831" s="514"/>
      <c r="AI831" s="539"/>
      <c r="AJ831" s="516"/>
      <c r="AK831" s="516"/>
      <c r="AL831" s="516"/>
      <c r="AM831" s="290"/>
      <c r="AO831" t="b">
        <f t="shared" si="576"/>
        <v>0</v>
      </c>
      <c r="AQ831" s="439"/>
      <c r="AS831" s="439"/>
      <c r="AT831" s="616"/>
      <c r="AU831" s="474"/>
      <c r="AV831" s="632"/>
      <c r="AW831" s="632"/>
      <c r="AX831" s="655" t="str">
        <f t="shared" si="587"/>
        <v/>
      </c>
      <c r="AY831" s="655" t="str">
        <f t="shared" ref="AY831:AY894" si="623">IF(AND(ISNUMBER(AT831), ISNUMBER(AQ836), AQ836&lt;&gt;0), (AT831/AQ836)*100, "")</f>
        <v/>
      </c>
      <c r="AZ831" s="655" t="str">
        <f t="shared" si="588"/>
        <v/>
      </c>
      <c r="BA831" s="655" t="str">
        <f t="shared" ref="BA831:BA894" si="624">IF(AND(ISNUMBER(AU831), ISNUMBER(AQ836), AQ836&lt;&gt;0), (AU831/AQ836)*100, "")</f>
        <v/>
      </c>
      <c r="BB831" s="655" t="str">
        <f t="shared" si="582"/>
        <v/>
      </c>
      <c r="BC831" s="655" t="str">
        <f t="shared" si="582"/>
        <v/>
      </c>
    </row>
    <row r="832" spans="1:55" ht="12" customHeight="1">
      <c r="A832" s="52"/>
      <c r="B832" s="52"/>
      <c r="C832" s="52"/>
      <c r="D832" s="52"/>
      <c r="E832" s="52"/>
      <c r="F832" s="52"/>
      <c r="G832" s="52"/>
      <c r="H832" s="384"/>
      <c r="I832" s="156"/>
      <c r="J832" s="94">
        <v>3</v>
      </c>
      <c r="K832" s="21" t="s">
        <v>94</v>
      </c>
      <c r="L832" s="315">
        <f t="shared" ref="L832:S832" si="625">L833+L840</f>
        <v>480332</v>
      </c>
      <c r="M832" s="315">
        <f t="shared" si="625"/>
        <v>63751.012011414146</v>
      </c>
      <c r="N832" s="337">
        <f t="shared" si="625"/>
        <v>477138</v>
      </c>
      <c r="O832" s="337">
        <f t="shared" si="625"/>
        <v>63327.095361337837</v>
      </c>
      <c r="P832" s="292">
        <f t="shared" si="625"/>
        <v>72999.508925608869</v>
      </c>
      <c r="Q832" s="292">
        <f t="shared" si="625"/>
        <v>115200</v>
      </c>
      <c r="R832" s="441">
        <f t="shared" si="625"/>
        <v>106096</v>
      </c>
      <c r="S832" s="292">
        <f t="shared" si="625"/>
        <v>132666.73000000001</v>
      </c>
      <c r="T832" s="292"/>
      <c r="U832" s="292"/>
      <c r="V832" s="469">
        <f>V833+V840</f>
        <v>115230</v>
      </c>
      <c r="W832" s="469">
        <f>W833+W840</f>
        <v>168100</v>
      </c>
      <c r="X832" s="522">
        <f>X833+X840</f>
        <v>192000</v>
      </c>
      <c r="Y832" s="522">
        <f>Y833+Y840</f>
        <v>0</v>
      </c>
      <c r="Z832" s="541" t="b">
        <f t="shared" ref="Z832:Z895" si="626">__xlfn.ISFORMULA(R832)</f>
        <v>1</v>
      </c>
      <c r="AA832" s="522"/>
      <c r="AB832" s="523">
        <f>AB833+AB840</f>
        <v>76500</v>
      </c>
      <c r="AC832" s="523">
        <f>AC833+AC840</f>
        <v>76500</v>
      </c>
      <c r="AD832" s="524">
        <f>O832/M832*100</f>
        <v>99.335043261743976</v>
      </c>
      <c r="AE832" s="524">
        <f t="shared" ref="AE832:AF836" si="627">P832/O832*100</f>
        <v>115.27373631947154</v>
      </c>
      <c r="AF832" s="524">
        <f t="shared" si="627"/>
        <v>157.80928076844475</v>
      </c>
      <c r="AG832" s="524">
        <f>AB832/Q832*100</f>
        <v>66.40625</v>
      </c>
      <c r="AH832" s="522"/>
      <c r="AI832" s="522">
        <v>192000</v>
      </c>
      <c r="AJ832" s="516">
        <f>W832/R832*100</f>
        <v>158.44141155180213</v>
      </c>
      <c r="AK832" s="516">
        <f>AT832/W832*100</f>
        <v>100.83283759666865</v>
      </c>
      <c r="AL832" s="516">
        <f>X832/AT832*100</f>
        <v>113.27433628318585</v>
      </c>
      <c r="AM832" s="292"/>
      <c r="AO832" t="b">
        <f t="shared" ref="AO832:AO895" si="628">__xlfn.ISFORMULA(AT832)</f>
        <v>1</v>
      </c>
      <c r="AP832" s="440">
        <f t="shared" ref="AP832:AU832" si="629">AP833+AP840</f>
        <v>160099.19</v>
      </c>
      <c r="AQ832" s="441">
        <v>160099.19</v>
      </c>
      <c r="AR832" s="440">
        <f>AR833+AR840</f>
        <v>160099.19</v>
      </c>
      <c r="AS832" s="441">
        <f t="shared" si="629"/>
        <v>66350</v>
      </c>
      <c r="AT832" s="612">
        <f t="shared" si="629"/>
        <v>169500</v>
      </c>
      <c r="AU832" s="469">
        <f t="shared" si="629"/>
        <v>245500</v>
      </c>
      <c r="AV832" s="636">
        <v>192000</v>
      </c>
      <c r="AW832" s="636">
        <v>192000</v>
      </c>
      <c r="AX832" s="655">
        <f t="shared" si="587"/>
        <v>159.76097119589804</v>
      </c>
      <c r="AY832" s="655">
        <f t="shared" si="623"/>
        <v>513.63636363636363</v>
      </c>
      <c r="AZ832" s="655">
        <f t="shared" si="588"/>
        <v>144.83775811209441</v>
      </c>
      <c r="BA832" s="655">
        <f t="shared" si="624"/>
        <v>743.93939393939399</v>
      </c>
      <c r="BB832" s="655">
        <f t="shared" si="582"/>
        <v>78.207739307535633</v>
      </c>
      <c r="BC832" s="655">
        <f t="shared" si="582"/>
        <v>100</v>
      </c>
    </row>
    <row r="833" spans="1:55" ht="12" customHeight="1">
      <c r="A833" s="355"/>
      <c r="B833" s="355"/>
      <c r="C833" s="355"/>
      <c r="D833" s="355"/>
      <c r="E833" s="355"/>
      <c r="F833" s="355"/>
      <c r="G833" s="355"/>
      <c r="H833" s="379"/>
      <c r="I833" s="359"/>
      <c r="J833" s="356">
        <v>32</v>
      </c>
      <c r="K833" s="358" t="s">
        <v>103</v>
      </c>
      <c r="L833" s="315">
        <f t="shared" ref="L833:AC833" si="630">L834</f>
        <v>370332</v>
      </c>
      <c r="M833" s="315">
        <f t="shared" si="630"/>
        <v>49151.503085805285</v>
      </c>
      <c r="N833" s="337">
        <f t="shared" si="630"/>
        <v>367138</v>
      </c>
      <c r="O833" s="337">
        <f t="shared" si="630"/>
        <v>48727.586435728976</v>
      </c>
      <c r="P833" s="292">
        <f t="shared" si="630"/>
        <v>58400</v>
      </c>
      <c r="Q833" s="292">
        <f t="shared" si="630"/>
        <v>92400</v>
      </c>
      <c r="R833" s="441">
        <f t="shared" si="630"/>
        <v>87350</v>
      </c>
      <c r="S833" s="292">
        <f t="shared" si="630"/>
        <v>115975</v>
      </c>
      <c r="T833" s="292"/>
      <c r="U833" s="292"/>
      <c r="V833" s="469">
        <f t="shared" si="630"/>
        <v>92400</v>
      </c>
      <c r="W833" s="469">
        <f t="shared" si="630"/>
        <v>133600</v>
      </c>
      <c r="X833" s="522">
        <f t="shared" si="630"/>
        <v>157000</v>
      </c>
      <c r="Y833" s="522">
        <f t="shared" si="630"/>
        <v>0</v>
      </c>
      <c r="Z833" s="541" t="b">
        <f t="shared" si="626"/>
        <v>1</v>
      </c>
      <c r="AA833" s="522"/>
      <c r="AB833" s="523">
        <f t="shared" si="630"/>
        <v>61500</v>
      </c>
      <c r="AC833" s="523">
        <f t="shared" si="630"/>
        <v>61500</v>
      </c>
      <c r="AD833" s="524">
        <f>O833/M833*100</f>
        <v>99.137530648175158</v>
      </c>
      <c r="AE833" s="524">
        <f t="shared" si="627"/>
        <v>119.8499746689256</v>
      </c>
      <c r="AF833" s="524">
        <f t="shared" si="627"/>
        <v>158.2191780821918</v>
      </c>
      <c r="AG833" s="524">
        <f>AB833/Q833*100</f>
        <v>66.558441558441558</v>
      </c>
      <c r="AH833" s="522"/>
      <c r="AI833" s="522">
        <v>157000</v>
      </c>
      <c r="AJ833" s="516">
        <f>W833/R833*100</f>
        <v>152.9479107040641</v>
      </c>
      <c r="AK833" s="516">
        <f>AT833/W833*100</f>
        <v>101.04790419161678</v>
      </c>
      <c r="AL833" s="516">
        <f>X833/AT833*100</f>
        <v>116.2962962962963</v>
      </c>
      <c r="AM833" s="292"/>
      <c r="AN833" s="413"/>
      <c r="AO833" t="b">
        <f t="shared" si="628"/>
        <v>1</v>
      </c>
      <c r="AP833" s="440">
        <f>AP834</f>
        <v>132975</v>
      </c>
      <c r="AQ833" s="441">
        <v>132975</v>
      </c>
      <c r="AR833" s="440">
        <f>AR834</f>
        <v>132975</v>
      </c>
      <c r="AS833" s="441">
        <f>AS834</f>
        <v>66350</v>
      </c>
      <c r="AT833" s="612">
        <f>AT834</f>
        <v>135000</v>
      </c>
      <c r="AU833" s="469">
        <f>AU834</f>
        <v>211000</v>
      </c>
      <c r="AV833" s="636">
        <v>157000</v>
      </c>
      <c r="AW833" s="636">
        <v>157000</v>
      </c>
      <c r="AX833" s="655">
        <f t="shared" si="587"/>
        <v>154.55065827132225</v>
      </c>
      <c r="AY833" s="655">
        <f t="shared" si="623"/>
        <v>878.04878048780495</v>
      </c>
      <c r="AZ833" s="655">
        <f t="shared" si="588"/>
        <v>156.29629629629628</v>
      </c>
      <c r="BA833" s="655">
        <f t="shared" si="624"/>
        <v>1372.3577235772357</v>
      </c>
      <c r="BB833" s="655">
        <f t="shared" si="582"/>
        <v>74.407582938388629</v>
      </c>
      <c r="BC833" s="655">
        <f t="shared" si="582"/>
        <v>100</v>
      </c>
    </row>
    <row r="834" spans="1:55" ht="12" customHeight="1">
      <c r="A834" s="56"/>
      <c r="B834" s="56"/>
      <c r="C834" s="56"/>
      <c r="D834" s="56"/>
      <c r="E834" s="56"/>
      <c r="F834" s="56"/>
      <c r="G834" s="56"/>
      <c r="H834" s="377"/>
      <c r="I834" s="157"/>
      <c r="J834" s="116">
        <v>329</v>
      </c>
      <c r="K834" s="60" t="s">
        <v>352</v>
      </c>
      <c r="L834" s="315">
        <f t="shared" ref="L834:S834" si="631">L835+L836+L837+L838</f>
        <v>370332</v>
      </c>
      <c r="M834" s="315">
        <f t="shared" si="631"/>
        <v>49151.503085805285</v>
      </c>
      <c r="N834" s="337">
        <f t="shared" si="631"/>
        <v>367138</v>
      </c>
      <c r="O834" s="337">
        <f t="shared" si="631"/>
        <v>48727.586435728976</v>
      </c>
      <c r="P834" s="292">
        <f t="shared" si="631"/>
        <v>58400</v>
      </c>
      <c r="Q834" s="292">
        <f t="shared" si="631"/>
        <v>92400</v>
      </c>
      <c r="R834" s="441">
        <f t="shared" si="631"/>
        <v>87350</v>
      </c>
      <c r="S834" s="292">
        <f t="shared" si="631"/>
        <v>115975</v>
      </c>
      <c r="T834" s="292"/>
      <c r="U834" s="292"/>
      <c r="V834" s="469">
        <f>V835+V836+V837+V838</f>
        <v>92400</v>
      </c>
      <c r="W834" s="469">
        <f>W835+W836+W837+W838</f>
        <v>133600</v>
      </c>
      <c r="X834" s="522">
        <f>X835+X836+X837+X838</f>
        <v>157000</v>
      </c>
      <c r="Y834" s="522">
        <f>Y835+Y836+Y837+Y838</f>
        <v>0</v>
      </c>
      <c r="Z834" s="541" t="b">
        <f t="shared" si="626"/>
        <v>1</v>
      </c>
      <c r="AA834" s="522"/>
      <c r="AB834" s="523">
        <f>AB835+AB836+AB837+AB838</f>
        <v>61500</v>
      </c>
      <c r="AC834" s="523">
        <f>AC835+AC836+AC837+AC838</f>
        <v>61500</v>
      </c>
      <c r="AD834" s="524">
        <f>O834/M834*100</f>
        <v>99.137530648175158</v>
      </c>
      <c r="AE834" s="524">
        <f t="shared" si="627"/>
        <v>119.8499746689256</v>
      </c>
      <c r="AF834" s="524">
        <f t="shared" si="627"/>
        <v>158.2191780821918</v>
      </c>
      <c r="AG834" s="524">
        <f>AB834/Q834*100</f>
        <v>66.558441558441558</v>
      </c>
      <c r="AH834" s="522"/>
      <c r="AI834" s="522">
        <v>157000</v>
      </c>
      <c r="AJ834" s="516">
        <f>W834/R834*100</f>
        <v>152.9479107040641</v>
      </c>
      <c r="AK834" s="516">
        <f>AT834/W834*100</f>
        <v>101.04790419161678</v>
      </c>
      <c r="AL834" s="516">
        <f>X834/AT834*100</f>
        <v>116.2962962962963</v>
      </c>
      <c r="AM834" s="292"/>
      <c r="AN834" s="413"/>
      <c r="AO834" t="b">
        <f t="shared" si="628"/>
        <v>1</v>
      </c>
      <c r="AP834" s="440">
        <f t="shared" ref="AP834:AU834" si="632">AP835+AP836+AP837+AP838</f>
        <v>132975</v>
      </c>
      <c r="AQ834" s="441">
        <v>132975</v>
      </c>
      <c r="AR834" s="440">
        <f>AR835+AR836+AR837+AR838</f>
        <v>132975</v>
      </c>
      <c r="AS834" s="441">
        <f t="shared" si="632"/>
        <v>66350</v>
      </c>
      <c r="AT834" s="612">
        <f t="shared" si="632"/>
        <v>135000</v>
      </c>
      <c r="AU834" s="469">
        <f t="shared" si="632"/>
        <v>211000</v>
      </c>
      <c r="AV834" s="636">
        <v>157000</v>
      </c>
      <c r="AW834" s="636">
        <v>157000</v>
      </c>
      <c r="AX834" s="655">
        <f t="shared" si="587"/>
        <v>154.55065827132225</v>
      </c>
      <c r="AY834" s="655" t="str">
        <f t="shared" si="623"/>
        <v/>
      </c>
      <c r="AZ834" s="655">
        <f t="shared" si="588"/>
        <v>156.29629629629628</v>
      </c>
      <c r="BA834" s="655" t="str">
        <f t="shared" si="624"/>
        <v/>
      </c>
      <c r="BB834" s="655">
        <f t="shared" si="582"/>
        <v>74.407582938388629</v>
      </c>
      <c r="BC834" s="655">
        <f t="shared" si="582"/>
        <v>100</v>
      </c>
    </row>
    <row r="835" spans="1:55" ht="12" customHeight="1">
      <c r="A835" s="36"/>
      <c r="B835" s="36"/>
      <c r="C835" s="36"/>
      <c r="D835" s="36"/>
      <c r="E835" s="36"/>
      <c r="F835" s="36"/>
      <c r="G835" s="36"/>
      <c r="H835" s="204" t="s">
        <v>354</v>
      </c>
      <c r="I835" s="118">
        <v>820</v>
      </c>
      <c r="J835" s="71">
        <v>3299</v>
      </c>
      <c r="K835" s="40" t="s">
        <v>554</v>
      </c>
      <c r="L835" s="309">
        <v>12000</v>
      </c>
      <c r="M835" s="309">
        <f>12000/7.5345</f>
        <v>1592.6737009755125</v>
      </c>
      <c r="N835" s="339">
        <v>0</v>
      </c>
      <c r="O835" s="339">
        <f>N835/7.5345</f>
        <v>0</v>
      </c>
      <c r="P835" s="294">
        <v>1400</v>
      </c>
      <c r="Q835" s="294">
        <v>1400</v>
      </c>
      <c r="R835" s="443">
        <v>350</v>
      </c>
      <c r="S835" s="294">
        <f>__xlfn.XLOOKUP(H835,[2]Izvršenje_proračuna_po_pozicija!$B$2:$B$153,[2]Izvršenje_proračuna_po_pozicija!$E$2:$E$153,0)</f>
        <v>600</v>
      </c>
      <c r="T835" s="294"/>
      <c r="U835" s="294"/>
      <c r="V835" s="478">
        <v>1400</v>
      </c>
      <c r="W835" s="478">
        <v>600</v>
      </c>
      <c r="X835" s="544"/>
      <c r="Y835" s="544"/>
      <c r="Z835" s="541" t="b">
        <f t="shared" si="626"/>
        <v>0</v>
      </c>
      <c r="AA835" s="527"/>
      <c r="AB835" s="528">
        <v>1500</v>
      </c>
      <c r="AC835" s="528">
        <v>1500</v>
      </c>
      <c r="AD835" s="524">
        <f>O835/M835*100</f>
        <v>0</v>
      </c>
      <c r="AE835" s="524" t="e">
        <f t="shared" si="627"/>
        <v>#DIV/0!</v>
      </c>
      <c r="AF835" s="524">
        <f t="shared" si="627"/>
        <v>100</v>
      </c>
      <c r="AG835" s="524">
        <f>AB835/Q835*100</f>
        <v>107.14285714285714</v>
      </c>
      <c r="AH835" s="527"/>
      <c r="AI835" s="544"/>
      <c r="AJ835" s="516">
        <f>W835/R835*100</f>
        <v>171.42857142857142</v>
      </c>
      <c r="AK835" s="516">
        <f>AT835/W835*100</f>
        <v>0</v>
      </c>
      <c r="AL835" s="516"/>
      <c r="AM835" s="294"/>
      <c r="AN835" s="413"/>
      <c r="AO835" t="b">
        <f t="shared" si="628"/>
        <v>0</v>
      </c>
      <c r="AP835" s="493">
        <v>600</v>
      </c>
      <c r="AQ835" s="443">
        <v>600</v>
      </c>
      <c r="AR835" s="493">
        <v>600</v>
      </c>
      <c r="AS835" s="443">
        <f>__xlfn.XLOOKUP(K835,[1]Izvršenje_proračuna_po_pozicija!$C$25:$C$149,[1]Izvršenje_proračuna_po_pozicija!$E$25:$E$149,0)</f>
        <v>0</v>
      </c>
      <c r="AT835" s="617"/>
      <c r="AU835" s="478">
        <v>1000</v>
      </c>
      <c r="AV835" s="638"/>
      <c r="AW835" s="638"/>
      <c r="AX835" s="655" t="str">
        <f t="shared" si="587"/>
        <v/>
      </c>
      <c r="AY835" s="655" t="str">
        <f t="shared" si="623"/>
        <v/>
      </c>
      <c r="AZ835" s="655" t="str">
        <f t="shared" si="588"/>
        <v/>
      </c>
      <c r="BA835" s="655">
        <f t="shared" si="624"/>
        <v>3.6867460373931902</v>
      </c>
      <c r="BB835" s="655" t="str">
        <f t="shared" si="582"/>
        <v/>
      </c>
      <c r="BC835" s="655" t="str">
        <f t="shared" si="582"/>
        <v/>
      </c>
    </row>
    <row r="836" spans="1:55" ht="12" customHeight="1">
      <c r="A836" s="36"/>
      <c r="B836" s="36"/>
      <c r="C836" s="36"/>
      <c r="D836" s="36"/>
      <c r="E836" s="36"/>
      <c r="F836" s="36"/>
      <c r="G836" s="36"/>
      <c r="H836" s="204" t="s">
        <v>355</v>
      </c>
      <c r="I836" s="118">
        <v>820</v>
      </c>
      <c r="J836" s="71">
        <v>3299</v>
      </c>
      <c r="K836" s="40" t="s">
        <v>818</v>
      </c>
      <c r="L836" s="309">
        <v>350500</v>
      </c>
      <c r="M836" s="309">
        <f>350500/7.5345</f>
        <v>46519.344349326428</v>
      </c>
      <c r="N836" s="339">
        <v>364900</v>
      </c>
      <c r="O836" s="339">
        <f>N836/7.5345</f>
        <v>48430.552790497044</v>
      </c>
      <c r="P836" s="294">
        <v>53000</v>
      </c>
      <c r="Q836" s="269">
        <v>87000</v>
      </c>
      <c r="R836" s="443">
        <v>87000</v>
      </c>
      <c r="S836" s="294">
        <f>__xlfn.XLOOKUP(H836,[2]Izvršenje_proračuna_po_pozicija!$B$2:$B$153,[2]Izvršenje_proračuna_po_pozicija!$E$2:$E$153,0)</f>
        <v>67000</v>
      </c>
      <c r="T836" s="294"/>
      <c r="U836" s="294"/>
      <c r="V836" s="478">
        <v>87000</v>
      </c>
      <c r="W836" s="478">
        <v>117000</v>
      </c>
      <c r="X836" s="544">
        <v>140000</v>
      </c>
      <c r="Y836" s="544"/>
      <c r="Z836" s="541" t="b">
        <f t="shared" si="626"/>
        <v>0</v>
      </c>
      <c r="AA836" s="527"/>
      <c r="AB836" s="528">
        <v>55000</v>
      </c>
      <c r="AC836" s="528">
        <v>55000</v>
      </c>
      <c r="AD836" s="524">
        <f>O836/M836*100</f>
        <v>104.10841654778889</v>
      </c>
      <c r="AE836" s="524">
        <f t="shared" si="627"/>
        <v>109.4350506988216</v>
      </c>
      <c r="AF836" s="524">
        <f t="shared" si="627"/>
        <v>164.15094339622641</v>
      </c>
      <c r="AG836" s="524">
        <f>AB836/Q836*100</f>
        <v>63.218390804597703</v>
      </c>
      <c r="AH836" s="527"/>
      <c r="AI836" s="544">
        <v>140000</v>
      </c>
      <c r="AJ836" s="516">
        <f>W836/R836*100</f>
        <v>134.48275862068965</v>
      </c>
      <c r="AK836" s="516">
        <f>AT836/W836*100</f>
        <v>102.56410256410255</v>
      </c>
      <c r="AL836" s="516">
        <f>X836/AT836*100</f>
        <v>116.66666666666667</v>
      </c>
      <c r="AM836" s="294"/>
      <c r="AN836" s="413"/>
      <c r="AO836" t="b">
        <f t="shared" si="628"/>
        <v>0</v>
      </c>
      <c r="AP836" s="493">
        <v>84000</v>
      </c>
      <c r="AQ836" s="443">
        <v>84000</v>
      </c>
      <c r="AR836" s="493">
        <v>84000</v>
      </c>
      <c r="AS836" s="443">
        <v>66000</v>
      </c>
      <c r="AT836" s="617">
        <v>120000</v>
      </c>
      <c r="AU836" s="478">
        <v>210000</v>
      </c>
      <c r="AV836" s="638">
        <v>140000</v>
      </c>
      <c r="AW836" s="638">
        <v>140000</v>
      </c>
      <c r="AX836" s="655">
        <f t="shared" si="587"/>
        <v>137.93103448275863</v>
      </c>
      <c r="AY836" s="655">
        <f t="shared" si="623"/>
        <v>442.40952448718292</v>
      </c>
      <c r="AZ836" s="655">
        <f t="shared" si="588"/>
        <v>175</v>
      </c>
      <c r="BA836" s="655">
        <f t="shared" si="624"/>
        <v>774.21666785257003</v>
      </c>
      <c r="BB836" s="655">
        <f t="shared" si="582"/>
        <v>66.666666666666657</v>
      </c>
      <c r="BC836" s="655">
        <f t="shared" si="582"/>
        <v>100</v>
      </c>
    </row>
    <row r="837" spans="1:55" ht="12" customHeight="1">
      <c r="A837" s="36"/>
      <c r="B837" s="36"/>
      <c r="C837" s="36"/>
      <c r="D837" s="36"/>
      <c r="E837" s="36"/>
      <c r="F837" s="36"/>
      <c r="G837" s="36"/>
      <c r="H837" s="204" t="s">
        <v>669</v>
      </c>
      <c r="I837" s="118">
        <v>820</v>
      </c>
      <c r="J837" s="71">
        <v>3299</v>
      </c>
      <c r="K837" s="40" t="s">
        <v>819</v>
      </c>
      <c r="L837" s="309"/>
      <c r="M837" s="309"/>
      <c r="N837" s="339"/>
      <c r="O837" s="339"/>
      <c r="P837" s="294"/>
      <c r="Q837" s="294"/>
      <c r="R837" s="443"/>
      <c r="S837" s="294">
        <f>__xlfn.XLOOKUP(H837,[2]Izvršenje_proračuna_po_pozicija!$B$2:$B$153,[2]Izvršenje_proračuna_po_pozicija!$E$2:$E$153,0)</f>
        <v>33000</v>
      </c>
      <c r="T837" s="294"/>
      <c r="U837" s="294"/>
      <c r="V837" s="478"/>
      <c r="W837" s="478"/>
      <c r="X837" s="544"/>
      <c r="Y837" s="544"/>
      <c r="Z837" s="541" t="b">
        <f t="shared" si="626"/>
        <v>0</v>
      </c>
      <c r="AA837" s="527"/>
      <c r="AB837" s="528"/>
      <c r="AC837" s="528"/>
      <c r="AD837" s="524"/>
      <c r="AE837" s="524"/>
      <c r="AF837" s="524"/>
      <c r="AG837" s="524"/>
      <c r="AH837" s="527"/>
      <c r="AI837" s="544"/>
      <c r="AJ837" s="516"/>
      <c r="AK837" s="516"/>
      <c r="AL837" s="516"/>
      <c r="AM837" s="294"/>
      <c r="AN837" s="413"/>
      <c r="AO837" t="b">
        <f t="shared" si="628"/>
        <v>0</v>
      </c>
      <c r="AP837" s="493">
        <v>33000</v>
      </c>
      <c r="AQ837" s="443">
        <v>33000</v>
      </c>
      <c r="AR837" s="493">
        <v>33000</v>
      </c>
      <c r="AS837" s="443">
        <f>__xlfn.XLOOKUP(K837,[1]Izvršenje_proračuna_po_pozicija!$C$25:$C$149,[1]Izvršenje_proračuna_po_pozicija!$E$25:$E$149,0)</f>
        <v>0</v>
      </c>
      <c r="AT837" s="617"/>
      <c r="AU837" s="478"/>
      <c r="AV837" s="638"/>
      <c r="AW837" s="638"/>
      <c r="AX837" s="655" t="str">
        <f t="shared" si="587"/>
        <v/>
      </c>
      <c r="AY837" s="655" t="str">
        <f t="shared" si="623"/>
        <v/>
      </c>
      <c r="AZ837" s="655" t="str">
        <f t="shared" si="588"/>
        <v/>
      </c>
      <c r="BA837" s="655" t="str">
        <f t="shared" si="624"/>
        <v/>
      </c>
      <c r="BB837" s="655" t="str">
        <f t="shared" si="582"/>
        <v/>
      </c>
      <c r="BC837" s="655" t="str">
        <f t="shared" si="582"/>
        <v/>
      </c>
    </row>
    <row r="838" spans="1:55" ht="12" customHeight="1">
      <c r="A838" s="36"/>
      <c r="B838" s="36"/>
      <c r="C838" s="36"/>
      <c r="D838" s="36"/>
      <c r="E838" s="36"/>
      <c r="F838" s="36"/>
      <c r="G838" s="36"/>
      <c r="H838" s="204" t="s">
        <v>356</v>
      </c>
      <c r="I838" s="132">
        <v>820</v>
      </c>
      <c r="J838" s="71">
        <v>3299</v>
      </c>
      <c r="K838" s="40" t="s">
        <v>357</v>
      </c>
      <c r="L838" s="309">
        <v>7832</v>
      </c>
      <c r="M838" s="309">
        <f>7832/7.5345</f>
        <v>1039.4850355033511</v>
      </c>
      <c r="N838" s="339">
        <v>2238</v>
      </c>
      <c r="O838" s="339">
        <f>N838/7.5345</f>
        <v>297.03364523193306</v>
      </c>
      <c r="P838" s="294">
        <v>4000</v>
      </c>
      <c r="Q838" s="294">
        <v>4000</v>
      </c>
      <c r="R838" s="443">
        <v>0</v>
      </c>
      <c r="S838" s="294">
        <f>__xlfn.XLOOKUP(H838,[2]Izvršenje_proračuna_po_pozicija!$B$2:$B$153,[2]Izvršenje_proračuna_po_pozicija!$E$2:$E$153,0)</f>
        <v>15375</v>
      </c>
      <c r="T838" s="294"/>
      <c r="U838" s="294"/>
      <c r="V838" s="478">
        <v>4000</v>
      </c>
      <c r="W838" s="478">
        <v>16000</v>
      </c>
      <c r="X838" s="544">
        <v>17000</v>
      </c>
      <c r="Y838" s="544"/>
      <c r="Z838" s="541" t="b">
        <f t="shared" si="626"/>
        <v>0</v>
      </c>
      <c r="AA838" s="527"/>
      <c r="AB838" s="528">
        <v>5000</v>
      </c>
      <c r="AC838" s="528">
        <v>5000</v>
      </c>
      <c r="AD838" s="524">
        <f>O838/M838*100</f>
        <v>28.575076608784471</v>
      </c>
      <c r="AE838" s="524"/>
      <c r="AF838" s="524"/>
      <c r="AG838" s="524"/>
      <c r="AH838" s="527"/>
      <c r="AI838" s="544">
        <v>17000</v>
      </c>
      <c r="AJ838" s="516"/>
      <c r="AK838" s="516">
        <f>AT838/W838*100</f>
        <v>93.75</v>
      </c>
      <c r="AL838" s="516">
        <f>X838/AT838*100</f>
        <v>113.33333333333333</v>
      </c>
      <c r="AM838" s="294"/>
      <c r="AN838" s="413"/>
      <c r="AO838" t="b">
        <f t="shared" si="628"/>
        <v>0</v>
      </c>
      <c r="AP838" s="493">
        <v>15375</v>
      </c>
      <c r="AQ838" s="443">
        <v>15375</v>
      </c>
      <c r="AR838" s="493">
        <v>15375</v>
      </c>
      <c r="AS838" s="443">
        <f>__xlfn.XLOOKUP(K838,[1]Izvršenje_proračuna_po_pozicija!$C$25:$C$149,[1]Izvršenje_proračuna_po_pozicija!$E$25:$E$149,0)</f>
        <v>350</v>
      </c>
      <c r="AT838" s="617">
        <v>15000</v>
      </c>
      <c r="AU838" s="478"/>
      <c r="AV838" s="638">
        <v>17000</v>
      </c>
      <c r="AW838" s="638">
        <v>17000</v>
      </c>
      <c r="AX838" s="655" t="str">
        <f t="shared" si="587"/>
        <v/>
      </c>
      <c r="AY838" s="655" t="str">
        <f t="shared" si="623"/>
        <v/>
      </c>
      <c r="AZ838" s="655" t="str">
        <f t="shared" si="588"/>
        <v/>
      </c>
      <c r="BA838" s="655" t="str">
        <f t="shared" si="624"/>
        <v/>
      </c>
      <c r="BB838" s="655" t="str">
        <f t="shared" ref="BB838:BC901" si="633">IF(AND(ISNUMBER(AV838), ISNUMBER(AU838), AU838&lt;&gt;0), (AV838/AU838)*100, "")</f>
        <v/>
      </c>
      <c r="BC838" s="655">
        <f t="shared" si="633"/>
        <v>100</v>
      </c>
    </row>
    <row r="839" spans="1:55" ht="12" customHeight="1">
      <c r="A839" s="25"/>
      <c r="B839" s="25"/>
      <c r="C839" s="25"/>
      <c r="D839" s="25"/>
      <c r="E839" s="25"/>
      <c r="F839" s="25"/>
      <c r="G839" s="25"/>
      <c r="H839" s="389"/>
      <c r="I839" s="30"/>
      <c r="J839" s="29"/>
      <c r="K839" s="29"/>
      <c r="L839" s="313"/>
      <c r="M839" s="313"/>
      <c r="N839" s="335"/>
      <c r="O839" s="335"/>
      <c r="P839" s="290"/>
      <c r="Q839" s="290"/>
      <c r="R839" s="439"/>
      <c r="S839" s="294">
        <f>__xlfn.XLOOKUP(H839,[2]Izvršenje_proračuna_po_pozicija!$B$2:$B$153,[2]Izvršenje_proračuna_po_pozicija!$E$2:$E$153,0)</f>
        <v>0</v>
      </c>
      <c r="T839" s="294"/>
      <c r="U839" s="294"/>
      <c r="V839" s="474"/>
      <c r="W839" s="474"/>
      <c r="X839" s="539"/>
      <c r="Y839" s="539"/>
      <c r="Z839" s="541" t="b">
        <f t="shared" si="626"/>
        <v>0</v>
      </c>
      <c r="AA839" s="514"/>
      <c r="AB839" s="515"/>
      <c r="AC839" s="515"/>
      <c r="AD839" s="524"/>
      <c r="AE839" s="524"/>
      <c r="AF839" s="524"/>
      <c r="AG839" s="524"/>
      <c r="AH839" s="514"/>
      <c r="AI839" s="539"/>
      <c r="AJ839" s="516"/>
      <c r="AK839" s="516"/>
      <c r="AL839" s="516"/>
      <c r="AM839" s="290"/>
      <c r="AN839" s="413"/>
      <c r="AO839" t="b">
        <f t="shared" si="628"/>
        <v>0</v>
      </c>
      <c r="AQ839" s="439"/>
      <c r="AS839" s="439">
        <f>__xlfn.XLOOKUP(K839,[1]Izvršenje_proračuna_po_pozicija!$C$25:$C$149,[1]Izvršenje_proračuna_po_pozicija!$E$25:$E$149,0)</f>
        <v>0</v>
      </c>
      <c r="AT839" s="616"/>
      <c r="AU839" s="474"/>
      <c r="AV839" s="632"/>
      <c r="AW839" s="632"/>
      <c r="AX839" s="655" t="str">
        <f t="shared" si="587"/>
        <v/>
      </c>
      <c r="AY839" s="655" t="str">
        <f t="shared" si="623"/>
        <v/>
      </c>
      <c r="AZ839" s="655" t="str">
        <f t="shared" si="588"/>
        <v/>
      </c>
      <c r="BA839" s="655" t="str">
        <f t="shared" si="624"/>
        <v/>
      </c>
      <c r="BB839" s="655" t="str">
        <f t="shared" si="633"/>
        <v/>
      </c>
      <c r="BC839" s="655" t="str">
        <f t="shared" si="633"/>
        <v/>
      </c>
    </row>
    <row r="840" spans="1:55" ht="12" customHeight="1">
      <c r="A840" s="355"/>
      <c r="B840" s="355"/>
      <c r="C840" s="355"/>
      <c r="D840" s="355"/>
      <c r="E840" s="355"/>
      <c r="F840" s="355"/>
      <c r="G840" s="355"/>
      <c r="H840" s="379"/>
      <c r="I840" s="359"/>
      <c r="J840" s="356">
        <v>36</v>
      </c>
      <c r="K840" s="358" t="s">
        <v>358</v>
      </c>
      <c r="L840" s="315">
        <f t="shared" ref="L840:S841" si="634">L841</f>
        <v>110000</v>
      </c>
      <c r="M840" s="315">
        <f t="shared" si="634"/>
        <v>14599.508925608865</v>
      </c>
      <c r="N840" s="337">
        <f t="shared" si="634"/>
        <v>110000</v>
      </c>
      <c r="O840" s="337">
        <f t="shared" si="634"/>
        <v>14599.508925608865</v>
      </c>
      <c r="P840" s="292">
        <f t="shared" si="634"/>
        <v>14599.508925608865</v>
      </c>
      <c r="Q840" s="292">
        <f t="shared" si="634"/>
        <v>22800</v>
      </c>
      <c r="R840" s="441">
        <f t="shared" si="634"/>
        <v>18746</v>
      </c>
      <c r="S840" s="292">
        <f t="shared" si="634"/>
        <v>16691.73</v>
      </c>
      <c r="T840" s="292"/>
      <c r="U840" s="292"/>
      <c r="V840" s="469">
        <f t="shared" ref="V840:Y841" si="635">V841</f>
        <v>22830</v>
      </c>
      <c r="W840" s="469">
        <f t="shared" si="635"/>
        <v>34500</v>
      </c>
      <c r="X840" s="522">
        <f t="shared" si="635"/>
        <v>35000</v>
      </c>
      <c r="Y840" s="522">
        <f t="shared" si="635"/>
        <v>0</v>
      </c>
      <c r="Z840" s="541" t="b">
        <f t="shared" si="626"/>
        <v>1</v>
      </c>
      <c r="AA840" s="522"/>
      <c r="AB840" s="523">
        <f>AB841</f>
        <v>15000</v>
      </c>
      <c r="AC840" s="523">
        <f>AC841</f>
        <v>15000</v>
      </c>
      <c r="AD840" s="524">
        <f>O840/M840*100</f>
        <v>100</v>
      </c>
      <c r="AE840" s="524">
        <f t="shared" ref="AE840:AF842" si="636">P840/O840*100</f>
        <v>100</v>
      </c>
      <c r="AF840" s="524">
        <f t="shared" si="636"/>
        <v>156.16963636363636</v>
      </c>
      <c r="AG840" s="524">
        <f>AB840/Q840*100</f>
        <v>65.789473684210535</v>
      </c>
      <c r="AH840" s="522"/>
      <c r="AI840" s="522">
        <v>35000</v>
      </c>
      <c r="AJ840" s="516">
        <f>W840/R840*100</f>
        <v>184.03926170916463</v>
      </c>
      <c r="AK840" s="516">
        <f>AT840/W840*100</f>
        <v>100</v>
      </c>
      <c r="AL840" s="516">
        <f>X840/AT840*100</f>
        <v>101.44927536231884</v>
      </c>
      <c r="AM840" s="292"/>
      <c r="AO840" t="b">
        <f t="shared" si="628"/>
        <v>1</v>
      </c>
      <c r="AP840" s="440">
        <f>AP841</f>
        <v>27124.19</v>
      </c>
      <c r="AQ840" s="441">
        <v>27124.19</v>
      </c>
      <c r="AR840" s="440">
        <f t="shared" ref="AR840:AU841" si="637">AR841</f>
        <v>27124.19</v>
      </c>
      <c r="AS840" s="441">
        <f t="shared" si="637"/>
        <v>0</v>
      </c>
      <c r="AT840" s="612">
        <f t="shared" si="637"/>
        <v>34500</v>
      </c>
      <c r="AU840" s="469">
        <f t="shared" si="637"/>
        <v>34500</v>
      </c>
      <c r="AV840" s="636">
        <v>35000</v>
      </c>
      <c r="AW840" s="636">
        <v>35000</v>
      </c>
      <c r="AX840" s="655">
        <f t="shared" si="587"/>
        <v>184.03926170916463</v>
      </c>
      <c r="AY840" s="655">
        <f t="shared" si="623"/>
        <v>72.331957139227072</v>
      </c>
      <c r="AZ840" s="655">
        <f t="shared" si="588"/>
        <v>100</v>
      </c>
      <c r="BA840" s="655">
        <f t="shared" si="624"/>
        <v>72.331957139227072</v>
      </c>
      <c r="BB840" s="655">
        <f t="shared" si="633"/>
        <v>101.44927536231884</v>
      </c>
      <c r="BC840" s="655">
        <f t="shared" si="633"/>
        <v>100</v>
      </c>
    </row>
    <row r="841" spans="1:55" ht="12" customHeight="1">
      <c r="A841" s="56"/>
      <c r="B841" s="56"/>
      <c r="C841" s="56"/>
      <c r="D841" s="56"/>
      <c r="E841" s="56"/>
      <c r="F841" s="56"/>
      <c r="G841" s="56"/>
      <c r="H841" s="377"/>
      <c r="I841" s="157"/>
      <c r="J841" s="116">
        <v>366</v>
      </c>
      <c r="K841" s="60" t="s">
        <v>584</v>
      </c>
      <c r="L841" s="315">
        <f t="shared" si="634"/>
        <v>110000</v>
      </c>
      <c r="M841" s="315">
        <f t="shared" si="634"/>
        <v>14599.508925608865</v>
      </c>
      <c r="N841" s="337">
        <f t="shared" si="634"/>
        <v>110000</v>
      </c>
      <c r="O841" s="337">
        <f t="shared" si="634"/>
        <v>14599.508925608865</v>
      </c>
      <c r="P841" s="292">
        <f t="shared" si="634"/>
        <v>14599.508925608865</v>
      </c>
      <c r="Q841" s="292">
        <f t="shared" si="634"/>
        <v>22800</v>
      </c>
      <c r="R841" s="441">
        <f t="shared" si="634"/>
        <v>18746</v>
      </c>
      <c r="S841" s="292">
        <f t="shared" si="634"/>
        <v>16691.73</v>
      </c>
      <c r="T841" s="292"/>
      <c r="U841" s="292"/>
      <c r="V841" s="469">
        <f t="shared" si="635"/>
        <v>22830</v>
      </c>
      <c r="W841" s="469">
        <f t="shared" si="635"/>
        <v>34500</v>
      </c>
      <c r="X841" s="522">
        <f t="shared" si="635"/>
        <v>35000</v>
      </c>
      <c r="Y841" s="522">
        <f t="shared" si="635"/>
        <v>0</v>
      </c>
      <c r="Z841" s="541" t="b">
        <f t="shared" si="626"/>
        <v>1</v>
      </c>
      <c r="AA841" s="522"/>
      <c r="AB841" s="523">
        <f>AB842</f>
        <v>15000</v>
      </c>
      <c r="AC841" s="523">
        <f>AC842</f>
        <v>15000</v>
      </c>
      <c r="AD841" s="524">
        <f>O841/M841*100</f>
        <v>100</v>
      </c>
      <c r="AE841" s="524">
        <f t="shared" si="636"/>
        <v>100</v>
      </c>
      <c r="AF841" s="524">
        <f t="shared" si="636"/>
        <v>156.16963636363636</v>
      </c>
      <c r="AG841" s="524">
        <f>AB841/Q841*100</f>
        <v>65.789473684210535</v>
      </c>
      <c r="AH841" s="522"/>
      <c r="AI841" s="522">
        <v>35000</v>
      </c>
      <c r="AJ841" s="516">
        <f>W841/R841*100</f>
        <v>184.03926170916463</v>
      </c>
      <c r="AK841" s="516">
        <f>AT841/W841*100</f>
        <v>100</v>
      </c>
      <c r="AL841" s="516">
        <f>X841/AT841*100</f>
        <v>101.44927536231884</v>
      </c>
      <c r="AM841" s="292"/>
      <c r="AO841" t="b">
        <f t="shared" si="628"/>
        <v>1</v>
      </c>
      <c r="AP841" s="440">
        <f>AP842</f>
        <v>27124.19</v>
      </c>
      <c r="AQ841" s="441">
        <v>27124.19</v>
      </c>
      <c r="AR841" s="440">
        <f t="shared" si="637"/>
        <v>27124.19</v>
      </c>
      <c r="AS841" s="441">
        <f t="shared" si="637"/>
        <v>0</v>
      </c>
      <c r="AT841" s="612">
        <f t="shared" si="637"/>
        <v>34500</v>
      </c>
      <c r="AU841" s="469">
        <f t="shared" si="637"/>
        <v>34500</v>
      </c>
      <c r="AV841" s="636">
        <v>35000</v>
      </c>
      <c r="AW841" s="636">
        <v>35000</v>
      </c>
      <c r="AX841" s="655">
        <f t="shared" si="587"/>
        <v>184.03926170916463</v>
      </c>
      <c r="AY841" s="655" t="str">
        <f t="shared" si="623"/>
        <v/>
      </c>
      <c r="AZ841" s="655">
        <f t="shared" si="588"/>
        <v>100</v>
      </c>
      <c r="BA841" s="655" t="str">
        <f t="shared" si="624"/>
        <v/>
      </c>
      <c r="BB841" s="655">
        <f t="shared" si="633"/>
        <v>101.44927536231884</v>
      </c>
      <c r="BC841" s="655">
        <f t="shared" si="633"/>
        <v>100</v>
      </c>
    </row>
    <row r="842" spans="1:55" ht="12" customHeight="1">
      <c r="A842" s="36"/>
      <c r="B842" s="36"/>
      <c r="C842" s="36"/>
      <c r="D842" s="36"/>
      <c r="E842" s="36"/>
      <c r="F842" s="36"/>
      <c r="G842" s="36"/>
      <c r="H842" s="204" t="s">
        <v>353</v>
      </c>
      <c r="I842" s="132">
        <v>820</v>
      </c>
      <c r="J842" s="71">
        <v>3661</v>
      </c>
      <c r="K842" s="40" t="s">
        <v>359</v>
      </c>
      <c r="L842" s="309">
        <v>110000</v>
      </c>
      <c r="M842" s="309">
        <f>110000/7.5345</f>
        <v>14599.508925608865</v>
      </c>
      <c r="N842" s="339">
        <v>110000</v>
      </c>
      <c r="O842" s="339">
        <f>N842/7.5345</f>
        <v>14599.508925608865</v>
      </c>
      <c r="P842" s="294">
        <f>110000/7.5345</f>
        <v>14599.508925608865</v>
      </c>
      <c r="Q842" s="269">
        <v>22800</v>
      </c>
      <c r="R842" s="443">
        <v>18746</v>
      </c>
      <c r="S842" s="294">
        <f>__xlfn.XLOOKUP(H842,[2]Izvršenje_proračuna_po_pozicija!$B$2:$B$153,[2]Izvršenje_proračuna_po_pozicija!$E$2:$E$153,0)</f>
        <v>16691.73</v>
      </c>
      <c r="T842" s="294"/>
      <c r="U842" s="294"/>
      <c r="V842" s="478">
        <v>22830</v>
      </c>
      <c r="W842" s="478">
        <v>34500</v>
      </c>
      <c r="X842" s="544">
        <v>35000</v>
      </c>
      <c r="Y842" s="544"/>
      <c r="Z842" s="541" t="b">
        <f t="shared" si="626"/>
        <v>0</v>
      </c>
      <c r="AA842" s="527"/>
      <c r="AB842" s="528">
        <v>15000</v>
      </c>
      <c r="AC842" s="528">
        <v>15000</v>
      </c>
      <c r="AD842" s="524">
        <f>O842/M842*100</f>
        <v>100</v>
      </c>
      <c r="AE842" s="524">
        <f t="shared" si="636"/>
        <v>100</v>
      </c>
      <c r="AF842" s="524">
        <f t="shared" si="636"/>
        <v>156.16963636363636</v>
      </c>
      <c r="AG842" s="524">
        <f>AB842/Q842*100</f>
        <v>65.789473684210535</v>
      </c>
      <c r="AH842" s="527"/>
      <c r="AI842" s="544">
        <v>35000</v>
      </c>
      <c r="AJ842" s="516">
        <f>W842/R842*100</f>
        <v>184.03926170916463</v>
      </c>
      <c r="AK842" s="516">
        <f>AT842/W842*100</f>
        <v>100</v>
      </c>
      <c r="AL842" s="516">
        <f>X842/AT842*100</f>
        <v>101.44927536231884</v>
      </c>
      <c r="AM842" s="294"/>
      <c r="AO842" t="b">
        <f t="shared" si="628"/>
        <v>0</v>
      </c>
      <c r="AP842" s="493">
        <v>27124.19</v>
      </c>
      <c r="AQ842" s="443">
        <v>27124.19</v>
      </c>
      <c r="AR842" s="493">
        <v>27124.19</v>
      </c>
      <c r="AS842" s="443">
        <f>__xlfn.XLOOKUP(K842,[1]Izvršenje_proračuna_po_pozicija!$C$25:$C$149,[1]Izvršenje_proračuna_po_pozicija!$E$25:$E$149,0)</f>
        <v>0</v>
      </c>
      <c r="AT842" s="617">
        <v>34500</v>
      </c>
      <c r="AU842" s="478">
        <v>34500</v>
      </c>
      <c r="AV842" s="638">
        <v>35000</v>
      </c>
      <c r="AW842" s="638">
        <v>35000</v>
      </c>
      <c r="AX842" s="655">
        <f t="shared" si="587"/>
        <v>184.03926170916463</v>
      </c>
      <c r="AY842" s="655">
        <f t="shared" si="623"/>
        <v>72.331957139227072</v>
      </c>
      <c r="AZ842" s="655">
        <f t="shared" si="588"/>
        <v>100</v>
      </c>
      <c r="BA842" s="655">
        <f t="shared" si="624"/>
        <v>72.331957139227072</v>
      </c>
      <c r="BB842" s="655">
        <f t="shared" si="633"/>
        <v>101.44927536231884</v>
      </c>
      <c r="BC842" s="655">
        <f t="shared" si="633"/>
        <v>100</v>
      </c>
    </row>
    <row r="843" spans="1:55" ht="12" customHeight="1">
      <c r="A843" s="36"/>
      <c r="B843" s="36"/>
      <c r="C843" s="36"/>
      <c r="D843" s="36"/>
      <c r="E843" s="36"/>
      <c r="F843" s="36"/>
      <c r="G843" s="36"/>
      <c r="H843" s="204" t="s">
        <v>754</v>
      </c>
      <c r="I843" s="118">
        <v>820</v>
      </c>
      <c r="J843" s="71">
        <v>3661</v>
      </c>
      <c r="K843" s="152" t="s">
        <v>755</v>
      </c>
      <c r="L843" s="309"/>
      <c r="M843" s="309"/>
      <c r="N843" s="339"/>
      <c r="O843" s="339"/>
      <c r="P843" s="294"/>
      <c r="Q843" s="294"/>
      <c r="R843" s="443"/>
      <c r="S843" s="294">
        <f>__xlfn.XLOOKUP(H843,[2]Izvršenje_proračuna_po_pozicija!$B$2:$B$153,[2]Izvršenje_proračuna_po_pozicija!$E$2:$E$153,0)</f>
        <v>0</v>
      </c>
      <c r="T843" s="294"/>
      <c r="U843" s="294"/>
      <c r="V843" s="478"/>
      <c r="W843" s="478"/>
      <c r="X843" s="544"/>
      <c r="Y843" s="544"/>
      <c r="Z843" s="541" t="b">
        <f t="shared" si="626"/>
        <v>0</v>
      </c>
      <c r="AA843" s="527"/>
      <c r="AB843" s="528"/>
      <c r="AC843" s="528"/>
      <c r="AD843" s="524"/>
      <c r="AE843" s="524"/>
      <c r="AF843" s="524"/>
      <c r="AG843" s="524"/>
      <c r="AH843" s="527"/>
      <c r="AI843" s="544"/>
      <c r="AJ843" s="516"/>
      <c r="AK843" s="516"/>
      <c r="AL843" s="516"/>
      <c r="AM843" s="294"/>
      <c r="AO843" t="b">
        <f t="shared" si="628"/>
        <v>0</v>
      </c>
      <c r="AQ843" s="443"/>
      <c r="AS843" s="443">
        <f>__xlfn.XLOOKUP(K843,[1]Izvršenje_proračuna_po_pozicija!$C$25:$C$149,[1]Izvršenje_proračuna_po_pozicija!$E$25:$E$149,0)</f>
        <v>0</v>
      </c>
      <c r="AT843" s="617"/>
      <c r="AU843" s="478"/>
      <c r="AV843" s="638"/>
      <c r="AW843" s="638"/>
      <c r="AX843" s="655" t="str">
        <f t="shared" ref="AX843:AX906" si="638">IF(AND(ISNUMBER(AT843), ISNUMBER(R843), R843&lt;&gt;0), (AT843/R843)*100, "")</f>
        <v/>
      </c>
      <c r="AY843" s="655" t="str">
        <f t="shared" si="623"/>
        <v/>
      </c>
      <c r="AZ843" s="655" t="str">
        <f t="shared" ref="AZ843:AZ906" si="639">IF(AND(ISNUMBER(AU843), ISNUMBER(AT843), AT843&lt;&gt;0), (AU843/AT843)*100, "")</f>
        <v/>
      </c>
      <c r="BA843" s="655" t="str">
        <f t="shared" si="624"/>
        <v/>
      </c>
      <c r="BB843" s="655" t="str">
        <f t="shared" si="633"/>
        <v/>
      </c>
      <c r="BC843" s="655" t="str">
        <f t="shared" si="633"/>
        <v/>
      </c>
    </row>
    <row r="844" spans="1:55" ht="12" customHeight="1">
      <c r="A844" s="36"/>
      <c r="B844" s="36"/>
      <c r="C844" s="36"/>
      <c r="D844" s="36"/>
      <c r="E844" s="36"/>
      <c r="F844" s="36"/>
      <c r="G844" s="36"/>
      <c r="H844" s="244"/>
      <c r="I844" s="133"/>
      <c r="J844" s="134"/>
      <c r="K844" s="330"/>
      <c r="L844" s="324"/>
      <c r="M844" s="324"/>
      <c r="N844" s="348"/>
      <c r="O844" s="348"/>
      <c r="P844" s="303"/>
      <c r="Q844" s="303"/>
      <c r="R844" s="460"/>
      <c r="S844" s="294">
        <f>__xlfn.XLOOKUP(H844,[2]Izvršenje_proračuna_po_pozicija!$B$2:$B$153,[2]Izvršenje_proračuna_po_pozicija!$E$2:$E$153,0)</f>
        <v>0</v>
      </c>
      <c r="T844" s="303"/>
      <c r="U844" s="303"/>
      <c r="V844" s="484"/>
      <c r="W844" s="484"/>
      <c r="X844" s="554"/>
      <c r="Y844" s="554"/>
      <c r="Z844" s="541" t="b">
        <f t="shared" si="626"/>
        <v>0</v>
      </c>
      <c r="AA844" s="555"/>
      <c r="AB844" s="556"/>
      <c r="AC844" s="556"/>
      <c r="AD844" s="524"/>
      <c r="AE844" s="524"/>
      <c r="AF844" s="524"/>
      <c r="AG844" s="524"/>
      <c r="AH844" s="555"/>
      <c r="AI844" s="554"/>
      <c r="AJ844" s="516"/>
      <c r="AK844" s="516"/>
      <c r="AL844" s="516"/>
      <c r="AM844" s="303"/>
      <c r="AO844" t="b">
        <f t="shared" si="628"/>
        <v>0</v>
      </c>
      <c r="AQ844" s="460"/>
      <c r="AS844" s="460">
        <f>__xlfn.XLOOKUP(K844,[1]Izvršenje_proračuna_po_pozicija!$C$25:$C$149,[1]Izvršenje_proračuna_po_pozicija!$E$25:$E$149,0)</f>
        <v>0</v>
      </c>
      <c r="AT844" s="619"/>
      <c r="AU844" s="484"/>
      <c r="AV844" s="646"/>
      <c r="AW844" s="646"/>
      <c r="AX844" s="655" t="str">
        <f t="shared" si="638"/>
        <v/>
      </c>
      <c r="AY844" s="655" t="str">
        <f t="shared" si="623"/>
        <v/>
      </c>
      <c r="AZ844" s="655" t="str">
        <f t="shared" si="639"/>
        <v/>
      </c>
      <c r="BA844" s="655" t="str">
        <f t="shared" si="624"/>
        <v/>
      </c>
      <c r="BB844" s="655" t="str">
        <f t="shared" si="633"/>
        <v/>
      </c>
      <c r="BC844" s="655" t="str">
        <f t="shared" si="633"/>
        <v/>
      </c>
    </row>
    <row r="845" spans="1:55" ht="12" customHeight="1">
      <c r="A845" s="212" t="s">
        <v>486</v>
      </c>
      <c r="B845" s="130"/>
      <c r="C845" s="130"/>
      <c r="D845" s="130"/>
      <c r="E845" s="130"/>
      <c r="F845" s="130"/>
      <c r="G845" s="130"/>
      <c r="H845" s="388"/>
      <c r="I845" s="167" t="s">
        <v>360</v>
      </c>
      <c r="J845" s="168"/>
      <c r="K845" s="169"/>
      <c r="L845" s="320">
        <f t="shared" ref="L845:S845" si="640">L847</f>
        <v>23125</v>
      </c>
      <c r="M845" s="320">
        <f t="shared" si="640"/>
        <v>3069.2149445882274</v>
      </c>
      <c r="N845" s="344">
        <f t="shared" si="640"/>
        <v>0</v>
      </c>
      <c r="O845" s="344">
        <f t="shared" si="640"/>
        <v>0</v>
      </c>
      <c r="P845" s="299">
        <f t="shared" si="640"/>
        <v>7000</v>
      </c>
      <c r="Q845" s="299">
        <f t="shared" si="640"/>
        <v>49900</v>
      </c>
      <c r="R845" s="447">
        <f t="shared" si="640"/>
        <v>35352</v>
      </c>
      <c r="S845" s="299">
        <f t="shared" si="640"/>
        <v>0</v>
      </c>
      <c r="T845" s="299"/>
      <c r="U845" s="299"/>
      <c r="V845" s="477">
        <f>V847</f>
        <v>0</v>
      </c>
      <c r="W845" s="477">
        <f>W847</f>
        <v>14000</v>
      </c>
      <c r="X845" s="542">
        <f>X847</f>
        <v>5000</v>
      </c>
      <c r="Y845" s="542">
        <f>Y847</f>
        <v>0</v>
      </c>
      <c r="Z845" s="541" t="b">
        <f t="shared" si="626"/>
        <v>1</v>
      </c>
      <c r="AA845" s="542"/>
      <c r="AB845" s="543">
        <f>AB847</f>
        <v>7000</v>
      </c>
      <c r="AC845" s="543">
        <f>AC847</f>
        <v>7000</v>
      </c>
      <c r="AD845" s="524">
        <f>O845/M845*100</f>
        <v>0</v>
      </c>
      <c r="AE845" s="524"/>
      <c r="AF845" s="524"/>
      <c r="AG845" s="524"/>
      <c r="AH845" s="542"/>
      <c r="AI845" s="542">
        <v>5000</v>
      </c>
      <c r="AJ845" s="516">
        <f>W845/R845*100</f>
        <v>39.601719846119032</v>
      </c>
      <c r="AK845" s="516">
        <f>AT845/W845*100</f>
        <v>71.428571428571431</v>
      </c>
      <c r="AL845" s="516">
        <f>X845/AT845*100</f>
        <v>50</v>
      </c>
      <c r="AM845" s="299"/>
      <c r="AO845" t="b">
        <f t="shared" si="628"/>
        <v>1</v>
      </c>
      <c r="AP845" s="503">
        <f t="shared" ref="AP845:AU845" si="641">AP847</f>
        <v>47696.76</v>
      </c>
      <c r="AQ845" s="447">
        <v>47696.76</v>
      </c>
      <c r="AR845" s="503">
        <f>AR847</f>
        <v>47696.76</v>
      </c>
      <c r="AS845" s="447">
        <f t="shared" si="641"/>
        <v>1200</v>
      </c>
      <c r="AT845" s="611">
        <f t="shared" si="641"/>
        <v>10000</v>
      </c>
      <c r="AU845" s="477">
        <f t="shared" si="641"/>
        <v>44000</v>
      </c>
      <c r="AV845" s="643">
        <v>5000</v>
      </c>
      <c r="AW845" s="643">
        <v>5000</v>
      </c>
      <c r="AX845" s="655">
        <f t="shared" si="638"/>
        <v>28.286942747227879</v>
      </c>
      <c r="AY845" s="655">
        <f t="shared" si="623"/>
        <v>20.96578467803683</v>
      </c>
      <c r="AZ845" s="655">
        <f t="shared" si="639"/>
        <v>440.00000000000006</v>
      </c>
      <c r="BA845" s="655">
        <f t="shared" si="624"/>
        <v>92.249452583362057</v>
      </c>
      <c r="BB845" s="655">
        <f t="shared" si="633"/>
        <v>11.363636363636363</v>
      </c>
      <c r="BC845" s="655">
        <f t="shared" si="633"/>
        <v>100</v>
      </c>
    </row>
    <row r="846" spans="1:55" ht="12" customHeight="1">
      <c r="A846" s="36"/>
      <c r="B846" s="36"/>
      <c r="C846" s="36"/>
      <c r="D846" s="36"/>
      <c r="E846" s="36"/>
      <c r="F846" s="36"/>
      <c r="G846" s="36"/>
      <c r="H846" s="204"/>
      <c r="I846" s="132"/>
      <c r="J846" s="71"/>
      <c r="K846" s="40"/>
      <c r="L846" s="326"/>
      <c r="M846" s="326"/>
      <c r="N846" s="350"/>
      <c r="O846" s="350"/>
      <c r="P846" s="305"/>
      <c r="Q846" s="305"/>
      <c r="R846" s="461"/>
      <c r="S846" s="294">
        <f>__xlfn.XLOOKUP(H846,[2]Izvršenje_proračuna_po_pozicija!$B$2:$B$153,[2]Izvršenje_proračuna_po_pozicija!$E$2:$E$153,0)</f>
        <v>0</v>
      </c>
      <c r="T846" s="294"/>
      <c r="U846" s="294"/>
      <c r="V846" s="486"/>
      <c r="W846" s="486"/>
      <c r="X846" s="559"/>
      <c r="Y846" s="559"/>
      <c r="Z846" s="541" t="b">
        <f t="shared" si="626"/>
        <v>0</v>
      </c>
      <c r="AA846" s="560"/>
      <c r="AB846" s="561"/>
      <c r="AC846" s="561"/>
      <c r="AD846" s="524"/>
      <c r="AE846" s="524"/>
      <c r="AF846" s="524"/>
      <c r="AG846" s="524"/>
      <c r="AH846" s="560"/>
      <c r="AI846" s="559"/>
      <c r="AJ846" s="516"/>
      <c r="AK846" s="516"/>
      <c r="AL846" s="516"/>
      <c r="AM846" s="305"/>
      <c r="AO846" t="b">
        <f t="shared" si="628"/>
        <v>0</v>
      </c>
      <c r="AQ846" s="461"/>
      <c r="AS846" s="461"/>
      <c r="AT846" s="616"/>
      <c r="AU846" s="486"/>
      <c r="AV846" s="648"/>
      <c r="AW846" s="648"/>
      <c r="AX846" s="655" t="str">
        <f t="shared" si="638"/>
        <v/>
      </c>
      <c r="AY846" s="655" t="str">
        <f t="shared" si="623"/>
        <v/>
      </c>
      <c r="AZ846" s="655" t="str">
        <f t="shared" si="639"/>
        <v/>
      </c>
      <c r="BA846" s="655" t="str">
        <f t="shared" si="624"/>
        <v/>
      </c>
      <c r="BB846" s="655" t="str">
        <f t="shared" si="633"/>
        <v/>
      </c>
      <c r="BC846" s="655" t="str">
        <f t="shared" si="633"/>
        <v/>
      </c>
    </row>
    <row r="847" spans="1:55" ht="12" customHeight="1">
      <c r="A847" s="52"/>
      <c r="B847" s="52"/>
      <c r="C847" s="52"/>
      <c r="D847" s="52"/>
      <c r="E847" s="52"/>
      <c r="F847" s="52"/>
      <c r="G847" s="52"/>
      <c r="H847" s="384"/>
      <c r="I847" s="156"/>
      <c r="J847" s="94">
        <v>3</v>
      </c>
      <c r="K847" s="21" t="s">
        <v>94</v>
      </c>
      <c r="L847" s="315">
        <f t="shared" ref="L847:AC848" si="642">L848</f>
        <v>23125</v>
      </c>
      <c r="M847" s="315">
        <f t="shared" si="642"/>
        <v>3069.2149445882274</v>
      </c>
      <c r="N847" s="337">
        <f t="shared" si="642"/>
        <v>0</v>
      </c>
      <c r="O847" s="337">
        <f t="shared" si="642"/>
        <v>0</v>
      </c>
      <c r="P847" s="292">
        <f t="shared" si="642"/>
        <v>7000</v>
      </c>
      <c r="Q847" s="292">
        <f t="shared" si="642"/>
        <v>49900</v>
      </c>
      <c r="R847" s="441">
        <f t="shared" si="642"/>
        <v>35352</v>
      </c>
      <c r="S847" s="292">
        <f t="shared" si="642"/>
        <v>0</v>
      </c>
      <c r="T847" s="292"/>
      <c r="U847" s="292"/>
      <c r="V847" s="469">
        <f t="shared" si="642"/>
        <v>0</v>
      </c>
      <c r="W847" s="469">
        <f t="shared" si="642"/>
        <v>14000</v>
      </c>
      <c r="X847" s="522">
        <f t="shared" si="642"/>
        <v>5000</v>
      </c>
      <c r="Y847" s="522">
        <f t="shared" si="642"/>
        <v>0</v>
      </c>
      <c r="Z847" s="541" t="b">
        <f t="shared" si="626"/>
        <v>1</v>
      </c>
      <c r="AA847" s="522"/>
      <c r="AB847" s="523">
        <f t="shared" si="642"/>
        <v>7000</v>
      </c>
      <c r="AC847" s="523">
        <f t="shared" si="642"/>
        <v>7000</v>
      </c>
      <c r="AD847" s="524">
        <f>O847/M847*100</f>
        <v>0</v>
      </c>
      <c r="AE847" s="524"/>
      <c r="AF847" s="524"/>
      <c r="AG847" s="524"/>
      <c r="AH847" s="522"/>
      <c r="AI847" s="522">
        <v>5000</v>
      </c>
      <c r="AJ847" s="516">
        <f>W847/R847*100</f>
        <v>39.601719846119032</v>
      </c>
      <c r="AK847" s="516">
        <f>AT847/W847*100</f>
        <v>71.428571428571431</v>
      </c>
      <c r="AL847" s="516">
        <f>X847/AT847*100</f>
        <v>50</v>
      </c>
      <c r="AM847" s="292"/>
      <c r="AO847" t="b">
        <f t="shared" si="628"/>
        <v>1</v>
      </c>
      <c r="AP847" s="440">
        <f t="shared" ref="AP847:AU848" si="643">AP848</f>
        <v>47696.76</v>
      </c>
      <c r="AQ847" s="441">
        <v>47696.76</v>
      </c>
      <c r="AR847" s="440">
        <f>AR848</f>
        <v>47696.76</v>
      </c>
      <c r="AS847" s="441">
        <f t="shared" si="643"/>
        <v>1200</v>
      </c>
      <c r="AT847" s="612">
        <f>AT848</f>
        <v>10000</v>
      </c>
      <c r="AU847" s="469">
        <f t="shared" si="643"/>
        <v>44000</v>
      </c>
      <c r="AV847" s="636">
        <v>5000</v>
      </c>
      <c r="AW847" s="636">
        <v>5000</v>
      </c>
      <c r="AX847" s="655">
        <f t="shared" si="638"/>
        <v>28.286942747227879</v>
      </c>
      <c r="AY847" s="655" t="str">
        <f t="shared" si="623"/>
        <v/>
      </c>
      <c r="AZ847" s="655">
        <f t="shared" si="639"/>
        <v>440.00000000000006</v>
      </c>
      <c r="BA847" s="655" t="str">
        <f t="shared" si="624"/>
        <v/>
      </c>
      <c r="BB847" s="655">
        <f t="shared" si="633"/>
        <v>11.363636363636363</v>
      </c>
      <c r="BC847" s="655">
        <f t="shared" si="633"/>
        <v>100</v>
      </c>
    </row>
    <row r="848" spans="1:55" ht="12" customHeight="1">
      <c r="A848" s="355"/>
      <c r="B848" s="355"/>
      <c r="C848" s="355"/>
      <c r="D848" s="355"/>
      <c r="E848" s="355"/>
      <c r="F848" s="355"/>
      <c r="G848" s="355"/>
      <c r="H848" s="379"/>
      <c r="I848" s="359"/>
      <c r="J848" s="356">
        <v>32</v>
      </c>
      <c r="K848" s="358" t="s">
        <v>103</v>
      </c>
      <c r="L848" s="315">
        <f t="shared" si="642"/>
        <v>23125</v>
      </c>
      <c r="M848" s="315">
        <f t="shared" si="642"/>
        <v>3069.2149445882274</v>
      </c>
      <c r="N848" s="337">
        <f t="shared" si="642"/>
        <v>0</v>
      </c>
      <c r="O848" s="337">
        <f t="shared" si="642"/>
        <v>0</v>
      </c>
      <c r="P848" s="292">
        <f t="shared" si="642"/>
        <v>7000</v>
      </c>
      <c r="Q848" s="292">
        <f t="shared" si="642"/>
        <v>49900</v>
      </c>
      <c r="R848" s="441">
        <f t="shared" si="642"/>
        <v>35352</v>
      </c>
      <c r="S848" s="292">
        <f t="shared" si="642"/>
        <v>0</v>
      </c>
      <c r="T848" s="292"/>
      <c r="U848" s="292"/>
      <c r="V848" s="469">
        <f t="shared" si="642"/>
        <v>0</v>
      </c>
      <c r="W848" s="469">
        <f t="shared" si="642"/>
        <v>14000</v>
      </c>
      <c r="X848" s="522">
        <f t="shared" si="642"/>
        <v>5000</v>
      </c>
      <c r="Y848" s="522">
        <f t="shared" si="642"/>
        <v>0</v>
      </c>
      <c r="Z848" s="541" t="b">
        <f t="shared" si="626"/>
        <v>1</v>
      </c>
      <c r="AA848" s="522"/>
      <c r="AB848" s="523">
        <f t="shared" si="642"/>
        <v>7000</v>
      </c>
      <c r="AC848" s="523">
        <f t="shared" si="642"/>
        <v>7000</v>
      </c>
      <c r="AD848" s="524">
        <f>O848/M848*100</f>
        <v>0</v>
      </c>
      <c r="AE848" s="524"/>
      <c r="AF848" s="524"/>
      <c r="AG848" s="524"/>
      <c r="AH848" s="522"/>
      <c r="AI848" s="522">
        <v>5000</v>
      </c>
      <c r="AJ848" s="516">
        <f>W848/R848*100</f>
        <v>39.601719846119032</v>
      </c>
      <c r="AK848" s="516">
        <f>AT848/W848*100</f>
        <v>71.428571428571431</v>
      </c>
      <c r="AL848" s="516">
        <f>X848/AT848*100</f>
        <v>50</v>
      </c>
      <c r="AM848" s="292"/>
      <c r="AO848" t="b">
        <f t="shared" si="628"/>
        <v>1</v>
      </c>
      <c r="AP848" s="440">
        <f t="shared" si="643"/>
        <v>47696.76</v>
      </c>
      <c r="AQ848" s="441">
        <v>47696.76</v>
      </c>
      <c r="AR848" s="440">
        <f>AR849</f>
        <v>47696.76</v>
      </c>
      <c r="AS848" s="441">
        <f t="shared" si="643"/>
        <v>1200</v>
      </c>
      <c r="AT848" s="612">
        <f>AT849</f>
        <v>10000</v>
      </c>
      <c r="AU848" s="469">
        <f t="shared" si="643"/>
        <v>44000</v>
      </c>
      <c r="AV848" s="636">
        <v>5000</v>
      </c>
      <c r="AW848" s="636">
        <v>5000</v>
      </c>
      <c r="AX848" s="655">
        <f t="shared" si="638"/>
        <v>28.286942747227879</v>
      </c>
      <c r="AY848" s="655" t="str">
        <f t="shared" si="623"/>
        <v/>
      </c>
      <c r="AZ848" s="655">
        <f t="shared" si="639"/>
        <v>440.00000000000006</v>
      </c>
      <c r="BA848" s="655" t="str">
        <f t="shared" si="624"/>
        <v/>
      </c>
      <c r="BB848" s="655">
        <f t="shared" si="633"/>
        <v>11.363636363636363</v>
      </c>
      <c r="BC848" s="655">
        <f t="shared" si="633"/>
        <v>100</v>
      </c>
    </row>
    <row r="849" spans="1:55" ht="12" customHeight="1">
      <c r="A849" s="56"/>
      <c r="B849" s="56"/>
      <c r="C849" s="56"/>
      <c r="D849" s="56"/>
      <c r="E849" s="56"/>
      <c r="F849" s="56"/>
      <c r="G849" s="56"/>
      <c r="H849" s="377"/>
      <c r="I849" s="157"/>
      <c r="J849" s="116">
        <v>323</v>
      </c>
      <c r="K849" s="60" t="s">
        <v>191</v>
      </c>
      <c r="L849" s="315">
        <f t="shared" ref="L849:S849" si="644">L850+L851+L852</f>
        <v>23125</v>
      </c>
      <c r="M849" s="315">
        <f t="shared" si="644"/>
        <v>3069.2149445882274</v>
      </c>
      <c r="N849" s="337">
        <f t="shared" si="644"/>
        <v>0</v>
      </c>
      <c r="O849" s="337">
        <f t="shared" si="644"/>
        <v>0</v>
      </c>
      <c r="P849" s="292">
        <f t="shared" si="644"/>
        <v>7000</v>
      </c>
      <c r="Q849" s="292">
        <f t="shared" si="644"/>
        <v>49900</v>
      </c>
      <c r="R849" s="441">
        <f t="shared" si="644"/>
        <v>35352</v>
      </c>
      <c r="S849" s="292">
        <f t="shared" si="644"/>
        <v>0</v>
      </c>
      <c r="T849" s="292"/>
      <c r="U849" s="292"/>
      <c r="V849" s="469">
        <f>V850+V851+V852</f>
        <v>0</v>
      </c>
      <c r="W849" s="469">
        <f>W850+W851+W852</f>
        <v>14000</v>
      </c>
      <c r="X849" s="522">
        <f>X850+X851+X852</f>
        <v>5000</v>
      </c>
      <c r="Y849" s="522">
        <f>Y850+Y851+Y852</f>
        <v>0</v>
      </c>
      <c r="Z849" s="541" t="b">
        <f t="shared" si="626"/>
        <v>1</v>
      </c>
      <c r="AA849" s="522"/>
      <c r="AB849" s="523">
        <f>AB850+AB851+AB852</f>
        <v>7000</v>
      </c>
      <c r="AC849" s="523">
        <f>AC850+AC851+AC852</f>
        <v>7000</v>
      </c>
      <c r="AD849" s="524">
        <f>O849/M849*100</f>
        <v>0</v>
      </c>
      <c r="AE849" s="524"/>
      <c r="AF849" s="524"/>
      <c r="AG849" s="524"/>
      <c r="AH849" s="522"/>
      <c r="AI849" s="522">
        <v>5000</v>
      </c>
      <c r="AJ849" s="516">
        <f>W849/R849*100</f>
        <v>39.601719846119032</v>
      </c>
      <c r="AK849" s="516">
        <f>AT849/W849*100</f>
        <v>71.428571428571431</v>
      </c>
      <c r="AL849" s="516">
        <f>X849/AT849*100</f>
        <v>50</v>
      </c>
      <c r="AM849" s="292"/>
      <c r="AN849" s="413"/>
      <c r="AO849" t="b">
        <f t="shared" si="628"/>
        <v>1</v>
      </c>
      <c r="AP849" s="440">
        <f t="shared" ref="AP849:AU849" si="645">AP850+AP851+AP852</f>
        <v>47696.76</v>
      </c>
      <c r="AQ849" s="441">
        <v>47696.76</v>
      </c>
      <c r="AR849" s="440">
        <f>AR850+AR851+AR852</f>
        <v>47696.76</v>
      </c>
      <c r="AS849" s="441">
        <f t="shared" si="645"/>
        <v>1200</v>
      </c>
      <c r="AT849" s="612">
        <f t="shared" si="645"/>
        <v>10000</v>
      </c>
      <c r="AU849" s="469">
        <f t="shared" si="645"/>
        <v>44000</v>
      </c>
      <c r="AV849" s="636">
        <v>5000</v>
      </c>
      <c r="AW849" s="636">
        <v>5000</v>
      </c>
      <c r="AX849" s="655">
        <f t="shared" si="638"/>
        <v>28.286942747227879</v>
      </c>
      <c r="AY849" s="655">
        <f t="shared" si="623"/>
        <v>36.231884057971016</v>
      </c>
      <c r="AZ849" s="655">
        <f t="shared" si="639"/>
        <v>440.00000000000006</v>
      </c>
      <c r="BA849" s="655">
        <f t="shared" si="624"/>
        <v>159.42028985507247</v>
      </c>
      <c r="BB849" s="655">
        <f t="shared" si="633"/>
        <v>11.363636363636363</v>
      </c>
      <c r="BC849" s="655">
        <f t="shared" si="633"/>
        <v>100</v>
      </c>
    </row>
    <row r="850" spans="1:55" ht="12" customHeight="1">
      <c r="A850" s="36"/>
      <c r="B850" s="36"/>
      <c r="C850" s="36"/>
      <c r="D850" s="36"/>
      <c r="E850" s="36"/>
      <c r="F850" s="36"/>
      <c r="G850" s="36"/>
      <c r="H850" s="204">
        <v>109</v>
      </c>
      <c r="I850" s="132">
        <v>820</v>
      </c>
      <c r="J850" s="71">
        <v>3232</v>
      </c>
      <c r="K850" s="40" t="s">
        <v>361</v>
      </c>
      <c r="L850" s="309">
        <v>0</v>
      </c>
      <c r="M850" s="309">
        <v>0</v>
      </c>
      <c r="N850" s="339">
        <v>0</v>
      </c>
      <c r="O850" s="339">
        <v>0</v>
      </c>
      <c r="P850" s="294">
        <v>0</v>
      </c>
      <c r="Q850" s="269">
        <v>49900</v>
      </c>
      <c r="R850" s="443">
        <v>35352</v>
      </c>
      <c r="S850" s="294">
        <f>__xlfn.XLOOKUP(H850,[2]Izvršenje_proračuna_po_pozicija!$B$2:$B$153,[2]Izvršenje_proračuna_po_pozicija!$E$2:$E$153,0)</f>
        <v>0</v>
      </c>
      <c r="T850" s="294"/>
      <c r="U850" s="294"/>
      <c r="V850" s="478">
        <v>0</v>
      </c>
      <c r="W850" s="478">
        <v>14000</v>
      </c>
      <c r="X850" s="544">
        <v>5000</v>
      </c>
      <c r="Y850" s="544"/>
      <c r="Z850" s="541" t="b">
        <f t="shared" si="626"/>
        <v>0</v>
      </c>
      <c r="AA850" s="527"/>
      <c r="AB850" s="528">
        <v>0</v>
      </c>
      <c r="AC850" s="528">
        <v>0</v>
      </c>
      <c r="AD850" s="524"/>
      <c r="AE850" s="524"/>
      <c r="AF850" s="524"/>
      <c r="AG850" s="524"/>
      <c r="AH850" s="527"/>
      <c r="AI850" s="544">
        <v>5000</v>
      </c>
      <c r="AJ850" s="516">
        <f>W850/R850*100</f>
        <v>39.601719846119032</v>
      </c>
      <c r="AK850" s="516">
        <f>AT850/W850*100</f>
        <v>71.428571428571431</v>
      </c>
      <c r="AL850" s="516">
        <f>X850/AT850*100</f>
        <v>50</v>
      </c>
      <c r="AM850" s="294"/>
      <c r="AO850" t="b">
        <f t="shared" si="628"/>
        <v>0</v>
      </c>
      <c r="AP850" s="493">
        <v>47696.76</v>
      </c>
      <c r="AQ850" s="443">
        <v>47696.76</v>
      </c>
      <c r="AR850" s="493">
        <v>47696.76</v>
      </c>
      <c r="AS850" s="443">
        <f>__xlfn.XLOOKUP(K850,[1]Izvršenje_proračuna_po_pozicija!$C$25:$C$149,[1]Izvršenje_proračuna_po_pozicija!$E$25:$E$149,0)</f>
        <v>1200</v>
      </c>
      <c r="AT850" s="617">
        <v>10000</v>
      </c>
      <c r="AU850" s="478">
        <v>44000</v>
      </c>
      <c r="AV850" s="638">
        <v>5000</v>
      </c>
      <c r="AW850" s="638">
        <v>5000</v>
      </c>
      <c r="AX850" s="655">
        <f t="shared" si="638"/>
        <v>28.286942747227879</v>
      </c>
      <c r="AY850" s="655" t="str">
        <f t="shared" si="623"/>
        <v/>
      </c>
      <c r="AZ850" s="655">
        <f t="shared" si="639"/>
        <v>440.00000000000006</v>
      </c>
      <c r="BA850" s="655" t="str">
        <f t="shared" si="624"/>
        <v/>
      </c>
      <c r="BB850" s="655">
        <f t="shared" si="633"/>
        <v>11.363636363636363</v>
      </c>
      <c r="BC850" s="655">
        <f t="shared" si="633"/>
        <v>100</v>
      </c>
    </row>
    <row r="851" spans="1:55" ht="12" customHeight="1">
      <c r="A851" s="36"/>
      <c r="B851" s="36"/>
      <c r="C851" s="36"/>
      <c r="D851" s="36"/>
      <c r="E851" s="36"/>
      <c r="F851" s="36"/>
      <c r="G851" s="36"/>
      <c r="H851" s="204" t="s">
        <v>784</v>
      </c>
      <c r="I851" s="132">
        <v>820</v>
      </c>
      <c r="J851" s="71">
        <v>3232</v>
      </c>
      <c r="K851" s="40" t="s">
        <v>785</v>
      </c>
      <c r="L851" s="309">
        <v>23125</v>
      </c>
      <c r="M851" s="309">
        <f>23125/7.5345</f>
        <v>3069.2149445882274</v>
      </c>
      <c r="N851" s="339"/>
      <c r="O851" s="339"/>
      <c r="P851" s="294"/>
      <c r="Q851" s="294"/>
      <c r="R851" s="443"/>
      <c r="S851" s="294">
        <f>__xlfn.XLOOKUP(H851,[2]Izvršenje_proračuna_po_pozicija!$B$2:$B$153,[2]Izvršenje_proračuna_po_pozicija!$E$2:$E$153,0)</f>
        <v>0</v>
      </c>
      <c r="T851" s="294"/>
      <c r="U851" s="294"/>
      <c r="V851" s="478"/>
      <c r="W851" s="478"/>
      <c r="X851" s="544"/>
      <c r="Y851" s="544"/>
      <c r="Z851" s="541" t="b">
        <f t="shared" si="626"/>
        <v>0</v>
      </c>
      <c r="AA851" s="527"/>
      <c r="AB851" s="528"/>
      <c r="AC851" s="528"/>
      <c r="AD851" s="524">
        <f>O851/M851*100</f>
        <v>0</v>
      </c>
      <c r="AE851" s="524"/>
      <c r="AF851" s="524"/>
      <c r="AG851" s="524"/>
      <c r="AH851" s="527"/>
      <c r="AI851" s="544"/>
      <c r="AJ851" s="516"/>
      <c r="AK851" s="516"/>
      <c r="AL851" s="516"/>
      <c r="AM851" s="294"/>
      <c r="AO851" t="b">
        <f t="shared" si="628"/>
        <v>0</v>
      </c>
      <c r="AQ851" s="443"/>
      <c r="AS851" s="443">
        <f>__xlfn.XLOOKUP(K851,[1]Izvršenje_proračuna_po_pozicija!$C$25:$C$149,[1]Izvršenje_proračuna_po_pozicija!$E$25:$E$149,0)</f>
        <v>0</v>
      </c>
      <c r="AT851" s="617"/>
      <c r="AU851" s="478"/>
      <c r="AV851" s="638"/>
      <c r="AW851" s="638"/>
      <c r="AX851" s="655" t="str">
        <f t="shared" si="638"/>
        <v/>
      </c>
      <c r="AY851" s="655" t="str">
        <f t="shared" si="623"/>
        <v/>
      </c>
      <c r="AZ851" s="655" t="str">
        <f t="shared" si="639"/>
        <v/>
      </c>
      <c r="BA851" s="655" t="str">
        <f t="shared" si="624"/>
        <v/>
      </c>
      <c r="BB851" s="655" t="str">
        <f t="shared" si="633"/>
        <v/>
      </c>
      <c r="BC851" s="655" t="str">
        <f t="shared" si="633"/>
        <v/>
      </c>
    </row>
    <row r="852" spans="1:55" ht="12" customHeight="1">
      <c r="A852" s="36"/>
      <c r="B852" s="36"/>
      <c r="C852" s="36"/>
      <c r="D852" s="36"/>
      <c r="E852" s="36"/>
      <c r="F852" s="36"/>
      <c r="G852" s="36"/>
      <c r="H852" s="204" t="s">
        <v>362</v>
      </c>
      <c r="I852" s="132">
        <v>820</v>
      </c>
      <c r="J852" s="71">
        <v>3239</v>
      </c>
      <c r="K852" s="40" t="s">
        <v>675</v>
      </c>
      <c r="L852" s="309">
        <v>0</v>
      </c>
      <c r="M852" s="309">
        <v>0</v>
      </c>
      <c r="N852" s="339">
        <v>0</v>
      </c>
      <c r="O852" s="339">
        <v>0</v>
      </c>
      <c r="P852" s="294">
        <v>7000</v>
      </c>
      <c r="Q852" s="269">
        <v>0</v>
      </c>
      <c r="R852" s="443">
        <v>0</v>
      </c>
      <c r="S852" s="294">
        <f>__xlfn.XLOOKUP(H852,[2]Izvršenje_proračuna_po_pozicija!$B$2:$B$153,[2]Izvršenje_proračuna_po_pozicija!$E$2:$E$153,0)</f>
        <v>0</v>
      </c>
      <c r="T852" s="294"/>
      <c r="U852" s="294"/>
      <c r="V852" s="478">
        <v>0</v>
      </c>
      <c r="W852" s="478"/>
      <c r="X852" s="544"/>
      <c r="Y852" s="544"/>
      <c r="Z852" s="541" t="b">
        <f t="shared" si="626"/>
        <v>0</v>
      </c>
      <c r="AA852" s="527"/>
      <c r="AB852" s="528">
        <v>7000</v>
      </c>
      <c r="AC852" s="528">
        <v>7000</v>
      </c>
      <c r="AD852" s="524"/>
      <c r="AE852" s="524"/>
      <c r="AF852" s="524"/>
      <c r="AG852" s="524"/>
      <c r="AH852" s="527"/>
      <c r="AI852" s="544"/>
      <c r="AJ852" s="516"/>
      <c r="AK852" s="516"/>
      <c r="AL852" s="516"/>
      <c r="AM852" s="294"/>
      <c r="AO852" t="b">
        <f t="shared" si="628"/>
        <v>0</v>
      </c>
      <c r="AQ852" s="443"/>
      <c r="AS852" s="443">
        <f>__xlfn.XLOOKUP(K852,[1]Izvršenje_proračuna_po_pozicija!$C$25:$C$149,[1]Izvršenje_proračuna_po_pozicija!$E$25:$E$149,0)</f>
        <v>0</v>
      </c>
      <c r="AT852" s="617"/>
      <c r="AU852" s="478"/>
      <c r="AV852" s="638"/>
      <c r="AW852" s="638"/>
      <c r="AX852" s="655" t="str">
        <f t="shared" si="638"/>
        <v/>
      </c>
      <c r="AY852" s="655" t="str">
        <f t="shared" si="623"/>
        <v/>
      </c>
      <c r="AZ852" s="655" t="str">
        <f t="shared" si="639"/>
        <v/>
      </c>
      <c r="BA852" s="655" t="str">
        <f t="shared" si="624"/>
        <v/>
      </c>
      <c r="BB852" s="655" t="str">
        <f t="shared" si="633"/>
        <v/>
      </c>
      <c r="BC852" s="655" t="str">
        <f t="shared" si="633"/>
        <v/>
      </c>
    </row>
    <row r="853" spans="1:55" ht="12" customHeight="1">
      <c r="A853" s="25"/>
      <c r="B853" s="25"/>
      <c r="C853" s="25"/>
      <c r="D853" s="25"/>
      <c r="E853" s="25"/>
      <c r="F853" s="25"/>
      <c r="G853" s="25"/>
      <c r="H853" s="389"/>
      <c r="I853" s="30"/>
      <c r="J853" s="29"/>
      <c r="K853" s="29"/>
      <c r="L853" s="313"/>
      <c r="M853" s="313"/>
      <c r="N853" s="335"/>
      <c r="O853" s="335"/>
      <c r="P853" s="290"/>
      <c r="Q853" s="290"/>
      <c r="R853" s="439"/>
      <c r="S853" s="294">
        <f>__xlfn.XLOOKUP(H853,[2]Izvršenje_proračuna_po_pozicija!$B$2:$B$153,[2]Izvršenje_proračuna_po_pozicija!$E$2:$E$153,0)</f>
        <v>0</v>
      </c>
      <c r="T853" s="294"/>
      <c r="U853" s="294"/>
      <c r="V853" s="474"/>
      <c r="W853" s="474"/>
      <c r="X853" s="539"/>
      <c r="Y853" s="539"/>
      <c r="Z853" s="541" t="b">
        <f t="shared" si="626"/>
        <v>0</v>
      </c>
      <c r="AA853" s="514"/>
      <c r="AB853" s="515"/>
      <c r="AC853" s="515"/>
      <c r="AD853" s="524"/>
      <c r="AE853" s="524"/>
      <c r="AF853" s="524"/>
      <c r="AG853" s="524"/>
      <c r="AH853" s="514"/>
      <c r="AI853" s="539"/>
      <c r="AJ853" s="516"/>
      <c r="AK853" s="516"/>
      <c r="AL853" s="516"/>
      <c r="AM853" s="290"/>
      <c r="AO853" t="b">
        <f t="shared" si="628"/>
        <v>0</v>
      </c>
      <c r="AQ853" s="439"/>
      <c r="AS853" s="439">
        <f>__xlfn.XLOOKUP(K853,[1]Izvršenje_proračuna_po_pozicija!$C$25:$C$149,[1]Izvršenje_proračuna_po_pozicija!$E$25:$E$149,0)</f>
        <v>0</v>
      </c>
      <c r="AT853" s="616"/>
      <c r="AU853" s="474"/>
      <c r="AV853" s="632"/>
      <c r="AW853" s="632"/>
      <c r="AX853" s="655" t="str">
        <f t="shared" si="638"/>
        <v/>
      </c>
      <c r="AY853" s="655" t="str">
        <f t="shared" si="623"/>
        <v/>
      </c>
      <c r="AZ853" s="655" t="str">
        <f t="shared" si="639"/>
        <v/>
      </c>
      <c r="BA853" s="655" t="str">
        <f t="shared" si="624"/>
        <v/>
      </c>
      <c r="BB853" s="655" t="str">
        <f t="shared" si="633"/>
        <v/>
      </c>
      <c r="BC853" s="655" t="str">
        <f t="shared" si="633"/>
        <v/>
      </c>
    </row>
    <row r="854" spans="1:55" ht="12" customHeight="1">
      <c r="A854" s="212" t="s">
        <v>495</v>
      </c>
      <c r="B854" s="130"/>
      <c r="C854" s="130"/>
      <c r="D854" s="130"/>
      <c r="E854" s="130"/>
      <c r="F854" s="130"/>
      <c r="G854" s="130"/>
      <c r="H854" s="383"/>
      <c r="I854" s="170" t="s">
        <v>363</v>
      </c>
      <c r="J854" s="171"/>
      <c r="K854" s="111"/>
      <c r="L854" s="315">
        <f t="shared" ref="L854:S854" si="646">L856</f>
        <v>142000</v>
      </c>
      <c r="M854" s="315">
        <f t="shared" si="646"/>
        <v>18846.638794876897</v>
      </c>
      <c r="N854" s="337">
        <f t="shared" si="646"/>
        <v>184000</v>
      </c>
      <c r="O854" s="337">
        <f t="shared" si="646"/>
        <v>24420.996748291192</v>
      </c>
      <c r="P854" s="292">
        <f t="shared" si="646"/>
        <v>25300</v>
      </c>
      <c r="Q854" s="292">
        <f t="shared" si="646"/>
        <v>25300</v>
      </c>
      <c r="R854" s="441">
        <f t="shared" si="646"/>
        <v>143000</v>
      </c>
      <c r="S854" s="292">
        <f t="shared" si="646"/>
        <v>27600</v>
      </c>
      <c r="T854" s="292"/>
      <c r="U854" s="292"/>
      <c r="V854" s="469">
        <f>V856</f>
        <v>27800</v>
      </c>
      <c r="W854" s="469">
        <f>W856</f>
        <v>27800</v>
      </c>
      <c r="X854" s="522">
        <f>X856</f>
        <v>35000</v>
      </c>
      <c r="Y854" s="522">
        <f>Y856</f>
        <v>0</v>
      </c>
      <c r="Z854" s="541" t="b">
        <f t="shared" si="626"/>
        <v>1</v>
      </c>
      <c r="AA854" s="522"/>
      <c r="AB854" s="523">
        <f>AB856</f>
        <v>26000</v>
      </c>
      <c r="AC854" s="523">
        <f>AC856</f>
        <v>26000</v>
      </c>
      <c r="AD854" s="524">
        <f>O854/M854*100</f>
        <v>129.57746478873241</v>
      </c>
      <c r="AE854" s="524">
        <f>P854/O854*100</f>
        <v>103.59937500000001</v>
      </c>
      <c r="AF854" s="524">
        <f>Q854/P854*100</f>
        <v>100</v>
      </c>
      <c r="AG854" s="524">
        <f>AB854/Q854*100</f>
        <v>102.76679841897234</v>
      </c>
      <c r="AH854" s="522"/>
      <c r="AI854" s="522">
        <v>35000</v>
      </c>
      <c r="AJ854" s="516">
        <f>W854/R854*100</f>
        <v>19.44055944055944</v>
      </c>
      <c r="AK854" s="516">
        <f>AT854/W854*100</f>
        <v>115.10791366906474</v>
      </c>
      <c r="AL854" s="516">
        <f>X854/AT854*100</f>
        <v>109.375</v>
      </c>
      <c r="AM854" s="292"/>
      <c r="AO854" t="b">
        <f t="shared" si="628"/>
        <v>1</v>
      </c>
      <c r="AP854" s="440">
        <f t="shared" ref="AP854:AU854" si="647">AP856</f>
        <v>27600</v>
      </c>
      <c r="AQ854" s="441">
        <v>27600</v>
      </c>
      <c r="AR854" s="440">
        <f>AR856</f>
        <v>27600</v>
      </c>
      <c r="AS854" s="441">
        <f t="shared" si="647"/>
        <v>10900</v>
      </c>
      <c r="AT854" s="612">
        <f t="shared" si="647"/>
        <v>32000</v>
      </c>
      <c r="AU854" s="469">
        <f t="shared" si="647"/>
        <v>32000</v>
      </c>
      <c r="AV854" s="636">
        <v>35000</v>
      </c>
      <c r="AW854" s="636">
        <v>35000</v>
      </c>
      <c r="AX854" s="655">
        <f t="shared" si="638"/>
        <v>22.377622377622377</v>
      </c>
      <c r="AY854" s="655">
        <f t="shared" si="623"/>
        <v>115.94202898550725</v>
      </c>
      <c r="AZ854" s="655">
        <f t="shared" si="639"/>
        <v>100</v>
      </c>
      <c r="BA854" s="655">
        <f t="shared" si="624"/>
        <v>115.94202898550725</v>
      </c>
      <c r="BB854" s="655">
        <f t="shared" si="633"/>
        <v>109.375</v>
      </c>
      <c r="BC854" s="655">
        <f t="shared" si="633"/>
        <v>100</v>
      </c>
    </row>
    <row r="855" spans="1:55" ht="12" customHeight="1">
      <c r="A855" s="20"/>
      <c r="B855" s="20"/>
      <c r="C855" s="20"/>
      <c r="D855" s="20"/>
      <c r="E855" s="20"/>
      <c r="F855" s="20"/>
      <c r="G855" s="20"/>
      <c r="H855" s="375"/>
      <c r="I855" s="22"/>
      <c r="J855" s="21"/>
      <c r="K855" s="19"/>
      <c r="L855" s="313">
        <v>1</v>
      </c>
      <c r="M855" s="313">
        <v>2</v>
      </c>
      <c r="N855" s="335">
        <v>3</v>
      </c>
      <c r="O855" s="335">
        <v>4</v>
      </c>
      <c r="P855" s="290">
        <v>5</v>
      </c>
      <c r="Q855" s="290">
        <v>6</v>
      </c>
      <c r="R855" s="439"/>
      <c r="S855" s="294">
        <f>__xlfn.XLOOKUP(H855,[2]Izvršenje_proračuna_po_pozicija!$B$2:$B$153,[2]Izvršenje_proračuna_po_pozicija!$E$2:$E$153,0)</f>
        <v>0</v>
      </c>
      <c r="T855" s="294"/>
      <c r="U855" s="294"/>
      <c r="V855" s="474">
        <v>5</v>
      </c>
      <c r="W855" s="474"/>
      <c r="X855" s="539"/>
      <c r="Y855" s="539"/>
      <c r="Z855" s="541" t="b">
        <f t="shared" si="626"/>
        <v>0</v>
      </c>
      <c r="AA855" s="514"/>
      <c r="AB855" s="515">
        <v>7</v>
      </c>
      <c r="AC855" s="515">
        <v>8</v>
      </c>
      <c r="AD855" s="515">
        <v>9</v>
      </c>
      <c r="AE855" s="515">
        <v>10</v>
      </c>
      <c r="AF855" s="515">
        <v>11</v>
      </c>
      <c r="AG855" s="515">
        <v>12</v>
      </c>
      <c r="AH855" s="514"/>
      <c r="AI855" s="539"/>
      <c r="AJ855" s="516"/>
      <c r="AK855" s="516"/>
      <c r="AL855" s="516"/>
      <c r="AM855" s="290"/>
      <c r="AO855" t="b">
        <f t="shared" si="628"/>
        <v>0</v>
      </c>
      <c r="AQ855" s="439"/>
      <c r="AS855" s="439"/>
      <c r="AT855" s="616"/>
      <c r="AU855" s="474"/>
      <c r="AV855" s="632"/>
      <c r="AW855" s="632"/>
      <c r="AX855" s="655" t="str">
        <f t="shared" si="638"/>
        <v/>
      </c>
      <c r="AY855" s="655" t="str">
        <f t="shared" si="623"/>
        <v/>
      </c>
      <c r="AZ855" s="655" t="str">
        <f t="shared" si="639"/>
        <v/>
      </c>
      <c r="BA855" s="655" t="str">
        <f t="shared" si="624"/>
        <v/>
      </c>
      <c r="BB855" s="655" t="str">
        <f t="shared" si="633"/>
        <v/>
      </c>
      <c r="BC855" s="655" t="str">
        <f t="shared" si="633"/>
        <v/>
      </c>
    </row>
    <row r="856" spans="1:55" ht="12" customHeight="1">
      <c r="A856" s="52"/>
      <c r="B856" s="52"/>
      <c r="C856" s="52"/>
      <c r="D856" s="52"/>
      <c r="E856" s="52"/>
      <c r="F856" s="52"/>
      <c r="G856" s="52"/>
      <c r="H856" s="384"/>
      <c r="I856" s="156"/>
      <c r="J856" s="94">
        <v>3</v>
      </c>
      <c r="K856" s="21" t="s">
        <v>94</v>
      </c>
      <c r="L856" s="315">
        <f t="shared" ref="L856:S858" si="648">L857</f>
        <v>142000</v>
      </c>
      <c r="M856" s="315">
        <f t="shared" si="648"/>
        <v>18846.638794876897</v>
      </c>
      <c r="N856" s="337">
        <f t="shared" si="648"/>
        <v>184000</v>
      </c>
      <c r="O856" s="337">
        <f t="shared" si="648"/>
        <v>24420.996748291192</v>
      </c>
      <c r="P856" s="292">
        <f t="shared" si="648"/>
        <v>25300</v>
      </c>
      <c r="Q856" s="292">
        <f t="shared" si="648"/>
        <v>25300</v>
      </c>
      <c r="R856" s="441">
        <f t="shared" si="648"/>
        <v>143000</v>
      </c>
      <c r="S856" s="292">
        <f t="shared" si="648"/>
        <v>27600</v>
      </c>
      <c r="T856" s="292"/>
      <c r="U856" s="292"/>
      <c r="V856" s="469">
        <f t="shared" ref="V856:Y858" si="649">V857</f>
        <v>27800</v>
      </c>
      <c r="W856" s="469">
        <f t="shared" si="649"/>
        <v>27800</v>
      </c>
      <c r="X856" s="522">
        <f t="shared" si="649"/>
        <v>35000</v>
      </c>
      <c r="Y856" s="522">
        <f t="shared" si="649"/>
        <v>0</v>
      </c>
      <c r="Z856" s="541" t="b">
        <f t="shared" si="626"/>
        <v>1</v>
      </c>
      <c r="AA856" s="522"/>
      <c r="AB856" s="523">
        <f t="shared" ref="AB856:AC858" si="650">AB857</f>
        <v>26000</v>
      </c>
      <c r="AC856" s="523">
        <f t="shared" si="650"/>
        <v>26000</v>
      </c>
      <c r="AD856" s="524">
        <f>O856/M856*100</f>
        <v>129.57746478873241</v>
      </c>
      <c r="AE856" s="524">
        <f t="shared" ref="AE856:AF859" si="651">P856/O856*100</f>
        <v>103.59937500000001</v>
      </c>
      <c r="AF856" s="524">
        <f t="shared" si="651"/>
        <v>100</v>
      </c>
      <c r="AG856" s="524">
        <f>AB856/Q856*100</f>
        <v>102.76679841897234</v>
      </c>
      <c r="AH856" s="522"/>
      <c r="AI856" s="522">
        <v>35000</v>
      </c>
      <c r="AJ856" s="516">
        <f>W856/R856*100</f>
        <v>19.44055944055944</v>
      </c>
      <c r="AK856" s="516">
        <f>AT856/W856*100</f>
        <v>115.10791366906474</v>
      </c>
      <c r="AL856" s="516">
        <f>X856/AT856*100</f>
        <v>109.375</v>
      </c>
      <c r="AM856" s="292"/>
      <c r="AO856" t="b">
        <f t="shared" si="628"/>
        <v>1</v>
      </c>
      <c r="AP856" s="440">
        <f t="shared" ref="AP856:AU858" si="652">AP857</f>
        <v>27600</v>
      </c>
      <c r="AQ856" s="441">
        <v>27600</v>
      </c>
      <c r="AR856" s="440">
        <f>AR857</f>
        <v>27600</v>
      </c>
      <c r="AS856" s="441">
        <f t="shared" si="652"/>
        <v>10900</v>
      </c>
      <c r="AT856" s="612">
        <f>AT857</f>
        <v>32000</v>
      </c>
      <c r="AU856" s="469">
        <f t="shared" si="652"/>
        <v>32000</v>
      </c>
      <c r="AV856" s="636">
        <v>35000</v>
      </c>
      <c r="AW856" s="636">
        <v>35000</v>
      </c>
      <c r="AX856" s="655">
        <f t="shared" si="638"/>
        <v>22.377622377622377</v>
      </c>
      <c r="AY856" s="655" t="str">
        <f t="shared" si="623"/>
        <v/>
      </c>
      <c r="AZ856" s="655">
        <f t="shared" si="639"/>
        <v>100</v>
      </c>
      <c r="BA856" s="655" t="str">
        <f t="shared" si="624"/>
        <v/>
      </c>
      <c r="BB856" s="655">
        <f t="shared" si="633"/>
        <v>109.375</v>
      </c>
      <c r="BC856" s="655">
        <f t="shared" si="633"/>
        <v>100</v>
      </c>
    </row>
    <row r="857" spans="1:55" ht="12" customHeight="1">
      <c r="A857" s="355"/>
      <c r="B857" s="355"/>
      <c r="C857" s="355"/>
      <c r="D857" s="355"/>
      <c r="E857" s="355"/>
      <c r="F857" s="355"/>
      <c r="G857" s="355"/>
      <c r="H857" s="379"/>
      <c r="I857" s="359"/>
      <c r="J857" s="356">
        <v>38</v>
      </c>
      <c r="K857" s="358" t="s">
        <v>144</v>
      </c>
      <c r="L857" s="315">
        <f t="shared" si="648"/>
        <v>142000</v>
      </c>
      <c r="M857" s="315">
        <f t="shared" si="648"/>
        <v>18846.638794876897</v>
      </c>
      <c r="N857" s="337">
        <f t="shared" si="648"/>
        <v>184000</v>
      </c>
      <c r="O857" s="337">
        <f t="shared" si="648"/>
        <v>24420.996748291192</v>
      </c>
      <c r="P857" s="292">
        <f t="shared" si="648"/>
        <v>25300</v>
      </c>
      <c r="Q857" s="292">
        <f t="shared" si="648"/>
        <v>25300</v>
      </c>
      <c r="R857" s="441">
        <f t="shared" si="648"/>
        <v>143000</v>
      </c>
      <c r="S857" s="292">
        <f t="shared" si="648"/>
        <v>27600</v>
      </c>
      <c r="T857" s="292"/>
      <c r="U857" s="292"/>
      <c r="V857" s="469">
        <f t="shared" si="649"/>
        <v>27800</v>
      </c>
      <c r="W857" s="469">
        <f t="shared" si="649"/>
        <v>27800</v>
      </c>
      <c r="X857" s="522">
        <f t="shared" si="649"/>
        <v>35000</v>
      </c>
      <c r="Y857" s="522">
        <f t="shared" si="649"/>
        <v>0</v>
      </c>
      <c r="Z857" s="541" t="b">
        <f t="shared" si="626"/>
        <v>1</v>
      </c>
      <c r="AA857" s="522"/>
      <c r="AB857" s="523">
        <f t="shared" si="650"/>
        <v>26000</v>
      </c>
      <c r="AC857" s="523">
        <f t="shared" si="650"/>
        <v>26000</v>
      </c>
      <c r="AD857" s="524">
        <f>O857/M857*100</f>
        <v>129.57746478873241</v>
      </c>
      <c r="AE857" s="524">
        <f t="shared" si="651"/>
        <v>103.59937500000001</v>
      </c>
      <c r="AF857" s="524">
        <f t="shared" si="651"/>
        <v>100</v>
      </c>
      <c r="AG857" s="524">
        <f>AB857/Q857*100</f>
        <v>102.76679841897234</v>
      </c>
      <c r="AH857" s="522"/>
      <c r="AI857" s="522">
        <v>35000</v>
      </c>
      <c r="AJ857" s="516">
        <f>W857/R857*100</f>
        <v>19.44055944055944</v>
      </c>
      <c r="AK857" s="516">
        <f>AT857/W857*100</f>
        <v>115.10791366906474</v>
      </c>
      <c r="AL857" s="516">
        <f>X857/AT857*100</f>
        <v>109.375</v>
      </c>
      <c r="AM857" s="292"/>
      <c r="AO857" t="b">
        <f t="shared" si="628"/>
        <v>1</v>
      </c>
      <c r="AP857" s="440">
        <f t="shared" si="652"/>
        <v>27600</v>
      </c>
      <c r="AQ857" s="441">
        <v>27600</v>
      </c>
      <c r="AR857" s="440">
        <f>AR858</f>
        <v>27600</v>
      </c>
      <c r="AS857" s="441">
        <f t="shared" si="652"/>
        <v>10900</v>
      </c>
      <c r="AT857" s="612">
        <f>AT858</f>
        <v>32000</v>
      </c>
      <c r="AU857" s="469">
        <f t="shared" si="652"/>
        <v>32000</v>
      </c>
      <c r="AV857" s="636">
        <v>35000</v>
      </c>
      <c r="AW857" s="636">
        <v>35000</v>
      </c>
      <c r="AX857" s="655">
        <f t="shared" si="638"/>
        <v>22.377622377622377</v>
      </c>
      <c r="AY857" s="655" t="str">
        <f t="shared" si="623"/>
        <v/>
      </c>
      <c r="AZ857" s="655">
        <f t="shared" si="639"/>
        <v>100</v>
      </c>
      <c r="BA857" s="655" t="str">
        <f t="shared" si="624"/>
        <v/>
      </c>
      <c r="BB857" s="655">
        <f t="shared" si="633"/>
        <v>109.375</v>
      </c>
      <c r="BC857" s="655">
        <f t="shared" si="633"/>
        <v>100</v>
      </c>
    </row>
    <row r="858" spans="1:55" ht="12" customHeight="1">
      <c r="A858" s="56"/>
      <c r="B858" s="56"/>
      <c r="C858" s="56"/>
      <c r="D858" s="56"/>
      <c r="E858" s="56"/>
      <c r="F858" s="56"/>
      <c r="G858" s="56"/>
      <c r="H858" s="377"/>
      <c r="I858" s="157"/>
      <c r="J858" s="116">
        <v>381</v>
      </c>
      <c r="K858" s="60" t="s">
        <v>236</v>
      </c>
      <c r="L858" s="315">
        <f t="shared" si="648"/>
        <v>142000</v>
      </c>
      <c r="M858" s="315">
        <f t="shared" si="648"/>
        <v>18846.638794876897</v>
      </c>
      <c r="N858" s="337">
        <f t="shared" si="648"/>
        <v>184000</v>
      </c>
      <c r="O858" s="337">
        <f t="shared" si="648"/>
        <v>24420.996748291192</v>
      </c>
      <c r="P858" s="292">
        <f t="shared" si="648"/>
        <v>25300</v>
      </c>
      <c r="Q858" s="292">
        <f t="shared" si="648"/>
        <v>25300</v>
      </c>
      <c r="R858" s="441">
        <f t="shared" si="648"/>
        <v>143000</v>
      </c>
      <c r="S858" s="292">
        <f t="shared" si="648"/>
        <v>27600</v>
      </c>
      <c r="T858" s="292"/>
      <c r="U858" s="292"/>
      <c r="V858" s="469">
        <f t="shared" si="649"/>
        <v>27800</v>
      </c>
      <c r="W858" s="469">
        <f t="shared" si="649"/>
        <v>27800</v>
      </c>
      <c r="X858" s="522">
        <f t="shared" si="649"/>
        <v>35000</v>
      </c>
      <c r="Y858" s="522">
        <f t="shared" si="649"/>
        <v>0</v>
      </c>
      <c r="Z858" s="541" t="b">
        <f t="shared" si="626"/>
        <v>1</v>
      </c>
      <c r="AA858" s="522"/>
      <c r="AB858" s="523">
        <f t="shared" si="650"/>
        <v>26000</v>
      </c>
      <c r="AC858" s="523">
        <f t="shared" si="650"/>
        <v>26000</v>
      </c>
      <c r="AD858" s="524">
        <f>O858/M858*100</f>
        <v>129.57746478873241</v>
      </c>
      <c r="AE858" s="524">
        <f t="shared" si="651"/>
        <v>103.59937500000001</v>
      </c>
      <c r="AF858" s="524">
        <f t="shared" si="651"/>
        <v>100</v>
      </c>
      <c r="AG858" s="524">
        <f>AB858/Q858*100</f>
        <v>102.76679841897234</v>
      </c>
      <c r="AH858" s="522"/>
      <c r="AI858" s="522">
        <v>35000</v>
      </c>
      <c r="AJ858" s="516">
        <f>W858/R858*100</f>
        <v>19.44055944055944</v>
      </c>
      <c r="AK858" s="516">
        <f>AT858/W858*100</f>
        <v>115.10791366906474</v>
      </c>
      <c r="AL858" s="516">
        <f>X858/AT858*100</f>
        <v>109.375</v>
      </c>
      <c r="AM858" s="292"/>
      <c r="AO858" t="b">
        <f t="shared" si="628"/>
        <v>1</v>
      </c>
      <c r="AP858" s="440">
        <f t="shared" si="652"/>
        <v>27600</v>
      </c>
      <c r="AQ858" s="441">
        <v>27600</v>
      </c>
      <c r="AR858" s="440">
        <f>AR859</f>
        <v>27600</v>
      </c>
      <c r="AS858" s="441">
        <f t="shared" si="652"/>
        <v>10900</v>
      </c>
      <c r="AT858" s="612">
        <f>AT859</f>
        <v>32000</v>
      </c>
      <c r="AU858" s="469">
        <f t="shared" si="652"/>
        <v>32000</v>
      </c>
      <c r="AV858" s="636">
        <v>35000</v>
      </c>
      <c r="AW858" s="636">
        <v>35000</v>
      </c>
      <c r="AX858" s="655">
        <f t="shared" si="638"/>
        <v>22.377622377622377</v>
      </c>
      <c r="AY858" s="655" t="str">
        <f t="shared" si="623"/>
        <v/>
      </c>
      <c r="AZ858" s="655">
        <f t="shared" si="639"/>
        <v>100</v>
      </c>
      <c r="BA858" s="655" t="str">
        <f t="shared" si="624"/>
        <v/>
      </c>
      <c r="BB858" s="655">
        <f t="shared" si="633"/>
        <v>109.375</v>
      </c>
      <c r="BC858" s="655">
        <f t="shared" si="633"/>
        <v>100</v>
      </c>
    </row>
    <row r="859" spans="1:55" ht="12" customHeight="1">
      <c r="A859" s="36"/>
      <c r="B859" s="36"/>
      <c r="C859" s="36"/>
      <c r="D859" s="36"/>
      <c r="E859" s="36"/>
      <c r="F859" s="36"/>
      <c r="G859" s="36"/>
      <c r="H859" s="204"/>
      <c r="I859" s="132"/>
      <c r="J859" s="71">
        <v>3811</v>
      </c>
      <c r="K859" s="40" t="s">
        <v>145</v>
      </c>
      <c r="L859" s="315">
        <v>142000</v>
      </c>
      <c r="M859" s="315">
        <f>142000/7.5345</f>
        <v>18846.638794876897</v>
      </c>
      <c r="N859" s="337">
        <v>184000</v>
      </c>
      <c r="O859" s="337">
        <f>N859/7.5345</f>
        <v>24420.996748291192</v>
      </c>
      <c r="P859" s="292">
        <v>25300</v>
      </c>
      <c r="Q859" s="292">
        <v>25300</v>
      </c>
      <c r="R859" s="441">
        <f>SUM(R861:AC872)</f>
        <v>143000</v>
      </c>
      <c r="S859" s="292">
        <f>S872</f>
        <v>27600</v>
      </c>
      <c r="T859" s="292">
        <f>T872</f>
        <v>0</v>
      </c>
      <c r="U859" s="292">
        <f>U872</f>
        <v>0</v>
      </c>
      <c r="V859" s="469">
        <f>V872</f>
        <v>27800</v>
      </c>
      <c r="W859" s="469">
        <f>W872</f>
        <v>27800</v>
      </c>
      <c r="X859" s="522">
        <f>SUM(X861:AG872)</f>
        <v>35000</v>
      </c>
      <c r="Y859" s="522">
        <f>SUM(Y861:AH872)</f>
        <v>0</v>
      </c>
      <c r="Z859" s="541" t="b">
        <f t="shared" si="626"/>
        <v>1</v>
      </c>
      <c r="AA859" s="522"/>
      <c r="AB859" s="523">
        <v>26000</v>
      </c>
      <c r="AC859" s="523">
        <v>26000</v>
      </c>
      <c r="AD859" s="524">
        <f>O859/M859*100</f>
        <v>129.57746478873241</v>
      </c>
      <c r="AE859" s="524">
        <f t="shared" si="651"/>
        <v>103.59937500000001</v>
      </c>
      <c r="AF859" s="524">
        <f t="shared" si="651"/>
        <v>100</v>
      </c>
      <c r="AG859" s="524">
        <f>AB859/Q859*100</f>
        <v>102.76679841897234</v>
      </c>
      <c r="AH859" s="522"/>
      <c r="AI859" s="522">
        <v>35000</v>
      </c>
      <c r="AJ859" s="516">
        <f>W859/R859*100</f>
        <v>19.44055944055944</v>
      </c>
      <c r="AK859" s="516">
        <f>AT859/W859*100</f>
        <v>115.10791366906474</v>
      </c>
      <c r="AL859" s="516">
        <f>X859/AT859*100</f>
        <v>109.375</v>
      </c>
      <c r="AM859" s="292"/>
      <c r="AO859" t="b">
        <f t="shared" si="628"/>
        <v>1</v>
      </c>
      <c r="AP859" s="440">
        <f>AP872</f>
        <v>27600</v>
      </c>
      <c r="AQ859" s="441">
        <v>27600</v>
      </c>
      <c r="AR859" s="440">
        <f>AR872</f>
        <v>27600</v>
      </c>
      <c r="AS859" s="441">
        <f>AS872</f>
        <v>10900</v>
      </c>
      <c r="AT859" s="612">
        <f>AT872</f>
        <v>32000</v>
      </c>
      <c r="AU859" s="469">
        <f>AU872</f>
        <v>32000</v>
      </c>
      <c r="AV859" s="636">
        <v>35000</v>
      </c>
      <c r="AW859" s="636">
        <v>35000</v>
      </c>
      <c r="AX859" s="655">
        <f t="shared" si="638"/>
        <v>22.377622377622377</v>
      </c>
      <c r="AY859" s="655" t="str">
        <f t="shared" si="623"/>
        <v/>
      </c>
      <c r="AZ859" s="655">
        <f t="shared" si="639"/>
        <v>100</v>
      </c>
      <c r="BA859" s="655" t="str">
        <f t="shared" si="624"/>
        <v/>
      </c>
      <c r="BB859" s="655">
        <f t="shared" si="633"/>
        <v>109.375</v>
      </c>
      <c r="BC859" s="655">
        <f t="shared" si="633"/>
        <v>100</v>
      </c>
    </row>
    <row r="860" spans="1:55" ht="12" customHeight="1">
      <c r="A860" s="36"/>
      <c r="B860" s="36"/>
      <c r="C860" s="36"/>
      <c r="D860" s="36"/>
      <c r="E860" s="36"/>
      <c r="F860" s="36"/>
      <c r="G860" s="36"/>
      <c r="H860" s="204">
        <v>160</v>
      </c>
      <c r="I860" s="132">
        <v>820</v>
      </c>
      <c r="J860" s="71">
        <v>3811</v>
      </c>
      <c r="K860" s="40" t="s">
        <v>364</v>
      </c>
      <c r="L860" s="309"/>
      <c r="M860" s="309"/>
      <c r="N860" s="339"/>
      <c r="O860" s="339"/>
      <c r="P860" s="294"/>
      <c r="Q860" s="294"/>
      <c r="R860" s="437">
        <v>500</v>
      </c>
      <c r="S860" s="294">
        <f>__xlfn.XLOOKUP(H860,[2]Izvršenje_proračuna_po_pozicija!$B$2:$B$153,[2]Izvršenje_proračuna_po_pozicija!$E$2:$E$153,0)</f>
        <v>0</v>
      </c>
      <c r="T860" s="294"/>
      <c r="U860" s="294"/>
      <c r="V860" s="478"/>
      <c r="W860" s="478"/>
      <c r="X860" s="544"/>
      <c r="Y860" s="544"/>
      <c r="Z860" s="541" t="b">
        <f t="shared" si="626"/>
        <v>0</v>
      </c>
      <c r="AA860" s="509"/>
      <c r="AB860" s="528"/>
      <c r="AC860" s="528"/>
      <c r="AD860" s="524"/>
      <c r="AE860" s="524"/>
      <c r="AF860" s="524"/>
      <c r="AG860" s="524"/>
      <c r="AH860" s="509"/>
      <c r="AI860" s="544"/>
      <c r="AJ860" s="516">
        <f>W860/R860*100</f>
        <v>0</v>
      </c>
      <c r="AK860" s="516"/>
      <c r="AL860" s="516"/>
      <c r="AM860" s="373"/>
      <c r="AO860" t="b">
        <f t="shared" si="628"/>
        <v>0</v>
      </c>
      <c r="AQ860" s="437"/>
      <c r="AS860" s="437">
        <f>__xlfn.XLOOKUP(K860,[1]Izvršenje_proračuna_po_pozicija!$C$25:$C$149,[1]Izvršenje_proračuna_po_pozicija!$E$25:$E$149,0)</f>
        <v>0</v>
      </c>
      <c r="AT860" s="617"/>
      <c r="AU860" s="478"/>
      <c r="AV860" s="638"/>
      <c r="AW860" s="638"/>
      <c r="AX860" s="655" t="str">
        <f t="shared" si="638"/>
        <v/>
      </c>
      <c r="AY860" s="655" t="str">
        <f t="shared" si="623"/>
        <v/>
      </c>
      <c r="AZ860" s="655" t="str">
        <f t="shared" si="639"/>
        <v/>
      </c>
      <c r="BA860" s="655" t="str">
        <f t="shared" si="624"/>
        <v/>
      </c>
      <c r="BB860" s="655" t="str">
        <f t="shared" si="633"/>
        <v/>
      </c>
      <c r="BC860" s="655" t="str">
        <f t="shared" si="633"/>
        <v/>
      </c>
    </row>
    <row r="861" spans="1:55" ht="12" customHeight="1">
      <c r="A861" s="36"/>
      <c r="B861" s="36"/>
      <c r="C861" s="36"/>
      <c r="D861" s="36"/>
      <c r="E861" s="36"/>
      <c r="F861" s="36"/>
      <c r="G861" s="36"/>
      <c r="H861" s="204">
        <v>161</v>
      </c>
      <c r="I861" s="132">
        <v>820</v>
      </c>
      <c r="J861" s="71">
        <v>3811</v>
      </c>
      <c r="K861" s="40" t="s">
        <v>365</v>
      </c>
      <c r="L861" s="309"/>
      <c r="M861" s="309"/>
      <c r="N861" s="339"/>
      <c r="O861" s="339"/>
      <c r="P861" s="294"/>
      <c r="Q861" s="294"/>
      <c r="R861" s="443"/>
      <c r="S861" s="294">
        <f>__xlfn.XLOOKUP(H861,[2]Izvršenje_proračuna_po_pozicija!$B$2:$B$153,[2]Izvršenje_proračuna_po_pozicija!$E$2:$E$153,0)</f>
        <v>0</v>
      </c>
      <c r="T861" s="294"/>
      <c r="U861" s="294"/>
      <c r="V861" s="478"/>
      <c r="W861" s="478"/>
      <c r="X861" s="544"/>
      <c r="Y861" s="544"/>
      <c r="Z861" s="541" t="b">
        <f t="shared" si="626"/>
        <v>0</v>
      </c>
      <c r="AA861" s="527"/>
      <c r="AB861" s="528"/>
      <c r="AC861" s="528"/>
      <c r="AD861" s="524"/>
      <c r="AE861" s="524"/>
      <c r="AF861" s="524"/>
      <c r="AG861" s="524"/>
      <c r="AH861" s="527"/>
      <c r="AI861" s="544"/>
      <c r="AJ861" s="516"/>
      <c r="AK861" s="516"/>
      <c r="AL861" s="516"/>
      <c r="AM861" s="294"/>
      <c r="AO861" t="b">
        <f t="shared" si="628"/>
        <v>0</v>
      </c>
      <c r="AQ861" s="443"/>
      <c r="AS861" s="443">
        <f>__xlfn.XLOOKUP(K861,[1]Izvršenje_proračuna_po_pozicija!$C$25:$C$149,[1]Izvršenje_proračuna_po_pozicija!$E$25:$E$149,0)</f>
        <v>0</v>
      </c>
      <c r="AT861" s="617"/>
      <c r="AU861" s="478"/>
      <c r="AV861" s="638"/>
      <c r="AW861" s="638"/>
      <c r="AX861" s="655" t="str">
        <f t="shared" si="638"/>
        <v/>
      </c>
      <c r="AY861" s="655" t="str">
        <f t="shared" si="623"/>
        <v/>
      </c>
      <c r="AZ861" s="655" t="str">
        <f t="shared" si="639"/>
        <v/>
      </c>
      <c r="BA861" s="655" t="str">
        <f t="shared" si="624"/>
        <v/>
      </c>
      <c r="BB861" s="655" t="str">
        <f t="shared" si="633"/>
        <v/>
      </c>
      <c r="BC861" s="655" t="str">
        <f t="shared" si="633"/>
        <v/>
      </c>
    </row>
    <row r="862" spans="1:55" ht="12" customHeight="1">
      <c r="A862" s="36"/>
      <c r="B862" s="36"/>
      <c r="C862" s="36"/>
      <c r="D862" s="36"/>
      <c r="E862" s="36"/>
      <c r="F862" s="36"/>
      <c r="G862" s="36"/>
      <c r="H862" s="204" t="s">
        <v>366</v>
      </c>
      <c r="I862" s="132">
        <v>820</v>
      </c>
      <c r="J862" s="71">
        <v>3811</v>
      </c>
      <c r="K862" s="40" t="s">
        <v>367</v>
      </c>
      <c r="L862" s="309">
        <v>10000</v>
      </c>
      <c r="M862" s="309">
        <f>10000/7.5345</f>
        <v>1327.2280841462605</v>
      </c>
      <c r="N862" s="339"/>
      <c r="O862" s="339"/>
      <c r="P862" s="294"/>
      <c r="Q862" s="294"/>
      <c r="R862" s="443">
        <v>2000</v>
      </c>
      <c r="S862" s="294">
        <f>__xlfn.XLOOKUP(H862,[2]Izvršenje_proračuna_po_pozicija!$B$2:$B$153,[2]Izvršenje_proračuna_po_pozicija!$E$2:$E$153,0)</f>
        <v>0</v>
      </c>
      <c r="T862" s="294"/>
      <c r="U862" s="294"/>
      <c r="V862" s="478"/>
      <c r="W862" s="478"/>
      <c r="X862" s="544"/>
      <c r="Y862" s="544"/>
      <c r="Z862" s="541" t="b">
        <f t="shared" si="626"/>
        <v>0</v>
      </c>
      <c r="AA862" s="527"/>
      <c r="AB862" s="528"/>
      <c r="AC862" s="528"/>
      <c r="AD862" s="524">
        <f>O862/M862*100</f>
        <v>0</v>
      </c>
      <c r="AE862" s="524"/>
      <c r="AF862" s="524"/>
      <c r="AG862" s="524"/>
      <c r="AH862" s="527"/>
      <c r="AI862" s="544"/>
      <c r="AJ862" s="516">
        <f t="shared" ref="AJ862:AJ867" si="653">W862/R862*100</f>
        <v>0</v>
      </c>
      <c r="AK862" s="516"/>
      <c r="AL862" s="516"/>
      <c r="AM862" s="294"/>
      <c r="AO862" t="b">
        <f t="shared" si="628"/>
        <v>0</v>
      </c>
      <c r="AQ862" s="443"/>
      <c r="AS862" s="443">
        <f>__xlfn.XLOOKUP(K862,[1]Izvršenje_proračuna_po_pozicija!$C$25:$C$149,[1]Izvršenje_proračuna_po_pozicija!$E$25:$E$149,0)</f>
        <v>0</v>
      </c>
      <c r="AT862" s="617"/>
      <c r="AU862" s="478"/>
      <c r="AV862" s="638"/>
      <c r="AW862" s="638"/>
      <c r="AX862" s="655" t="str">
        <f t="shared" si="638"/>
        <v/>
      </c>
      <c r="AY862" s="655" t="str">
        <f t="shared" si="623"/>
        <v/>
      </c>
      <c r="AZ862" s="655" t="str">
        <f t="shared" si="639"/>
        <v/>
      </c>
      <c r="BA862" s="655" t="str">
        <f t="shared" si="624"/>
        <v/>
      </c>
      <c r="BB862" s="655" t="str">
        <f t="shared" si="633"/>
        <v/>
      </c>
      <c r="BC862" s="655" t="str">
        <f t="shared" si="633"/>
        <v/>
      </c>
    </row>
    <row r="863" spans="1:55" ht="12" customHeight="1">
      <c r="A863" s="36"/>
      <c r="B863" s="36"/>
      <c r="C863" s="36"/>
      <c r="D863" s="36"/>
      <c r="E863" s="36"/>
      <c r="F863" s="36"/>
      <c r="G863" s="36"/>
      <c r="H863" s="204">
        <v>140</v>
      </c>
      <c r="I863" s="132">
        <v>820</v>
      </c>
      <c r="J863" s="71">
        <v>3811</v>
      </c>
      <c r="K863" s="40" t="s">
        <v>447</v>
      </c>
      <c r="L863" s="309">
        <v>8000</v>
      </c>
      <c r="M863" s="309">
        <f>8000/7.5345</f>
        <v>1061.7824673170085</v>
      </c>
      <c r="N863" s="339"/>
      <c r="O863" s="339"/>
      <c r="P863" s="294"/>
      <c r="Q863" s="294"/>
      <c r="R863" s="443">
        <v>3000</v>
      </c>
      <c r="S863" s="294">
        <f>__xlfn.XLOOKUP(H863,[2]Izvršenje_proračuna_po_pozicija!$B$2:$B$153,[2]Izvršenje_proračuna_po_pozicija!$E$2:$E$153,0)</f>
        <v>0</v>
      </c>
      <c r="T863" s="294"/>
      <c r="U863" s="294"/>
      <c r="V863" s="478"/>
      <c r="W863" s="478"/>
      <c r="X863" s="544"/>
      <c r="Y863" s="544"/>
      <c r="Z863" s="541" t="b">
        <f t="shared" si="626"/>
        <v>0</v>
      </c>
      <c r="AA863" s="527"/>
      <c r="AB863" s="528"/>
      <c r="AC863" s="528"/>
      <c r="AD863" s="524">
        <f>O863/M863*100</f>
        <v>0</v>
      </c>
      <c r="AE863" s="524"/>
      <c r="AF863" s="524"/>
      <c r="AG863" s="524"/>
      <c r="AH863" s="527"/>
      <c r="AI863" s="544"/>
      <c r="AJ863" s="516">
        <f t="shared" si="653"/>
        <v>0</v>
      </c>
      <c r="AK863" s="516"/>
      <c r="AL863" s="516"/>
      <c r="AM863" s="294"/>
      <c r="AO863" t="b">
        <f t="shared" si="628"/>
        <v>0</v>
      </c>
      <c r="AQ863" s="443"/>
      <c r="AS863" s="443">
        <f>__xlfn.XLOOKUP(K863,[1]Izvršenje_proračuna_po_pozicija!$C$25:$C$149,[1]Izvršenje_proračuna_po_pozicija!$E$25:$E$149,0)</f>
        <v>0</v>
      </c>
      <c r="AT863" s="617"/>
      <c r="AU863" s="478"/>
      <c r="AV863" s="638"/>
      <c r="AW863" s="638"/>
      <c r="AX863" s="655" t="str">
        <f t="shared" si="638"/>
        <v/>
      </c>
      <c r="AY863" s="655" t="str">
        <f t="shared" si="623"/>
        <v/>
      </c>
      <c r="AZ863" s="655" t="str">
        <f t="shared" si="639"/>
        <v/>
      </c>
      <c r="BA863" s="655" t="str">
        <f t="shared" si="624"/>
        <v/>
      </c>
      <c r="BB863" s="655" t="str">
        <f t="shared" si="633"/>
        <v/>
      </c>
      <c r="BC863" s="655" t="str">
        <f t="shared" si="633"/>
        <v/>
      </c>
    </row>
    <row r="864" spans="1:55" ht="12" customHeight="1">
      <c r="A864" s="36"/>
      <c r="B864" s="36"/>
      <c r="C864" s="36"/>
      <c r="D864" s="36"/>
      <c r="E864" s="36"/>
      <c r="F864" s="36"/>
      <c r="G864" s="36"/>
      <c r="H864" s="204" t="s">
        <v>368</v>
      </c>
      <c r="I864" s="132">
        <v>820</v>
      </c>
      <c r="J864" s="71">
        <v>3811</v>
      </c>
      <c r="K864" s="40" t="s">
        <v>369</v>
      </c>
      <c r="L864" s="309">
        <v>37000</v>
      </c>
      <c r="M864" s="309">
        <f>37000/7.5345</f>
        <v>4910.7439113411638</v>
      </c>
      <c r="N864" s="339"/>
      <c r="O864" s="339"/>
      <c r="P864" s="294"/>
      <c r="Q864" s="294"/>
      <c r="R864" s="443">
        <v>200</v>
      </c>
      <c r="S864" s="294">
        <f>__xlfn.XLOOKUP(H864,[2]Izvršenje_proračuna_po_pozicija!$B$2:$B$153,[2]Izvršenje_proračuna_po_pozicija!$E$2:$E$153,0)</f>
        <v>0</v>
      </c>
      <c r="T864" s="294"/>
      <c r="U864" s="294"/>
      <c r="V864" s="478"/>
      <c r="W864" s="478"/>
      <c r="X864" s="544"/>
      <c r="Y864" s="544"/>
      <c r="Z864" s="541" t="b">
        <f t="shared" si="626"/>
        <v>0</v>
      </c>
      <c r="AA864" s="527"/>
      <c r="AB864" s="528"/>
      <c r="AC864" s="528"/>
      <c r="AD864" s="524">
        <f>O864/M864*100</f>
        <v>0</v>
      </c>
      <c r="AE864" s="524"/>
      <c r="AF864" s="524"/>
      <c r="AG864" s="524"/>
      <c r="AH864" s="527"/>
      <c r="AI864" s="544"/>
      <c r="AJ864" s="516">
        <f t="shared" si="653"/>
        <v>0</v>
      </c>
      <c r="AK864" s="516"/>
      <c r="AL864" s="516"/>
      <c r="AM864" s="294"/>
      <c r="AO864" t="b">
        <f t="shared" si="628"/>
        <v>0</v>
      </c>
      <c r="AQ864" s="443"/>
      <c r="AS864" s="443">
        <f>__xlfn.XLOOKUP(K864,[1]Izvršenje_proračuna_po_pozicija!$C$25:$C$149,[1]Izvršenje_proračuna_po_pozicija!$E$25:$E$149,0)</f>
        <v>0</v>
      </c>
      <c r="AT864" s="617"/>
      <c r="AU864" s="478"/>
      <c r="AV864" s="638"/>
      <c r="AW864" s="638"/>
      <c r="AX864" s="655" t="str">
        <f t="shared" si="638"/>
        <v/>
      </c>
      <c r="AY864" s="655" t="str">
        <f t="shared" si="623"/>
        <v/>
      </c>
      <c r="AZ864" s="655" t="str">
        <f t="shared" si="639"/>
        <v/>
      </c>
      <c r="BA864" s="655" t="str">
        <f t="shared" si="624"/>
        <v/>
      </c>
      <c r="BB864" s="655" t="str">
        <f t="shared" si="633"/>
        <v/>
      </c>
      <c r="BC864" s="655" t="str">
        <f t="shared" si="633"/>
        <v/>
      </c>
    </row>
    <row r="865" spans="1:55" ht="12" customHeight="1">
      <c r="A865" s="36"/>
      <c r="B865" s="36"/>
      <c r="C865" s="36"/>
      <c r="D865" s="36"/>
      <c r="E865" s="36"/>
      <c r="F865" s="36"/>
      <c r="G865" s="36"/>
      <c r="H865" s="204" t="s">
        <v>370</v>
      </c>
      <c r="I865" s="132">
        <v>820</v>
      </c>
      <c r="J865" s="71">
        <v>3811</v>
      </c>
      <c r="K865" s="37" t="s">
        <v>371</v>
      </c>
      <c r="L865" s="309">
        <v>60000</v>
      </c>
      <c r="M865" s="309">
        <f>60000/7.5345</f>
        <v>7963.3685048775624</v>
      </c>
      <c r="N865" s="339"/>
      <c r="O865" s="339"/>
      <c r="P865" s="294"/>
      <c r="Q865" s="294"/>
      <c r="R865" s="443">
        <v>8700</v>
      </c>
      <c r="S865" s="294">
        <f>__xlfn.XLOOKUP(H865,[2]Izvršenje_proračuna_po_pozicija!$B$2:$B$153,[2]Izvršenje_proračuna_po_pozicija!$E$2:$E$153,0)</f>
        <v>0</v>
      </c>
      <c r="T865" s="294"/>
      <c r="U865" s="294"/>
      <c r="V865" s="478"/>
      <c r="W865" s="478"/>
      <c r="X865" s="544"/>
      <c r="Y865" s="544"/>
      <c r="Z865" s="541" t="b">
        <f t="shared" si="626"/>
        <v>0</v>
      </c>
      <c r="AA865" s="527"/>
      <c r="AB865" s="528"/>
      <c r="AC865" s="528"/>
      <c r="AD865" s="524">
        <f>O865/M865*100</f>
        <v>0</v>
      </c>
      <c r="AE865" s="524"/>
      <c r="AF865" s="524"/>
      <c r="AG865" s="524"/>
      <c r="AH865" s="527"/>
      <c r="AI865" s="544"/>
      <c r="AJ865" s="516">
        <f t="shared" si="653"/>
        <v>0</v>
      </c>
      <c r="AK865" s="516"/>
      <c r="AL865" s="516"/>
      <c r="AM865" s="294"/>
      <c r="AO865" t="b">
        <f t="shared" si="628"/>
        <v>0</v>
      </c>
      <c r="AQ865" s="443"/>
      <c r="AS865" s="443">
        <f>__xlfn.XLOOKUP(K865,[1]Izvršenje_proračuna_po_pozicija!$C$25:$C$149,[1]Izvršenje_proračuna_po_pozicija!$E$25:$E$149,0)</f>
        <v>0</v>
      </c>
      <c r="AT865" s="617"/>
      <c r="AU865" s="478"/>
      <c r="AV865" s="638"/>
      <c r="AW865" s="638"/>
      <c r="AX865" s="655" t="str">
        <f t="shared" si="638"/>
        <v/>
      </c>
      <c r="AY865" s="655" t="str">
        <f t="shared" si="623"/>
        <v/>
      </c>
      <c r="AZ865" s="655" t="str">
        <f t="shared" si="639"/>
        <v/>
      </c>
      <c r="BA865" s="655" t="str">
        <f t="shared" si="624"/>
        <v/>
      </c>
      <c r="BB865" s="655" t="str">
        <f t="shared" si="633"/>
        <v/>
      </c>
      <c r="BC865" s="655" t="str">
        <f t="shared" si="633"/>
        <v/>
      </c>
    </row>
    <row r="866" spans="1:55" ht="12" customHeight="1">
      <c r="A866" s="36"/>
      <c r="B866" s="36"/>
      <c r="C866" s="36"/>
      <c r="D866" s="36"/>
      <c r="E866" s="36"/>
      <c r="F866" s="36"/>
      <c r="G866" s="36"/>
      <c r="H866" s="204" t="s">
        <v>452</v>
      </c>
      <c r="I866" s="132">
        <v>820</v>
      </c>
      <c r="J866" s="71">
        <v>3811</v>
      </c>
      <c r="K866" s="37" t="s">
        <v>451</v>
      </c>
      <c r="L866" s="309"/>
      <c r="M866" s="309"/>
      <c r="N866" s="339"/>
      <c r="O866" s="339"/>
      <c r="P866" s="294"/>
      <c r="Q866" s="294"/>
      <c r="R866" s="443">
        <v>3000</v>
      </c>
      <c r="S866" s="294">
        <f>__xlfn.XLOOKUP(H866,[2]Izvršenje_proračuna_po_pozicija!$B$2:$B$153,[2]Izvršenje_proračuna_po_pozicija!$E$2:$E$153,0)</f>
        <v>0</v>
      </c>
      <c r="T866" s="294"/>
      <c r="U866" s="294"/>
      <c r="V866" s="478"/>
      <c r="W866" s="478"/>
      <c r="X866" s="544"/>
      <c r="Y866" s="544"/>
      <c r="Z866" s="541" t="b">
        <f t="shared" si="626"/>
        <v>0</v>
      </c>
      <c r="AA866" s="527"/>
      <c r="AB866" s="528"/>
      <c r="AC866" s="528"/>
      <c r="AD866" s="524"/>
      <c r="AE866" s="524"/>
      <c r="AF866" s="524"/>
      <c r="AG866" s="524"/>
      <c r="AH866" s="527"/>
      <c r="AI866" s="544"/>
      <c r="AJ866" s="516">
        <f t="shared" si="653"/>
        <v>0</v>
      </c>
      <c r="AK866" s="516"/>
      <c r="AL866" s="516"/>
      <c r="AM866" s="294"/>
      <c r="AO866" t="b">
        <f t="shared" si="628"/>
        <v>0</v>
      </c>
      <c r="AQ866" s="443"/>
      <c r="AS866" s="443">
        <f>__xlfn.XLOOKUP(K866,[1]Izvršenje_proračuna_po_pozicija!$C$25:$C$149,[1]Izvršenje_proračuna_po_pozicija!$E$25:$E$149,0)</f>
        <v>0</v>
      </c>
      <c r="AT866" s="617"/>
      <c r="AU866" s="478"/>
      <c r="AV866" s="638"/>
      <c r="AW866" s="638"/>
      <c r="AX866" s="655" t="str">
        <f t="shared" si="638"/>
        <v/>
      </c>
      <c r="AY866" s="655" t="str">
        <f t="shared" si="623"/>
        <v/>
      </c>
      <c r="AZ866" s="655" t="str">
        <f t="shared" si="639"/>
        <v/>
      </c>
      <c r="BA866" s="655" t="str">
        <f t="shared" si="624"/>
        <v/>
      </c>
      <c r="BB866" s="655" t="str">
        <f t="shared" si="633"/>
        <v/>
      </c>
      <c r="BC866" s="655" t="str">
        <f t="shared" si="633"/>
        <v/>
      </c>
    </row>
    <row r="867" spans="1:55" ht="12" customHeight="1">
      <c r="A867" s="36"/>
      <c r="B867" s="36"/>
      <c r="C867" s="36"/>
      <c r="D867" s="36"/>
      <c r="E867" s="36"/>
      <c r="F867" s="36"/>
      <c r="G867" s="36"/>
      <c r="H867" s="204" t="s">
        <v>453</v>
      </c>
      <c r="I867" s="132">
        <v>820</v>
      </c>
      <c r="J867" s="71">
        <v>3811</v>
      </c>
      <c r="K867" s="37" t="s">
        <v>454</v>
      </c>
      <c r="L867" s="309">
        <v>5000</v>
      </c>
      <c r="M867" s="309">
        <f>5000/7.5345</f>
        <v>663.61404207313024</v>
      </c>
      <c r="N867" s="339"/>
      <c r="O867" s="339"/>
      <c r="P867" s="294"/>
      <c r="Q867" s="294"/>
      <c r="R867" s="443">
        <v>800</v>
      </c>
      <c r="S867" s="294">
        <f>__xlfn.XLOOKUP(H867,[2]Izvršenje_proračuna_po_pozicija!$B$2:$B$153,[2]Izvršenje_proračuna_po_pozicija!$E$2:$E$153,0)</f>
        <v>0</v>
      </c>
      <c r="T867" s="294"/>
      <c r="U867" s="294"/>
      <c r="V867" s="478"/>
      <c r="W867" s="478"/>
      <c r="X867" s="544"/>
      <c r="Y867" s="544"/>
      <c r="Z867" s="541" t="b">
        <f t="shared" si="626"/>
        <v>0</v>
      </c>
      <c r="AA867" s="527"/>
      <c r="AB867" s="528"/>
      <c r="AC867" s="528"/>
      <c r="AD867" s="524">
        <f>O867/M867*100</f>
        <v>0</v>
      </c>
      <c r="AE867" s="524"/>
      <c r="AF867" s="524"/>
      <c r="AG867" s="524"/>
      <c r="AH867" s="527"/>
      <c r="AI867" s="544"/>
      <c r="AJ867" s="516">
        <f t="shared" si="653"/>
        <v>0</v>
      </c>
      <c r="AK867" s="516"/>
      <c r="AL867" s="516"/>
      <c r="AM867" s="294"/>
      <c r="AO867" t="b">
        <f t="shared" si="628"/>
        <v>0</v>
      </c>
      <c r="AQ867" s="443"/>
      <c r="AS867" s="443">
        <f>__xlfn.XLOOKUP(K867,[1]Izvršenje_proračuna_po_pozicija!$C$25:$C$149,[1]Izvršenje_proračuna_po_pozicija!$E$25:$E$149,0)</f>
        <v>0</v>
      </c>
      <c r="AT867" s="617"/>
      <c r="AU867" s="478"/>
      <c r="AV867" s="638"/>
      <c r="AW867" s="638"/>
      <c r="AX867" s="655" t="str">
        <f t="shared" si="638"/>
        <v/>
      </c>
      <c r="AY867" s="655" t="str">
        <f t="shared" si="623"/>
        <v/>
      </c>
      <c r="AZ867" s="655" t="str">
        <f t="shared" si="639"/>
        <v/>
      </c>
      <c r="BA867" s="655" t="str">
        <f t="shared" si="624"/>
        <v/>
      </c>
      <c r="BB867" s="655" t="str">
        <f t="shared" si="633"/>
        <v/>
      </c>
      <c r="BC867" s="655" t="str">
        <f t="shared" si="633"/>
        <v/>
      </c>
    </row>
    <row r="868" spans="1:55" ht="12" customHeight="1">
      <c r="A868" s="36"/>
      <c r="B868" s="36"/>
      <c r="C868" s="36"/>
      <c r="D868" s="36"/>
      <c r="E868" s="36"/>
      <c r="F868" s="36"/>
      <c r="G868" s="36"/>
      <c r="H868" s="204" t="s">
        <v>464</v>
      </c>
      <c r="I868" s="132">
        <v>820</v>
      </c>
      <c r="J868" s="71">
        <v>3811</v>
      </c>
      <c r="K868" s="37" t="s">
        <v>465</v>
      </c>
      <c r="L868" s="309"/>
      <c r="M868" s="309"/>
      <c r="N868" s="339"/>
      <c r="O868" s="339"/>
      <c r="P868" s="294"/>
      <c r="Q868" s="294"/>
      <c r="R868" s="443"/>
      <c r="S868" s="294">
        <f>__xlfn.XLOOKUP(H868,[2]Izvršenje_proračuna_po_pozicija!$B$2:$B$153,[2]Izvršenje_proračuna_po_pozicija!$E$2:$E$153,0)</f>
        <v>0</v>
      </c>
      <c r="T868" s="294"/>
      <c r="U868" s="294"/>
      <c r="V868" s="478"/>
      <c r="W868" s="478"/>
      <c r="X868" s="544"/>
      <c r="Y868" s="544"/>
      <c r="Z868" s="541" t="b">
        <f t="shared" si="626"/>
        <v>0</v>
      </c>
      <c r="AA868" s="527"/>
      <c r="AB868" s="528"/>
      <c r="AC868" s="528"/>
      <c r="AD868" s="524"/>
      <c r="AE868" s="524"/>
      <c r="AF868" s="524"/>
      <c r="AG868" s="524"/>
      <c r="AH868" s="527"/>
      <c r="AI868" s="544"/>
      <c r="AJ868" s="516"/>
      <c r="AK868" s="516"/>
      <c r="AL868" s="516"/>
      <c r="AM868" s="294"/>
      <c r="AO868" t="b">
        <f t="shared" si="628"/>
        <v>0</v>
      </c>
      <c r="AQ868" s="443"/>
      <c r="AS868" s="443">
        <f>__xlfn.XLOOKUP(K868,[1]Izvršenje_proračuna_po_pozicija!$C$25:$C$149,[1]Izvršenje_proračuna_po_pozicija!$E$25:$E$149,0)</f>
        <v>0</v>
      </c>
      <c r="AT868" s="617"/>
      <c r="AU868" s="478"/>
      <c r="AV868" s="638"/>
      <c r="AW868" s="638"/>
      <c r="AX868" s="655" t="str">
        <f t="shared" si="638"/>
        <v/>
      </c>
      <c r="AY868" s="655" t="str">
        <f t="shared" si="623"/>
        <v/>
      </c>
      <c r="AZ868" s="655" t="str">
        <f t="shared" si="639"/>
        <v/>
      </c>
      <c r="BA868" s="655" t="str">
        <f t="shared" si="624"/>
        <v/>
      </c>
      <c r="BB868" s="655" t="str">
        <f t="shared" si="633"/>
        <v/>
      </c>
      <c r="BC868" s="655" t="str">
        <f t="shared" si="633"/>
        <v/>
      </c>
    </row>
    <row r="869" spans="1:55" ht="12" customHeight="1">
      <c r="A869" s="36"/>
      <c r="B869" s="36"/>
      <c r="C869" s="36"/>
      <c r="D869" s="36"/>
      <c r="E869" s="36"/>
      <c r="F869" s="36"/>
      <c r="G869" s="36"/>
      <c r="H869" s="204" t="s">
        <v>545</v>
      </c>
      <c r="I869" s="132">
        <v>820</v>
      </c>
      <c r="J869" s="71">
        <v>3811</v>
      </c>
      <c r="K869" s="71" t="s">
        <v>546</v>
      </c>
      <c r="L869" s="309">
        <v>8000</v>
      </c>
      <c r="M869" s="309">
        <f>8000/7.5345</f>
        <v>1061.7824673170085</v>
      </c>
      <c r="N869" s="339"/>
      <c r="O869" s="339"/>
      <c r="P869" s="294"/>
      <c r="Q869" s="294"/>
      <c r="R869" s="443">
        <v>1000</v>
      </c>
      <c r="S869" s="294">
        <f>__xlfn.XLOOKUP(H869,[2]Izvršenje_proračuna_po_pozicija!$B$2:$B$153,[2]Izvršenje_proračuna_po_pozicija!$E$2:$E$153,0)</f>
        <v>0</v>
      </c>
      <c r="T869" s="294"/>
      <c r="U869" s="294"/>
      <c r="V869" s="478"/>
      <c r="W869" s="478"/>
      <c r="X869" s="544"/>
      <c r="Y869" s="544"/>
      <c r="Z869" s="541" t="b">
        <f t="shared" si="626"/>
        <v>0</v>
      </c>
      <c r="AA869" s="527"/>
      <c r="AB869" s="528"/>
      <c r="AC869" s="528"/>
      <c r="AD869" s="524">
        <f>O869/M869*100</f>
        <v>0</v>
      </c>
      <c r="AE869" s="524"/>
      <c r="AF869" s="524"/>
      <c r="AG869" s="524"/>
      <c r="AH869" s="527"/>
      <c r="AI869" s="544"/>
      <c r="AJ869" s="516">
        <f>W869/R869*100</f>
        <v>0</v>
      </c>
      <c r="AK869" s="516"/>
      <c r="AL869" s="516"/>
      <c r="AM869" s="294"/>
      <c r="AO869" t="b">
        <f t="shared" si="628"/>
        <v>0</v>
      </c>
      <c r="AQ869" s="443"/>
      <c r="AS869" s="443">
        <f>__xlfn.XLOOKUP(K869,[1]Izvršenje_proračuna_po_pozicija!$C$25:$C$149,[1]Izvršenje_proračuna_po_pozicija!$E$25:$E$149,0)</f>
        <v>0</v>
      </c>
      <c r="AT869" s="617"/>
      <c r="AU869" s="478"/>
      <c r="AV869" s="638"/>
      <c r="AW869" s="638"/>
      <c r="AX869" s="655" t="str">
        <f t="shared" si="638"/>
        <v/>
      </c>
      <c r="AY869" s="655" t="str">
        <f t="shared" si="623"/>
        <v/>
      </c>
      <c r="AZ869" s="655" t="str">
        <f t="shared" si="639"/>
        <v/>
      </c>
      <c r="BA869" s="655" t="str">
        <f t="shared" si="624"/>
        <v/>
      </c>
      <c r="BB869" s="655" t="str">
        <f t="shared" si="633"/>
        <v/>
      </c>
      <c r="BC869" s="655" t="str">
        <f t="shared" si="633"/>
        <v/>
      </c>
    </row>
    <row r="870" spans="1:55" s="198" customFormat="1" ht="12" customHeight="1">
      <c r="A870" s="36"/>
      <c r="B870" s="36"/>
      <c r="C870" s="36"/>
      <c r="D870" s="36"/>
      <c r="E870" s="36"/>
      <c r="F870" s="36"/>
      <c r="G870" s="36"/>
      <c r="H870" s="204" t="s">
        <v>585</v>
      </c>
      <c r="I870" s="132">
        <v>820</v>
      </c>
      <c r="J870" s="71">
        <v>3811</v>
      </c>
      <c r="K870" s="39" t="s">
        <v>586</v>
      </c>
      <c r="L870" s="309"/>
      <c r="M870" s="309"/>
      <c r="N870" s="339"/>
      <c r="O870" s="339"/>
      <c r="P870" s="294"/>
      <c r="Q870" s="294"/>
      <c r="R870" s="443"/>
      <c r="S870" s="294">
        <f>__xlfn.XLOOKUP(H870,[2]Izvršenje_proračuna_po_pozicija!$B$2:$B$153,[2]Izvršenje_proračuna_po_pozicija!$E$2:$E$153,0)</f>
        <v>0</v>
      </c>
      <c r="T870" s="294"/>
      <c r="U870" s="294"/>
      <c r="V870" s="478"/>
      <c r="W870" s="478"/>
      <c r="X870" s="544"/>
      <c r="Y870" s="544"/>
      <c r="Z870" s="541" t="b">
        <f t="shared" si="626"/>
        <v>0</v>
      </c>
      <c r="AA870" s="527"/>
      <c r="AB870" s="528"/>
      <c r="AC870" s="528"/>
      <c r="AD870" s="524"/>
      <c r="AE870" s="524"/>
      <c r="AF870" s="524"/>
      <c r="AG870" s="524"/>
      <c r="AH870" s="527"/>
      <c r="AI870" s="544"/>
      <c r="AJ870" s="516"/>
      <c r="AK870" s="516"/>
      <c r="AL870" s="516"/>
      <c r="AM870" s="294"/>
      <c r="AO870" t="b">
        <f t="shared" si="628"/>
        <v>0</v>
      </c>
      <c r="AQ870" s="443"/>
      <c r="AS870" s="443">
        <f>__xlfn.XLOOKUP(K870,[1]Izvršenje_proračuna_po_pozicija!$C$25:$C$149,[1]Izvršenje_proračuna_po_pozicija!$E$25:$E$149,0)</f>
        <v>0</v>
      </c>
      <c r="AT870" s="617"/>
      <c r="AU870" s="478"/>
      <c r="AV870" s="638"/>
      <c r="AW870" s="638"/>
      <c r="AX870" s="655" t="str">
        <f t="shared" si="638"/>
        <v/>
      </c>
      <c r="AY870" s="655" t="str">
        <f t="shared" si="623"/>
        <v/>
      </c>
      <c r="AZ870" s="655" t="str">
        <f t="shared" si="639"/>
        <v/>
      </c>
      <c r="BA870" s="655" t="str">
        <f t="shared" si="624"/>
        <v/>
      </c>
      <c r="BB870" s="655" t="str">
        <f t="shared" si="633"/>
        <v/>
      </c>
      <c r="BC870" s="655" t="str">
        <f t="shared" si="633"/>
        <v/>
      </c>
    </row>
    <row r="871" spans="1:55" ht="12" customHeight="1">
      <c r="A871" s="66"/>
      <c r="B871" s="66"/>
      <c r="C871" s="66"/>
      <c r="D871" s="66"/>
      <c r="E871" s="66"/>
      <c r="F871" s="66"/>
      <c r="G871" s="66"/>
      <c r="H871" s="204" t="s">
        <v>628</v>
      </c>
      <c r="I871" s="91">
        <v>820</v>
      </c>
      <c r="J871" s="40">
        <v>3811</v>
      </c>
      <c r="K871" s="208" t="s">
        <v>623</v>
      </c>
      <c r="L871" s="310">
        <v>14000</v>
      </c>
      <c r="M871" s="310">
        <f>14000/7.5345</f>
        <v>1858.1193178047647</v>
      </c>
      <c r="N871" s="345"/>
      <c r="O871" s="345"/>
      <c r="P871" s="300"/>
      <c r="Q871" s="300"/>
      <c r="R871" s="443">
        <v>6100</v>
      </c>
      <c r="S871" s="294">
        <f>__xlfn.XLOOKUP(H871,[2]Izvršenje_proračuna_po_pozicija!$B$2:$B$153,[2]Izvršenje_proračuna_po_pozicija!$E$2:$E$153,0)</f>
        <v>0</v>
      </c>
      <c r="T871" s="294"/>
      <c r="U871" s="294"/>
      <c r="V871" s="479"/>
      <c r="W871" s="478"/>
      <c r="X871" s="544"/>
      <c r="Y871" s="544"/>
      <c r="Z871" s="541" t="b">
        <f t="shared" si="626"/>
        <v>0</v>
      </c>
      <c r="AA871" s="527"/>
      <c r="AB871" s="547"/>
      <c r="AC871" s="547"/>
      <c r="AD871" s="524">
        <f>O871/M871*100</f>
        <v>0</v>
      </c>
      <c r="AE871" s="524"/>
      <c r="AF871" s="524"/>
      <c r="AG871" s="524"/>
      <c r="AH871" s="527"/>
      <c r="AI871" s="544"/>
      <c r="AJ871" s="516">
        <f>W871/R871*100</f>
        <v>0</v>
      </c>
      <c r="AK871" s="516"/>
      <c r="AL871" s="516"/>
      <c r="AM871" s="294"/>
      <c r="AO871" t="b">
        <f t="shared" si="628"/>
        <v>0</v>
      </c>
      <c r="AQ871" s="443"/>
      <c r="AS871" s="443">
        <f>__xlfn.XLOOKUP(K871,[1]Izvršenje_proračuna_po_pozicija!$C$25:$C$149,[1]Izvršenje_proračuna_po_pozicija!$E$25:$E$149,0)</f>
        <v>0</v>
      </c>
      <c r="AT871" s="617"/>
      <c r="AU871" s="479"/>
      <c r="AV871" s="638"/>
      <c r="AW871" s="638"/>
      <c r="AX871" s="655" t="str">
        <f t="shared" si="638"/>
        <v/>
      </c>
      <c r="AY871" s="655" t="str">
        <f t="shared" si="623"/>
        <v/>
      </c>
      <c r="AZ871" s="655" t="str">
        <f t="shared" si="639"/>
        <v/>
      </c>
      <c r="BA871" s="655" t="str">
        <f t="shared" si="624"/>
        <v/>
      </c>
      <c r="BB871" s="655" t="str">
        <f t="shared" si="633"/>
        <v/>
      </c>
      <c r="BC871" s="655" t="str">
        <f t="shared" si="633"/>
        <v/>
      </c>
    </row>
    <row r="872" spans="1:55" ht="12" customHeight="1">
      <c r="A872" s="20"/>
      <c r="B872" s="20"/>
      <c r="C872" s="20"/>
      <c r="D872" s="20"/>
      <c r="E872" s="20"/>
      <c r="F872" s="20"/>
      <c r="G872" s="20"/>
      <c r="H872" s="375" t="s">
        <v>870</v>
      </c>
      <c r="I872" s="22"/>
      <c r="J872" s="21"/>
      <c r="K872" s="19" t="s">
        <v>831</v>
      </c>
      <c r="L872" s="313"/>
      <c r="M872" s="313"/>
      <c r="N872" s="335"/>
      <c r="O872" s="335"/>
      <c r="P872" s="290"/>
      <c r="Q872" s="290"/>
      <c r="R872" s="439"/>
      <c r="S872" s="294">
        <f>__xlfn.XLOOKUP(H872,[2]Izvršenje_proračuna_po_pozicija!$B$2:$B$153,[2]Izvršenje_proračuna_po_pozicija!$E$2:$E$153,0)</f>
        <v>27600</v>
      </c>
      <c r="T872" s="294"/>
      <c r="U872" s="294"/>
      <c r="V872" s="471">
        <v>27800</v>
      </c>
      <c r="W872" s="478">
        <v>27800</v>
      </c>
      <c r="X872" s="539">
        <v>35000</v>
      </c>
      <c r="Y872" s="539"/>
      <c r="Z872" s="541" t="b">
        <f t="shared" si="626"/>
        <v>0</v>
      </c>
      <c r="AA872" s="514"/>
      <c r="AB872" s="515"/>
      <c r="AC872" s="515"/>
      <c r="AD872" s="524"/>
      <c r="AE872" s="524"/>
      <c r="AF872" s="524"/>
      <c r="AG872" s="524"/>
      <c r="AH872" s="514"/>
      <c r="AI872" s="539">
        <v>35000</v>
      </c>
      <c r="AJ872" s="516"/>
      <c r="AK872" s="516">
        <f>AT872/W872*100</f>
        <v>115.10791366906474</v>
      </c>
      <c r="AL872" s="516">
        <f>X872/AT872*100</f>
        <v>109.375</v>
      </c>
      <c r="AM872" s="290"/>
      <c r="AO872" t="b">
        <f t="shared" si="628"/>
        <v>0</v>
      </c>
      <c r="AP872" s="493">
        <v>27600</v>
      </c>
      <c r="AQ872" s="439">
        <v>27600</v>
      </c>
      <c r="AR872" s="493">
        <v>27600</v>
      </c>
      <c r="AS872" s="439">
        <v>10900</v>
      </c>
      <c r="AT872" s="616">
        <v>32000</v>
      </c>
      <c r="AU872" s="471">
        <v>32000</v>
      </c>
      <c r="AV872" s="636">
        <v>35000</v>
      </c>
      <c r="AW872" s="636">
        <v>35000</v>
      </c>
      <c r="AX872" s="655" t="str">
        <f t="shared" si="638"/>
        <v/>
      </c>
      <c r="AY872" s="655">
        <f t="shared" si="623"/>
        <v>1032.258064516129</v>
      </c>
      <c r="AZ872" s="655">
        <f t="shared" si="639"/>
        <v>100</v>
      </c>
      <c r="BA872" s="655">
        <f t="shared" si="624"/>
        <v>1032.258064516129</v>
      </c>
      <c r="BB872" s="655">
        <f t="shared" si="633"/>
        <v>109.375</v>
      </c>
      <c r="BC872" s="655">
        <f t="shared" si="633"/>
        <v>100</v>
      </c>
    </row>
    <row r="873" spans="1:55" ht="12" customHeight="1">
      <c r="A873" s="142"/>
      <c r="B873" s="142"/>
      <c r="C873" s="142"/>
      <c r="D873" s="142"/>
      <c r="E873" s="142"/>
      <c r="F873" s="142"/>
      <c r="G873" s="142"/>
      <c r="H873" s="390"/>
      <c r="I873" s="173" t="s">
        <v>496</v>
      </c>
      <c r="J873" s="174"/>
      <c r="K873" s="107"/>
      <c r="L873" s="315">
        <f t="shared" ref="L873:S873" si="654">L874+L882+L890</f>
        <v>151500</v>
      </c>
      <c r="M873" s="315">
        <f t="shared" si="654"/>
        <v>20107.505474815844</v>
      </c>
      <c r="N873" s="337">
        <f t="shared" si="654"/>
        <v>188679</v>
      </c>
      <c r="O873" s="337">
        <f t="shared" si="654"/>
        <v>25042.00676886323</v>
      </c>
      <c r="P873" s="292">
        <f t="shared" si="654"/>
        <v>23500</v>
      </c>
      <c r="Q873" s="292">
        <f t="shared" si="654"/>
        <v>26500</v>
      </c>
      <c r="R873" s="441">
        <f t="shared" si="654"/>
        <v>22638</v>
      </c>
      <c r="S873" s="292">
        <f t="shared" si="654"/>
        <v>15529</v>
      </c>
      <c r="T873" s="292"/>
      <c r="U873" s="292"/>
      <c r="V873" s="469">
        <f>V874+V882+V890</f>
        <v>27900</v>
      </c>
      <c r="W873" s="469">
        <f>W874+W882+W890</f>
        <v>27900</v>
      </c>
      <c r="X873" s="522">
        <f>X874+X882+X890</f>
        <v>36000</v>
      </c>
      <c r="Y873" s="522">
        <f>Y874+Y882+Y890</f>
        <v>0</v>
      </c>
      <c r="Z873" s="541" t="b">
        <f t="shared" si="626"/>
        <v>1</v>
      </c>
      <c r="AA873" s="522"/>
      <c r="AB873" s="523">
        <f>AB874+AB882+AB890</f>
        <v>23500</v>
      </c>
      <c r="AC873" s="523">
        <f>AC874+AC882+AC890</f>
        <v>23500</v>
      </c>
      <c r="AD873" s="524">
        <f>O873/M873*100</f>
        <v>124.54059405940596</v>
      </c>
      <c r="AE873" s="524">
        <f>P873/O873*100</f>
        <v>93.842319495015332</v>
      </c>
      <c r="AF873" s="524">
        <f>Q873/P873*100</f>
        <v>112.7659574468085</v>
      </c>
      <c r="AG873" s="524">
        <f>AB873/Q873*100</f>
        <v>88.679245283018872</v>
      </c>
      <c r="AH873" s="522"/>
      <c r="AI873" s="522">
        <v>36000</v>
      </c>
      <c r="AJ873" s="516">
        <f>W873/R873*100</f>
        <v>123.24410283593956</v>
      </c>
      <c r="AK873" s="516">
        <f>AT873/W873*100</f>
        <v>114.6953405017921</v>
      </c>
      <c r="AL873" s="516">
        <f>X873/AT873*100</f>
        <v>112.5</v>
      </c>
      <c r="AM873" s="292"/>
      <c r="AO873" t="b">
        <f t="shared" si="628"/>
        <v>1</v>
      </c>
      <c r="AP873" s="440">
        <f t="shared" ref="AP873:AU873" si="655">AP874+AP882+AP890</f>
        <v>19690.8</v>
      </c>
      <c r="AQ873" s="441">
        <v>19690.8</v>
      </c>
      <c r="AR873" s="440">
        <f>AR874+AR882+AR890</f>
        <v>19690.8</v>
      </c>
      <c r="AS873" s="441">
        <f t="shared" si="655"/>
        <v>7800</v>
      </c>
      <c r="AT873" s="612">
        <f t="shared" si="655"/>
        <v>32000</v>
      </c>
      <c r="AU873" s="469">
        <f t="shared" si="655"/>
        <v>32000</v>
      </c>
      <c r="AV873" s="636">
        <v>36000</v>
      </c>
      <c r="AW873" s="636">
        <v>36000</v>
      </c>
      <c r="AX873" s="655">
        <f t="shared" si="638"/>
        <v>141.35524339605971</v>
      </c>
      <c r="AY873" s="655">
        <f t="shared" si="623"/>
        <v>1032.258064516129</v>
      </c>
      <c r="AZ873" s="655">
        <f t="shared" si="639"/>
        <v>100</v>
      </c>
      <c r="BA873" s="655">
        <f t="shared" si="624"/>
        <v>1032.258064516129</v>
      </c>
      <c r="BB873" s="655">
        <f t="shared" si="633"/>
        <v>112.5</v>
      </c>
      <c r="BC873" s="655">
        <f t="shared" si="633"/>
        <v>100</v>
      </c>
    </row>
    <row r="874" spans="1:55" ht="12" customHeight="1">
      <c r="A874" s="212" t="s">
        <v>474</v>
      </c>
      <c r="B874" s="130"/>
      <c r="C874" s="130"/>
      <c r="D874" s="130"/>
      <c r="E874" s="130"/>
      <c r="F874" s="130"/>
      <c r="G874" s="130"/>
      <c r="H874" s="383"/>
      <c r="I874" s="170" t="s">
        <v>372</v>
      </c>
      <c r="J874" s="171"/>
      <c r="K874" s="111"/>
      <c r="L874" s="315">
        <f t="shared" ref="L874:S874" si="656">L876</f>
        <v>43500</v>
      </c>
      <c r="M874" s="315">
        <f t="shared" si="656"/>
        <v>5773.4421660362332</v>
      </c>
      <c r="N874" s="337">
        <f t="shared" si="656"/>
        <v>20000</v>
      </c>
      <c r="O874" s="337">
        <f t="shared" si="656"/>
        <v>2654.4561682925209</v>
      </c>
      <c r="P874" s="292">
        <f t="shared" si="656"/>
        <v>6000</v>
      </c>
      <c r="Q874" s="292">
        <f t="shared" si="656"/>
        <v>9000</v>
      </c>
      <c r="R874" s="441">
        <f t="shared" si="656"/>
        <v>7400</v>
      </c>
      <c r="S874" s="292">
        <f t="shared" si="656"/>
        <v>0</v>
      </c>
      <c r="T874" s="292"/>
      <c r="U874" s="292"/>
      <c r="V874" s="469">
        <f>V876</f>
        <v>9000</v>
      </c>
      <c r="W874" s="469">
        <f>W876</f>
        <v>9000</v>
      </c>
      <c r="X874" s="522">
        <f>X876</f>
        <v>11000</v>
      </c>
      <c r="Y874" s="522">
        <f>Y876</f>
        <v>0</v>
      </c>
      <c r="Z874" s="541" t="b">
        <f t="shared" si="626"/>
        <v>1</v>
      </c>
      <c r="AA874" s="522"/>
      <c r="AB874" s="523">
        <f>AB876</f>
        <v>6000</v>
      </c>
      <c r="AC874" s="523">
        <f>AC876</f>
        <v>6000</v>
      </c>
      <c r="AD874" s="524">
        <f>O874/M874*100</f>
        <v>45.977011494252871</v>
      </c>
      <c r="AE874" s="524">
        <f>P874/O874*100</f>
        <v>226.03500000000003</v>
      </c>
      <c r="AF874" s="524">
        <f>Q874/P874*100</f>
        <v>150</v>
      </c>
      <c r="AG874" s="524">
        <f>AB874/Q874*100</f>
        <v>66.666666666666657</v>
      </c>
      <c r="AH874" s="522"/>
      <c r="AI874" s="522">
        <v>11000</v>
      </c>
      <c r="AJ874" s="516">
        <f>W874/R874*100</f>
        <v>121.62162162162163</v>
      </c>
      <c r="AK874" s="516">
        <f>AT874/W874*100</f>
        <v>111.11111111111111</v>
      </c>
      <c r="AL874" s="516">
        <f>X874/AT874*100</f>
        <v>110.00000000000001</v>
      </c>
      <c r="AM874" s="292"/>
      <c r="AO874" t="b">
        <f t="shared" si="628"/>
        <v>1</v>
      </c>
      <c r="AP874" s="440">
        <f t="shared" ref="AP874:AU874" si="657">AP876</f>
        <v>3100</v>
      </c>
      <c r="AQ874" s="441">
        <v>3100</v>
      </c>
      <c r="AR874" s="440">
        <f>AR876</f>
        <v>3100</v>
      </c>
      <c r="AS874" s="441">
        <f t="shared" si="657"/>
        <v>7500</v>
      </c>
      <c r="AT874" s="612">
        <f t="shared" si="657"/>
        <v>10000</v>
      </c>
      <c r="AU874" s="469">
        <f t="shared" si="657"/>
        <v>10000</v>
      </c>
      <c r="AV874" s="636">
        <v>11000</v>
      </c>
      <c r="AW874" s="636">
        <v>11000</v>
      </c>
      <c r="AX874" s="655">
        <f t="shared" si="638"/>
        <v>135.13513513513513</v>
      </c>
      <c r="AY874" s="655">
        <f t="shared" si="623"/>
        <v>322.58064516129031</v>
      </c>
      <c r="AZ874" s="655">
        <f t="shared" si="639"/>
        <v>100</v>
      </c>
      <c r="BA874" s="655">
        <f t="shared" si="624"/>
        <v>322.58064516129031</v>
      </c>
      <c r="BB874" s="655">
        <f t="shared" si="633"/>
        <v>110.00000000000001</v>
      </c>
      <c r="BC874" s="655">
        <f t="shared" si="633"/>
        <v>100</v>
      </c>
    </row>
    <row r="875" spans="1:55" ht="12" customHeight="1">
      <c r="A875" s="20"/>
      <c r="B875" s="20"/>
      <c r="C875" s="20"/>
      <c r="D875" s="20"/>
      <c r="E875" s="20"/>
      <c r="F875" s="20"/>
      <c r="G875" s="20"/>
      <c r="H875" s="375"/>
      <c r="I875" s="22"/>
      <c r="J875" s="21"/>
      <c r="K875" s="19"/>
      <c r="L875" s="313"/>
      <c r="M875" s="313"/>
      <c r="N875" s="335"/>
      <c r="O875" s="335"/>
      <c r="P875" s="290"/>
      <c r="Q875" s="290"/>
      <c r="R875" s="439"/>
      <c r="S875" s="294">
        <f>__xlfn.XLOOKUP(H875,[2]Izvršenje_proračuna_po_pozicija!$B$2:$B$153,[2]Izvršenje_proračuna_po_pozicija!$E$2:$E$153,0)</f>
        <v>0</v>
      </c>
      <c r="T875" s="294"/>
      <c r="U875" s="294"/>
      <c r="V875" s="474"/>
      <c r="W875" s="474"/>
      <c r="X875" s="539"/>
      <c r="Y875" s="539"/>
      <c r="Z875" s="541" t="b">
        <f t="shared" si="626"/>
        <v>0</v>
      </c>
      <c r="AA875" s="514"/>
      <c r="AB875" s="515"/>
      <c r="AC875" s="515"/>
      <c r="AD875" s="524"/>
      <c r="AE875" s="524"/>
      <c r="AF875" s="524"/>
      <c r="AG875" s="524"/>
      <c r="AH875" s="514"/>
      <c r="AI875" s="539"/>
      <c r="AJ875" s="516"/>
      <c r="AK875" s="516"/>
      <c r="AL875" s="516"/>
      <c r="AM875" s="290"/>
      <c r="AO875" t="b">
        <f t="shared" si="628"/>
        <v>0</v>
      </c>
      <c r="AQ875" s="439"/>
      <c r="AS875" s="439"/>
      <c r="AT875" s="616"/>
      <c r="AU875" s="474"/>
      <c r="AV875" s="632"/>
      <c r="AW875" s="632"/>
      <c r="AX875" s="655" t="str">
        <f t="shared" si="638"/>
        <v/>
      </c>
      <c r="AY875" s="655" t="str">
        <f t="shared" si="623"/>
        <v/>
      </c>
      <c r="AZ875" s="655" t="str">
        <f t="shared" si="639"/>
        <v/>
      </c>
      <c r="BA875" s="655" t="str">
        <f t="shared" si="624"/>
        <v/>
      </c>
      <c r="BB875" s="655" t="str">
        <f t="shared" si="633"/>
        <v/>
      </c>
      <c r="BC875" s="655" t="str">
        <f t="shared" si="633"/>
        <v/>
      </c>
    </row>
    <row r="876" spans="1:55" ht="12" customHeight="1">
      <c r="A876" s="52"/>
      <c r="B876" s="52"/>
      <c r="C876" s="52"/>
      <c r="D876" s="52"/>
      <c r="E876" s="52"/>
      <c r="F876" s="52"/>
      <c r="G876" s="52"/>
      <c r="H876" s="384"/>
      <c r="I876" s="156"/>
      <c r="J876" s="94">
        <v>3</v>
      </c>
      <c r="K876" s="21" t="s">
        <v>94</v>
      </c>
      <c r="L876" s="315">
        <f t="shared" ref="L876:AC879" si="658">L877</f>
        <v>43500</v>
      </c>
      <c r="M876" s="315">
        <f t="shared" si="658"/>
        <v>5773.4421660362332</v>
      </c>
      <c r="N876" s="337">
        <f t="shared" si="658"/>
        <v>20000</v>
      </c>
      <c r="O876" s="337">
        <f t="shared" si="658"/>
        <v>2654.4561682925209</v>
      </c>
      <c r="P876" s="292">
        <f t="shared" si="658"/>
        <v>6000</v>
      </c>
      <c r="Q876" s="292">
        <f t="shared" si="658"/>
        <v>9000</v>
      </c>
      <c r="R876" s="441">
        <f t="shared" si="658"/>
        <v>7400</v>
      </c>
      <c r="S876" s="292">
        <f t="shared" si="658"/>
        <v>0</v>
      </c>
      <c r="T876" s="292"/>
      <c r="U876" s="292"/>
      <c r="V876" s="469">
        <f t="shared" si="658"/>
        <v>9000</v>
      </c>
      <c r="W876" s="469">
        <f t="shared" si="658"/>
        <v>9000</v>
      </c>
      <c r="X876" s="522">
        <f t="shared" si="658"/>
        <v>11000</v>
      </c>
      <c r="Y876" s="522">
        <f t="shared" si="658"/>
        <v>0</v>
      </c>
      <c r="Z876" s="541" t="b">
        <f t="shared" si="626"/>
        <v>1</v>
      </c>
      <c r="AA876" s="522"/>
      <c r="AB876" s="523">
        <f t="shared" si="658"/>
        <v>6000</v>
      </c>
      <c r="AC876" s="523">
        <f t="shared" si="658"/>
        <v>6000</v>
      </c>
      <c r="AD876" s="524">
        <f>O876/M876*100</f>
        <v>45.977011494252871</v>
      </c>
      <c r="AE876" s="524">
        <f t="shared" ref="AE876:AF880" si="659">P876/O876*100</f>
        <v>226.03500000000003</v>
      </c>
      <c r="AF876" s="524">
        <f t="shared" si="659"/>
        <v>150</v>
      </c>
      <c r="AG876" s="524">
        <f>AB876/Q876*100</f>
        <v>66.666666666666657</v>
      </c>
      <c r="AH876" s="522"/>
      <c r="AI876" s="522">
        <v>11000</v>
      </c>
      <c r="AJ876" s="516">
        <f>W876/R876*100</f>
        <v>121.62162162162163</v>
      </c>
      <c r="AK876" s="516">
        <f>AT876/W876*100</f>
        <v>111.11111111111111</v>
      </c>
      <c r="AL876" s="516">
        <f>X876/AT876*100</f>
        <v>110.00000000000001</v>
      </c>
      <c r="AM876" s="292"/>
      <c r="AO876" t="b">
        <f t="shared" si="628"/>
        <v>1</v>
      </c>
      <c r="AP876" s="440">
        <f>AP877</f>
        <v>3100</v>
      </c>
      <c r="AQ876" s="441">
        <v>3100</v>
      </c>
      <c r="AR876" s="440">
        <f t="shared" ref="AR876:AU879" si="660">AR877</f>
        <v>3100</v>
      </c>
      <c r="AS876" s="441">
        <f t="shared" si="660"/>
        <v>7500</v>
      </c>
      <c r="AT876" s="612">
        <f t="shared" si="660"/>
        <v>10000</v>
      </c>
      <c r="AU876" s="469">
        <f t="shared" si="660"/>
        <v>10000</v>
      </c>
      <c r="AV876" s="636">
        <v>11000</v>
      </c>
      <c r="AW876" s="636">
        <v>11000</v>
      </c>
      <c r="AX876" s="655">
        <f t="shared" si="638"/>
        <v>135.13513513513513</v>
      </c>
      <c r="AY876" s="655" t="str">
        <f t="shared" si="623"/>
        <v/>
      </c>
      <c r="AZ876" s="655">
        <f t="shared" si="639"/>
        <v>100</v>
      </c>
      <c r="BA876" s="655" t="str">
        <f t="shared" si="624"/>
        <v/>
      </c>
      <c r="BB876" s="655">
        <f t="shared" si="633"/>
        <v>110.00000000000001</v>
      </c>
      <c r="BC876" s="655">
        <f t="shared" si="633"/>
        <v>100</v>
      </c>
    </row>
    <row r="877" spans="1:55" ht="12" customHeight="1">
      <c r="A877" s="355"/>
      <c r="B877" s="355"/>
      <c r="C877" s="355"/>
      <c r="D877" s="355"/>
      <c r="E877" s="355"/>
      <c r="F877" s="355"/>
      <c r="G877" s="355"/>
      <c r="H877" s="379"/>
      <c r="I877" s="359"/>
      <c r="J877" s="356">
        <v>38</v>
      </c>
      <c r="K877" s="358" t="s">
        <v>144</v>
      </c>
      <c r="L877" s="315">
        <f t="shared" si="658"/>
        <v>43500</v>
      </c>
      <c r="M877" s="315">
        <f t="shared" si="658"/>
        <v>5773.4421660362332</v>
      </c>
      <c r="N877" s="337">
        <f t="shared" si="658"/>
        <v>20000</v>
      </c>
      <c r="O877" s="337">
        <f t="shared" si="658"/>
        <v>2654.4561682925209</v>
      </c>
      <c r="P877" s="292">
        <f t="shared" si="658"/>
        <v>6000</v>
      </c>
      <c r="Q877" s="292">
        <f t="shared" si="658"/>
        <v>9000</v>
      </c>
      <c r="R877" s="441">
        <f t="shared" si="658"/>
        <v>7400</v>
      </c>
      <c r="S877" s="292">
        <f t="shared" si="658"/>
        <v>0</v>
      </c>
      <c r="T877" s="292"/>
      <c r="U877" s="292"/>
      <c r="V877" s="469">
        <f t="shared" si="658"/>
        <v>9000</v>
      </c>
      <c r="W877" s="469">
        <f t="shared" si="658"/>
        <v>9000</v>
      </c>
      <c r="X877" s="522">
        <f t="shared" si="658"/>
        <v>11000</v>
      </c>
      <c r="Y877" s="522">
        <f t="shared" si="658"/>
        <v>0</v>
      </c>
      <c r="Z877" s="541" t="b">
        <f t="shared" si="626"/>
        <v>1</v>
      </c>
      <c r="AA877" s="522"/>
      <c r="AB877" s="523">
        <f t="shared" si="658"/>
        <v>6000</v>
      </c>
      <c r="AC877" s="523">
        <f t="shared" si="658"/>
        <v>6000</v>
      </c>
      <c r="AD877" s="524">
        <f>O877/M877*100</f>
        <v>45.977011494252871</v>
      </c>
      <c r="AE877" s="524">
        <f t="shared" si="659"/>
        <v>226.03500000000003</v>
      </c>
      <c r="AF877" s="524">
        <f t="shared" si="659"/>
        <v>150</v>
      </c>
      <c r="AG877" s="524">
        <f>AB877/Q877*100</f>
        <v>66.666666666666657</v>
      </c>
      <c r="AH877" s="522"/>
      <c r="AI877" s="522">
        <v>11000</v>
      </c>
      <c r="AJ877" s="516">
        <f>W877/R877*100</f>
        <v>121.62162162162163</v>
      </c>
      <c r="AK877" s="516">
        <f>AT877/W877*100</f>
        <v>111.11111111111111</v>
      </c>
      <c r="AL877" s="516">
        <f>X877/AT877*100</f>
        <v>110.00000000000001</v>
      </c>
      <c r="AM877" s="292"/>
      <c r="AO877" t="b">
        <f t="shared" si="628"/>
        <v>1</v>
      </c>
      <c r="AP877" s="440">
        <f>AP878</f>
        <v>3100</v>
      </c>
      <c r="AQ877" s="441">
        <v>3100</v>
      </c>
      <c r="AR877" s="440">
        <f t="shared" si="660"/>
        <v>3100</v>
      </c>
      <c r="AS877" s="441">
        <f t="shared" si="660"/>
        <v>7500</v>
      </c>
      <c r="AT877" s="612">
        <f t="shared" si="660"/>
        <v>10000</v>
      </c>
      <c r="AU877" s="469">
        <f t="shared" si="660"/>
        <v>10000</v>
      </c>
      <c r="AV877" s="636">
        <v>11000</v>
      </c>
      <c r="AW877" s="636">
        <v>11000</v>
      </c>
      <c r="AX877" s="655">
        <f t="shared" si="638"/>
        <v>135.13513513513513</v>
      </c>
      <c r="AY877" s="655">
        <f t="shared" si="623"/>
        <v>941.79694857788672</v>
      </c>
      <c r="AZ877" s="655">
        <f t="shared" si="639"/>
        <v>100</v>
      </c>
      <c r="BA877" s="655">
        <f t="shared" si="624"/>
        <v>941.79694857788672</v>
      </c>
      <c r="BB877" s="655">
        <f t="shared" si="633"/>
        <v>110.00000000000001</v>
      </c>
      <c r="BC877" s="655">
        <f t="shared" si="633"/>
        <v>100</v>
      </c>
    </row>
    <row r="878" spans="1:55" ht="12" customHeight="1">
      <c r="A878" s="56"/>
      <c r="B878" s="56"/>
      <c r="C878" s="56"/>
      <c r="D878" s="56"/>
      <c r="E878" s="56"/>
      <c r="F878" s="56"/>
      <c r="G878" s="56"/>
      <c r="H878" s="377"/>
      <c r="I878" s="157"/>
      <c r="J878" s="116">
        <v>381</v>
      </c>
      <c r="K878" s="60" t="s">
        <v>236</v>
      </c>
      <c r="L878" s="315">
        <f t="shared" si="658"/>
        <v>43500</v>
      </c>
      <c r="M878" s="315">
        <f t="shared" si="658"/>
        <v>5773.4421660362332</v>
      </c>
      <c r="N878" s="337">
        <f t="shared" si="658"/>
        <v>20000</v>
      </c>
      <c r="O878" s="337">
        <f t="shared" si="658"/>
        <v>2654.4561682925209</v>
      </c>
      <c r="P878" s="292">
        <f t="shared" si="658"/>
        <v>6000</v>
      </c>
      <c r="Q878" s="292">
        <f t="shared" si="658"/>
        <v>9000</v>
      </c>
      <c r="R878" s="441">
        <f t="shared" si="658"/>
        <v>7400</v>
      </c>
      <c r="S878" s="292">
        <f t="shared" si="658"/>
        <v>0</v>
      </c>
      <c r="T878" s="292"/>
      <c r="U878" s="292"/>
      <c r="V878" s="469">
        <f t="shared" si="658"/>
        <v>9000</v>
      </c>
      <c r="W878" s="469">
        <f t="shared" si="658"/>
        <v>9000</v>
      </c>
      <c r="X878" s="522">
        <f t="shared" si="658"/>
        <v>11000</v>
      </c>
      <c r="Y878" s="522">
        <f t="shared" si="658"/>
        <v>0</v>
      </c>
      <c r="Z878" s="541" t="b">
        <f t="shared" si="626"/>
        <v>1</v>
      </c>
      <c r="AA878" s="522"/>
      <c r="AB878" s="523">
        <f t="shared" si="658"/>
        <v>6000</v>
      </c>
      <c r="AC878" s="523">
        <f t="shared" si="658"/>
        <v>6000</v>
      </c>
      <c r="AD878" s="524">
        <f>O878/M878*100</f>
        <v>45.977011494252871</v>
      </c>
      <c r="AE878" s="524">
        <f t="shared" si="659"/>
        <v>226.03500000000003</v>
      </c>
      <c r="AF878" s="524">
        <f t="shared" si="659"/>
        <v>150</v>
      </c>
      <c r="AG878" s="524">
        <f>AB878/Q878*100</f>
        <v>66.666666666666657</v>
      </c>
      <c r="AH878" s="522"/>
      <c r="AI878" s="522">
        <v>11000</v>
      </c>
      <c r="AJ878" s="516">
        <f>W878/R878*100</f>
        <v>121.62162162162163</v>
      </c>
      <c r="AK878" s="516">
        <f>AT878/W878*100</f>
        <v>111.11111111111111</v>
      </c>
      <c r="AL878" s="516">
        <f>X878/AT878*100</f>
        <v>110.00000000000001</v>
      </c>
      <c r="AM878" s="292"/>
      <c r="AO878" t="b">
        <f t="shared" si="628"/>
        <v>1</v>
      </c>
      <c r="AP878" s="440">
        <f>AP879</f>
        <v>3100</v>
      </c>
      <c r="AQ878" s="441">
        <v>3100</v>
      </c>
      <c r="AR878" s="440">
        <f t="shared" si="660"/>
        <v>3100</v>
      </c>
      <c r="AS878" s="441">
        <f t="shared" si="660"/>
        <v>7500</v>
      </c>
      <c r="AT878" s="612">
        <f t="shared" si="660"/>
        <v>10000</v>
      </c>
      <c r="AU878" s="469">
        <f t="shared" si="660"/>
        <v>10000</v>
      </c>
      <c r="AV878" s="636">
        <v>11000</v>
      </c>
      <c r="AW878" s="636">
        <v>11000</v>
      </c>
      <c r="AX878" s="655">
        <f t="shared" si="638"/>
        <v>135.13513513513513</v>
      </c>
      <c r="AY878" s="655" t="str">
        <f t="shared" si="623"/>
        <v/>
      </c>
      <c r="AZ878" s="655">
        <f t="shared" si="639"/>
        <v>100</v>
      </c>
      <c r="BA878" s="655" t="str">
        <f t="shared" si="624"/>
        <v/>
      </c>
      <c r="BB878" s="655">
        <f t="shared" si="633"/>
        <v>110.00000000000001</v>
      </c>
      <c r="BC878" s="655">
        <f t="shared" si="633"/>
        <v>100</v>
      </c>
    </row>
    <row r="879" spans="1:55" ht="12" customHeight="1">
      <c r="A879" s="36"/>
      <c r="B879" s="36"/>
      <c r="C879" s="36"/>
      <c r="D879" s="36"/>
      <c r="E879" s="36"/>
      <c r="F879" s="36"/>
      <c r="G879" s="36"/>
      <c r="H879" s="204"/>
      <c r="I879" s="132"/>
      <c r="J879" s="71">
        <v>3811</v>
      </c>
      <c r="K879" s="40" t="s">
        <v>145</v>
      </c>
      <c r="L879" s="315">
        <f t="shared" si="658"/>
        <v>43500</v>
      </c>
      <c r="M879" s="315">
        <f t="shared" si="658"/>
        <v>5773.4421660362332</v>
      </c>
      <c r="N879" s="337">
        <f t="shared" si="658"/>
        <v>20000</v>
      </c>
      <c r="O879" s="337">
        <f t="shared" si="658"/>
        <v>2654.4561682925209</v>
      </c>
      <c r="P879" s="292">
        <f t="shared" si="658"/>
        <v>6000</v>
      </c>
      <c r="Q879" s="292">
        <f t="shared" si="658"/>
        <v>9000</v>
      </c>
      <c r="R879" s="441">
        <f t="shared" si="658"/>
        <v>7400</v>
      </c>
      <c r="S879" s="292">
        <f t="shared" si="658"/>
        <v>0</v>
      </c>
      <c r="T879" s="292"/>
      <c r="U879" s="292"/>
      <c r="V879" s="469">
        <f t="shared" si="658"/>
        <v>9000</v>
      </c>
      <c r="W879" s="469">
        <f t="shared" si="658"/>
        <v>9000</v>
      </c>
      <c r="X879" s="522">
        <f t="shared" si="658"/>
        <v>11000</v>
      </c>
      <c r="Y879" s="522">
        <f t="shared" si="658"/>
        <v>0</v>
      </c>
      <c r="Z879" s="541" t="b">
        <f t="shared" si="626"/>
        <v>1</v>
      </c>
      <c r="AA879" s="522"/>
      <c r="AB879" s="523">
        <f t="shared" si="658"/>
        <v>6000</v>
      </c>
      <c r="AC879" s="523">
        <f t="shared" si="658"/>
        <v>6000</v>
      </c>
      <c r="AD879" s="524">
        <f>O879/M879*100</f>
        <v>45.977011494252871</v>
      </c>
      <c r="AE879" s="524">
        <f t="shared" si="659"/>
        <v>226.03500000000003</v>
      </c>
      <c r="AF879" s="524">
        <f t="shared" si="659"/>
        <v>150</v>
      </c>
      <c r="AG879" s="524">
        <f>AB879/Q879*100</f>
        <v>66.666666666666657</v>
      </c>
      <c r="AH879" s="522"/>
      <c r="AI879" s="522">
        <v>11000</v>
      </c>
      <c r="AJ879" s="516">
        <f>W879/R879*100</f>
        <v>121.62162162162163</v>
      </c>
      <c r="AK879" s="516">
        <f>AT879/W879*100</f>
        <v>111.11111111111111</v>
      </c>
      <c r="AL879" s="516">
        <f>X879/AT879*100</f>
        <v>110.00000000000001</v>
      </c>
      <c r="AM879" s="292"/>
      <c r="AO879" t="b">
        <f t="shared" si="628"/>
        <v>1</v>
      </c>
      <c r="AP879" s="440">
        <f>AP880</f>
        <v>3100</v>
      </c>
      <c r="AQ879" s="441">
        <v>3100</v>
      </c>
      <c r="AR879" s="440">
        <f t="shared" si="660"/>
        <v>3100</v>
      </c>
      <c r="AS879" s="441">
        <f t="shared" si="660"/>
        <v>7500</v>
      </c>
      <c r="AT879" s="612">
        <f t="shared" si="660"/>
        <v>10000</v>
      </c>
      <c r="AU879" s="469">
        <f t="shared" si="660"/>
        <v>10000</v>
      </c>
      <c r="AV879" s="636">
        <v>11000</v>
      </c>
      <c r="AW879" s="636">
        <v>11000</v>
      </c>
      <c r="AX879" s="655">
        <f t="shared" si="638"/>
        <v>135.13513513513513</v>
      </c>
      <c r="AY879" s="655">
        <f t="shared" si="623"/>
        <v>941.79694857788672</v>
      </c>
      <c r="AZ879" s="655">
        <f t="shared" si="639"/>
        <v>100</v>
      </c>
      <c r="BA879" s="655">
        <f t="shared" si="624"/>
        <v>941.79694857788672</v>
      </c>
      <c r="BB879" s="655">
        <f t="shared" si="633"/>
        <v>110.00000000000001</v>
      </c>
      <c r="BC879" s="655">
        <f t="shared" si="633"/>
        <v>100</v>
      </c>
    </row>
    <row r="880" spans="1:55" ht="12" customHeight="1">
      <c r="A880" s="36"/>
      <c r="B880" s="36"/>
      <c r="C880" s="36"/>
      <c r="D880" s="36"/>
      <c r="E880" s="36"/>
      <c r="F880" s="36"/>
      <c r="G880" s="36"/>
      <c r="H880" s="204">
        <v>136</v>
      </c>
      <c r="I880" s="132">
        <v>840</v>
      </c>
      <c r="J880" s="71">
        <v>3811</v>
      </c>
      <c r="K880" s="40" t="s">
        <v>373</v>
      </c>
      <c r="L880" s="309">
        <v>43500</v>
      </c>
      <c r="M880" s="309">
        <f>43500/7.5345</f>
        <v>5773.4421660362332</v>
      </c>
      <c r="N880" s="339">
        <v>20000</v>
      </c>
      <c r="O880" s="339">
        <f>N880/7.5345</f>
        <v>2654.4561682925209</v>
      </c>
      <c r="P880" s="294">
        <v>6000</v>
      </c>
      <c r="Q880" s="269">
        <v>9000</v>
      </c>
      <c r="R880" s="443">
        <v>7400</v>
      </c>
      <c r="S880" s="294">
        <f>__xlfn.XLOOKUP(H880,[2]Izvršenje_proračuna_po_pozicija!$B$2:$B$153,[2]Izvršenje_proračuna_po_pozicija!$E$2:$E$153,0)</f>
        <v>0</v>
      </c>
      <c r="T880" s="294"/>
      <c r="U880" s="294"/>
      <c r="V880" s="478">
        <v>9000</v>
      </c>
      <c r="W880" s="478">
        <v>9000</v>
      </c>
      <c r="X880" s="544">
        <v>11000</v>
      </c>
      <c r="Y880" s="544"/>
      <c r="Z880" s="541" t="b">
        <f t="shared" si="626"/>
        <v>0</v>
      </c>
      <c r="AA880" s="527"/>
      <c r="AB880" s="528">
        <v>6000</v>
      </c>
      <c r="AC880" s="528">
        <v>6000</v>
      </c>
      <c r="AD880" s="524">
        <f>O880/M880*100</f>
        <v>45.977011494252871</v>
      </c>
      <c r="AE880" s="524">
        <f t="shared" si="659"/>
        <v>226.03500000000003</v>
      </c>
      <c r="AF880" s="524">
        <f t="shared" si="659"/>
        <v>150</v>
      </c>
      <c r="AG880" s="524">
        <f>AB880/Q880*100</f>
        <v>66.666666666666657</v>
      </c>
      <c r="AH880" s="527"/>
      <c r="AI880" s="544">
        <v>11000</v>
      </c>
      <c r="AJ880" s="516">
        <f>W880/R880*100</f>
        <v>121.62162162162163</v>
      </c>
      <c r="AK880" s="516">
        <f>AT880/W880*100</f>
        <v>111.11111111111111</v>
      </c>
      <c r="AL880" s="516">
        <f>X880/AT880*100</f>
        <v>110.00000000000001</v>
      </c>
      <c r="AM880" s="294"/>
      <c r="AO880" t="b">
        <f t="shared" si="628"/>
        <v>0</v>
      </c>
      <c r="AP880" s="493">
        <v>3100</v>
      </c>
      <c r="AQ880" s="443">
        <v>3100</v>
      </c>
      <c r="AR880" s="493">
        <v>3100</v>
      </c>
      <c r="AS880" s="443">
        <f>__xlfn.XLOOKUP(K880,[1]Izvršenje_proračuna_po_pozicija!$C$25:$C$149,[1]Izvršenje_proračuna_po_pozicija!$E$25:$E$149,0)</f>
        <v>7500</v>
      </c>
      <c r="AT880" s="617">
        <v>10000</v>
      </c>
      <c r="AU880" s="478">
        <v>10000</v>
      </c>
      <c r="AV880" s="638">
        <v>11000</v>
      </c>
      <c r="AW880" s="638">
        <v>11000</v>
      </c>
      <c r="AX880" s="655">
        <f t="shared" si="638"/>
        <v>135.13513513513513</v>
      </c>
      <c r="AY880" s="655">
        <f t="shared" si="623"/>
        <v>941.79694857788672</v>
      </c>
      <c r="AZ880" s="655">
        <f t="shared" si="639"/>
        <v>100</v>
      </c>
      <c r="BA880" s="655">
        <f t="shared" si="624"/>
        <v>941.79694857788672</v>
      </c>
      <c r="BB880" s="655">
        <f t="shared" si="633"/>
        <v>110.00000000000001</v>
      </c>
      <c r="BC880" s="655">
        <f t="shared" si="633"/>
        <v>100</v>
      </c>
    </row>
    <row r="881" spans="1:55" ht="12" customHeight="1">
      <c r="A881" s="25"/>
      <c r="B881" s="25"/>
      <c r="C881" s="25"/>
      <c r="D881" s="25"/>
      <c r="E881" s="25"/>
      <c r="F881" s="25"/>
      <c r="G881" s="25"/>
      <c r="H881" s="389"/>
      <c r="I881" s="30"/>
      <c r="J881" s="29"/>
      <c r="K881" s="29"/>
      <c r="L881" s="313"/>
      <c r="M881" s="313"/>
      <c r="N881" s="335"/>
      <c r="O881" s="335"/>
      <c r="P881" s="290"/>
      <c r="Q881" s="290"/>
      <c r="R881" s="439"/>
      <c r="S881" s="294">
        <f>__xlfn.XLOOKUP(H881,[2]Izvršenje_proračuna_po_pozicija!$B$2:$B$153,[2]Izvršenje_proračuna_po_pozicija!$E$2:$E$153,0)</f>
        <v>0</v>
      </c>
      <c r="T881" s="294"/>
      <c r="U881" s="294"/>
      <c r="V881" s="474"/>
      <c r="W881" s="474"/>
      <c r="X881" s="539"/>
      <c r="Y881" s="539"/>
      <c r="Z881" s="541" t="b">
        <f t="shared" si="626"/>
        <v>0</v>
      </c>
      <c r="AA881" s="514"/>
      <c r="AB881" s="515"/>
      <c r="AC881" s="515"/>
      <c r="AD881" s="524"/>
      <c r="AE881" s="524"/>
      <c r="AF881" s="524"/>
      <c r="AG881" s="524"/>
      <c r="AH881" s="514"/>
      <c r="AI881" s="539"/>
      <c r="AJ881" s="516"/>
      <c r="AK881" s="516"/>
      <c r="AL881" s="516"/>
      <c r="AM881" s="290"/>
      <c r="AO881" t="b">
        <f t="shared" si="628"/>
        <v>0</v>
      </c>
      <c r="AQ881" s="439"/>
      <c r="AS881" s="439">
        <f>__xlfn.XLOOKUP(K881,[1]Izvršenje_proračuna_po_pozicija!$C$25:$C$149,[1]Izvršenje_proračuna_po_pozicija!$E$25:$E$149,0)</f>
        <v>0</v>
      </c>
      <c r="AT881" s="616"/>
      <c r="AU881" s="474"/>
      <c r="AV881" s="632"/>
      <c r="AW881" s="632"/>
      <c r="AX881" s="655" t="str">
        <f t="shared" si="638"/>
        <v/>
      </c>
      <c r="AY881" s="655" t="str">
        <f t="shared" si="623"/>
        <v/>
      </c>
      <c r="AZ881" s="655" t="str">
        <f t="shared" si="639"/>
        <v/>
      </c>
      <c r="BA881" s="655" t="str">
        <f t="shared" si="624"/>
        <v/>
      </c>
      <c r="BB881" s="655" t="str">
        <f t="shared" si="633"/>
        <v/>
      </c>
      <c r="BC881" s="655" t="str">
        <f t="shared" si="633"/>
        <v/>
      </c>
    </row>
    <row r="882" spans="1:55" ht="12" customHeight="1">
      <c r="A882" s="212" t="s">
        <v>475</v>
      </c>
      <c r="B882" s="130"/>
      <c r="C882" s="130"/>
      <c r="D882" s="130"/>
      <c r="E882" s="130"/>
      <c r="F882" s="130"/>
      <c r="G882" s="130"/>
      <c r="H882" s="383"/>
      <c r="I882" s="170" t="s">
        <v>374</v>
      </c>
      <c r="J882" s="171"/>
      <c r="K882" s="111"/>
      <c r="L882" s="315">
        <f t="shared" ref="L882:S882" si="661">L884</f>
        <v>0</v>
      </c>
      <c r="M882" s="315">
        <f t="shared" si="661"/>
        <v>0</v>
      </c>
      <c r="N882" s="337">
        <f t="shared" si="661"/>
        <v>66038</v>
      </c>
      <c r="O882" s="337">
        <f t="shared" si="661"/>
        <v>8764.7488220850755</v>
      </c>
      <c r="P882" s="292">
        <f t="shared" si="661"/>
        <v>3500</v>
      </c>
      <c r="Q882" s="292">
        <f t="shared" si="661"/>
        <v>3500</v>
      </c>
      <c r="R882" s="441">
        <f t="shared" si="661"/>
        <v>3238</v>
      </c>
      <c r="S882" s="292">
        <f t="shared" si="661"/>
        <v>0</v>
      </c>
      <c r="T882" s="292"/>
      <c r="U882" s="292"/>
      <c r="V882" s="469">
        <f>V884</f>
        <v>3500</v>
      </c>
      <c r="W882" s="469">
        <f>W884</f>
        <v>3500</v>
      </c>
      <c r="X882" s="522">
        <f>X884</f>
        <v>5000</v>
      </c>
      <c r="Y882" s="522">
        <f>Y884</f>
        <v>0</v>
      </c>
      <c r="Z882" s="541" t="b">
        <f t="shared" si="626"/>
        <v>1</v>
      </c>
      <c r="AA882" s="522"/>
      <c r="AB882" s="523">
        <f>AB884</f>
        <v>3500</v>
      </c>
      <c r="AC882" s="523">
        <f>AC884</f>
        <v>3500</v>
      </c>
      <c r="AD882" s="524"/>
      <c r="AE882" s="524"/>
      <c r="AF882" s="524"/>
      <c r="AG882" s="524"/>
      <c r="AH882" s="522"/>
      <c r="AI882" s="522">
        <v>5000</v>
      </c>
      <c r="AJ882" s="516">
        <f>W882/R882*100</f>
        <v>108.09141445336627</v>
      </c>
      <c r="AK882" s="516">
        <f>AT882/W882*100</f>
        <v>114.28571428571428</v>
      </c>
      <c r="AL882" s="516">
        <f>X882/AT882*100</f>
        <v>125</v>
      </c>
      <c r="AM882" s="292"/>
      <c r="AO882" t="b">
        <f t="shared" si="628"/>
        <v>1</v>
      </c>
      <c r="AP882" s="440">
        <f t="shared" ref="AP882:AU882" si="662">AP884</f>
        <v>1061.8</v>
      </c>
      <c r="AQ882" s="441">
        <v>1061.8</v>
      </c>
      <c r="AR882" s="440">
        <f>AR884</f>
        <v>1061.8</v>
      </c>
      <c r="AS882" s="441">
        <f t="shared" si="662"/>
        <v>0</v>
      </c>
      <c r="AT882" s="612">
        <f t="shared" si="662"/>
        <v>4000</v>
      </c>
      <c r="AU882" s="469">
        <f t="shared" si="662"/>
        <v>4000</v>
      </c>
      <c r="AV882" s="636">
        <v>5000</v>
      </c>
      <c r="AW882" s="636">
        <v>5000</v>
      </c>
      <c r="AX882" s="655">
        <f t="shared" si="638"/>
        <v>123.53304508956147</v>
      </c>
      <c r="AY882" s="655">
        <f t="shared" si="623"/>
        <v>376.71877943115464</v>
      </c>
      <c r="AZ882" s="655">
        <f t="shared" si="639"/>
        <v>100</v>
      </c>
      <c r="BA882" s="655">
        <f t="shared" si="624"/>
        <v>376.71877943115464</v>
      </c>
      <c r="BB882" s="655">
        <f t="shared" si="633"/>
        <v>125</v>
      </c>
      <c r="BC882" s="655">
        <f t="shared" si="633"/>
        <v>100</v>
      </c>
    </row>
    <row r="883" spans="1:55" ht="12" customHeight="1">
      <c r="A883" s="36"/>
      <c r="B883" s="36"/>
      <c r="C883" s="36"/>
      <c r="D883" s="36"/>
      <c r="E883" s="36"/>
      <c r="F883" s="36"/>
      <c r="G883" s="36"/>
      <c r="H883" s="204"/>
      <c r="I883" s="132"/>
      <c r="J883" s="71"/>
      <c r="K883" s="40"/>
      <c r="L883" s="326"/>
      <c r="M883" s="326"/>
      <c r="N883" s="350"/>
      <c r="O883" s="350"/>
      <c r="P883" s="305"/>
      <c r="Q883" s="305"/>
      <c r="R883" s="461"/>
      <c r="S883" s="294">
        <f>__xlfn.XLOOKUP(H883,[2]Izvršenje_proračuna_po_pozicija!$B$2:$B$153,[2]Izvršenje_proračuna_po_pozicija!$E$2:$E$153,0)</f>
        <v>0</v>
      </c>
      <c r="T883" s="294"/>
      <c r="U883" s="294"/>
      <c r="V883" s="486"/>
      <c r="W883" s="486"/>
      <c r="X883" s="559"/>
      <c r="Y883" s="559"/>
      <c r="Z883" s="541" t="b">
        <f t="shared" si="626"/>
        <v>0</v>
      </c>
      <c r="AA883" s="560"/>
      <c r="AB883" s="561"/>
      <c r="AC883" s="561"/>
      <c r="AD883" s="524"/>
      <c r="AE883" s="524"/>
      <c r="AF883" s="524"/>
      <c r="AG883" s="524"/>
      <c r="AH883" s="560"/>
      <c r="AI883" s="559"/>
      <c r="AJ883" s="516"/>
      <c r="AK883" s="516"/>
      <c r="AL883" s="516"/>
      <c r="AM883" s="305"/>
      <c r="AO883" t="b">
        <f t="shared" si="628"/>
        <v>0</v>
      </c>
      <c r="AQ883" s="461"/>
      <c r="AS883" s="461"/>
      <c r="AT883" s="616"/>
      <c r="AU883" s="469"/>
      <c r="AV883" s="648"/>
      <c r="AW883" s="648"/>
      <c r="AX883" s="655" t="str">
        <f t="shared" si="638"/>
        <v/>
      </c>
      <c r="AY883" s="655" t="str">
        <f t="shared" si="623"/>
        <v/>
      </c>
      <c r="AZ883" s="655" t="str">
        <f t="shared" si="639"/>
        <v/>
      </c>
      <c r="BA883" s="655" t="str">
        <f t="shared" si="624"/>
        <v/>
      </c>
      <c r="BB883" s="655" t="str">
        <f t="shared" si="633"/>
        <v/>
      </c>
      <c r="BC883" s="655" t="str">
        <f t="shared" si="633"/>
        <v/>
      </c>
    </row>
    <row r="884" spans="1:55" ht="12" customHeight="1">
      <c r="A884" s="52"/>
      <c r="B884" s="52"/>
      <c r="C884" s="52"/>
      <c r="D884" s="52"/>
      <c r="E884" s="52"/>
      <c r="F884" s="52"/>
      <c r="G884" s="52"/>
      <c r="H884" s="384"/>
      <c r="I884" s="156"/>
      <c r="J884" s="94">
        <v>3</v>
      </c>
      <c r="K884" s="21" t="s">
        <v>94</v>
      </c>
      <c r="L884" s="315">
        <f t="shared" ref="L884:AC887" si="663">L885</f>
        <v>0</v>
      </c>
      <c r="M884" s="315">
        <f t="shared" si="663"/>
        <v>0</v>
      </c>
      <c r="N884" s="337">
        <f t="shared" si="663"/>
        <v>66038</v>
      </c>
      <c r="O884" s="337">
        <f t="shared" si="663"/>
        <v>8764.7488220850755</v>
      </c>
      <c r="P884" s="292">
        <f t="shared" si="663"/>
        <v>3500</v>
      </c>
      <c r="Q884" s="292">
        <f t="shared" si="663"/>
        <v>3500</v>
      </c>
      <c r="R884" s="441">
        <f t="shared" si="663"/>
        <v>3238</v>
      </c>
      <c r="S884" s="292">
        <f t="shared" si="663"/>
        <v>0</v>
      </c>
      <c r="T884" s="292"/>
      <c r="U884" s="292"/>
      <c r="V884" s="469">
        <f t="shared" si="663"/>
        <v>3500</v>
      </c>
      <c r="W884" s="469">
        <f t="shared" si="663"/>
        <v>3500</v>
      </c>
      <c r="X884" s="522">
        <f t="shared" si="663"/>
        <v>5000</v>
      </c>
      <c r="Y884" s="522">
        <f t="shared" si="663"/>
        <v>0</v>
      </c>
      <c r="Z884" s="541" t="b">
        <f t="shared" si="626"/>
        <v>1</v>
      </c>
      <c r="AA884" s="522"/>
      <c r="AB884" s="523">
        <f t="shared" si="663"/>
        <v>3500</v>
      </c>
      <c r="AC884" s="523">
        <f t="shared" si="663"/>
        <v>3500</v>
      </c>
      <c r="AD884" s="524"/>
      <c r="AE884" s="524"/>
      <c r="AF884" s="524"/>
      <c r="AG884" s="524"/>
      <c r="AH884" s="522"/>
      <c r="AI884" s="522">
        <v>5000</v>
      </c>
      <c r="AJ884" s="516">
        <f>W884/R884*100</f>
        <v>108.09141445336627</v>
      </c>
      <c r="AK884" s="516">
        <f>AT884/W884*100</f>
        <v>114.28571428571428</v>
      </c>
      <c r="AL884" s="516">
        <f>X884/AT884*100</f>
        <v>125</v>
      </c>
      <c r="AM884" s="292"/>
      <c r="AO884" t="b">
        <f t="shared" si="628"/>
        <v>1</v>
      </c>
      <c r="AP884" s="440">
        <f>AP885</f>
        <v>1061.8</v>
      </c>
      <c r="AQ884" s="441">
        <v>1061.8</v>
      </c>
      <c r="AR884" s="440">
        <f t="shared" ref="AR884:AU887" si="664">AR885</f>
        <v>1061.8</v>
      </c>
      <c r="AS884" s="441">
        <f t="shared" si="664"/>
        <v>0</v>
      </c>
      <c r="AT884" s="612">
        <f t="shared" si="664"/>
        <v>4000</v>
      </c>
      <c r="AU884" s="469">
        <f t="shared" si="664"/>
        <v>4000</v>
      </c>
      <c r="AV884" s="636">
        <v>5000</v>
      </c>
      <c r="AW884" s="636">
        <v>5000</v>
      </c>
      <c r="AX884" s="655">
        <f t="shared" si="638"/>
        <v>123.53304508956147</v>
      </c>
      <c r="AY884" s="655" t="str">
        <f t="shared" si="623"/>
        <v/>
      </c>
      <c r="AZ884" s="655">
        <f t="shared" si="639"/>
        <v>100</v>
      </c>
      <c r="BA884" s="655" t="str">
        <f t="shared" si="624"/>
        <v/>
      </c>
      <c r="BB884" s="655">
        <f t="shared" si="633"/>
        <v>125</v>
      </c>
      <c r="BC884" s="655">
        <f t="shared" si="633"/>
        <v>100</v>
      </c>
    </row>
    <row r="885" spans="1:55" ht="12" customHeight="1">
      <c r="A885" s="355"/>
      <c r="B885" s="355"/>
      <c r="C885" s="355"/>
      <c r="D885" s="355"/>
      <c r="E885" s="355"/>
      <c r="F885" s="355"/>
      <c r="G885" s="355"/>
      <c r="H885" s="379"/>
      <c r="I885" s="359"/>
      <c r="J885" s="356">
        <v>38</v>
      </c>
      <c r="K885" s="358" t="s">
        <v>144</v>
      </c>
      <c r="L885" s="315">
        <f t="shared" si="663"/>
        <v>0</v>
      </c>
      <c r="M885" s="315">
        <f t="shared" si="663"/>
        <v>0</v>
      </c>
      <c r="N885" s="337">
        <f t="shared" si="663"/>
        <v>66038</v>
      </c>
      <c r="O885" s="337">
        <f t="shared" si="663"/>
        <v>8764.7488220850755</v>
      </c>
      <c r="P885" s="292">
        <f t="shared" si="663"/>
        <v>3500</v>
      </c>
      <c r="Q885" s="292">
        <f t="shared" si="663"/>
        <v>3500</v>
      </c>
      <c r="R885" s="441">
        <f t="shared" si="663"/>
        <v>3238</v>
      </c>
      <c r="S885" s="292">
        <f t="shared" si="663"/>
        <v>0</v>
      </c>
      <c r="T885" s="292"/>
      <c r="U885" s="292"/>
      <c r="V885" s="469">
        <f t="shared" si="663"/>
        <v>3500</v>
      </c>
      <c r="W885" s="469">
        <f t="shared" si="663"/>
        <v>3500</v>
      </c>
      <c r="X885" s="522">
        <f t="shared" si="663"/>
        <v>5000</v>
      </c>
      <c r="Y885" s="522">
        <f t="shared" si="663"/>
        <v>0</v>
      </c>
      <c r="Z885" s="541" t="b">
        <f t="shared" si="626"/>
        <v>1</v>
      </c>
      <c r="AA885" s="522"/>
      <c r="AB885" s="523">
        <f t="shared" si="663"/>
        <v>3500</v>
      </c>
      <c r="AC885" s="523">
        <f t="shared" si="663"/>
        <v>3500</v>
      </c>
      <c r="AD885" s="524"/>
      <c r="AE885" s="524"/>
      <c r="AF885" s="524"/>
      <c r="AG885" s="524"/>
      <c r="AH885" s="522"/>
      <c r="AI885" s="522">
        <v>5000</v>
      </c>
      <c r="AJ885" s="516">
        <f>W885/R885*100</f>
        <v>108.09141445336627</v>
      </c>
      <c r="AK885" s="516">
        <f>AT885/W885*100</f>
        <v>114.28571428571428</v>
      </c>
      <c r="AL885" s="516">
        <f>X885/AT885*100</f>
        <v>125</v>
      </c>
      <c r="AM885" s="292"/>
      <c r="AO885" t="b">
        <f t="shared" si="628"/>
        <v>1</v>
      </c>
      <c r="AP885" s="440">
        <f>AP886</f>
        <v>1061.8</v>
      </c>
      <c r="AQ885" s="441">
        <v>1061.8</v>
      </c>
      <c r="AR885" s="440">
        <f t="shared" si="664"/>
        <v>1061.8</v>
      </c>
      <c r="AS885" s="441">
        <f t="shared" si="664"/>
        <v>0</v>
      </c>
      <c r="AT885" s="612">
        <f t="shared" si="664"/>
        <v>4000</v>
      </c>
      <c r="AU885" s="469">
        <f t="shared" si="664"/>
        <v>4000</v>
      </c>
      <c r="AV885" s="636">
        <v>5000</v>
      </c>
      <c r="AW885" s="636">
        <v>5000</v>
      </c>
      <c r="AX885" s="655">
        <f t="shared" si="638"/>
        <v>123.53304508956147</v>
      </c>
      <c r="AY885" s="655">
        <f t="shared" si="623"/>
        <v>25.75825874170906</v>
      </c>
      <c r="AZ885" s="655">
        <f t="shared" si="639"/>
        <v>100</v>
      </c>
      <c r="BA885" s="655">
        <f t="shared" si="624"/>
        <v>25.75825874170906</v>
      </c>
      <c r="BB885" s="655">
        <f t="shared" si="633"/>
        <v>125</v>
      </c>
      <c r="BC885" s="655">
        <f t="shared" si="633"/>
        <v>100</v>
      </c>
    </row>
    <row r="886" spans="1:55" ht="12" customHeight="1">
      <c r="A886" s="56"/>
      <c r="B886" s="56"/>
      <c r="C886" s="56"/>
      <c r="D886" s="56"/>
      <c r="E886" s="56"/>
      <c r="F886" s="56"/>
      <c r="G886" s="56"/>
      <c r="H886" s="377"/>
      <c r="I886" s="157"/>
      <c r="J886" s="116">
        <v>381</v>
      </c>
      <c r="K886" s="60" t="s">
        <v>236</v>
      </c>
      <c r="L886" s="315">
        <f t="shared" si="663"/>
        <v>0</v>
      </c>
      <c r="M886" s="315">
        <f t="shared" si="663"/>
        <v>0</v>
      </c>
      <c r="N886" s="337">
        <f t="shared" si="663"/>
        <v>66038</v>
      </c>
      <c r="O886" s="337">
        <f t="shared" si="663"/>
        <v>8764.7488220850755</v>
      </c>
      <c r="P886" s="292">
        <f t="shared" si="663"/>
        <v>3500</v>
      </c>
      <c r="Q886" s="292">
        <f t="shared" si="663"/>
        <v>3500</v>
      </c>
      <c r="R886" s="441">
        <f t="shared" si="663"/>
        <v>3238</v>
      </c>
      <c r="S886" s="292">
        <f t="shared" si="663"/>
        <v>0</v>
      </c>
      <c r="T886" s="292"/>
      <c r="U886" s="292"/>
      <c r="V886" s="469">
        <f t="shared" si="663"/>
        <v>3500</v>
      </c>
      <c r="W886" s="469">
        <f t="shared" si="663"/>
        <v>3500</v>
      </c>
      <c r="X886" s="522">
        <f t="shared" si="663"/>
        <v>5000</v>
      </c>
      <c r="Y886" s="522">
        <f t="shared" si="663"/>
        <v>0</v>
      </c>
      <c r="Z886" s="541" t="b">
        <f t="shared" si="626"/>
        <v>1</v>
      </c>
      <c r="AA886" s="522"/>
      <c r="AB886" s="523">
        <f t="shared" si="663"/>
        <v>3500</v>
      </c>
      <c r="AC886" s="523">
        <f t="shared" si="663"/>
        <v>3500</v>
      </c>
      <c r="AD886" s="524"/>
      <c r="AE886" s="524"/>
      <c r="AF886" s="524"/>
      <c r="AG886" s="524"/>
      <c r="AH886" s="522"/>
      <c r="AI886" s="522">
        <v>5000</v>
      </c>
      <c r="AJ886" s="516">
        <f>W886/R886*100</f>
        <v>108.09141445336627</v>
      </c>
      <c r="AK886" s="516">
        <f>AT886/W886*100</f>
        <v>114.28571428571428</v>
      </c>
      <c r="AL886" s="516">
        <f>X886/AT886*100</f>
        <v>125</v>
      </c>
      <c r="AM886" s="292"/>
      <c r="AO886" t="b">
        <f t="shared" si="628"/>
        <v>1</v>
      </c>
      <c r="AP886" s="440">
        <f>AP887</f>
        <v>1061.8</v>
      </c>
      <c r="AQ886" s="441">
        <v>1061.8</v>
      </c>
      <c r="AR886" s="440">
        <f t="shared" si="664"/>
        <v>1061.8</v>
      </c>
      <c r="AS886" s="441">
        <f t="shared" si="664"/>
        <v>0</v>
      </c>
      <c r="AT886" s="612">
        <f t="shared" si="664"/>
        <v>4000</v>
      </c>
      <c r="AU886" s="469">
        <f t="shared" si="664"/>
        <v>4000</v>
      </c>
      <c r="AV886" s="636">
        <v>5000</v>
      </c>
      <c r="AW886" s="636">
        <v>5000</v>
      </c>
      <c r="AX886" s="655">
        <f t="shared" si="638"/>
        <v>123.53304508956147</v>
      </c>
      <c r="AY886" s="655" t="str">
        <f t="shared" si="623"/>
        <v/>
      </c>
      <c r="AZ886" s="655">
        <f t="shared" si="639"/>
        <v>100</v>
      </c>
      <c r="BA886" s="655" t="str">
        <f t="shared" si="624"/>
        <v/>
      </c>
      <c r="BB886" s="655">
        <f t="shared" si="633"/>
        <v>125</v>
      </c>
      <c r="BC886" s="655">
        <f t="shared" si="633"/>
        <v>100</v>
      </c>
    </row>
    <row r="887" spans="1:55" ht="12" customHeight="1">
      <c r="A887" s="36"/>
      <c r="B887" s="36"/>
      <c r="C887" s="36"/>
      <c r="D887" s="36"/>
      <c r="E887" s="36"/>
      <c r="F887" s="36"/>
      <c r="G887" s="36"/>
      <c r="H887" s="204"/>
      <c r="I887" s="132"/>
      <c r="J887" s="71">
        <v>3811</v>
      </c>
      <c r="K887" s="40" t="s">
        <v>145</v>
      </c>
      <c r="L887" s="315">
        <f t="shared" si="663"/>
        <v>0</v>
      </c>
      <c r="M887" s="315">
        <f t="shared" si="663"/>
        <v>0</v>
      </c>
      <c r="N887" s="337">
        <f t="shared" si="663"/>
        <v>66038</v>
      </c>
      <c r="O887" s="337">
        <f t="shared" si="663"/>
        <v>8764.7488220850755</v>
      </c>
      <c r="P887" s="292">
        <f t="shared" si="663"/>
        <v>3500</v>
      </c>
      <c r="Q887" s="292">
        <f t="shared" si="663"/>
        <v>3500</v>
      </c>
      <c r="R887" s="441">
        <f t="shared" si="663"/>
        <v>3238</v>
      </c>
      <c r="S887" s="292">
        <f t="shared" si="663"/>
        <v>0</v>
      </c>
      <c r="T887" s="292"/>
      <c r="U887" s="292"/>
      <c r="V887" s="469">
        <f t="shared" si="663"/>
        <v>3500</v>
      </c>
      <c r="W887" s="469">
        <f t="shared" si="663"/>
        <v>3500</v>
      </c>
      <c r="X887" s="522">
        <f t="shared" si="663"/>
        <v>5000</v>
      </c>
      <c r="Y887" s="522">
        <f t="shared" si="663"/>
        <v>0</v>
      </c>
      <c r="Z887" s="541" t="b">
        <f t="shared" si="626"/>
        <v>1</v>
      </c>
      <c r="AA887" s="522"/>
      <c r="AB887" s="523">
        <f t="shared" si="663"/>
        <v>3500</v>
      </c>
      <c r="AC887" s="523">
        <f t="shared" si="663"/>
        <v>3500</v>
      </c>
      <c r="AD887" s="524"/>
      <c r="AE887" s="524"/>
      <c r="AF887" s="524"/>
      <c r="AG887" s="524"/>
      <c r="AH887" s="522"/>
      <c r="AI887" s="522">
        <v>5000</v>
      </c>
      <c r="AJ887" s="516">
        <f>W887/R887*100</f>
        <v>108.09141445336627</v>
      </c>
      <c r="AK887" s="516">
        <f>AT887/W887*100</f>
        <v>114.28571428571428</v>
      </c>
      <c r="AL887" s="516">
        <f>X887/AT887*100</f>
        <v>125</v>
      </c>
      <c r="AM887" s="292"/>
      <c r="AO887" t="b">
        <f t="shared" si="628"/>
        <v>1</v>
      </c>
      <c r="AP887" s="440">
        <f>AP888</f>
        <v>1061.8</v>
      </c>
      <c r="AQ887" s="441">
        <v>1061.8</v>
      </c>
      <c r="AR887" s="440">
        <f t="shared" si="664"/>
        <v>1061.8</v>
      </c>
      <c r="AS887" s="441">
        <f t="shared" si="664"/>
        <v>0</v>
      </c>
      <c r="AT887" s="612">
        <f t="shared" si="664"/>
        <v>4000</v>
      </c>
      <c r="AU887" s="469">
        <f t="shared" si="664"/>
        <v>4000</v>
      </c>
      <c r="AV887" s="636">
        <v>5000</v>
      </c>
      <c r="AW887" s="636">
        <v>5000</v>
      </c>
      <c r="AX887" s="655">
        <f t="shared" si="638"/>
        <v>123.53304508956147</v>
      </c>
      <c r="AY887" s="655">
        <f t="shared" si="623"/>
        <v>25.75825874170906</v>
      </c>
      <c r="AZ887" s="655">
        <f t="shared" si="639"/>
        <v>100</v>
      </c>
      <c r="BA887" s="655">
        <f t="shared" si="624"/>
        <v>25.75825874170906</v>
      </c>
      <c r="BB887" s="655">
        <f t="shared" si="633"/>
        <v>125</v>
      </c>
      <c r="BC887" s="655">
        <f t="shared" si="633"/>
        <v>100</v>
      </c>
    </row>
    <row r="888" spans="1:55" ht="12" customHeight="1">
      <c r="A888" s="36"/>
      <c r="B888" s="36"/>
      <c r="C888" s="36"/>
      <c r="D888" s="36"/>
      <c r="E888" s="36"/>
      <c r="F888" s="36"/>
      <c r="G888" s="36"/>
      <c r="H888" s="204" t="s">
        <v>375</v>
      </c>
      <c r="I888" s="132">
        <v>840</v>
      </c>
      <c r="J888" s="71">
        <v>3811</v>
      </c>
      <c r="K888" s="40" t="s">
        <v>376</v>
      </c>
      <c r="L888" s="309">
        <v>0</v>
      </c>
      <c r="M888" s="309">
        <v>0</v>
      </c>
      <c r="N888" s="339">
        <v>66038</v>
      </c>
      <c r="O888" s="339">
        <f>N888/7.5345</f>
        <v>8764.7488220850755</v>
      </c>
      <c r="P888" s="294">
        <v>3500</v>
      </c>
      <c r="Q888" s="294">
        <v>3500</v>
      </c>
      <c r="R888" s="443">
        <v>3238</v>
      </c>
      <c r="S888" s="294">
        <f>__xlfn.XLOOKUP(H888,[2]Izvršenje_proračuna_po_pozicija!$B$2:$B$153,[2]Izvršenje_proračuna_po_pozicija!$E$2:$E$153,0)</f>
        <v>0</v>
      </c>
      <c r="T888" s="294"/>
      <c r="U888" s="294"/>
      <c r="V888" s="478">
        <v>3500</v>
      </c>
      <c r="W888" s="478">
        <v>3500</v>
      </c>
      <c r="X888" s="544">
        <v>5000</v>
      </c>
      <c r="Y888" s="544"/>
      <c r="Z888" s="541" t="b">
        <f t="shared" si="626"/>
        <v>0</v>
      </c>
      <c r="AA888" s="527"/>
      <c r="AB888" s="528">
        <v>3500</v>
      </c>
      <c r="AC888" s="528">
        <v>3500</v>
      </c>
      <c r="AD888" s="524"/>
      <c r="AE888" s="524"/>
      <c r="AF888" s="524"/>
      <c r="AG888" s="524"/>
      <c r="AH888" s="527"/>
      <c r="AI888" s="544">
        <v>5000</v>
      </c>
      <c r="AJ888" s="516">
        <f>W888/R888*100</f>
        <v>108.09141445336627</v>
      </c>
      <c r="AK888" s="516">
        <f>AT888/W888*100</f>
        <v>114.28571428571428</v>
      </c>
      <c r="AL888" s="516">
        <f>X888/AT888*100</f>
        <v>125</v>
      </c>
      <c r="AM888" s="294"/>
      <c r="AO888" t="b">
        <f t="shared" si="628"/>
        <v>0</v>
      </c>
      <c r="AP888" s="493">
        <v>1061.8</v>
      </c>
      <c r="AQ888" s="443">
        <v>1061.8</v>
      </c>
      <c r="AR888" s="493">
        <v>1061.8</v>
      </c>
      <c r="AS888" s="443">
        <f>__xlfn.XLOOKUP(K888,[1]Izvršenje_proračuna_po_pozicija!$C$25:$C$149,[1]Izvršenje_proračuna_po_pozicija!$E$25:$E$149,0)</f>
        <v>0</v>
      </c>
      <c r="AT888" s="617">
        <v>4000</v>
      </c>
      <c r="AU888" s="478">
        <v>4000</v>
      </c>
      <c r="AV888" s="638">
        <v>5000</v>
      </c>
      <c r="AW888" s="638">
        <v>5000</v>
      </c>
      <c r="AX888" s="655">
        <f t="shared" si="638"/>
        <v>123.53304508956147</v>
      </c>
      <c r="AY888" s="655">
        <f t="shared" si="623"/>
        <v>25.75825874170906</v>
      </c>
      <c r="AZ888" s="655">
        <f t="shared" si="639"/>
        <v>100</v>
      </c>
      <c r="BA888" s="655">
        <f t="shared" si="624"/>
        <v>25.75825874170906</v>
      </c>
      <c r="BB888" s="655">
        <f t="shared" si="633"/>
        <v>125</v>
      </c>
      <c r="BC888" s="655">
        <f t="shared" si="633"/>
        <v>100</v>
      </c>
    </row>
    <row r="889" spans="1:55" ht="12" customHeight="1">
      <c r="A889" s="36"/>
      <c r="B889" s="36"/>
      <c r="C889" s="36"/>
      <c r="D889" s="36"/>
      <c r="E889" s="36"/>
      <c r="F889" s="36"/>
      <c r="G889" s="36"/>
      <c r="H889" s="204"/>
      <c r="I889" s="132"/>
      <c r="J889" s="71"/>
      <c r="K889" s="40"/>
      <c r="L889" s="309"/>
      <c r="M889" s="309"/>
      <c r="N889" s="339"/>
      <c r="O889" s="339"/>
      <c r="P889" s="294"/>
      <c r="Q889" s="294"/>
      <c r="R889" s="443"/>
      <c r="S889" s="294">
        <f>__xlfn.XLOOKUP(H889,[2]Izvršenje_proračuna_po_pozicija!$B$2:$B$153,[2]Izvršenje_proračuna_po_pozicija!$E$2:$E$153,0)</f>
        <v>0</v>
      </c>
      <c r="T889" s="294"/>
      <c r="U889" s="294"/>
      <c r="V889" s="478"/>
      <c r="W889" s="478"/>
      <c r="X889" s="544"/>
      <c r="Y889" s="544"/>
      <c r="Z889" s="541" t="b">
        <f t="shared" si="626"/>
        <v>0</v>
      </c>
      <c r="AA889" s="527"/>
      <c r="AB889" s="528"/>
      <c r="AC889" s="528"/>
      <c r="AD889" s="524"/>
      <c r="AE889" s="524"/>
      <c r="AF889" s="524"/>
      <c r="AG889" s="524"/>
      <c r="AH889" s="527"/>
      <c r="AI889" s="544"/>
      <c r="AJ889" s="516"/>
      <c r="AK889" s="516"/>
      <c r="AL889" s="516"/>
      <c r="AM889" s="294"/>
      <c r="AO889" t="b">
        <f t="shared" si="628"/>
        <v>0</v>
      </c>
      <c r="AQ889" s="443"/>
      <c r="AS889" s="443">
        <f>__xlfn.XLOOKUP(K889,[1]Izvršenje_proračuna_po_pozicija!$C$25:$C$149,[1]Izvršenje_proračuna_po_pozicija!$E$25:$E$149,0)</f>
        <v>0</v>
      </c>
      <c r="AT889" s="617"/>
      <c r="AU889" s="478"/>
      <c r="AV889" s="638"/>
      <c r="AW889" s="638"/>
      <c r="AX889" s="655" t="str">
        <f t="shared" si="638"/>
        <v/>
      </c>
      <c r="AY889" s="655" t="str">
        <f t="shared" si="623"/>
        <v/>
      </c>
      <c r="AZ889" s="655" t="str">
        <f t="shared" si="639"/>
        <v/>
      </c>
      <c r="BA889" s="655" t="str">
        <f t="shared" si="624"/>
        <v/>
      </c>
      <c r="BB889" s="655" t="str">
        <f t="shared" si="633"/>
        <v/>
      </c>
      <c r="BC889" s="655" t="str">
        <f t="shared" si="633"/>
        <v/>
      </c>
    </row>
    <row r="890" spans="1:55" ht="12" customHeight="1">
      <c r="A890" s="212" t="s">
        <v>486</v>
      </c>
      <c r="B890" s="130"/>
      <c r="C890" s="130"/>
      <c r="D890" s="130"/>
      <c r="E890" s="130"/>
      <c r="F890" s="130"/>
      <c r="G890" s="130"/>
      <c r="H890" s="383"/>
      <c r="I890" s="170" t="s">
        <v>590</v>
      </c>
      <c r="J890" s="171"/>
      <c r="K890" s="111"/>
      <c r="L890" s="315">
        <f t="shared" ref="L890:S890" si="665">L892</f>
        <v>108000</v>
      </c>
      <c r="M890" s="315">
        <f t="shared" si="665"/>
        <v>14334.063308779612</v>
      </c>
      <c r="N890" s="337">
        <f t="shared" si="665"/>
        <v>102641</v>
      </c>
      <c r="O890" s="337">
        <f t="shared" si="665"/>
        <v>13622.801778485633</v>
      </c>
      <c r="P890" s="292">
        <f t="shared" si="665"/>
        <v>14000</v>
      </c>
      <c r="Q890" s="292">
        <f t="shared" si="665"/>
        <v>14000</v>
      </c>
      <c r="R890" s="441">
        <f t="shared" si="665"/>
        <v>12000</v>
      </c>
      <c r="S890" s="292">
        <f t="shared" si="665"/>
        <v>15529</v>
      </c>
      <c r="T890" s="292"/>
      <c r="U890" s="292"/>
      <c r="V890" s="469">
        <f>V892</f>
        <v>15400</v>
      </c>
      <c r="W890" s="469">
        <f>W892</f>
        <v>15400</v>
      </c>
      <c r="X890" s="522">
        <f>X892</f>
        <v>20000</v>
      </c>
      <c r="Y890" s="522">
        <f>Y892</f>
        <v>0</v>
      </c>
      <c r="Z890" s="541" t="b">
        <f t="shared" si="626"/>
        <v>1</v>
      </c>
      <c r="AA890" s="522"/>
      <c r="AB890" s="523">
        <f>AB892</f>
        <v>14000</v>
      </c>
      <c r="AC890" s="523">
        <f>AC892</f>
        <v>14000</v>
      </c>
      <c r="AD890" s="524">
        <f>O890/M890*100</f>
        <v>95.037962962962979</v>
      </c>
      <c r="AE890" s="524">
        <f>P890/O890*100</f>
        <v>102.76887403669099</v>
      </c>
      <c r="AF890" s="524">
        <f>Q890/P890*100</f>
        <v>100</v>
      </c>
      <c r="AG890" s="524">
        <f>AB890/Q890*100</f>
        <v>100</v>
      </c>
      <c r="AH890" s="522"/>
      <c r="AI890" s="522">
        <v>20000</v>
      </c>
      <c r="AJ890" s="516">
        <f>W890/R890*100</f>
        <v>128.33333333333334</v>
      </c>
      <c r="AK890" s="516">
        <f>AT890/W890*100</f>
        <v>116.88311688311688</v>
      </c>
      <c r="AL890" s="516">
        <f>X890/AT890*100</f>
        <v>111.11111111111111</v>
      </c>
      <c r="AM890" s="292"/>
      <c r="AO890" t="b">
        <f t="shared" si="628"/>
        <v>1</v>
      </c>
      <c r="AP890" s="440">
        <f t="shared" ref="AP890:AU890" si="666">AP892</f>
        <v>15529</v>
      </c>
      <c r="AQ890" s="441">
        <v>15529</v>
      </c>
      <c r="AR890" s="440">
        <f>AR892</f>
        <v>15529</v>
      </c>
      <c r="AS890" s="441">
        <f t="shared" si="666"/>
        <v>300</v>
      </c>
      <c r="AT890" s="612">
        <f t="shared" si="666"/>
        <v>18000</v>
      </c>
      <c r="AU890" s="469">
        <f t="shared" si="666"/>
        <v>18000</v>
      </c>
      <c r="AV890" s="636">
        <v>20000</v>
      </c>
      <c r="AW890" s="636">
        <v>20000</v>
      </c>
      <c r="AX890" s="655">
        <f t="shared" si="638"/>
        <v>150</v>
      </c>
      <c r="AY890" s="655">
        <f t="shared" si="623"/>
        <v>115.91216433769078</v>
      </c>
      <c r="AZ890" s="655">
        <f t="shared" si="639"/>
        <v>100</v>
      </c>
      <c r="BA890" s="655">
        <f t="shared" si="624"/>
        <v>115.91216433769078</v>
      </c>
      <c r="BB890" s="655">
        <f t="shared" si="633"/>
        <v>111.11111111111111</v>
      </c>
      <c r="BC890" s="655">
        <f t="shared" si="633"/>
        <v>100</v>
      </c>
    </row>
    <row r="891" spans="1:55" ht="12" customHeight="1">
      <c r="A891" s="20"/>
      <c r="B891" s="20"/>
      <c r="C891" s="20"/>
      <c r="D891" s="20"/>
      <c r="E891" s="20"/>
      <c r="F891" s="20"/>
      <c r="G891" s="20"/>
      <c r="H891" s="375"/>
      <c r="I891" s="22"/>
      <c r="J891" s="21"/>
      <c r="K891" s="19"/>
      <c r="L891" s="313">
        <v>1</v>
      </c>
      <c r="M891" s="313">
        <v>2</v>
      </c>
      <c r="N891" s="335">
        <v>3</v>
      </c>
      <c r="O891" s="335">
        <v>4</v>
      </c>
      <c r="P891" s="290">
        <v>5</v>
      </c>
      <c r="Q891" s="290">
        <v>6</v>
      </c>
      <c r="R891" s="439"/>
      <c r="S891" s="294">
        <f>__xlfn.XLOOKUP(H891,[2]Izvršenje_proračuna_po_pozicija!$B$2:$B$153,[2]Izvršenje_proračuna_po_pozicija!$E$2:$E$153,0)</f>
        <v>0</v>
      </c>
      <c r="T891" s="294"/>
      <c r="U891" s="294"/>
      <c r="V891" s="474">
        <v>5</v>
      </c>
      <c r="W891" s="474"/>
      <c r="X891" s="539"/>
      <c r="Y891" s="539"/>
      <c r="Z891" s="541" t="b">
        <f t="shared" si="626"/>
        <v>0</v>
      </c>
      <c r="AA891" s="514"/>
      <c r="AB891" s="515">
        <v>7</v>
      </c>
      <c r="AC891" s="515">
        <v>8</v>
      </c>
      <c r="AD891" s="515">
        <v>9</v>
      </c>
      <c r="AE891" s="515">
        <v>10</v>
      </c>
      <c r="AF891" s="515">
        <v>11</v>
      </c>
      <c r="AG891" s="515">
        <v>12</v>
      </c>
      <c r="AH891" s="514"/>
      <c r="AI891" s="539"/>
      <c r="AJ891" s="516"/>
      <c r="AK891" s="516"/>
      <c r="AL891" s="516"/>
      <c r="AM891" s="290"/>
      <c r="AO891" t="b">
        <f t="shared" si="628"/>
        <v>0</v>
      </c>
      <c r="AQ891" s="439"/>
      <c r="AS891" s="439"/>
      <c r="AT891" s="616"/>
      <c r="AU891" s="474"/>
      <c r="AV891" s="632"/>
      <c r="AW891" s="632"/>
      <c r="AX891" s="655" t="str">
        <f t="shared" si="638"/>
        <v/>
      </c>
      <c r="AY891" s="655" t="str">
        <f t="shared" si="623"/>
        <v/>
      </c>
      <c r="AZ891" s="655" t="str">
        <f t="shared" si="639"/>
        <v/>
      </c>
      <c r="BA891" s="655" t="str">
        <f t="shared" si="624"/>
        <v/>
      </c>
      <c r="BB891" s="655" t="str">
        <f t="shared" si="633"/>
        <v/>
      </c>
      <c r="BC891" s="655" t="str">
        <f t="shared" si="633"/>
        <v/>
      </c>
    </row>
    <row r="892" spans="1:55" ht="12" customHeight="1">
      <c r="A892" s="52"/>
      <c r="B892" s="52"/>
      <c r="C892" s="52"/>
      <c r="D892" s="52"/>
      <c r="E892" s="52"/>
      <c r="F892" s="52"/>
      <c r="G892" s="52"/>
      <c r="H892" s="384"/>
      <c r="I892" s="156"/>
      <c r="J892" s="94">
        <v>3</v>
      </c>
      <c r="K892" s="21" t="s">
        <v>94</v>
      </c>
      <c r="L892" s="315">
        <f t="shared" ref="L892:AC894" si="667">L893</f>
        <v>108000</v>
      </c>
      <c r="M892" s="315">
        <f t="shared" si="667"/>
        <v>14334.063308779612</v>
      </c>
      <c r="N892" s="337">
        <f t="shared" si="667"/>
        <v>102641</v>
      </c>
      <c r="O892" s="337">
        <f t="shared" si="667"/>
        <v>13622.801778485633</v>
      </c>
      <c r="P892" s="292">
        <f t="shared" si="667"/>
        <v>14000</v>
      </c>
      <c r="Q892" s="292">
        <f t="shared" si="667"/>
        <v>14000</v>
      </c>
      <c r="R892" s="441">
        <f t="shared" si="667"/>
        <v>12000</v>
      </c>
      <c r="S892" s="292">
        <f t="shared" si="667"/>
        <v>15529</v>
      </c>
      <c r="T892" s="292"/>
      <c r="U892" s="292"/>
      <c r="V892" s="469">
        <f t="shared" si="667"/>
        <v>15400</v>
      </c>
      <c r="W892" s="469">
        <f t="shared" si="667"/>
        <v>15400</v>
      </c>
      <c r="X892" s="522">
        <f t="shared" si="667"/>
        <v>20000</v>
      </c>
      <c r="Y892" s="522">
        <f t="shared" si="667"/>
        <v>0</v>
      </c>
      <c r="Z892" s="541" t="b">
        <f t="shared" si="626"/>
        <v>1</v>
      </c>
      <c r="AA892" s="522"/>
      <c r="AB892" s="523">
        <f t="shared" si="667"/>
        <v>14000</v>
      </c>
      <c r="AC892" s="523">
        <f t="shared" si="667"/>
        <v>14000</v>
      </c>
      <c r="AD892" s="524">
        <f t="shared" ref="AD892:AD899" si="668">O892/M892*100</f>
        <v>95.037962962962979</v>
      </c>
      <c r="AE892" s="524">
        <f t="shared" ref="AE892:AF895" si="669">P892/O892*100</f>
        <v>102.76887403669099</v>
      </c>
      <c r="AF892" s="524">
        <f t="shared" si="669"/>
        <v>100</v>
      </c>
      <c r="AG892" s="524">
        <f>AB892/Q892*100</f>
        <v>100</v>
      </c>
      <c r="AH892" s="522"/>
      <c r="AI892" s="522">
        <v>20000</v>
      </c>
      <c r="AJ892" s="516">
        <f t="shared" ref="AJ892:AJ899" si="670">W892/R892*100</f>
        <v>128.33333333333334</v>
      </c>
      <c r="AK892" s="516">
        <f>AT892/W892*100</f>
        <v>116.88311688311688</v>
      </c>
      <c r="AL892" s="516">
        <f>X892/AT892*100</f>
        <v>111.11111111111111</v>
      </c>
      <c r="AM892" s="292"/>
      <c r="AO892" t="b">
        <f t="shared" si="628"/>
        <v>1</v>
      </c>
      <c r="AP892" s="440">
        <f t="shared" ref="AP892:AU894" si="671">AP893</f>
        <v>15529</v>
      </c>
      <c r="AQ892" s="441">
        <v>15529</v>
      </c>
      <c r="AR892" s="440">
        <f>AR893</f>
        <v>15529</v>
      </c>
      <c r="AS892" s="441">
        <f t="shared" si="671"/>
        <v>300</v>
      </c>
      <c r="AT892" s="612">
        <f>AT893</f>
        <v>18000</v>
      </c>
      <c r="AU892" s="469">
        <f t="shared" si="671"/>
        <v>18000</v>
      </c>
      <c r="AV892" s="636">
        <v>20000</v>
      </c>
      <c r="AW892" s="636">
        <v>20000</v>
      </c>
      <c r="AX892" s="655">
        <f t="shared" si="638"/>
        <v>150</v>
      </c>
      <c r="AY892" s="655" t="str">
        <f t="shared" si="623"/>
        <v/>
      </c>
      <c r="AZ892" s="655">
        <f t="shared" si="639"/>
        <v>100</v>
      </c>
      <c r="BA892" s="655" t="str">
        <f t="shared" si="624"/>
        <v/>
      </c>
      <c r="BB892" s="655">
        <f t="shared" si="633"/>
        <v>111.11111111111111</v>
      </c>
      <c r="BC892" s="655">
        <f t="shared" si="633"/>
        <v>100</v>
      </c>
    </row>
    <row r="893" spans="1:55" ht="12" customHeight="1">
      <c r="A893" s="355"/>
      <c r="B893" s="355"/>
      <c r="C893" s="355"/>
      <c r="D893" s="355"/>
      <c r="E893" s="355"/>
      <c r="F893" s="355"/>
      <c r="G893" s="355"/>
      <c r="H893" s="379"/>
      <c r="I893" s="359"/>
      <c r="J893" s="356">
        <v>38</v>
      </c>
      <c r="K893" s="358" t="s">
        <v>144</v>
      </c>
      <c r="L893" s="315">
        <f t="shared" si="667"/>
        <v>108000</v>
      </c>
      <c r="M893" s="315">
        <f t="shared" si="667"/>
        <v>14334.063308779612</v>
      </c>
      <c r="N893" s="337">
        <f t="shared" si="667"/>
        <v>102641</v>
      </c>
      <c r="O893" s="337">
        <f t="shared" si="667"/>
        <v>13622.801778485633</v>
      </c>
      <c r="P893" s="292">
        <f t="shared" si="667"/>
        <v>14000</v>
      </c>
      <c r="Q893" s="292">
        <f t="shared" si="667"/>
        <v>14000</v>
      </c>
      <c r="R893" s="441">
        <f t="shared" si="667"/>
        <v>12000</v>
      </c>
      <c r="S893" s="292">
        <f t="shared" si="667"/>
        <v>15529</v>
      </c>
      <c r="T893" s="292"/>
      <c r="U893" s="292"/>
      <c r="V893" s="469">
        <f t="shared" si="667"/>
        <v>15400</v>
      </c>
      <c r="W893" s="469">
        <f t="shared" si="667"/>
        <v>15400</v>
      </c>
      <c r="X893" s="522">
        <f t="shared" si="667"/>
        <v>20000</v>
      </c>
      <c r="Y893" s="522">
        <f t="shared" si="667"/>
        <v>0</v>
      </c>
      <c r="Z893" s="541" t="b">
        <f t="shared" si="626"/>
        <v>1</v>
      </c>
      <c r="AA893" s="522"/>
      <c r="AB893" s="523">
        <f t="shared" si="667"/>
        <v>14000</v>
      </c>
      <c r="AC893" s="523">
        <f t="shared" si="667"/>
        <v>14000</v>
      </c>
      <c r="AD893" s="524">
        <f t="shared" si="668"/>
        <v>95.037962962962979</v>
      </c>
      <c r="AE893" s="524">
        <f t="shared" si="669"/>
        <v>102.76887403669099</v>
      </c>
      <c r="AF893" s="524">
        <f t="shared" si="669"/>
        <v>100</v>
      </c>
      <c r="AG893" s="524">
        <f>AB893/Q893*100</f>
        <v>100</v>
      </c>
      <c r="AH893" s="522"/>
      <c r="AI893" s="522">
        <v>20000</v>
      </c>
      <c r="AJ893" s="516">
        <f t="shared" si="670"/>
        <v>128.33333333333334</v>
      </c>
      <c r="AK893" s="516">
        <f>AT893/W893*100</f>
        <v>116.88311688311688</v>
      </c>
      <c r="AL893" s="516">
        <f>X893/AT893*100</f>
        <v>111.11111111111111</v>
      </c>
      <c r="AM893" s="292"/>
      <c r="AO893" t="b">
        <f t="shared" si="628"/>
        <v>1</v>
      </c>
      <c r="AP893" s="440">
        <f t="shared" si="671"/>
        <v>15529</v>
      </c>
      <c r="AQ893" s="441">
        <v>15529</v>
      </c>
      <c r="AR893" s="440">
        <f>AR894</f>
        <v>15529</v>
      </c>
      <c r="AS893" s="441">
        <f t="shared" si="671"/>
        <v>300</v>
      </c>
      <c r="AT893" s="612">
        <f>AT894</f>
        <v>18000</v>
      </c>
      <c r="AU893" s="469">
        <f t="shared" si="671"/>
        <v>18000</v>
      </c>
      <c r="AV893" s="636">
        <v>20000</v>
      </c>
      <c r="AW893" s="636">
        <v>20000</v>
      </c>
      <c r="AX893" s="655">
        <f t="shared" si="638"/>
        <v>150</v>
      </c>
      <c r="AY893" s="655" t="str">
        <f t="shared" si="623"/>
        <v/>
      </c>
      <c r="AZ893" s="655">
        <f t="shared" si="639"/>
        <v>100</v>
      </c>
      <c r="BA893" s="655" t="str">
        <f t="shared" si="624"/>
        <v/>
      </c>
      <c r="BB893" s="655">
        <f t="shared" si="633"/>
        <v>111.11111111111111</v>
      </c>
      <c r="BC893" s="655">
        <f t="shared" si="633"/>
        <v>100</v>
      </c>
    </row>
    <row r="894" spans="1:55" ht="12" customHeight="1">
      <c r="A894" s="56"/>
      <c r="B894" s="56"/>
      <c r="C894" s="56"/>
      <c r="D894" s="56"/>
      <c r="E894" s="56"/>
      <c r="F894" s="56"/>
      <c r="G894" s="56"/>
      <c r="H894" s="377"/>
      <c r="I894" s="157"/>
      <c r="J894" s="116">
        <v>381</v>
      </c>
      <c r="K894" s="60" t="s">
        <v>236</v>
      </c>
      <c r="L894" s="315">
        <f t="shared" si="667"/>
        <v>108000</v>
      </c>
      <c r="M894" s="315">
        <f t="shared" si="667"/>
        <v>14334.063308779612</v>
      </c>
      <c r="N894" s="337">
        <f t="shared" si="667"/>
        <v>102641</v>
      </c>
      <c r="O894" s="337">
        <f t="shared" si="667"/>
        <v>13622.801778485633</v>
      </c>
      <c r="P894" s="292">
        <f t="shared" si="667"/>
        <v>14000</v>
      </c>
      <c r="Q894" s="292">
        <f t="shared" si="667"/>
        <v>14000</v>
      </c>
      <c r="R894" s="441">
        <f t="shared" si="667"/>
        <v>12000</v>
      </c>
      <c r="S894" s="292">
        <f t="shared" si="667"/>
        <v>15529</v>
      </c>
      <c r="T894" s="292"/>
      <c r="U894" s="292"/>
      <c r="V894" s="469">
        <f t="shared" si="667"/>
        <v>15400</v>
      </c>
      <c r="W894" s="469">
        <f t="shared" si="667"/>
        <v>15400</v>
      </c>
      <c r="X894" s="522">
        <f t="shared" si="667"/>
        <v>20000</v>
      </c>
      <c r="Y894" s="522">
        <f t="shared" si="667"/>
        <v>0</v>
      </c>
      <c r="Z894" s="541" t="b">
        <f t="shared" si="626"/>
        <v>1</v>
      </c>
      <c r="AA894" s="522"/>
      <c r="AB894" s="523">
        <f t="shared" si="667"/>
        <v>14000</v>
      </c>
      <c r="AC894" s="523">
        <f t="shared" si="667"/>
        <v>14000</v>
      </c>
      <c r="AD894" s="524">
        <f t="shared" si="668"/>
        <v>95.037962962962979</v>
      </c>
      <c r="AE894" s="524">
        <f t="shared" si="669"/>
        <v>102.76887403669099</v>
      </c>
      <c r="AF894" s="524">
        <f t="shared" si="669"/>
        <v>100</v>
      </c>
      <c r="AG894" s="524">
        <f>AB894/Q894*100</f>
        <v>100</v>
      </c>
      <c r="AH894" s="522"/>
      <c r="AI894" s="522">
        <v>20000</v>
      </c>
      <c r="AJ894" s="516">
        <f t="shared" si="670"/>
        <v>128.33333333333334</v>
      </c>
      <c r="AK894" s="516">
        <f>AT894/W894*100</f>
        <v>116.88311688311688</v>
      </c>
      <c r="AL894" s="516">
        <f>X894/AT894*100</f>
        <v>111.11111111111111</v>
      </c>
      <c r="AM894" s="292"/>
      <c r="AO894" t="b">
        <f t="shared" si="628"/>
        <v>1</v>
      </c>
      <c r="AP894" s="440">
        <f t="shared" si="671"/>
        <v>15529</v>
      </c>
      <c r="AQ894" s="441">
        <v>15529</v>
      </c>
      <c r="AR894" s="440">
        <f>AR895</f>
        <v>15529</v>
      </c>
      <c r="AS894" s="441">
        <f t="shared" si="671"/>
        <v>300</v>
      </c>
      <c r="AT894" s="612">
        <f>AT895</f>
        <v>18000</v>
      </c>
      <c r="AU894" s="469">
        <f t="shared" si="671"/>
        <v>18000</v>
      </c>
      <c r="AV894" s="636">
        <v>20000</v>
      </c>
      <c r="AW894" s="636">
        <v>20000</v>
      </c>
      <c r="AX894" s="655">
        <f t="shared" si="638"/>
        <v>150</v>
      </c>
      <c r="AY894" s="655" t="str">
        <f t="shared" si="623"/>
        <v/>
      </c>
      <c r="AZ894" s="655">
        <f t="shared" si="639"/>
        <v>100</v>
      </c>
      <c r="BA894" s="655" t="str">
        <f t="shared" si="624"/>
        <v/>
      </c>
      <c r="BB894" s="655">
        <f t="shared" si="633"/>
        <v>111.11111111111111</v>
      </c>
      <c r="BC894" s="655">
        <f t="shared" si="633"/>
        <v>100</v>
      </c>
    </row>
    <row r="895" spans="1:55" ht="12" customHeight="1">
      <c r="A895" s="36"/>
      <c r="B895" s="36"/>
      <c r="C895" s="36"/>
      <c r="D895" s="36"/>
      <c r="E895" s="36"/>
      <c r="F895" s="36"/>
      <c r="G895" s="36"/>
      <c r="H895" s="204"/>
      <c r="I895" s="132"/>
      <c r="J895" s="71">
        <v>3811</v>
      </c>
      <c r="K895" s="40" t="s">
        <v>145</v>
      </c>
      <c r="L895" s="315">
        <v>108000</v>
      </c>
      <c r="M895" s="315">
        <f>108000/7.5345</f>
        <v>14334.063308779612</v>
      </c>
      <c r="N895" s="337">
        <v>102641</v>
      </c>
      <c r="O895" s="337">
        <f>N895/7.5345</f>
        <v>13622.801778485633</v>
      </c>
      <c r="P895" s="292">
        <v>14000</v>
      </c>
      <c r="Q895" s="292">
        <v>14000</v>
      </c>
      <c r="R895" s="441">
        <f>SUM(R896:R903)</f>
        <v>12000</v>
      </c>
      <c r="S895" s="292">
        <f>SUM(S896:S903)</f>
        <v>15529</v>
      </c>
      <c r="T895" s="292"/>
      <c r="U895" s="292"/>
      <c r="V895" s="469">
        <f>SUM(V896:V903)</f>
        <v>15400</v>
      </c>
      <c r="W895" s="469">
        <f>SUM(W896:W903)</f>
        <v>15400</v>
      </c>
      <c r="X895" s="522">
        <f>SUM(X896:X903)</f>
        <v>20000</v>
      </c>
      <c r="Y895" s="522">
        <f>SUM(Y896:Y903)</f>
        <v>0</v>
      </c>
      <c r="Z895" s="541" t="b">
        <f t="shared" si="626"/>
        <v>1</v>
      </c>
      <c r="AA895" s="522"/>
      <c r="AB895" s="523">
        <v>14000</v>
      </c>
      <c r="AC895" s="523">
        <v>14000</v>
      </c>
      <c r="AD895" s="524">
        <f t="shared" si="668"/>
        <v>95.037962962962979</v>
      </c>
      <c r="AE895" s="524">
        <f t="shared" si="669"/>
        <v>102.76887403669099</v>
      </c>
      <c r="AF895" s="524">
        <f t="shared" si="669"/>
        <v>100</v>
      </c>
      <c r="AG895" s="524">
        <f>AB895/Q895*100</f>
        <v>100</v>
      </c>
      <c r="AH895" s="522"/>
      <c r="AI895" s="522">
        <v>20000</v>
      </c>
      <c r="AJ895" s="516">
        <f t="shared" si="670"/>
        <v>128.33333333333334</v>
      </c>
      <c r="AK895" s="516">
        <f>AT895/W895*100</f>
        <v>116.88311688311688</v>
      </c>
      <c r="AL895" s="516">
        <f>X895/AT895*100</f>
        <v>111.11111111111111</v>
      </c>
      <c r="AM895" s="292"/>
      <c r="AO895" t="b">
        <f t="shared" si="628"/>
        <v>1</v>
      </c>
      <c r="AP895" s="440">
        <f>SUM(AP896:AP903)</f>
        <v>15529</v>
      </c>
      <c r="AQ895" s="441">
        <v>15529</v>
      </c>
      <c r="AR895" s="440">
        <f>SUM(AR896:AR903)</f>
        <v>15529</v>
      </c>
      <c r="AS895" s="441">
        <f>SUM(AS896:AS903)</f>
        <v>300</v>
      </c>
      <c r="AT895" s="612">
        <f>SUM(AT896:AT903)</f>
        <v>18000</v>
      </c>
      <c r="AU895" s="469">
        <f>SUM(AU896:AU903)</f>
        <v>18000</v>
      </c>
      <c r="AV895" s="636">
        <v>20000</v>
      </c>
      <c r="AW895" s="636">
        <v>20000</v>
      </c>
      <c r="AX895" s="655">
        <f t="shared" si="638"/>
        <v>150</v>
      </c>
      <c r="AY895" s="655" t="str">
        <f t="shared" ref="AY895:AY958" si="672">IF(AND(ISNUMBER(AT895), ISNUMBER(AQ900), AQ900&lt;&gt;0), (AT895/AQ900)*100, "")</f>
        <v/>
      </c>
      <c r="AZ895" s="655">
        <f t="shared" si="639"/>
        <v>100</v>
      </c>
      <c r="BA895" s="655" t="str">
        <f t="shared" ref="BA895:BA958" si="673">IF(AND(ISNUMBER(AU895), ISNUMBER(AQ900), AQ900&lt;&gt;0), (AU895/AQ900)*100, "")</f>
        <v/>
      </c>
      <c r="BB895" s="655">
        <f t="shared" si="633"/>
        <v>111.11111111111111</v>
      </c>
      <c r="BC895" s="655">
        <f t="shared" si="633"/>
        <v>100</v>
      </c>
    </row>
    <row r="896" spans="1:55" ht="12" customHeight="1">
      <c r="A896" s="36"/>
      <c r="B896" s="36"/>
      <c r="C896" s="36"/>
      <c r="D896" s="36"/>
      <c r="E896" s="36"/>
      <c r="F896" s="36"/>
      <c r="G896" s="36"/>
      <c r="H896" s="204">
        <v>142</v>
      </c>
      <c r="I896" s="132">
        <v>860</v>
      </c>
      <c r="J896" s="71">
        <v>3811</v>
      </c>
      <c r="K896" s="40" t="s">
        <v>540</v>
      </c>
      <c r="L896" s="309">
        <v>8000</v>
      </c>
      <c r="M896" s="309">
        <f>8000/7.5345</f>
        <v>1061.7824673170085</v>
      </c>
      <c r="N896" s="339"/>
      <c r="O896" s="339"/>
      <c r="P896" s="294"/>
      <c r="Q896" s="294"/>
      <c r="R896" s="443">
        <v>2200</v>
      </c>
      <c r="S896" s="294">
        <f>__xlfn.XLOOKUP(H896,[2]Izvršenje_proračuna_po_pozicija!$B$2:$B$153,[2]Izvršenje_proračuna_po_pozicija!$E$2:$E$153,0)</f>
        <v>0</v>
      </c>
      <c r="T896" s="294"/>
      <c r="U896" s="294"/>
      <c r="V896" s="478"/>
      <c r="W896" s="478"/>
      <c r="X896" s="544"/>
      <c r="Y896" s="544"/>
      <c r="Z896" s="541" t="b">
        <f t="shared" ref="Z896:Z959" si="674">__xlfn.ISFORMULA(R896)</f>
        <v>0</v>
      </c>
      <c r="AA896" s="527"/>
      <c r="AB896" s="528"/>
      <c r="AC896" s="528"/>
      <c r="AD896" s="524">
        <f t="shared" si="668"/>
        <v>0</v>
      </c>
      <c r="AE896" s="524"/>
      <c r="AF896" s="524"/>
      <c r="AG896" s="524"/>
      <c r="AH896" s="527"/>
      <c r="AI896" s="544"/>
      <c r="AJ896" s="516">
        <f t="shared" si="670"/>
        <v>0</v>
      </c>
      <c r="AK896" s="516"/>
      <c r="AL896" s="516"/>
      <c r="AM896" s="294"/>
      <c r="AO896" t="b">
        <f t="shared" ref="AO896:AO959" si="675">__xlfn.ISFORMULA(AT896)</f>
        <v>0</v>
      </c>
      <c r="AQ896" s="443"/>
      <c r="AS896" s="443">
        <f>__xlfn.XLOOKUP(K896,[1]Izvršenje_proračuna_po_pozicija!$C$25:$C$149,[1]Izvršenje_proračuna_po_pozicija!$E$25:$E$149,0)</f>
        <v>0</v>
      </c>
      <c r="AT896" s="617"/>
      <c r="AU896" s="478"/>
      <c r="AV896" s="638"/>
      <c r="AW896" s="638"/>
      <c r="AX896" s="655" t="str">
        <f t="shared" si="638"/>
        <v/>
      </c>
      <c r="AY896" s="655" t="str">
        <f t="shared" si="672"/>
        <v/>
      </c>
      <c r="AZ896" s="655" t="str">
        <f t="shared" si="639"/>
        <v/>
      </c>
      <c r="BA896" s="655" t="str">
        <f t="shared" si="673"/>
        <v/>
      </c>
      <c r="BB896" s="655" t="str">
        <f t="shared" si="633"/>
        <v/>
      </c>
      <c r="BC896" s="655" t="str">
        <f t="shared" si="633"/>
        <v/>
      </c>
    </row>
    <row r="897" spans="1:55" ht="12" customHeight="1">
      <c r="A897" s="36"/>
      <c r="B897" s="36"/>
      <c r="C897" s="36"/>
      <c r="D897" s="36"/>
      <c r="E897" s="36"/>
      <c r="F897" s="36"/>
      <c r="G897" s="36"/>
      <c r="H897" s="204" t="s">
        <v>377</v>
      </c>
      <c r="I897" s="132">
        <v>860</v>
      </c>
      <c r="J897" s="71">
        <v>3811</v>
      </c>
      <c r="K897" s="40" t="s">
        <v>378</v>
      </c>
      <c r="L897" s="309">
        <v>10000</v>
      </c>
      <c r="M897" s="309">
        <f>10000/7.5345</f>
        <v>1327.2280841462605</v>
      </c>
      <c r="N897" s="339"/>
      <c r="O897" s="339"/>
      <c r="P897" s="294"/>
      <c r="Q897" s="294"/>
      <c r="R897" s="443">
        <v>800</v>
      </c>
      <c r="S897" s="294">
        <f>__xlfn.XLOOKUP(H897,[2]Izvršenje_proračuna_po_pozicija!$B$2:$B$153,[2]Izvršenje_proračuna_po_pozicija!$E$2:$E$153,0)</f>
        <v>0</v>
      </c>
      <c r="T897" s="294"/>
      <c r="U897" s="294"/>
      <c r="V897" s="478"/>
      <c r="W897" s="478"/>
      <c r="X897" s="544"/>
      <c r="Y897" s="544"/>
      <c r="Z897" s="541" t="b">
        <f t="shared" si="674"/>
        <v>0</v>
      </c>
      <c r="AA897" s="527"/>
      <c r="AB897" s="528"/>
      <c r="AC897" s="528"/>
      <c r="AD897" s="524">
        <f t="shared" si="668"/>
        <v>0</v>
      </c>
      <c r="AE897" s="524"/>
      <c r="AF897" s="524"/>
      <c r="AG897" s="524"/>
      <c r="AH897" s="527"/>
      <c r="AI897" s="544"/>
      <c r="AJ897" s="516">
        <f t="shared" si="670"/>
        <v>0</v>
      </c>
      <c r="AK897" s="516"/>
      <c r="AL897" s="516"/>
      <c r="AM897" s="294"/>
      <c r="AO897" t="b">
        <f t="shared" si="675"/>
        <v>0</v>
      </c>
      <c r="AQ897" s="443"/>
      <c r="AS897" s="443">
        <f>__xlfn.XLOOKUP(K897,[1]Izvršenje_proračuna_po_pozicija!$C$25:$C$149,[1]Izvršenje_proračuna_po_pozicija!$E$25:$E$149,0)</f>
        <v>0</v>
      </c>
      <c r="AT897" s="617"/>
      <c r="AU897" s="478"/>
      <c r="AV897" s="638"/>
      <c r="AW897" s="638"/>
      <c r="AX897" s="655" t="str">
        <f t="shared" si="638"/>
        <v/>
      </c>
      <c r="AY897" s="655" t="str">
        <f t="shared" si="672"/>
        <v/>
      </c>
      <c r="AZ897" s="655" t="str">
        <f t="shared" si="639"/>
        <v/>
      </c>
      <c r="BA897" s="655" t="str">
        <f t="shared" si="673"/>
        <v/>
      </c>
      <c r="BB897" s="655" t="str">
        <f t="shared" si="633"/>
        <v/>
      </c>
      <c r="BC897" s="655" t="str">
        <f t="shared" si="633"/>
        <v/>
      </c>
    </row>
    <row r="898" spans="1:55" s="198" customFormat="1" ht="12" customHeight="1">
      <c r="A898" s="36"/>
      <c r="B898" s="36"/>
      <c r="C898" s="36"/>
      <c r="D898" s="36"/>
      <c r="E898" s="36"/>
      <c r="F898" s="36"/>
      <c r="G898" s="36"/>
      <c r="H898" s="204" t="s">
        <v>379</v>
      </c>
      <c r="I898" s="132">
        <v>860</v>
      </c>
      <c r="J898" s="71">
        <v>3811</v>
      </c>
      <c r="K898" s="40" t="s">
        <v>466</v>
      </c>
      <c r="L898" s="309">
        <v>17000</v>
      </c>
      <c r="M898" s="309">
        <f>17000/7.5345</f>
        <v>2256.2877430486428</v>
      </c>
      <c r="N898" s="339"/>
      <c r="O898" s="339"/>
      <c r="P898" s="294"/>
      <c r="Q898" s="294"/>
      <c r="R898" s="443">
        <v>3200</v>
      </c>
      <c r="S898" s="294">
        <f>__xlfn.XLOOKUP(H898,[2]Izvršenje_proračuna_po_pozicija!$B$2:$B$153,[2]Izvršenje_proračuna_po_pozicija!$E$2:$E$153,0)</f>
        <v>0</v>
      </c>
      <c r="T898" s="294"/>
      <c r="U898" s="294"/>
      <c r="V898" s="478"/>
      <c r="W898" s="478"/>
      <c r="X898" s="544"/>
      <c r="Y898" s="544"/>
      <c r="Z898" s="541" t="b">
        <f t="shared" si="674"/>
        <v>0</v>
      </c>
      <c r="AA898" s="527"/>
      <c r="AB898" s="528"/>
      <c r="AC898" s="528"/>
      <c r="AD898" s="524">
        <f t="shared" si="668"/>
        <v>0</v>
      </c>
      <c r="AE898" s="524"/>
      <c r="AF898" s="524"/>
      <c r="AG898" s="524"/>
      <c r="AH898" s="527"/>
      <c r="AI898" s="544"/>
      <c r="AJ898" s="516">
        <f t="shared" si="670"/>
        <v>0</v>
      </c>
      <c r="AK898" s="516"/>
      <c r="AL898" s="516"/>
      <c r="AM898" s="294"/>
      <c r="AO898" t="b">
        <f t="shared" si="675"/>
        <v>0</v>
      </c>
      <c r="AQ898" s="443"/>
      <c r="AS898" s="443">
        <f>__xlfn.XLOOKUP(K898,[1]Izvršenje_proračuna_po_pozicija!$C$25:$C$149,[1]Izvršenje_proračuna_po_pozicija!$E$25:$E$149,0)</f>
        <v>0</v>
      </c>
      <c r="AT898" s="617"/>
      <c r="AU898" s="478"/>
      <c r="AV898" s="638"/>
      <c r="AW898" s="638"/>
      <c r="AX898" s="655" t="str">
        <f t="shared" si="638"/>
        <v/>
      </c>
      <c r="AY898" s="655" t="str">
        <f t="shared" si="672"/>
        <v/>
      </c>
      <c r="AZ898" s="655" t="str">
        <f t="shared" si="639"/>
        <v/>
      </c>
      <c r="BA898" s="655" t="str">
        <f t="shared" si="673"/>
        <v/>
      </c>
      <c r="BB898" s="655" t="str">
        <f t="shared" si="633"/>
        <v/>
      </c>
      <c r="BC898" s="655" t="str">
        <f t="shared" si="633"/>
        <v/>
      </c>
    </row>
    <row r="899" spans="1:55" s="198" customFormat="1" ht="12" customHeight="1">
      <c r="A899" s="66"/>
      <c r="B899" s="66"/>
      <c r="C899" s="66"/>
      <c r="D899" s="66"/>
      <c r="E899" s="66"/>
      <c r="F899" s="66"/>
      <c r="G899" s="66"/>
      <c r="H899" s="204" t="s">
        <v>587</v>
      </c>
      <c r="I899" s="132">
        <v>860</v>
      </c>
      <c r="J899" s="40">
        <v>3811</v>
      </c>
      <c r="K899" s="71" t="s">
        <v>510</v>
      </c>
      <c r="L899" s="309">
        <v>25000</v>
      </c>
      <c r="M899" s="309">
        <f>25000/7.5345</f>
        <v>3318.0702103656513</v>
      </c>
      <c r="N899" s="339"/>
      <c r="O899" s="339"/>
      <c r="P899" s="294"/>
      <c r="Q899" s="294"/>
      <c r="R899" s="443">
        <v>3000</v>
      </c>
      <c r="S899" s="294">
        <f>__xlfn.XLOOKUP(H899,[2]Izvršenje_proračuna_po_pozicija!$B$2:$B$153,[2]Izvršenje_proračuna_po_pozicija!$E$2:$E$153,0)</f>
        <v>0</v>
      </c>
      <c r="T899" s="294"/>
      <c r="U899" s="294"/>
      <c r="V899" s="478"/>
      <c r="W899" s="478"/>
      <c r="X899" s="544"/>
      <c r="Y899" s="544"/>
      <c r="Z899" s="541" t="b">
        <f t="shared" si="674"/>
        <v>0</v>
      </c>
      <c r="AA899" s="527"/>
      <c r="AB899" s="528"/>
      <c r="AC899" s="528"/>
      <c r="AD899" s="524">
        <f t="shared" si="668"/>
        <v>0</v>
      </c>
      <c r="AE899" s="524"/>
      <c r="AF899" s="524"/>
      <c r="AG899" s="524"/>
      <c r="AH899" s="527"/>
      <c r="AI899" s="544"/>
      <c r="AJ899" s="516">
        <f t="shared" si="670"/>
        <v>0</v>
      </c>
      <c r="AK899" s="516"/>
      <c r="AL899" s="516"/>
      <c r="AM899" s="294"/>
      <c r="AO899" t="b">
        <f t="shared" si="675"/>
        <v>0</v>
      </c>
      <c r="AQ899" s="443"/>
      <c r="AS899" s="443">
        <f>__xlfn.XLOOKUP(K899,[1]Izvršenje_proračuna_po_pozicija!$C$25:$C$149,[1]Izvršenje_proračuna_po_pozicija!$E$25:$E$149,0)</f>
        <v>0</v>
      </c>
      <c r="AT899" s="617"/>
      <c r="AU899" s="478"/>
      <c r="AV899" s="638"/>
      <c r="AW899" s="638"/>
      <c r="AX899" s="655" t="str">
        <f t="shared" si="638"/>
        <v/>
      </c>
      <c r="AY899" s="655" t="str">
        <f t="shared" si="672"/>
        <v/>
      </c>
      <c r="AZ899" s="655" t="str">
        <f t="shared" si="639"/>
        <v/>
      </c>
      <c r="BA899" s="655" t="str">
        <f t="shared" si="673"/>
        <v/>
      </c>
      <c r="BB899" s="655" t="str">
        <f t="shared" si="633"/>
        <v/>
      </c>
      <c r="BC899" s="655" t="str">
        <f t="shared" si="633"/>
        <v/>
      </c>
    </row>
    <row r="900" spans="1:55" s="198" customFormat="1" ht="12" customHeight="1">
      <c r="A900" s="66"/>
      <c r="B900" s="66"/>
      <c r="C900" s="66"/>
      <c r="D900" s="66"/>
      <c r="E900" s="66"/>
      <c r="F900" s="66"/>
      <c r="G900" s="66"/>
      <c r="H900" s="204" t="s">
        <v>543</v>
      </c>
      <c r="I900" s="132">
        <v>860</v>
      </c>
      <c r="J900" s="40">
        <v>3811</v>
      </c>
      <c r="K900" s="208" t="s">
        <v>541</v>
      </c>
      <c r="L900" s="309"/>
      <c r="M900" s="309"/>
      <c r="N900" s="339"/>
      <c r="O900" s="339"/>
      <c r="P900" s="294"/>
      <c r="Q900" s="294"/>
      <c r="R900" s="443"/>
      <c r="S900" s="294">
        <f>__xlfn.XLOOKUP(H900,[2]Izvršenje_proračuna_po_pozicija!$B$2:$B$153,[2]Izvršenje_proračuna_po_pozicija!$E$2:$E$153,0)</f>
        <v>0</v>
      </c>
      <c r="T900" s="294"/>
      <c r="U900" s="294"/>
      <c r="V900" s="478"/>
      <c r="W900" s="478"/>
      <c r="X900" s="544"/>
      <c r="Y900" s="544"/>
      <c r="Z900" s="541" t="b">
        <f t="shared" si="674"/>
        <v>0</v>
      </c>
      <c r="AA900" s="527"/>
      <c r="AB900" s="528"/>
      <c r="AC900" s="528"/>
      <c r="AD900" s="524"/>
      <c r="AE900" s="524"/>
      <c r="AF900" s="524"/>
      <c r="AG900" s="524"/>
      <c r="AH900" s="527"/>
      <c r="AI900" s="544"/>
      <c r="AJ900" s="516"/>
      <c r="AK900" s="516"/>
      <c r="AL900" s="516"/>
      <c r="AM900" s="294"/>
      <c r="AO900" t="b">
        <f t="shared" si="675"/>
        <v>0</v>
      </c>
      <c r="AQ900" s="443"/>
      <c r="AS900" s="443">
        <f>__xlfn.XLOOKUP(K900,[1]Izvršenje_proračuna_po_pozicija!$C$25:$C$149,[1]Izvršenje_proračuna_po_pozicija!$E$25:$E$149,0)</f>
        <v>0</v>
      </c>
      <c r="AT900" s="617"/>
      <c r="AU900" s="478"/>
      <c r="AV900" s="638"/>
      <c r="AW900" s="638"/>
      <c r="AX900" s="655" t="str">
        <f t="shared" si="638"/>
        <v/>
      </c>
      <c r="AY900" s="655" t="str">
        <f t="shared" si="672"/>
        <v/>
      </c>
      <c r="AZ900" s="655" t="str">
        <f t="shared" si="639"/>
        <v/>
      </c>
      <c r="BA900" s="655" t="str">
        <f t="shared" si="673"/>
        <v/>
      </c>
      <c r="BB900" s="655" t="str">
        <f t="shared" si="633"/>
        <v/>
      </c>
      <c r="BC900" s="655" t="str">
        <f t="shared" si="633"/>
        <v/>
      </c>
    </row>
    <row r="901" spans="1:55" s="198" customFormat="1" ht="12" customHeight="1">
      <c r="A901" s="66"/>
      <c r="B901" s="66"/>
      <c r="C901" s="66"/>
      <c r="D901" s="66"/>
      <c r="E901" s="66"/>
      <c r="F901" s="66"/>
      <c r="G901" s="66"/>
      <c r="H901" s="204" t="s">
        <v>544</v>
      </c>
      <c r="I901" s="132">
        <v>860</v>
      </c>
      <c r="J901" s="40">
        <v>3811</v>
      </c>
      <c r="K901" s="71" t="s">
        <v>542</v>
      </c>
      <c r="L901" s="309">
        <v>8000</v>
      </c>
      <c r="M901" s="309">
        <f>8000/7.5345</f>
        <v>1061.7824673170085</v>
      </c>
      <c r="N901" s="339"/>
      <c r="O901" s="339"/>
      <c r="P901" s="294"/>
      <c r="Q901" s="294"/>
      <c r="R901" s="443">
        <v>1600</v>
      </c>
      <c r="S901" s="294">
        <f>__xlfn.XLOOKUP(H901,[2]Izvršenje_proračuna_po_pozicija!$B$2:$B$153,[2]Izvršenje_proračuna_po_pozicija!$E$2:$E$153,0)</f>
        <v>0</v>
      </c>
      <c r="T901" s="294"/>
      <c r="U901" s="294"/>
      <c r="V901" s="478"/>
      <c r="W901" s="478"/>
      <c r="X901" s="544"/>
      <c r="Y901" s="544"/>
      <c r="Z901" s="541" t="b">
        <f t="shared" si="674"/>
        <v>0</v>
      </c>
      <c r="AA901" s="527"/>
      <c r="AB901" s="528"/>
      <c r="AC901" s="528"/>
      <c r="AD901" s="524">
        <f>O901/M901*100</f>
        <v>0</v>
      </c>
      <c r="AE901" s="524"/>
      <c r="AF901" s="524"/>
      <c r="AG901" s="524"/>
      <c r="AH901" s="527"/>
      <c r="AI901" s="544"/>
      <c r="AJ901" s="516">
        <f>W901/R901*100</f>
        <v>0</v>
      </c>
      <c r="AK901" s="516"/>
      <c r="AL901" s="516"/>
      <c r="AM901" s="294"/>
      <c r="AO901" t="b">
        <f t="shared" si="675"/>
        <v>0</v>
      </c>
      <c r="AQ901" s="443"/>
      <c r="AS901" s="443">
        <f>__xlfn.XLOOKUP(K901,[1]Izvršenje_proračuna_po_pozicija!$C$25:$C$149,[1]Izvršenje_proračuna_po_pozicija!$E$25:$E$149,0)</f>
        <v>0</v>
      </c>
      <c r="AT901" s="617"/>
      <c r="AU901" s="478"/>
      <c r="AV901" s="638"/>
      <c r="AW901" s="638"/>
      <c r="AX901" s="655" t="str">
        <f t="shared" si="638"/>
        <v/>
      </c>
      <c r="AY901" s="655" t="str">
        <f t="shared" si="672"/>
        <v/>
      </c>
      <c r="AZ901" s="655" t="str">
        <f t="shared" si="639"/>
        <v/>
      </c>
      <c r="BA901" s="655" t="str">
        <f t="shared" si="673"/>
        <v/>
      </c>
      <c r="BB901" s="655" t="str">
        <f t="shared" si="633"/>
        <v/>
      </c>
      <c r="BC901" s="655" t="str">
        <f t="shared" si="633"/>
        <v/>
      </c>
    </row>
    <row r="902" spans="1:55" s="198" customFormat="1" ht="12" customHeight="1">
      <c r="A902" s="66"/>
      <c r="B902" s="66"/>
      <c r="C902" s="66"/>
      <c r="D902" s="66"/>
      <c r="E902" s="66"/>
      <c r="F902" s="66"/>
      <c r="G902" s="66"/>
      <c r="H902" s="204" t="s">
        <v>592</v>
      </c>
      <c r="I902" s="132">
        <v>860</v>
      </c>
      <c r="J902" s="40">
        <v>3811</v>
      </c>
      <c r="K902" s="208" t="s">
        <v>593</v>
      </c>
      <c r="L902" s="309"/>
      <c r="M902" s="309"/>
      <c r="N902" s="339"/>
      <c r="O902" s="339"/>
      <c r="P902" s="294"/>
      <c r="Q902" s="294"/>
      <c r="R902" s="443"/>
      <c r="S902" s="294">
        <f>__xlfn.XLOOKUP(H902,[2]Izvršenje_proračuna_po_pozicija!$B$2:$B$153,[2]Izvršenje_proračuna_po_pozicija!$E$2:$E$153,0)</f>
        <v>0</v>
      </c>
      <c r="T902" s="294"/>
      <c r="U902" s="294"/>
      <c r="V902" s="478"/>
      <c r="W902" s="478"/>
      <c r="X902" s="544"/>
      <c r="Y902" s="544"/>
      <c r="Z902" s="541" t="b">
        <f t="shared" si="674"/>
        <v>0</v>
      </c>
      <c r="AA902" s="527"/>
      <c r="AB902" s="528"/>
      <c r="AC902" s="528"/>
      <c r="AD902" s="524"/>
      <c r="AE902" s="524"/>
      <c r="AF902" s="524"/>
      <c r="AG902" s="524"/>
      <c r="AH902" s="527"/>
      <c r="AI902" s="544"/>
      <c r="AJ902" s="516"/>
      <c r="AK902" s="516"/>
      <c r="AL902" s="516"/>
      <c r="AM902" s="294"/>
      <c r="AO902" t="b">
        <f t="shared" si="675"/>
        <v>0</v>
      </c>
      <c r="AQ902" s="443"/>
      <c r="AS902" s="443">
        <f>__xlfn.XLOOKUP(K902,[1]Izvršenje_proračuna_po_pozicija!$C$25:$C$149,[1]Izvršenje_proračuna_po_pozicija!$E$25:$E$149,0)</f>
        <v>0</v>
      </c>
      <c r="AT902" s="617"/>
      <c r="AU902" s="478"/>
      <c r="AV902" s="638"/>
      <c r="AW902" s="638"/>
      <c r="AX902" s="655" t="str">
        <f t="shared" si="638"/>
        <v/>
      </c>
      <c r="AY902" s="655" t="str">
        <f t="shared" si="672"/>
        <v/>
      </c>
      <c r="AZ902" s="655" t="str">
        <f t="shared" si="639"/>
        <v/>
      </c>
      <c r="BA902" s="655" t="str">
        <f t="shared" si="673"/>
        <v/>
      </c>
      <c r="BB902" s="655" t="str">
        <f t="shared" ref="BB902:BC965" si="676">IF(AND(ISNUMBER(AV902), ISNUMBER(AU902), AU902&lt;&gt;0), (AV902/AU902)*100, "")</f>
        <v/>
      </c>
      <c r="BC902" s="655" t="str">
        <f t="shared" si="676"/>
        <v/>
      </c>
    </row>
    <row r="903" spans="1:55" s="198" customFormat="1" ht="12" customHeight="1">
      <c r="A903" s="66"/>
      <c r="B903" s="66"/>
      <c r="C903" s="66"/>
      <c r="D903" s="66"/>
      <c r="E903" s="66"/>
      <c r="F903" s="66"/>
      <c r="G903" s="66"/>
      <c r="H903" s="204" t="s">
        <v>868</v>
      </c>
      <c r="I903" s="132">
        <v>860</v>
      </c>
      <c r="J903" s="40">
        <v>3811</v>
      </c>
      <c r="K903" s="208" t="s">
        <v>591</v>
      </c>
      <c r="L903" s="309">
        <v>32000</v>
      </c>
      <c r="M903" s="309">
        <f>32000/7.5345</f>
        <v>4247.1298692680339</v>
      </c>
      <c r="N903" s="339"/>
      <c r="O903" s="339"/>
      <c r="P903" s="294"/>
      <c r="Q903" s="294"/>
      <c r="R903" s="443">
        <v>1200</v>
      </c>
      <c r="S903" s="294">
        <f>__xlfn.XLOOKUP(H903,[2]Izvršenje_proračuna_po_pozicija!$B$2:$B$153,[2]Izvršenje_proračuna_po_pozicija!$E$2:$E$153,0)</f>
        <v>15529</v>
      </c>
      <c r="T903" s="294"/>
      <c r="U903" s="294"/>
      <c r="V903" s="478">
        <v>15400</v>
      </c>
      <c r="W903" s="478">
        <v>15400</v>
      </c>
      <c r="X903" s="544">
        <v>20000</v>
      </c>
      <c r="Y903" s="544"/>
      <c r="Z903" s="541" t="b">
        <f t="shared" si="674"/>
        <v>0</v>
      </c>
      <c r="AA903" s="527"/>
      <c r="AB903" s="528"/>
      <c r="AC903" s="528"/>
      <c r="AD903" s="524">
        <f>O903/M903*100</f>
        <v>0</v>
      </c>
      <c r="AE903" s="524"/>
      <c r="AF903" s="524"/>
      <c r="AG903" s="524"/>
      <c r="AH903" s="527"/>
      <c r="AI903" s="544">
        <v>20000</v>
      </c>
      <c r="AJ903" s="516">
        <f>W903/R903*100</f>
        <v>1283.3333333333335</v>
      </c>
      <c r="AK903" s="516">
        <f>AT903/W903*100</f>
        <v>116.88311688311688</v>
      </c>
      <c r="AL903" s="516">
        <f>X903/AT903*100</f>
        <v>111.11111111111111</v>
      </c>
      <c r="AM903" s="294"/>
      <c r="AO903" t="b">
        <f t="shared" si="675"/>
        <v>0</v>
      </c>
      <c r="AP903" s="493">
        <v>15529</v>
      </c>
      <c r="AQ903" s="443">
        <v>15529</v>
      </c>
      <c r="AR903" s="493">
        <v>15529</v>
      </c>
      <c r="AS903" s="443">
        <v>300</v>
      </c>
      <c r="AT903" s="617">
        <v>18000</v>
      </c>
      <c r="AU903" s="478">
        <v>18000</v>
      </c>
      <c r="AV903" s="638">
        <v>20000</v>
      </c>
      <c r="AW903" s="638">
        <v>20000</v>
      </c>
      <c r="AX903" s="655">
        <f t="shared" si="638"/>
        <v>1500</v>
      </c>
      <c r="AY903" s="655">
        <f t="shared" si="672"/>
        <v>252.94469785755842</v>
      </c>
      <c r="AZ903" s="655">
        <f t="shared" si="639"/>
        <v>100</v>
      </c>
      <c r="BA903" s="655">
        <f t="shared" si="673"/>
        <v>252.94469785755842</v>
      </c>
      <c r="BB903" s="655">
        <f t="shared" si="676"/>
        <v>111.11111111111111</v>
      </c>
      <c r="BC903" s="655">
        <f t="shared" si="676"/>
        <v>100</v>
      </c>
    </row>
    <row r="904" spans="1:55" ht="12" customHeight="1">
      <c r="A904" s="66"/>
      <c r="B904" s="66"/>
      <c r="C904" s="66"/>
      <c r="D904" s="66"/>
      <c r="E904" s="66"/>
      <c r="F904" s="66"/>
      <c r="G904" s="66"/>
      <c r="H904" s="204"/>
      <c r="I904" s="132"/>
      <c r="J904" s="40"/>
      <c r="K904" s="208"/>
      <c r="L904" s="309"/>
      <c r="M904" s="309"/>
      <c r="N904" s="339"/>
      <c r="O904" s="339"/>
      <c r="P904" s="294"/>
      <c r="Q904" s="294"/>
      <c r="R904" s="443"/>
      <c r="S904" s="294">
        <f>__xlfn.XLOOKUP(H904,[2]Izvršenje_proračuna_po_pozicija!$B$2:$B$153,[2]Izvršenje_proračuna_po_pozicija!$E$2:$E$153,0)</f>
        <v>0</v>
      </c>
      <c r="T904" s="294"/>
      <c r="U904" s="294"/>
      <c r="V904" s="478"/>
      <c r="W904" s="478"/>
      <c r="X904" s="544"/>
      <c r="Y904" s="544"/>
      <c r="Z904" s="541" t="b">
        <f t="shared" si="674"/>
        <v>0</v>
      </c>
      <c r="AA904" s="527"/>
      <c r="AB904" s="528"/>
      <c r="AC904" s="528"/>
      <c r="AD904" s="524"/>
      <c r="AE904" s="524"/>
      <c r="AF904" s="524"/>
      <c r="AG904" s="524"/>
      <c r="AH904" s="527"/>
      <c r="AI904" s="544"/>
      <c r="AJ904" s="516"/>
      <c r="AK904" s="516"/>
      <c r="AL904" s="516"/>
      <c r="AM904" s="294"/>
      <c r="AO904" t="b">
        <f t="shared" si="675"/>
        <v>0</v>
      </c>
      <c r="AQ904" s="443"/>
      <c r="AS904" s="443">
        <f>__xlfn.XLOOKUP(K904,[1]Izvršenje_proračuna_po_pozicija!$C$25:$C$149,[1]Izvršenje_proračuna_po_pozicija!$E$25:$E$149,0)</f>
        <v>0</v>
      </c>
      <c r="AT904" s="617"/>
      <c r="AU904" s="478"/>
      <c r="AV904" s="638"/>
      <c r="AW904" s="638"/>
      <c r="AX904" s="655" t="str">
        <f t="shared" si="638"/>
        <v/>
      </c>
      <c r="AY904" s="655" t="str">
        <f t="shared" si="672"/>
        <v/>
      </c>
      <c r="AZ904" s="655" t="str">
        <f t="shared" si="639"/>
        <v/>
      </c>
      <c r="BA904" s="655" t="str">
        <f t="shared" si="673"/>
        <v/>
      </c>
      <c r="BB904" s="655" t="str">
        <f t="shared" si="676"/>
        <v/>
      </c>
      <c r="BC904" s="655" t="str">
        <f t="shared" si="676"/>
        <v/>
      </c>
    </row>
    <row r="905" spans="1:55" ht="12" customHeight="1">
      <c r="A905" s="142"/>
      <c r="B905" s="142"/>
      <c r="C905" s="142"/>
      <c r="D905" s="142"/>
      <c r="E905" s="142"/>
      <c r="F905" s="142"/>
      <c r="G905" s="142"/>
      <c r="H905" s="390"/>
      <c r="I905" s="173" t="s">
        <v>497</v>
      </c>
      <c r="J905" s="174"/>
      <c r="K905" s="107"/>
      <c r="L905" s="315">
        <f t="shared" ref="L905:S905" si="677">L906+L922</f>
        <v>15225</v>
      </c>
      <c r="M905" s="315">
        <f t="shared" si="677"/>
        <v>2020.7047581126815</v>
      </c>
      <c r="N905" s="337">
        <f t="shared" si="677"/>
        <v>13588</v>
      </c>
      <c r="O905" s="337">
        <f t="shared" si="677"/>
        <v>1803.4375207379387</v>
      </c>
      <c r="P905" s="292">
        <f t="shared" si="677"/>
        <v>11300</v>
      </c>
      <c r="Q905" s="292">
        <f t="shared" si="677"/>
        <v>11300</v>
      </c>
      <c r="R905" s="441">
        <f t="shared" si="677"/>
        <v>3504</v>
      </c>
      <c r="S905" s="292">
        <f t="shared" si="677"/>
        <v>0</v>
      </c>
      <c r="T905" s="292"/>
      <c r="U905" s="292"/>
      <c r="V905" s="469">
        <f>V906+V922</f>
        <v>11300</v>
      </c>
      <c r="W905" s="469">
        <f>W906+W922</f>
        <v>5000</v>
      </c>
      <c r="X905" s="522">
        <f>X906+X922</f>
        <v>7000</v>
      </c>
      <c r="Y905" s="522">
        <f>Y906+Y922</f>
        <v>0</v>
      </c>
      <c r="Z905" s="541" t="b">
        <f t="shared" si="674"/>
        <v>1</v>
      </c>
      <c r="AA905" s="522"/>
      <c r="AB905" s="523">
        <f>AB906+AB922</f>
        <v>16500</v>
      </c>
      <c r="AC905" s="523">
        <f>AC906+AC922</f>
        <v>16500</v>
      </c>
      <c r="AD905" s="524">
        <f>O905/M905*100</f>
        <v>89.247947454844009</v>
      </c>
      <c r="AE905" s="524">
        <f>P905/O905*100</f>
        <v>626.58117456579339</v>
      </c>
      <c r="AF905" s="524">
        <f>Q905/P905*100</f>
        <v>100</v>
      </c>
      <c r="AG905" s="524">
        <f>AB905/Q905*100</f>
        <v>146.01769911504425</v>
      </c>
      <c r="AH905" s="522"/>
      <c r="AI905" s="522">
        <v>7000</v>
      </c>
      <c r="AJ905" s="516">
        <f>W905/R905*100</f>
        <v>142.69406392694063</v>
      </c>
      <c r="AK905" s="516">
        <f>AT905/W905*100</f>
        <v>110.00000000000001</v>
      </c>
      <c r="AL905" s="516">
        <f>X905/AT905*100</f>
        <v>127.27272727272727</v>
      </c>
      <c r="AM905" s="292"/>
      <c r="AO905" t="b">
        <f t="shared" si="675"/>
        <v>1</v>
      </c>
      <c r="AP905" s="440">
        <f t="shared" ref="AP905:AU905" si="678">AP906+AP922</f>
        <v>7116.18</v>
      </c>
      <c r="AQ905" s="441">
        <v>7116.18</v>
      </c>
      <c r="AR905" s="440">
        <f>AR906+AR922</f>
        <v>7116.18</v>
      </c>
      <c r="AS905" s="441">
        <f t="shared" si="678"/>
        <v>2312.96</v>
      </c>
      <c r="AT905" s="612">
        <f t="shared" si="678"/>
        <v>5500</v>
      </c>
      <c r="AU905" s="469">
        <f t="shared" si="678"/>
        <v>5000</v>
      </c>
      <c r="AV905" s="636">
        <v>7000</v>
      </c>
      <c r="AW905" s="636">
        <v>7000</v>
      </c>
      <c r="AX905" s="655">
        <f t="shared" si="638"/>
        <v>156.96347031963472</v>
      </c>
      <c r="AY905" s="655">
        <f t="shared" si="672"/>
        <v>77.288657678698399</v>
      </c>
      <c r="AZ905" s="655">
        <f t="shared" si="639"/>
        <v>90.909090909090907</v>
      </c>
      <c r="BA905" s="655">
        <f t="shared" si="673"/>
        <v>70.262416071543996</v>
      </c>
      <c r="BB905" s="655">
        <f t="shared" si="676"/>
        <v>140</v>
      </c>
      <c r="BC905" s="655">
        <f t="shared" si="676"/>
        <v>100</v>
      </c>
    </row>
    <row r="906" spans="1:55" ht="12" customHeight="1">
      <c r="A906" s="212" t="s">
        <v>474</v>
      </c>
      <c r="B906" s="130"/>
      <c r="C906" s="130"/>
      <c r="D906" s="130"/>
      <c r="E906" s="130"/>
      <c r="F906" s="130"/>
      <c r="G906" s="130"/>
      <c r="H906" s="383"/>
      <c r="I906" s="170" t="s">
        <v>380</v>
      </c>
      <c r="J906" s="171"/>
      <c r="K906" s="111"/>
      <c r="L906" s="315">
        <f t="shared" ref="L906:S906" si="679">L908</f>
        <v>15225</v>
      </c>
      <c r="M906" s="315">
        <f t="shared" si="679"/>
        <v>2020.7047581126815</v>
      </c>
      <c r="N906" s="337">
        <f t="shared" si="679"/>
        <v>13588</v>
      </c>
      <c r="O906" s="337">
        <f t="shared" si="679"/>
        <v>1803.4375207379387</v>
      </c>
      <c r="P906" s="292">
        <f t="shared" si="679"/>
        <v>11300</v>
      </c>
      <c r="Q906" s="292">
        <f t="shared" si="679"/>
        <v>11300</v>
      </c>
      <c r="R906" s="441">
        <f t="shared" si="679"/>
        <v>3504</v>
      </c>
      <c r="S906" s="292">
        <f t="shared" si="679"/>
        <v>0</v>
      </c>
      <c r="T906" s="292"/>
      <c r="U906" s="292"/>
      <c r="V906" s="469">
        <f>V908</f>
        <v>11300</v>
      </c>
      <c r="W906" s="469">
        <f>W908</f>
        <v>5000</v>
      </c>
      <c r="X906" s="522">
        <f>X908</f>
        <v>7000</v>
      </c>
      <c r="Y906" s="522">
        <f>Y908</f>
        <v>0</v>
      </c>
      <c r="Z906" s="541" t="b">
        <f t="shared" si="674"/>
        <v>1</v>
      </c>
      <c r="AA906" s="522"/>
      <c r="AB906" s="523">
        <f>AB908</f>
        <v>11500</v>
      </c>
      <c r="AC906" s="523">
        <f>AC908</f>
        <v>11500</v>
      </c>
      <c r="AD906" s="524">
        <f>O906/M906*100</f>
        <v>89.247947454844009</v>
      </c>
      <c r="AE906" s="524">
        <f>P906/O906*100</f>
        <v>626.58117456579339</v>
      </c>
      <c r="AF906" s="524">
        <f>Q906/P906*100</f>
        <v>100</v>
      </c>
      <c r="AG906" s="524">
        <f>AB906/Q906*100</f>
        <v>101.76991150442478</v>
      </c>
      <c r="AH906" s="522"/>
      <c r="AI906" s="522">
        <v>7000</v>
      </c>
      <c r="AJ906" s="516">
        <f>W906/R906*100</f>
        <v>142.69406392694063</v>
      </c>
      <c r="AK906" s="516">
        <f>AT906/W906*100</f>
        <v>110.00000000000001</v>
      </c>
      <c r="AL906" s="516">
        <f>X906/AT906*100</f>
        <v>127.27272727272727</v>
      </c>
      <c r="AM906" s="292"/>
      <c r="AO906" t="b">
        <f t="shared" si="675"/>
        <v>1</v>
      </c>
      <c r="AP906" s="440">
        <f t="shared" ref="AP906:AU906" si="680">AP908</f>
        <v>7116.18</v>
      </c>
      <c r="AQ906" s="441">
        <v>7116.18</v>
      </c>
      <c r="AR906" s="440">
        <f>AR908</f>
        <v>7116.18</v>
      </c>
      <c r="AS906" s="441">
        <f t="shared" si="680"/>
        <v>2312.96</v>
      </c>
      <c r="AT906" s="612">
        <f t="shared" si="680"/>
        <v>5500</v>
      </c>
      <c r="AU906" s="469">
        <f t="shared" si="680"/>
        <v>5000</v>
      </c>
      <c r="AV906" s="636">
        <v>7000</v>
      </c>
      <c r="AW906" s="636">
        <v>7000</v>
      </c>
      <c r="AX906" s="655">
        <f t="shared" si="638"/>
        <v>156.96347031963472</v>
      </c>
      <c r="AY906" s="655">
        <f t="shared" si="672"/>
        <v>77.288657678698399</v>
      </c>
      <c r="AZ906" s="655">
        <f t="shared" si="639"/>
        <v>90.909090909090907</v>
      </c>
      <c r="BA906" s="655">
        <f t="shared" si="673"/>
        <v>70.262416071543996</v>
      </c>
      <c r="BB906" s="655">
        <f t="shared" si="676"/>
        <v>140</v>
      </c>
      <c r="BC906" s="655">
        <f t="shared" si="676"/>
        <v>100</v>
      </c>
    </row>
    <row r="907" spans="1:55" ht="12" customHeight="1">
      <c r="A907" s="20"/>
      <c r="B907" s="20"/>
      <c r="C907" s="20"/>
      <c r="D907" s="20"/>
      <c r="E907" s="20"/>
      <c r="F907" s="20"/>
      <c r="G907" s="20"/>
      <c r="H907" s="375"/>
      <c r="I907" s="22"/>
      <c r="J907" s="21"/>
      <c r="K907" s="94"/>
      <c r="L907" s="313"/>
      <c r="M907" s="313"/>
      <c r="N907" s="335"/>
      <c r="O907" s="335"/>
      <c r="P907" s="290"/>
      <c r="Q907" s="290"/>
      <c r="R907" s="439"/>
      <c r="S907" s="294">
        <f>__xlfn.XLOOKUP(H907,[2]Izvršenje_proračuna_po_pozicija!$B$2:$B$153,[2]Izvršenje_proračuna_po_pozicija!$E$2:$E$153,0)</f>
        <v>0</v>
      </c>
      <c r="T907" s="294"/>
      <c r="U907" s="294"/>
      <c r="V907" s="474"/>
      <c r="W907" s="474"/>
      <c r="X907" s="539"/>
      <c r="Y907" s="539"/>
      <c r="Z907" s="541" t="b">
        <f t="shared" si="674"/>
        <v>0</v>
      </c>
      <c r="AA907" s="514"/>
      <c r="AB907" s="515"/>
      <c r="AC907" s="515"/>
      <c r="AD907" s="524"/>
      <c r="AE907" s="524"/>
      <c r="AF907" s="524"/>
      <c r="AG907" s="524"/>
      <c r="AH907" s="514"/>
      <c r="AI907" s="539"/>
      <c r="AJ907" s="516"/>
      <c r="AK907" s="516"/>
      <c r="AL907" s="516"/>
      <c r="AM907" s="290"/>
      <c r="AO907" t="b">
        <f t="shared" si="675"/>
        <v>0</v>
      </c>
      <c r="AQ907" s="439"/>
      <c r="AS907" s="439"/>
      <c r="AT907" s="616"/>
      <c r="AU907" s="474"/>
      <c r="AV907" s="632"/>
      <c r="AW907" s="632"/>
      <c r="AX907" s="655" t="str">
        <f t="shared" ref="AX907:AX970" si="681">IF(AND(ISNUMBER(AT907), ISNUMBER(R907), R907&lt;&gt;0), (AT907/R907)*100, "")</f>
        <v/>
      </c>
      <c r="AY907" s="655" t="str">
        <f t="shared" si="672"/>
        <v/>
      </c>
      <c r="AZ907" s="655" t="str">
        <f t="shared" ref="AZ907:AZ970" si="682">IF(AND(ISNUMBER(AU907), ISNUMBER(AT907), AT907&lt;&gt;0), (AU907/AT907)*100, "")</f>
        <v/>
      </c>
      <c r="BA907" s="655" t="str">
        <f t="shared" si="673"/>
        <v/>
      </c>
      <c r="BB907" s="655" t="str">
        <f t="shared" si="676"/>
        <v/>
      </c>
      <c r="BC907" s="655" t="str">
        <f t="shared" si="676"/>
        <v/>
      </c>
    </row>
    <row r="908" spans="1:55" ht="12" customHeight="1">
      <c r="A908" s="52"/>
      <c r="B908" s="52"/>
      <c r="C908" s="52"/>
      <c r="D908" s="52"/>
      <c r="E908" s="52"/>
      <c r="F908" s="52"/>
      <c r="G908" s="52"/>
      <c r="H908" s="384"/>
      <c r="I908" s="156"/>
      <c r="J908" s="94">
        <v>3</v>
      </c>
      <c r="K908" s="21" t="s">
        <v>94</v>
      </c>
      <c r="L908" s="315">
        <f t="shared" ref="L908:AC910" si="683">L909</f>
        <v>15225</v>
      </c>
      <c r="M908" s="315">
        <f t="shared" si="683"/>
        <v>2020.7047581126815</v>
      </c>
      <c r="N908" s="337">
        <f t="shared" si="683"/>
        <v>13588</v>
      </c>
      <c r="O908" s="337">
        <f t="shared" si="683"/>
        <v>1803.4375207379387</v>
      </c>
      <c r="P908" s="292">
        <f t="shared" si="683"/>
        <v>11300</v>
      </c>
      <c r="Q908" s="292">
        <f t="shared" si="683"/>
        <v>11300</v>
      </c>
      <c r="R908" s="441">
        <f t="shared" si="683"/>
        <v>3504</v>
      </c>
      <c r="S908" s="292">
        <f t="shared" si="683"/>
        <v>0</v>
      </c>
      <c r="T908" s="292"/>
      <c r="U908" s="292"/>
      <c r="V908" s="469">
        <f t="shared" si="683"/>
        <v>11300</v>
      </c>
      <c r="W908" s="469">
        <f t="shared" si="683"/>
        <v>5000</v>
      </c>
      <c r="X908" s="522">
        <f t="shared" si="683"/>
        <v>7000</v>
      </c>
      <c r="Y908" s="522">
        <f t="shared" si="683"/>
        <v>0</v>
      </c>
      <c r="Z908" s="541" t="b">
        <f t="shared" si="674"/>
        <v>1</v>
      </c>
      <c r="AA908" s="522"/>
      <c r="AB908" s="523">
        <f t="shared" si="683"/>
        <v>11500</v>
      </c>
      <c r="AC908" s="523">
        <f t="shared" si="683"/>
        <v>11500</v>
      </c>
      <c r="AD908" s="524">
        <f>O908/M908*100</f>
        <v>89.247947454844009</v>
      </c>
      <c r="AE908" s="524">
        <f t="shared" ref="AE908:AF912" si="684">P908/O908*100</f>
        <v>626.58117456579339</v>
      </c>
      <c r="AF908" s="524">
        <f t="shared" si="684"/>
        <v>100</v>
      </c>
      <c r="AG908" s="524">
        <f>AB908/Q908*100</f>
        <v>101.76991150442478</v>
      </c>
      <c r="AH908" s="522"/>
      <c r="AI908" s="522">
        <v>7000</v>
      </c>
      <c r="AJ908" s="516">
        <f t="shared" ref="AJ908:AJ913" si="685">W908/R908*100</f>
        <v>142.69406392694063</v>
      </c>
      <c r="AK908" s="516">
        <f t="shared" ref="AK908:AK913" si="686">AT908/W908*100</f>
        <v>110.00000000000001</v>
      </c>
      <c r="AL908" s="516">
        <f t="shared" ref="AL908:AL914" si="687">X908/AT908*100</f>
        <v>127.27272727272727</v>
      </c>
      <c r="AM908" s="292"/>
      <c r="AO908" t="b">
        <f t="shared" si="675"/>
        <v>1</v>
      </c>
      <c r="AP908" s="440">
        <f>AP909</f>
        <v>7116.18</v>
      </c>
      <c r="AQ908" s="441">
        <v>7116.18</v>
      </c>
      <c r="AR908" s="440">
        <f t="shared" ref="AR908:AU910" si="688">AR909</f>
        <v>7116.18</v>
      </c>
      <c r="AS908" s="441">
        <f t="shared" si="688"/>
        <v>2312.96</v>
      </c>
      <c r="AT908" s="612">
        <f t="shared" si="688"/>
        <v>5500</v>
      </c>
      <c r="AU908" s="469">
        <f t="shared" si="688"/>
        <v>5000</v>
      </c>
      <c r="AV908" s="636">
        <v>7000</v>
      </c>
      <c r="AW908" s="636">
        <v>7000</v>
      </c>
      <c r="AX908" s="655">
        <f t="shared" si="681"/>
        <v>156.96347031963472</v>
      </c>
      <c r="AY908" s="655">
        <f t="shared" si="672"/>
        <v>733.25511945392486</v>
      </c>
      <c r="AZ908" s="655">
        <f t="shared" si="682"/>
        <v>90.909090909090907</v>
      </c>
      <c r="BA908" s="655">
        <f t="shared" si="673"/>
        <v>666.59556313993176</v>
      </c>
      <c r="BB908" s="655">
        <f t="shared" si="676"/>
        <v>140</v>
      </c>
      <c r="BC908" s="655">
        <f t="shared" si="676"/>
        <v>100</v>
      </c>
    </row>
    <row r="909" spans="1:55" ht="12" customHeight="1">
      <c r="A909" s="355"/>
      <c r="B909" s="355"/>
      <c r="C909" s="355"/>
      <c r="D909" s="355"/>
      <c r="E909" s="355"/>
      <c r="F909" s="355"/>
      <c r="G909" s="355"/>
      <c r="H909" s="379"/>
      <c r="I909" s="359"/>
      <c r="J909" s="356">
        <v>36</v>
      </c>
      <c r="K909" s="358" t="s">
        <v>561</v>
      </c>
      <c r="L909" s="315">
        <f t="shared" si="683"/>
        <v>15225</v>
      </c>
      <c r="M909" s="315">
        <f t="shared" si="683"/>
        <v>2020.7047581126815</v>
      </c>
      <c r="N909" s="337">
        <f t="shared" si="683"/>
        <v>13588</v>
      </c>
      <c r="O909" s="337">
        <f t="shared" si="683"/>
        <v>1803.4375207379387</v>
      </c>
      <c r="P909" s="292">
        <f t="shared" si="683"/>
        <v>11300</v>
      </c>
      <c r="Q909" s="292">
        <f t="shared" si="683"/>
        <v>11300</v>
      </c>
      <c r="R909" s="441">
        <f t="shared" si="683"/>
        <v>3504</v>
      </c>
      <c r="S909" s="292">
        <f t="shared" si="683"/>
        <v>0</v>
      </c>
      <c r="T909" s="292"/>
      <c r="U909" s="292"/>
      <c r="V909" s="469">
        <f t="shared" si="683"/>
        <v>11300</v>
      </c>
      <c r="W909" s="469">
        <f t="shared" si="683"/>
        <v>5000</v>
      </c>
      <c r="X909" s="522">
        <f t="shared" si="683"/>
        <v>7000</v>
      </c>
      <c r="Y909" s="522">
        <f t="shared" si="683"/>
        <v>0</v>
      </c>
      <c r="Z909" s="541" t="b">
        <f t="shared" si="674"/>
        <v>1</v>
      </c>
      <c r="AA909" s="522"/>
      <c r="AB909" s="523">
        <f t="shared" si="683"/>
        <v>11500</v>
      </c>
      <c r="AC909" s="523">
        <f t="shared" si="683"/>
        <v>11500</v>
      </c>
      <c r="AD909" s="524">
        <f>O909/M909*100</f>
        <v>89.247947454844009</v>
      </c>
      <c r="AE909" s="524">
        <f t="shared" si="684"/>
        <v>626.58117456579339</v>
      </c>
      <c r="AF909" s="524">
        <f t="shared" si="684"/>
        <v>100</v>
      </c>
      <c r="AG909" s="524">
        <f>AB909/Q909*100</f>
        <v>101.76991150442478</v>
      </c>
      <c r="AH909" s="522"/>
      <c r="AI909" s="522">
        <v>7000</v>
      </c>
      <c r="AJ909" s="516">
        <f t="shared" si="685"/>
        <v>142.69406392694063</v>
      </c>
      <c r="AK909" s="516">
        <f t="shared" si="686"/>
        <v>110.00000000000001</v>
      </c>
      <c r="AL909" s="516">
        <f t="shared" si="687"/>
        <v>127.27272727272727</v>
      </c>
      <c r="AM909" s="292"/>
      <c r="AO909" t="b">
        <f t="shared" si="675"/>
        <v>1</v>
      </c>
      <c r="AP909" s="440">
        <f>AP910</f>
        <v>7116.18</v>
      </c>
      <c r="AQ909" s="441">
        <v>7116.18</v>
      </c>
      <c r="AR909" s="440">
        <f t="shared" si="688"/>
        <v>7116.18</v>
      </c>
      <c r="AS909" s="441">
        <f t="shared" si="688"/>
        <v>2312.96</v>
      </c>
      <c r="AT909" s="612">
        <f t="shared" si="688"/>
        <v>5500</v>
      </c>
      <c r="AU909" s="469">
        <f t="shared" si="688"/>
        <v>5000</v>
      </c>
      <c r="AV909" s="636">
        <v>7000</v>
      </c>
      <c r="AW909" s="636">
        <v>7000</v>
      </c>
      <c r="AX909" s="655">
        <f t="shared" si="681"/>
        <v>156.96347031963472</v>
      </c>
      <c r="AY909" s="655" t="str">
        <f t="shared" si="672"/>
        <v/>
      </c>
      <c r="AZ909" s="655">
        <f t="shared" si="682"/>
        <v>90.909090909090907</v>
      </c>
      <c r="BA909" s="655" t="str">
        <f t="shared" si="673"/>
        <v/>
      </c>
      <c r="BB909" s="655">
        <f t="shared" si="676"/>
        <v>140</v>
      </c>
      <c r="BC909" s="655">
        <f t="shared" si="676"/>
        <v>100</v>
      </c>
    </row>
    <row r="910" spans="1:55" ht="12" customHeight="1">
      <c r="A910" s="56"/>
      <c r="B910" s="56"/>
      <c r="C910" s="56"/>
      <c r="D910" s="56"/>
      <c r="E910" s="56"/>
      <c r="F910" s="56"/>
      <c r="G910" s="56"/>
      <c r="H910" s="377"/>
      <c r="I910" s="157"/>
      <c r="J910" s="116">
        <v>366</v>
      </c>
      <c r="K910" s="60" t="s">
        <v>563</v>
      </c>
      <c r="L910" s="315">
        <f t="shared" si="683"/>
        <v>15225</v>
      </c>
      <c r="M910" s="315">
        <f t="shared" si="683"/>
        <v>2020.7047581126815</v>
      </c>
      <c r="N910" s="337">
        <f t="shared" si="683"/>
        <v>13588</v>
      </c>
      <c r="O910" s="337">
        <f t="shared" si="683"/>
        <v>1803.4375207379387</v>
      </c>
      <c r="P910" s="292">
        <f t="shared" si="683"/>
        <v>11300</v>
      </c>
      <c r="Q910" s="292">
        <f t="shared" si="683"/>
        <v>11300</v>
      </c>
      <c r="R910" s="441">
        <f t="shared" si="683"/>
        <v>3504</v>
      </c>
      <c r="S910" s="292">
        <f t="shared" si="683"/>
        <v>0</v>
      </c>
      <c r="T910" s="292"/>
      <c r="U910" s="292"/>
      <c r="V910" s="469">
        <f t="shared" si="683"/>
        <v>11300</v>
      </c>
      <c r="W910" s="469">
        <f t="shared" si="683"/>
        <v>5000</v>
      </c>
      <c r="X910" s="522">
        <f t="shared" si="683"/>
        <v>7000</v>
      </c>
      <c r="Y910" s="522">
        <f t="shared" si="683"/>
        <v>0</v>
      </c>
      <c r="Z910" s="541" t="b">
        <f t="shared" si="674"/>
        <v>1</v>
      </c>
      <c r="AA910" s="522"/>
      <c r="AB910" s="523">
        <f t="shared" si="683"/>
        <v>11500</v>
      </c>
      <c r="AC910" s="523">
        <f t="shared" si="683"/>
        <v>11500</v>
      </c>
      <c r="AD910" s="524">
        <f>O910/M910*100</f>
        <v>89.247947454844009</v>
      </c>
      <c r="AE910" s="524">
        <f t="shared" si="684"/>
        <v>626.58117456579339</v>
      </c>
      <c r="AF910" s="524">
        <f t="shared" si="684"/>
        <v>100</v>
      </c>
      <c r="AG910" s="524">
        <f>AB910/Q910*100</f>
        <v>101.76991150442478</v>
      </c>
      <c r="AH910" s="522"/>
      <c r="AI910" s="522">
        <v>7000</v>
      </c>
      <c r="AJ910" s="516">
        <f t="shared" si="685"/>
        <v>142.69406392694063</v>
      </c>
      <c r="AK910" s="516">
        <f t="shared" si="686"/>
        <v>110.00000000000001</v>
      </c>
      <c r="AL910" s="516">
        <f t="shared" si="687"/>
        <v>127.27272727272727</v>
      </c>
      <c r="AM910" s="292"/>
      <c r="AO910" t="b">
        <f t="shared" si="675"/>
        <v>1</v>
      </c>
      <c r="AP910" s="440">
        <f>AP911</f>
        <v>7116.18</v>
      </c>
      <c r="AQ910" s="441">
        <v>7116.18</v>
      </c>
      <c r="AR910" s="440">
        <f t="shared" si="688"/>
        <v>7116.18</v>
      </c>
      <c r="AS910" s="441">
        <f t="shared" si="688"/>
        <v>2312.96</v>
      </c>
      <c r="AT910" s="612">
        <f t="shared" si="688"/>
        <v>5500</v>
      </c>
      <c r="AU910" s="469">
        <f t="shared" si="688"/>
        <v>5000</v>
      </c>
      <c r="AV910" s="636">
        <v>7000</v>
      </c>
      <c r="AW910" s="636">
        <v>7000</v>
      </c>
      <c r="AX910" s="655">
        <f t="shared" si="681"/>
        <v>156.96347031963472</v>
      </c>
      <c r="AY910" s="655" t="str">
        <f t="shared" si="672"/>
        <v/>
      </c>
      <c r="AZ910" s="655">
        <f t="shared" si="682"/>
        <v>90.909090909090907</v>
      </c>
      <c r="BA910" s="655" t="str">
        <f t="shared" si="673"/>
        <v/>
      </c>
      <c r="BB910" s="655">
        <f t="shared" si="676"/>
        <v>140</v>
      </c>
      <c r="BC910" s="655">
        <f t="shared" si="676"/>
        <v>100</v>
      </c>
    </row>
    <row r="911" spans="1:55" ht="12" customHeight="1">
      <c r="A911" s="36"/>
      <c r="B911" s="36"/>
      <c r="C911" s="36"/>
      <c r="D911" s="36"/>
      <c r="E911" s="36"/>
      <c r="F911" s="36"/>
      <c r="G911" s="36"/>
      <c r="H911" s="204"/>
      <c r="I911" s="132"/>
      <c r="J911" s="71">
        <v>3661</v>
      </c>
      <c r="K911" s="40" t="s">
        <v>567</v>
      </c>
      <c r="L911" s="315">
        <f t="shared" ref="L911:S911" si="689">L912+L913+L914</f>
        <v>15225</v>
      </c>
      <c r="M911" s="315">
        <f t="shared" si="689"/>
        <v>2020.7047581126815</v>
      </c>
      <c r="N911" s="337">
        <f t="shared" si="689"/>
        <v>13588</v>
      </c>
      <c r="O911" s="337">
        <f t="shared" si="689"/>
        <v>1803.4375207379387</v>
      </c>
      <c r="P911" s="292">
        <f t="shared" si="689"/>
        <v>11300</v>
      </c>
      <c r="Q911" s="292">
        <f t="shared" si="689"/>
        <v>11300</v>
      </c>
      <c r="R911" s="441">
        <f t="shared" si="689"/>
        <v>3504</v>
      </c>
      <c r="S911" s="292">
        <f t="shared" si="689"/>
        <v>0</v>
      </c>
      <c r="T911" s="292"/>
      <c r="U911" s="292"/>
      <c r="V911" s="469">
        <f>V912+V913+V914</f>
        <v>11300</v>
      </c>
      <c r="W911" s="469">
        <f>W912+W913+W914</f>
        <v>5000</v>
      </c>
      <c r="X911" s="522">
        <f>X912+X913+X914</f>
        <v>7000</v>
      </c>
      <c r="Y911" s="522">
        <f>Y912+Y913+Y914</f>
        <v>0</v>
      </c>
      <c r="Z911" s="541" t="b">
        <f t="shared" si="674"/>
        <v>1</v>
      </c>
      <c r="AA911" s="522"/>
      <c r="AB911" s="522">
        <f>AB912+AB913+AB914</f>
        <v>11500</v>
      </c>
      <c r="AC911" s="522">
        <f>AC912+AC913+AC914</f>
        <v>11500</v>
      </c>
      <c r="AD911" s="524">
        <f>O911/M911*100</f>
        <v>89.247947454844009</v>
      </c>
      <c r="AE911" s="524">
        <f t="shared" si="684"/>
        <v>626.58117456579339</v>
      </c>
      <c r="AF911" s="524">
        <f t="shared" si="684"/>
        <v>100</v>
      </c>
      <c r="AG911" s="524">
        <f>AB911/Q911*100</f>
        <v>101.76991150442478</v>
      </c>
      <c r="AH911" s="522"/>
      <c r="AI911" s="522">
        <v>7000</v>
      </c>
      <c r="AJ911" s="516">
        <f t="shared" si="685"/>
        <v>142.69406392694063</v>
      </c>
      <c r="AK911" s="516">
        <f t="shared" si="686"/>
        <v>110.00000000000001</v>
      </c>
      <c r="AL911" s="516">
        <f t="shared" si="687"/>
        <v>127.27272727272727</v>
      </c>
      <c r="AM911" s="292"/>
      <c r="AO911" t="b">
        <f t="shared" si="675"/>
        <v>1</v>
      </c>
      <c r="AP911" s="440">
        <f t="shared" ref="AP911:AU911" si="690">AP912+AP913+AP914</f>
        <v>7116.18</v>
      </c>
      <c r="AQ911" s="441">
        <v>7116.18</v>
      </c>
      <c r="AR911" s="440">
        <f>AR912+AR913+AR914</f>
        <v>7116.18</v>
      </c>
      <c r="AS911" s="441">
        <f t="shared" si="690"/>
        <v>2312.96</v>
      </c>
      <c r="AT911" s="612">
        <f t="shared" si="690"/>
        <v>5500</v>
      </c>
      <c r="AU911" s="469">
        <f t="shared" si="690"/>
        <v>5000</v>
      </c>
      <c r="AV911" s="636">
        <v>7000</v>
      </c>
      <c r="AW911" s="636">
        <v>7000</v>
      </c>
      <c r="AX911" s="655">
        <f t="shared" si="681"/>
        <v>156.96347031963472</v>
      </c>
      <c r="AY911" s="655" t="str">
        <f t="shared" si="672"/>
        <v/>
      </c>
      <c r="AZ911" s="655">
        <f t="shared" si="682"/>
        <v>90.909090909090907</v>
      </c>
      <c r="BA911" s="655" t="str">
        <f t="shared" si="673"/>
        <v/>
      </c>
      <c r="BB911" s="655">
        <f t="shared" si="676"/>
        <v>140</v>
      </c>
      <c r="BC911" s="655">
        <f t="shared" si="676"/>
        <v>100</v>
      </c>
    </row>
    <row r="912" spans="1:55" ht="12" customHeight="1">
      <c r="A912" s="36"/>
      <c r="B912" s="36"/>
      <c r="C912" s="36"/>
      <c r="D912" s="36"/>
      <c r="E912" s="36"/>
      <c r="F912" s="36"/>
      <c r="G912" s="36"/>
      <c r="H912" s="204">
        <v>163</v>
      </c>
      <c r="I912" s="132">
        <v>912</v>
      </c>
      <c r="J912" s="71">
        <v>3661</v>
      </c>
      <c r="K912" s="40" t="s">
        <v>381</v>
      </c>
      <c r="L912" s="309">
        <v>15225</v>
      </c>
      <c r="M912" s="309">
        <f>15225/7.5345</f>
        <v>2020.7047581126815</v>
      </c>
      <c r="N912" s="339">
        <v>9188</v>
      </c>
      <c r="O912" s="339">
        <f>N912/7.5345</f>
        <v>1219.4571637135841</v>
      </c>
      <c r="P912" s="294">
        <v>6500</v>
      </c>
      <c r="Q912" s="294">
        <v>6500</v>
      </c>
      <c r="R912" s="443">
        <v>3234</v>
      </c>
      <c r="S912" s="294">
        <f>__xlfn.XLOOKUP(H912,[2]Izvršenje_proračuna_po_pozicija!$B$2:$B$153,[2]Izvršenje_proračuna_po_pozicija!$E$2:$E$153,0)</f>
        <v>0</v>
      </c>
      <c r="T912" s="294"/>
      <c r="U912" s="294"/>
      <c r="V912" s="478">
        <v>6500</v>
      </c>
      <c r="W912" s="478">
        <v>4000</v>
      </c>
      <c r="X912" s="544">
        <v>5000</v>
      </c>
      <c r="Y912" s="544"/>
      <c r="Z912" s="541" t="b">
        <f t="shared" si="674"/>
        <v>0</v>
      </c>
      <c r="AA912" s="527"/>
      <c r="AB912" s="528">
        <v>6500</v>
      </c>
      <c r="AC912" s="528">
        <v>6500</v>
      </c>
      <c r="AD912" s="524">
        <f>O912/M912*100</f>
        <v>60.348111658456496</v>
      </c>
      <c r="AE912" s="524">
        <f t="shared" si="684"/>
        <v>533.02405311275584</v>
      </c>
      <c r="AF912" s="524">
        <f t="shared" si="684"/>
        <v>100</v>
      </c>
      <c r="AG912" s="524">
        <f>AB912/Q912*100</f>
        <v>100</v>
      </c>
      <c r="AH912" s="527"/>
      <c r="AI912" s="544">
        <v>5000</v>
      </c>
      <c r="AJ912" s="516">
        <f t="shared" si="685"/>
        <v>123.68583797155226</v>
      </c>
      <c r="AK912" s="516">
        <f t="shared" si="686"/>
        <v>100</v>
      </c>
      <c r="AL912" s="516">
        <f t="shared" si="687"/>
        <v>125</v>
      </c>
      <c r="AM912" s="294"/>
      <c r="AO912" t="b">
        <f t="shared" si="675"/>
        <v>0</v>
      </c>
      <c r="AP912" s="493">
        <v>6366.1</v>
      </c>
      <c r="AQ912" s="443">
        <v>6366.1</v>
      </c>
      <c r="AR912" s="493">
        <v>6366.1</v>
      </c>
      <c r="AS912" s="443">
        <f>__xlfn.XLOOKUP(K912,[1]Izvršenje_proračuna_po_pozicija!$C$25:$C$149,[1]Izvršenje_proračuna_po_pozicija!$E$25:$E$149,0)</f>
        <v>1912.96</v>
      </c>
      <c r="AT912" s="617">
        <v>4000</v>
      </c>
      <c r="AU912" s="478">
        <v>4000</v>
      </c>
      <c r="AV912" s="638">
        <v>5000</v>
      </c>
      <c r="AW912" s="638">
        <v>5000</v>
      </c>
      <c r="AX912" s="655">
        <f t="shared" si="681"/>
        <v>123.68583797155226</v>
      </c>
      <c r="AY912" s="655" t="str">
        <f t="shared" si="672"/>
        <v/>
      </c>
      <c r="AZ912" s="655">
        <f t="shared" si="682"/>
        <v>100</v>
      </c>
      <c r="BA912" s="655" t="str">
        <f t="shared" si="673"/>
        <v/>
      </c>
      <c r="BB912" s="655">
        <f t="shared" si="676"/>
        <v>125</v>
      </c>
      <c r="BC912" s="655">
        <f t="shared" si="676"/>
        <v>100</v>
      </c>
    </row>
    <row r="913" spans="1:55" s="198" customFormat="1" ht="12" customHeight="1">
      <c r="A913" s="36"/>
      <c r="B913" s="36"/>
      <c r="C913" s="36"/>
      <c r="D913" s="36"/>
      <c r="E913" s="36"/>
      <c r="F913" s="36"/>
      <c r="G913" s="36"/>
      <c r="H913" s="204">
        <v>164</v>
      </c>
      <c r="I913" s="132">
        <v>920</v>
      </c>
      <c r="J913" s="71">
        <v>3661</v>
      </c>
      <c r="K913" s="40" t="s">
        <v>382</v>
      </c>
      <c r="L913" s="309">
        <v>0</v>
      </c>
      <c r="M913" s="309">
        <v>0</v>
      </c>
      <c r="N913" s="339">
        <v>4400</v>
      </c>
      <c r="O913" s="339">
        <f>N913/7.5345</f>
        <v>583.98035702435459</v>
      </c>
      <c r="P913" s="294">
        <v>4000</v>
      </c>
      <c r="Q913" s="294">
        <v>4000</v>
      </c>
      <c r="R913" s="443">
        <v>270</v>
      </c>
      <c r="S913" s="294">
        <f>__xlfn.XLOOKUP(H913,[2]Izvršenje_proračuna_po_pozicija!$B$2:$B$153,[2]Izvršenje_proračuna_po_pozicija!$E$2:$E$153,0)</f>
        <v>0</v>
      </c>
      <c r="T913" s="294"/>
      <c r="U913" s="294"/>
      <c r="V913" s="478">
        <v>4000</v>
      </c>
      <c r="W913" s="478">
        <v>1000</v>
      </c>
      <c r="X913" s="544">
        <v>1500</v>
      </c>
      <c r="Y913" s="544"/>
      <c r="Z913" s="541" t="b">
        <f t="shared" si="674"/>
        <v>0</v>
      </c>
      <c r="AA913" s="527"/>
      <c r="AB913" s="528">
        <v>4000</v>
      </c>
      <c r="AC913" s="528">
        <v>4000</v>
      </c>
      <c r="AD913" s="524"/>
      <c r="AE913" s="524"/>
      <c r="AF913" s="524"/>
      <c r="AG913" s="524"/>
      <c r="AH913" s="527"/>
      <c r="AI913" s="544">
        <v>1500</v>
      </c>
      <c r="AJ913" s="516">
        <f t="shared" si="685"/>
        <v>370.37037037037038</v>
      </c>
      <c r="AK913" s="516">
        <f t="shared" si="686"/>
        <v>100</v>
      </c>
      <c r="AL913" s="516">
        <f t="shared" si="687"/>
        <v>150</v>
      </c>
      <c r="AM913" s="294"/>
      <c r="AO913" t="b">
        <f t="shared" si="675"/>
        <v>0</v>
      </c>
      <c r="AP913" s="493">
        <v>750.08</v>
      </c>
      <c r="AQ913" s="443">
        <v>750.08</v>
      </c>
      <c r="AR913" s="493">
        <v>750.08</v>
      </c>
      <c r="AS913" s="443">
        <f>__xlfn.XLOOKUP(K913,[1]Izvršenje_proračuna_po_pozicija!$C$25:$C$149,[1]Izvršenje_proračuna_po_pozicija!$E$25:$E$149,0)</f>
        <v>400</v>
      </c>
      <c r="AT913" s="617">
        <v>1000</v>
      </c>
      <c r="AU913" s="478">
        <v>1000</v>
      </c>
      <c r="AV913" s="638">
        <v>1500</v>
      </c>
      <c r="AW913" s="638">
        <v>1500</v>
      </c>
      <c r="AX913" s="655">
        <f t="shared" si="681"/>
        <v>370.37037037037038</v>
      </c>
      <c r="AY913" s="655" t="str">
        <f t="shared" si="672"/>
        <v/>
      </c>
      <c r="AZ913" s="655">
        <f t="shared" si="682"/>
        <v>100</v>
      </c>
      <c r="BA913" s="655" t="str">
        <f t="shared" si="673"/>
        <v/>
      </c>
      <c r="BB913" s="655">
        <f t="shared" si="676"/>
        <v>150</v>
      </c>
      <c r="BC913" s="655">
        <f t="shared" si="676"/>
        <v>100</v>
      </c>
    </row>
    <row r="914" spans="1:55" s="198" customFormat="1" ht="12" customHeight="1">
      <c r="A914" s="36"/>
      <c r="B914" s="36"/>
      <c r="C914" s="36"/>
      <c r="D914" s="36"/>
      <c r="E914" s="36"/>
      <c r="F914" s="36"/>
      <c r="G914" s="36"/>
      <c r="H914" s="204" t="s">
        <v>731</v>
      </c>
      <c r="I914" s="132">
        <v>912</v>
      </c>
      <c r="J914" s="71">
        <v>3661</v>
      </c>
      <c r="K914" s="40" t="s">
        <v>732</v>
      </c>
      <c r="L914" s="309">
        <v>0</v>
      </c>
      <c r="M914" s="309">
        <v>0</v>
      </c>
      <c r="N914" s="339">
        <v>0</v>
      </c>
      <c r="O914" s="339">
        <f>N914/7.5345</f>
        <v>0</v>
      </c>
      <c r="P914" s="294">
        <v>800</v>
      </c>
      <c r="Q914" s="294">
        <v>800</v>
      </c>
      <c r="R914" s="443">
        <v>0</v>
      </c>
      <c r="S914" s="294">
        <f>__xlfn.XLOOKUP(H914,[2]Izvršenje_proračuna_po_pozicija!$B$2:$B$153,[2]Izvršenje_proračuna_po_pozicija!$E$2:$E$153,0)</f>
        <v>0</v>
      </c>
      <c r="T914" s="294"/>
      <c r="U914" s="294"/>
      <c r="V914" s="478">
        <v>800</v>
      </c>
      <c r="W914" s="478">
        <v>0</v>
      </c>
      <c r="X914" s="544">
        <v>500</v>
      </c>
      <c r="Y914" s="544"/>
      <c r="Z914" s="541" t="b">
        <f t="shared" si="674"/>
        <v>0</v>
      </c>
      <c r="AA914" s="527"/>
      <c r="AB914" s="528">
        <v>1000</v>
      </c>
      <c r="AC914" s="528">
        <v>1000</v>
      </c>
      <c r="AD914" s="524"/>
      <c r="AE914" s="524"/>
      <c r="AF914" s="524"/>
      <c r="AG914" s="524"/>
      <c r="AH914" s="527"/>
      <c r="AI914" s="544">
        <v>500</v>
      </c>
      <c r="AJ914" s="516"/>
      <c r="AK914" s="516"/>
      <c r="AL914" s="516">
        <f t="shared" si="687"/>
        <v>100</v>
      </c>
      <c r="AM914" s="294"/>
      <c r="AO914" t="b">
        <f t="shared" si="675"/>
        <v>0</v>
      </c>
      <c r="AQ914" s="443"/>
      <c r="AS914" s="443">
        <f>__xlfn.XLOOKUP(K914,[1]Izvršenje_proračuna_po_pozicija!$C$25:$C$149,[1]Izvršenje_proračuna_po_pozicija!$E$25:$E$149,0)</f>
        <v>0</v>
      </c>
      <c r="AT914" s="617">
        <v>500</v>
      </c>
      <c r="AU914" s="478"/>
      <c r="AV914" s="638">
        <v>500</v>
      </c>
      <c r="AW914" s="638">
        <v>500</v>
      </c>
      <c r="AX914" s="655" t="str">
        <f t="shared" si="681"/>
        <v/>
      </c>
      <c r="AY914" s="655" t="str">
        <f t="shared" si="672"/>
        <v/>
      </c>
      <c r="AZ914" s="655" t="str">
        <f t="shared" si="682"/>
        <v/>
      </c>
      <c r="BA914" s="655" t="str">
        <f t="shared" si="673"/>
        <v/>
      </c>
      <c r="BB914" s="655" t="str">
        <f t="shared" si="676"/>
        <v/>
      </c>
      <c r="BC914" s="655">
        <f t="shared" si="676"/>
        <v>100</v>
      </c>
    </row>
    <row r="915" spans="1:55" ht="12" customHeight="1">
      <c r="A915" s="36"/>
      <c r="B915" s="36"/>
      <c r="C915" s="36"/>
      <c r="D915" s="36"/>
      <c r="E915" s="36"/>
      <c r="F915" s="36"/>
      <c r="G915" s="36"/>
      <c r="H915" s="204"/>
      <c r="I915" s="132"/>
      <c r="J915" s="71"/>
      <c r="K915" s="40"/>
      <c r="L915" s="309"/>
      <c r="M915" s="309"/>
      <c r="N915" s="339"/>
      <c r="O915" s="339"/>
      <c r="P915" s="294"/>
      <c r="Q915" s="294"/>
      <c r="R915" s="443"/>
      <c r="S915" s="294">
        <f>__xlfn.XLOOKUP(H915,[2]Izvršenje_proračuna_po_pozicija!$B$2:$B$153,[2]Izvršenje_proračuna_po_pozicija!$E$2:$E$153,0)</f>
        <v>0</v>
      </c>
      <c r="T915" s="294"/>
      <c r="U915" s="294"/>
      <c r="V915" s="478"/>
      <c r="W915" s="478"/>
      <c r="X915" s="544"/>
      <c r="Y915" s="544"/>
      <c r="Z915" s="541" t="b">
        <f t="shared" si="674"/>
        <v>0</v>
      </c>
      <c r="AA915" s="527"/>
      <c r="AB915" s="528"/>
      <c r="AC915" s="528"/>
      <c r="AD915" s="524"/>
      <c r="AE915" s="524"/>
      <c r="AF915" s="524"/>
      <c r="AG915" s="524"/>
      <c r="AH915" s="527"/>
      <c r="AI915" s="544"/>
      <c r="AJ915" s="516"/>
      <c r="AK915" s="516"/>
      <c r="AL915" s="516"/>
      <c r="AM915" s="294"/>
      <c r="AO915" t="b">
        <f t="shared" si="675"/>
        <v>0</v>
      </c>
      <c r="AQ915" s="443"/>
      <c r="AS915" s="443">
        <f>__xlfn.XLOOKUP(K915,[1]Izvršenje_proračuna_po_pozicija!$C$25:$C$149,[1]Izvršenje_proračuna_po_pozicija!$E$25:$E$149,0)</f>
        <v>0</v>
      </c>
      <c r="AT915" s="617"/>
      <c r="AU915" s="478"/>
      <c r="AV915" s="638"/>
      <c r="AW915" s="638"/>
      <c r="AX915" s="655" t="str">
        <f t="shared" si="681"/>
        <v/>
      </c>
      <c r="AY915" s="655" t="str">
        <f t="shared" si="672"/>
        <v/>
      </c>
      <c r="AZ915" s="655" t="str">
        <f t="shared" si="682"/>
        <v/>
      </c>
      <c r="BA915" s="655" t="str">
        <f t="shared" si="673"/>
        <v/>
      </c>
      <c r="BB915" s="655" t="str">
        <f t="shared" si="676"/>
        <v/>
      </c>
      <c r="BC915" s="655" t="str">
        <f t="shared" si="676"/>
        <v/>
      </c>
    </row>
    <row r="916" spans="1:55" ht="12" customHeight="1">
      <c r="A916" s="355"/>
      <c r="B916" s="355"/>
      <c r="C916" s="355"/>
      <c r="D916" s="355"/>
      <c r="E916" s="355"/>
      <c r="F916" s="355"/>
      <c r="G916" s="355"/>
      <c r="H916" s="379"/>
      <c r="I916" s="359"/>
      <c r="J916" s="356">
        <v>38</v>
      </c>
      <c r="K916" s="358" t="s">
        <v>144</v>
      </c>
      <c r="L916" s="315">
        <f t="shared" ref="L916:AC917" si="691">L917</f>
        <v>0</v>
      </c>
      <c r="M916" s="315">
        <f t="shared" si="691"/>
        <v>0</v>
      </c>
      <c r="N916" s="337">
        <f t="shared" si="691"/>
        <v>0</v>
      </c>
      <c r="O916" s="337">
        <f t="shared" si="691"/>
        <v>0</v>
      </c>
      <c r="P916" s="292">
        <f t="shared" si="691"/>
        <v>0</v>
      </c>
      <c r="Q916" s="292">
        <f t="shared" si="691"/>
        <v>0</v>
      </c>
      <c r="R916" s="441">
        <f t="shared" si="691"/>
        <v>0</v>
      </c>
      <c r="S916" s="292">
        <f t="shared" si="691"/>
        <v>0</v>
      </c>
      <c r="T916" s="292"/>
      <c r="U916" s="292"/>
      <c r="V916" s="469">
        <f t="shared" si="691"/>
        <v>0</v>
      </c>
      <c r="W916" s="469">
        <f t="shared" si="691"/>
        <v>0</v>
      </c>
      <c r="X916" s="522">
        <f t="shared" si="691"/>
        <v>0</v>
      </c>
      <c r="Y916" s="522">
        <f t="shared" si="691"/>
        <v>0</v>
      </c>
      <c r="Z916" s="541" t="b">
        <f t="shared" si="674"/>
        <v>1</v>
      </c>
      <c r="AA916" s="522"/>
      <c r="AB916" s="523">
        <f t="shared" si="691"/>
        <v>0</v>
      </c>
      <c r="AC916" s="523">
        <f t="shared" si="691"/>
        <v>0</v>
      </c>
      <c r="AD916" s="524"/>
      <c r="AE916" s="524"/>
      <c r="AF916" s="524"/>
      <c r="AG916" s="524"/>
      <c r="AH916" s="522"/>
      <c r="AI916" s="522">
        <v>0</v>
      </c>
      <c r="AJ916" s="516"/>
      <c r="AK916" s="516"/>
      <c r="AL916" s="516"/>
      <c r="AM916" s="292"/>
      <c r="AO916" t="b">
        <f t="shared" si="675"/>
        <v>1</v>
      </c>
      <c r="AP916" s="440">
        <f>AP917</f>
        <v>0</v>
      </c>
      <c r="AQ916" s="441">
        <v>0</v>
      </c>
      <c r="AR916" s="440">
        <f>AR917</f>
        <v>0</v>
      </c>
      <c r="AS916" s="441">
        <f>__xlfn.XLOOKUP(K916,[1]Izvršenje_proračuna_po_pozicija!$C$25:$C$149,[1]Izvršenje_proračuna_po_pozicija!$E$25:$E$149,0)</f>
        <v>0</v>
      </c>
      <c r="AT916" s="612">
        <f>AT917</f>
        <v>0</v>
      </c>
      <c r="AU916" s="469"/>
      <c r="AV916" s="636">
        <v>0</v>
      </c>
      <c r="AW916" s="636">
        <v>0</v>
      </c>
      <c r="AX916" s="655" t="str">
        <f t="shared" si="681"/>
        <v/>
      </c>
      <c r="AY916" s="655" t="str">
        <f t="shared" si="672"/>
        <v/>
      </c>
      <c r="AZ916" s="655" t="str">
        <f t="shared" si="682"/>
        <v/>
      </c>
      <c r="BA916" s="655" t="str">
        <f t="shared" si="673"/>
        <v/>
      </c>
      <c r="BB916" s="655" t="str">
        <f t="shared" si="676"/>
        <v/>
      </c>
      <c r="BC916" s="655" t="str">
        <f t="shared" si="676"/>
        <v/>
      </c>
    </row>
    <row r="917" spans="1:55" ht="12" customHeight="1">
      <c r="A917" s="56"/>
      <c r="B917" s="56"/>
      <c r="C917" s="56"/>
      <c r="D917" s="56"/>
      <c r="E917" s="56"/>
      <c r="F917" s="56"/>
      <c r="G917" s="56"/>
      <c r="H917" s="377"/>
      <c r="I917" s="157"/>
      <c r="J917" s="116">
        <v>381</v>
      </c>
      <c r="K917" s="60" t="s">
        <v>236</v>
      </c>
      <c r="L917" s="315">
        <f t="shared" si="691"/>
        <v>0</v>
      </c>
      <c r="M917" s="315">
        <f t="shared" si="691"/>
        <v>0</v>
      </c>
      <c r="N917" s="337">
        <f t="shared" si="691"/>
        <v>0</v>
      </c>
      <c r="O917" s="337">
        <f t="shared" si="691"/>
        <v>0</v>
      </c>
      <c r="P917" s="292">
        <f t="shared" si="691"/>
        <v>0</v>
      </c>
      <c r="Q917" s="292">
        <f t="shared" si="691"/>
        <v>0</v>
      </c>
      <c r="R917" s="441">
        <f t="shared" si="691"/>
        <v>0</v>
      </c>
      <c r="S917" s="292">
        <f t="shared" si="691"/>
        <v>0</v>
      </c>
      <c r="T917" s="292"/>
      <c r="U917" s="292"/>
      <c r="V917" s="469">
        <f t="shared" si="691"/>
        <v>0</v>
      </c>
      <c r="W917" s="469">
        <f t="shared" si="691"/>
        <v>0</v>
      </c>
      <c r="X917" s="522">
        <f t="shared" si="691"/>
        <v>0</v>
      </c>
      <c r="Y917" s="522">
        <f t="shared" si="691"/>
        <v>0</v>
      </c>
      <c r="Z917" s="541" t="b">
        <f t="shared" si="674"/>
        <v>1</v>
      </c>
      <c r="AA917" s="522"/>
      <c r="AB917" s="523">
        <f t="shared" si="691"/>
        <v>0</v>
      </c>
      <c r="AC917" s="523">
        <f t="shared" si="691"/>
        <v>0</v>
      </c>
      <c r="AD917" s="524"/>
      <c r="AE917" s="524"/>
      <c r="AF917" s="524"/>
      <c r="AG917" s="524"/>
      <c r="AH917" s="522"/>
      <c r="AI917" s="522">
        <v>0</v>
      </c>
      <c r="AJ917" s="516"/>
      <c r="AK917" s="516"/>
      <c r="AL917" s="516"/>
      <c r="AM917" s="292"/>
      <c r="AO917" t="b">
        <f t="shared" si="675"/>
        <v>1</v>
      </c>
      <c r="AP917" s="440">
        <f>AP918</f>
        <v>0</v>
      </c>
      <c r="AQ917" s="441">
        <v>0</v>
      </c>
      <c r="AR917" s="440">
        <f>AR918</f>
        <v>0</v>
      </c>
      <c r="AS917" s="441">
        <f>__xlfn.XLOOKUP(K917,[1]Izvršenje_proračuna_po_pozicija!$C$25:$C$149,[1]Izvršenje_proračuna_po_pozicija!$E$25:$E$149,0)</f>
        <v>0</v>
      </c>
      <c r="AT917" s="612">
        <f>AT918</f>
        <v>0</v>
      </c>
      <c r="AU917" s="469"/>
      <c r="AV917" s="636">
        <v>0</v>
      </c>
      <c r="AW917" s="636">
        <v>0</v>
      </c>
      <c r="AX917" s="655" t="str">
        <f t="shared" si="681"/>
        <v/>
      </c>
      <c r="AY917" s="655" t="str">
        <f t="shared" si="672"/>
        <v/>
      </c>
      <c r="AZ917" s="655" t="str">
        <f t="shared" si="682"/>
        <v/>
      </c>
      <c r="BA917" s="655" t="str">
        <f t="shared" si="673"/>
        <v/>
      </c>
      <c r="BB917" s="655" t="str">
        <f t="shared" si="676"/>
        <v/>
      </c>
      <c r="BC917" s="655" t="str">
        <f t="shared" si="676"/>
        <v/>
      </c>
    </row>
    <row r="918" spans="1:55" ht="12" customHeight="1">
      <c r="A918" s="36"/>
      <c r="B918" s="36"/>
      <c r="C918" s="36"/>
      <c r="D918" s="36"/>
      <c r="E918" s="36"/>
      <c r="F918" s="36"/>
      <c r="G918" s="36"/>
      <c r="H918" s="204"/>
      <c r="I918" s="132"/>
      <c r="J918" s="71">
        <v>3811</v>
      </c>
      <c r="K918" s="40" t="s">
        <v>145</v>
      </c>
      <c r="L918" s="315">
        <f t="shared" ref="L918:S918" si="692">L919+L920</f>
        <v>0</v>
      </c>
      <c r="M918" s="315">
        <f t="shared" si="692"/>
        <v>0</v>
      </c>
      <c r="N918" s="337">
        <f t="shared" si="692"/>
        <v>0</v>
      </c>
      <c r="O918" s="337">
        <f t="shared" si="692"/>
        <v>0</v>
      </c>
      <c r="P918" s="292">
        <f t="shared" si="692"/>
        <v>0</v>
      </c>
      <c r="Q918" s="292">
        <f t="shared" si="692"/>
        <v>0</v>
      </c>
      <c r="R918" s="441">
        <f t="shared" si="692"/>
        <v>0</v>
      </c>
      <c r="S918" s="292">
        <f t="shared" si="692"/>
        <v>0</v>
      </c>
      <c r="T918" s="292"/>
      <c r="U918" s="292"/>
      <c r="V918" s="469">
        <f>V919+V920</f>
        <v>0</v>
      </c>
      <c r="W918" s="469">
        <f>W919+W920</f>
        <v>0</v>
      </c>
      <c r="X918" s="522">
        <f>X919+X920</f>
        <v>0</v>
      </c>
      <c r="Y918" s="522">
        <f>Y919+Y920</f>
        <v>0</v>
      </c>
      <c r="Z918" s="541" t="b">
        <f t="shared" si="674"/>
        <v>1</v>
      </c>
      <c r="AA918" s="522"/>
      <c r="AB918" s="523">
        <f>AB919+AB920</f>
        <v>0</v>
      </c>
      <c r="AC918" s="523">
        <f>AC919+AC920</f>
        <v>0</v>
      </c>
      <c r="AD918" s="524"/>
      <c r="AE918" s="524"/>
      <c r="AF918" s="524"/>
      <c r="AG918" s="524"/>
      <c r="AH918" s="522"/>
      <c r="AI918" s="522">
        <v>0</v>
      </c>
      <c r="AJ918" s="516"/>
      <c r="AK918" s="516"/>
      <c r="AL918" s="516"/>
      <c r="AM918" s="292"/>
      <c r="AO918" t="b">
        <f t="shared" si="675"/>
        <v>1</v>
      </c>
      <c r="AP918" s="440">
        <f>AP919+AP920</f>
        <v>0</v>
      </c>
      <c r="AQ918" s="441">
        <v>0</v>
      </c>
      <c r="AR918" s="440">
        <f>AR919+AR920</f>
        <v>0</v>
      </c>
      <c r="AS918" s="441">
        <f>__xlfn.XLOOKUP(K918,[1]Izvršenje_proračuna_po_pozicija!$C$25:$C$149,[1]Izvršenje_proračuna_po_pozicija!$E$25:$E$149,0)</f>
        <v>0</v>
      </c>
      <c r="AT918" s="612">
        <f>AT919+AT920</f>
        <v>0</v>
      </c>
      <c r="AU918" s="469"/>
      <c r="AV918" s="636">
        <v>0</v>
      </c>
      <c r="AW918" s="636">
        <v>0</v>
      </c>
      <c r="AX918" s="655" t="str">
        <f t="shared" si="681"/>
        <v/>
      </c>
      <c r="AY918" s="655" t="str">
        <f t="shared" si="672"/>
        <v/>
      </c>
      <c r="AZ918" s="655" t="str">
        <f t="shared" si="682"/>
        <v/>
      </c>
      <c r="BA918" s="655" t="str">
        <f t="shared" si="673"/>
        <v/>
      </c>
      <c r="BB918" s="655" t="str">
        <f t="shared" si="676"/>
        <v/>
      </c>
      <c r="BC918" s="655" t="str">
        <f t="shared" si="676"/>
        <v/>
      </c>
    </row>
    <row r="919" spans="1:55" ht="12" customHeight="1">
      <c r="A919" s="36"/>
      <c r="B919" s="36"/>
      <c r="C919" s="36"/>
      <c r="D919" s="36"/>
      <c r="E919" s="36"/>
      <c r="F919" s="36"/>
      <c r="G919" s="36"/>
      <c r="H919" s="204">
        <v>163</v>
      </c>
      <c r="I919" s="132">
        <v>912</v>
      </c>
      <c r="J919" s="71">
        <v>3811</v>
      </c>
      <c r="K919" s="40" t="s">
        <v>381</v>
      </c>
      <c r="L919" s="309">
        <v>0</v>
      </c>
      <c r="M919" s="309">
        <v>0</v>
      </c>
      <c r="N919" s="339">
        <v>0</v>
      </c>
      <c r="O919" s="339">
        <v>0</v>
      </c>
      <c r="P919" s="294">
        <v>0</v>
      </c>
      <c r="Q919" s="294">
        <v>0</v>
      </c>
      <c r="R919" s="443">
        <v>0</v>
      </c>
      <c r="S919" s="294">
        <f>__xlfn.XLOOKUP(H919,[2]Izvršenje_proračuna_po_pozicija!$B$2:$B$153,[2]Izvršenje_proračuna_po_pozicija!$E$2:$E$153,0)</f>
        <v>0</v>
      </c>
      <c r="T919" s="294"/>
      <c r="U919" s="294"/>
      <c r="V919" s="478">
        <v>0</v>
      </c>
      <c r="W919" s="478"/>
      <c r="X919" s="544"/>
      <c r="Y919" s="544"/>
      <c r="Z919" s="541" t="b">
        <f t="shared" si="674"/>
        <v>0</v>
      </c>
      <c r="AA919" s="527"/>
      <c r="AB919" s="528">
        <v>0</v>
      </c>
      <c r="AC919" s="528">
        <v>0</v>
      </c>
      <c r="AD919" s="524"/>
      <c r="AE919" s="524"/>
      <c r="AF919" s="524"/>
      <c r="AG919" s="524"/>
      <c r="AH919" s="527"/>
      <c r="AI919" s="544"/>
      <c r="AJ919" s="516"/>
      <c r="AK919" s="516"/>
      <c r="AL919" s="516"/>
      <c r="AM919" s="294"/>
      <c r="AO919" t="b">
        <f t="shared" si="675"/>
        <v>0</v>
      </c>
      <c r="AQ919" s="443"/>
      <c r="AS919" s="443"/>
      <c r="AT919" s="617"/>
      <c r="AU919" s="478"/>
      <c r="AV919" s="638"/>
      <c r="AW919" s="638"/>
      <c r="AX919" s="655" t="str">
        <f t="shared" si="681"/>
        <v/>
      </c>
      <c r="AY919" s="655" t="str">
        <f t="shared" si="672"/>
        <v/>
      </c>
      <c r="AZ919" s="655" t="str">
        <f t="shared" si="682"/>
        <v/>
      </c>
      <c r="BA919" s="655" t="str">
        <f t="shared" si="673"/>
        <v/>
      </c>
      <c r="BB919" s="655" t="str">
        <f t="shared" si="676"/>
        <v/>
      </c>
      <c r="BC919" s="655" t="str">
        <f t="shared" si="676"/>
        <v/>
      </c>
    </row>
    <row r="920" spans="1:55" ht="12" customHeight="1">
      <c r="A920" s="36"/>
      <c r="B920" s="36"/>
      <c r="C920" s="36"/>
      <c r="D920" s="36"/>
      <c r="E920" s="36"/>
      <c r="F920" s="36"/>
      <c r="G920" s="36"/>
      <c r="H920" s="204">
        <v>164</v>
      </c>
      <c r="I920" s="132">
        <v>920</v>
      </c>
      <c r="J920" s="71">
        <v>3811</v>
      </c>
      <c r="K920" s="40" t="s">
        <v>382</v>
      </c>
      <c r="L920" s="309">
        <v>0</v>
      </c>
      <c r="M920" s="309">
        <v>0</v>
      </c>
      <c r="N920" s="339">
        <v>0</v>
      </c>
      <c r="O920" s="339">
        <v>0</v>
      </c>
      <c r="P920" s="294">
        <v>0</v>
      </c>
      <c r="Q920" s="294">
        <v>0</v>
      </c>
      <c r="R920" s="443">
        <v>0</v>
      </c>
      <c r="S920" s="294">
        <f>__xlfn.XLOOKUP(H920,[2]Izvršenje_proračuna_po_pozicija!$B$2:$B$153,[2]Izvršenje_proračuna_po_pozicija!$E$2:$E$153,0)</f>
        <v>0</v>
      </c>
      <c r="T920" s="294"/>
      <c r="U920" s="294"/>
      <c r="V920" s="478">
        <v>0</v>
      </c>
      <c r="W920" s="478"/>
      <c r="X920" s="544"/>
      <c r="Y920" s="544"/>
      <c r="Z920" s="541" t="b">
        <f t="shared" si="674"/>
        <v>0</v>
      </c>
      <c r="AA920" s="527"/>
      <c r="AB920" s="528">
        <v>0</v>
      </c>
      <c r="AC920" s="528">
        <v>0</v>
      </c>
      <c r="AD920" s="524"/>
      <c r="AE920" s="524"/>
      <c r="AF920" s="524"/>
      <c r="AG920" s="524"/>
      <c r="AH920" s="527"/>
      <c r="AI920" s="544"/>
      <c r="AJ920" s="516"/>
      <c r="AK920" s="516"/>
      <c r="AL920" s="516"/>
      <c r="AM920" s="294"/>
      <c r="AO920" t="b">
        <f t="shared" si="675"/>
        <v>0</v>
      </c>
      <c r="AQ920" s="443"/>
      <c r="AS920" s="443"/>
      <c r="AT920" s="617"/>
      <c r="AU920" s="478"/>
      <c r="AV920" s="638"/>
      <c r="AW920" s="638"/>
      <c r="AX920" s="655" t="str">
        <f t="shared" si="681"/>
        <v/>
      </c>
      <c r="AY920" s="655" t="str">
        <f t="shared" si="672"/>
        <v/>
      </c>
      <c r="AZ920" s="655" t="str">
        <f t="shared" si="682"/>
        <v/>
      </c>
      <c r="BA920" s="655" t="str">
        <f t="shared" si="673"/>
        <v/>
      </c>
      <c r="BB920" s="655" t="str">
        <f t="shared" si="676"/>
        <v/>
      </c>
      <c r="BC920" s="655" t="str">
        <f t="shared" si="676"/>
        <v/>
      </c>
    </row>
    <row r="921" spans="1:55" ht="12" customHeight="1">
      <c r="A921" s="36"/>
      <c r="B921" s="36"/>
      <c r="C921" s="36"/>
      <c r="D921" s="36"/>
      <c r="E921" s="36"/>
      <c r="F921" s="36"/>
      <c r="G921" s="36"/>
      <c r="H921" s="204"/>
      <c r="I921" s="132"/>
      <c r="J921" s="71"/>
      <c r="K921" s="40"/>
      <c r="L921" s="309"/>
      <c r="M921" s="309"/>
      <c r="N921" s="339"/>
      <c r="O921" s="339"/>
      <c r="P921" s="294"/>
      <c r="Q921" s="294"/>
      <c r="R921" s="443"/>
      <c r="S921" s="294">
        <f>__xlfn.XLOOKUP(H921,[2]Izvršenje_proračuna_po_pozicija!$B$2:$B$153,[2]Izvršenje_proračuna_po_pozicija!$E$2:$E$153,0)</f>
        <v>0</v>
      </c>
      <c r="T921" s="294"/>
      <c r="U921" s="294"/>
      <c r="V921" s="478"/>
      <c r="W921" s="478"/>
      <c r="X921" s="544"/>
      <c r="Y921" s="544"/>
      <c r="Z921" s="541" t="b">
        <f t="shared" si="674"/>
        <v>0</v>
      </c>
      <c r="AA921" s="527"/>
      <c r="AB921" s="528"/>
      <c r="AC921" s="528"/>
      <c r="AD921" s="524"/>
      <c r="AE921" s="524"/>
      <c r="AF921" s="524"/>
      <c r="AG921" s="524"/>
      <c r="AH921" s="527"/>
      <c r="AI921" s="544"/>
      <c r="AJ921" s="516"/>
      <c r="AK921" s="516"/>
      <c r="AL921" s="516"/>
      <c r="AM921" s="294"/>
      <c r="AO921" t="b">
        <f t="shared" si="675"/>
        <v>0</v>
      </c>
      <c r="AQ921" s="443"/>
      <c r="AS921" s="443">
        <f>__xlfn.XLOOKUP(K921,[1]Izvršenje_proračuna_po_pozicija!$C$25:$C$149,[1]Izvršenje_proračuna_po_pozicija!$E$25:$E$149,0)</f>
        <v>0</v>
      </c>
      <c r="AT921" s="617"/>
      <c r="AU921" s="478"/>
      <c r="AV921" s="638"/>
      <c r="AW921" s="638"/>
      <c r="AX921" s="655" t="str">
        <f t="shared" si="681"/>
        <v/>
      </c>
      <c r="AY921" s="655" t="str">
        <f t="shared" si="672"/>
        <v/>
      </c>
      <c r="AZ921" s="655" t="str">
        <f t="shared" si="682"/>
        <v/>
      </c>
      <c r="BA921" s="655" t="str">
        <f t="shared" si="673"/>
        <v/>
      </c>
      <c r="BB921" s="655" t="str">
        <f t="shared" si="676"/>
        <v/>
      </c>
      <c r="BC921" s="655" t="str">
        <f t="shared" si="676"/>
        <v/>
      </c>
    </row>
    <row r="922" spans="1:55" ht="12" customHeight="1">
      <c r="A922" s="212" t="s">
        <v>483</v>
      </c>
      <c r="B922" s="130"/>
      <c r="C922" s="130"/>
      <c r="D922" s="130"/>
      <c r="E922" s="130"/>
      <c r="F922" s="130"/>
      <c r="G922" s="130"/>
      <c r="H922" s="383"/>
      <c r="I922" s="170" t="s">
        <v>562</v>
      </c>
      <c r="J922" s="171"/>
      <c r="K922" s="111"/>
      <c r="L922" s="315">
        <f t="shared" ref="L922:S922" si="693">L924</f>
        <v>0</v>
      </c>
      <c r="M922" s="315">
        <f t="shared" si="693"/>
        <v>0</v>
      </c>
      <c r="N922" s="337">
        <f t="shared" si="693"/>
        <v>0</v>
      </c>
      <c r="O922" s="337">
        <f t="shared" si="693"/>
        <v>0</v>
      </c>
      <c r="P922" s="292">
        <f t="shared" si="693"/>
        <v>0</v>
      </c>
      <c r="Q922" s="292">
        <f t="shared" si="693"/>
        <v>0</v>
      </c>
      <c r="R922" s="441">
        <f t="shared" si="693"/>
        <v>0</v>
      </c>
      <c r="S922" s="292">
        <f t="shared" si="693"/>
        <v>0</v>
      </c>
      <c r="T922" s="292"/>
      <c r="U922" s="292"/>
      <c r="V922" s="469">
        <f>V924</f>
        <v>0</v>
      </c>
      <c r="W922" s="469">
        <f>W924</f>
        <v>0</v>
      </c>
      <c r="X922" s="522">
        <f>X924</f>
        <v>0</v>
      </c>
      <c r="Y922" s="522">
        <f>Y924</f>
        <v>0</v>
      </c>
      <c r="Z922" s="541" t="b">
        <f t="shared" si="674"/>
        <v>1</v>
      </c>
      <c r="AA922" s="522"/>
      <c r="AB922" s="523">
        <f>AB924</f>
        <v>5000</v>
      </c>
      <c r="AC922" s="523">
        <f>AC924</f>
        <v>5000</v>
      </c>
      <c r="AD922" s="524"/>
      <c r="AE922" s="524"/>
      <c r="AF922" s="524"/>
      <c r="AG922" s="524"/>
      <c r="AH922" s="522"/>
      <c r="AI922" s="522">
        <v>0</v>
      </c>
      <c r="AJ922" s="516"/>
      <c r="AK922" s="516"/>
      <c r="AL922" s="516"/>
      <c r="AM922" s="292"/>
      <c r="AO922" t="b">
        <f t="shared" si="675"/>
        <v>1</v>
      </c>
      <c r="AP922" s="440">
        <f>AP924</f>
        <v>0</v>
      </c>
      <c r="AQ922" s="441">
        <v>0</v>
      </c>
      <c r="AR922" s="440">
        <f>AR924</f>
        <v>0</v>
      </c>
      <c r="AS922" s="441">
        <f>__xlfn.XLOOKUP(K922,[1]Izvršenje_proračuna_po_pozicija!$C$25:$C$149,[1]Izvršenje_proračuna_po_pozicija!$E$25:$E$149,0)</f>
        <v>0</v>
      </c>
      <c r="AT922" s="612">
        <f>AT924</f>
        <v>0</v>
      </c>
      <c r="AU922" s="469"/>
      <c r="AV922" s="636">
        <v>0</v>
      </c>
      <c r="AW922" s="636">
        <v>0</v>
      </c>
      <c r="AX922" s="655" t="str">
        <f t="shared" si="681"/>
        <v/>
      </c>
      <c r="AY922" s="655" t="str">
        <f t="shared" si="672"/>
        <v/>
      </c>
      <c r="AZ922" s="655" t="str">
        <f t="shared" si="682"/>
        <v/>
      </c>
      <c r="BA922" s="655" t="str">
        <f t="shared" si="673"/>
        <v/>
      </c>
      <c r="BB922" s="655" t="str">
        <f t="shared" si="676"/>
        <v/>
      </c>
      <c r="BC922" s="655" t="str">
        <f t="shared" si="676"/>
        <v/>
      </c>
    </row>
    <row r="923" spans="1:55" ht="12" customHeight="1">
      <c r="A923" s="20"/>
      <c r="B923" s="20"/>
      <c r="C923" s="20"/>
      <c r="D923" s="20"/>
      <c r="E923" s="20"/>
      <c r="F923" s="20"/>
      <c r="G923" s="20"/>
      <c r="H923" s="375"/>
      <c r="I923" s="22"/>
      <c r="J923" s="21"/>
      <c r="K923" s="19"/>
      <c r="L923" s="313">
        <v>1</v>
      </c>
      <c r="M923" s="313">
        <v>2</v>
      </c>
      <c r="N923" s="335">
        <v>3</v>
      </c>
      <c r="O923" s="335">
        <v>4</v>
      </c>
      <c r="P923" s="290">
        <v>5</v>
      </c>
      <c r="Q923" s="290">
        <v>6</v>
      </c>
      <c r="R923" s="439"/>
      <c r="S923" s="294">
        <f>__xlfn.XLOOKUP(H923,[2]Izvršenje_proračuna_po_pozicija!$B$2:$B$153,[2]Izvršenje_proračuna_po_pozicija!$E$2:$E$153,0)</f>
        <v>0</v>
      </c>
      <c r="T923" s="294"/>
      <c r="U923" s="294"/>
      <c r="V923" s="474">
        <v>5</v>
      </c>
      <c r="W923" s="474"/>
      <c r="X923" s="539"/>
      <c r="Y923" s="539"/>
      <c r="Z923" s="541" t="b">
        <f t="shared" si="674"/>
        <v>0</v>
      </c>
      <c r="AA923" s="514"/>
      <c r="AB923" s="515">
        <v>7</v>
      </c>
      <c r="AC923" s="515">
        <v>8</v>
      </c>
      <c r="AD923" s="515">
        <v>9</v>
      </c>
      <c r="AE923" s="515">
        <v>10</v>
      </c>
      <c r="AF923" s="515">
        <v>11</v>
      </c>
      <c r="AG923" s="515">
        <v>12</v>
      </c>
      <c r="AH923" s="514"/>
      <c r="AI923" s="539"/>
      <c r="AJ923" s="516"/>
      <c r="AK923" s="516"/>
      <c r="AL923" s="516"/>
      <c r="AM923" s="290"/>
      <c r="AO923" t="b">
        <f t="shared" si="675"/>
        <v>0</v>
      </c>
      <c r="AQ923" s="439"/>
      <c r="AS923" s="439">
        <f>__xlfn.XLOOKUP(K923,[1]Izvršenje_proračuna_po_pozicija!$C$25:$C$149,[1]Izvršenje_proračuna_po_pozicija!$E$25:$E$149,0)</f>
        <v>0</v>
      </c>
      <c r="AT923" s="616"/>
      <c r="AU923" s="474"/>
      <c r="AV923" s="632"/>
      <c r="AW923" s="632"/>
      <c r="AX923" s="655" t="str">
        <f t="shared" si="681"/>
        <v/>
      </c>
      <c r="AY923" s="655" t="str">
        <f t="shared" si="672"/>
        <v/>
      </c>
      <c r="AZ923" s="655" t="str">
        <f t="shared" si="682"/>
        <v/>
      </c>
      <c r="BA923" s="655" t="str">
        <f t="shared" si="673"/>
        <v/>
      </c>
      <c r="BB923" s="655" t="str">
        <f t="shared" si="676"/>
        <v/>
      </c>
      <c r="BC923" s="655" t="str">
        <f t="shared" si="676"/>
        <v/>
      </c>
    </row>
    <row r="924" spans="1:55" ht="12" customHeight="1">
      <c r="A924" s="52"/>
      <c r="B924" s="52"/>
      <c r="C924" s="52"/>
      <c r="D924" s="52"/>
      <c r="E924" s="52"/>
      <c r="F924" s="52"/>
      <c r="G924" s="52"/>
      <c r="H924" s="384"/>
      <c r="I924" s="156"/>
      <c r="J924" s="94">
        <v>3</v>
      </c>
      <c r="K924" s="21" t="s">
        <v>94</v>
      </c>
      <c r="L924" s="315">
        <f t="shared" ref="L924:AC927" si="694">L925</f>
        <v>0</v>
      </c>
      <c r="M924" s="315">
        <f t="shared" si="694"/>
        <v>0</v>
      </c>
      <c r="N924" s="337">
        <f t="shared" si="694"/>
        <v>0</v>
      </c>
      <c r="O924" s="337">
        <f t="shared" si="694"/>
        <v>0</v>
      </c>
      <c r="P924" s="292">
        <f t="shared" si="694"/>
        <v>0</v>
      </c>
      <c r="Q924" s="292">
        <f t="shared" si="694"/>
        <v>0</v>
      </c>
      <c r="R924" s="441">
        <f t="shared" si="694"/>
        <v>0</v>
      </c>
      <c r="S924" s="292">
        <f t="shared" si="694"/>
        <v>0</v>
      </c>
      <c r="T924" s="292"/>
      <c r="U924" s="292"/>
      <c r="V924" s="469">
        <f t="shared" ref="V924:Y927" si="695">V925</f>
        <v>0</v>
      </c>
      <c r="W924" s="469">
        <f t="shared" si="695"/>
        <v>0</v>
      </c>
      <c r="X924" s="522">
        <f t="shared" si="695"/>
        <v>0</v>
      </c>
      <c r="Y924" s="522">
        <f t="shared" si="695"/>
        <v>0</v>
      </c>
      <c r="Z924" s="541" t="b">
        <f t="shared" si="674"/>
        <v>1</v>
      </c>
      <c r="AA924" s="522"/>
      <c r="AB924" s="523">
        <f t="shared" si="694"/>
        <v>5000</v>
      </c>
      <c r="AC924" s="523">
        <f t="shared" si="694"/>
        <v>5000</v>
      </c>
      <c r="AD924" s="524"/>
      <c r="AE924" s="524"/>
      <c r="AF924" s="524"/>
      <c r="AG924" s="524"/>
      <c r="AH924" s="522"/>
      <c r="AI924" s="522">
        <v>0</v>
      </c>
      <c r="AJ924" s="516"/>
      <c r="AK924" s="516"/>
      <c r="AL924" s="516"/>
      <c r="AM924" s="292"/>
      <c r="AO924" t="b">
        <f t="shared" si="675"/>
        <v>1</v>
      </c>
      <c r="AP924" s="440">
        <f>AP925</f>
        <v>0</v>
      </c>
      <c r="AQ924" s="441">
        <v>0</v>
      </c>
      <c r="AR924" s="440">
        <f>AR925</f>
        <v>0</v>
      </c>
      <c r="AS924" s="441">
        <f>__xlfn.XLOOKUP(K924,[1]Izvršenje_proračuna_po_pozicija!$C$25:$C$149,[1]Izvršenje_proračuna_po_pozicija!$E$25:$E$149,0)</f>
        <v>0</v>
      </c>
      <c r="AT924" s="612">
        <f>AT925</f>
        <v>0</v>
      </c>
      <c r="AU924" s="469"/>
      <c r="AV924" s="636">
        <v>0</v>
      </c>
      <c r="AW924" s="636">
        <v>0</v>
      </c>
      <c r="AX924" s="655" t="str">
        <f t="shared" si="681"/>
        <v/>
      </c>
      <c r="AY924" s="655" t="str">
        <f t="shared" si="672"/>
        <v/>
      </c>
      <c r="AZ924" s="655" t="str">
        <f t="shared" si="682"/>
        <v/>
      </c>
      <c r="BA924" s="655" t="str">
        <f t="shared" si="673"/>
        <v/>
      </c>
      <c r="BB924" s="655" t="str">
        <f t="shared" si="676"/>
        <v/>
      </c>
      <c r="BC924" s="655" t="str">
        <f t="shared" si="676"/>
        <v/>
      </c>
    </row>
    <row r="925" spans="1:55" ht="12" customHeight="1">
      <c r="A925" s="355"/>
      <c r="B925" s="355"/>
      <c r="C925" s="355"/>
      <c r="D925" s="355"/>
      <c r="E925" s="355"/>
      <c r="F925" s="355"/>
      <c r="G925" s="355"/>
      <c r="H925" s="379"/>
      <c r="I925" s="359"/>
      <c r="J925" s="356">
        <v>36</v>
      </c>
      <c r="K925" s="358" t="s">
        <v>561</v>
      </c>
      <c r="L925" s="315">
        <f t="shared" si="694"/>
        <v>0</v>
      </c>
      <c r="M925" s="315">
        <f t="shared" si="694"/>
        <v>0</v>
      </c>
      <c r="N925" s="337">
        <f t="shared" si="694"/>
        <v>0</v>
      </c>
      <c r="O925" s="337">
        <f t="shared" si="694"/>
        <v>0</v>
      </c>
      <c r="P925" s="292">
        <f t="shared" si="694"/>
        <v>0</v>
      </c>
      <c r="Q925" s="292">
        <f t="shared" si="694"/>
        <v>0</v>
      </c>
      <c r="R925" s="441">
        <f t="shared" si="694"/>
        <v>0</v>
      </c>
      <c r="S925" s="292">
        <f t="shared" si="694"/>
        <v>0</v>
      </c>
      <c r="T925" s="292"/>
      <c r="U925" s="292"/>
      <c r="V925" s="469">
        <f t="shared" si="695"/>
        <v>0</v>
      </c>
      <c r="W925" s="469">
        <f t="shared" si="695"/>
        <v>0</v>
      </c>
      <c r="X925" s="522">
        <f t="shared" si="695"/>
        <v>0</v>
      </c>
      <c r="Y925" s="522">
        <f t="shared" si="695"/>
        <v>0</v>
      </c>
      <c r="Z925" s="541" t="b">
        <f t="shared" si="674"/>
        <v>1</v>
      </c>
      <c r="AA925" s="522"/>
      <c r="AB925" s="523">
        <f>AB926</f>
        <v>5000</v>
      </c>
      <c r="AC925" s="523">
        <f>AC926</f>
        <v>5000</v>
      </c>
      <c r="AD925" s="524"/>
      <c r="AE925" s="524"/>
      <c r="AF925" s="524"/>
      <c r="AG925" s="524"/>
      <c r="AH925" s="522"/>
      <c r="AI925" s="522">
        <v>0</v>
      </c>
      <c r="AJ925" s="516"/>
      <c r="AK925" s="516"/>
      <c r="AL925" s="516"/>
      <c r="AM925" s="292"/>
      <c r="AO925" t="b">
        <f t="shared" si="675"/>
        <v>1</v>
      </c>
      <c r="AP925" s="440">
        <f>AP926</f>
        <v>0</v>
      </c>
      <c r="AQ925" s="441">
        <v>0</v>
      </c>
      <c r="AR925" s="440">
        <f>AR926</f>
        <v>0</v>
      </c>
      <c r="AS925" s="441">
        <f>__xlfn.XLOOKUP(K925,[1]Izvršenje_proračuna_po_pozicija!$C$25:$C$149,[1]Izvršenje_proračuna_po_pozicija!$E$25:$E$149,0)</f>
        <v>0</v>
      </c>
      <c r="AT925" s="612">
        <f>AT926</f>
        <v>0</v>
      </c>
      <c r="AU925" s="469"/>
      <c r="AV925" s="636">
        <v>0</v>
      </c>
      <c r="AW925" s="636">
        <v>0</v>
      </c>
      <c r="AX925" s="655" t="str">
        <f t="shared" si="681"/>
        <v/>
      </c>
      <c r="AY925" s="655">
        <f t="shared" si="672"/>
        <v>0</v>
      </c>
      <c r="AZ925" s="655" t="str">
        <f t="shared" si="682"/>
        <v/>
      </c>
      <c r="BA925" s="655" t="str">
        <f t="shared" si="673"/>
        <v/>
      </c>
      <c r="BB925" s="655" t="str">
        <f t="shared" si="676"/>
        <v/>
      </c>
      <c r="BC925" s="655" t="str">
        <f t="shared" si="676"/>
        <v/>
      </c>
    </row>
    <row r="926" spans="1:55" ht="12" customHeight="1">
      <c r="A926" s="56"/>
      <c r="B926" s="56"/>
      <c r="C926" s="56"/>
      <c r="D926" s="56"/>
      <c r="E926" s="56"/>
      <c r="F926" s="56"/>
      <c r="G926" s="56"/>
      <c r="H926" s="377"/>
      <c r="I926" s="157"/>
      <c r="J926" s="116">
        <v>366</v>
      </c>
      <c r="K926" s="60" t="s">
        <v>563</v>
      </c>
      <c r="L926" s="315">
        <f t="shared" si="694"/>
        <v>0</v>
      </c>
      <c r="M926" s="315">
        <f t="shared" si="694"/>
        <v>0</v>
      </c>
      <c r="N926" s="337">
        <f t="shared" si="694"/>
        <v>0</v>
      </c>
      <c r="O926" s="337">
        <f t="shared" si="694"/>
        <v>0</v>
      </c>
      <c r="P926" s="292">
        <f t="shared" si="694"/>
        <v>0</v>
      </c>
      <c r="Q926" s="292">
        <f t="shared" si="694"/>
        <v>0</v>
      </c>
      <c r="R926" s="441">
        <f t="shared" si="694"/>
        <v>0</v>
      </c>
      <c r="S926" s="292">
        <f t="shared" si="694"/>
        <v>0</v>
      </c>
      <c r="T926" s="292"/>
      <c r="U926" s="292"/>
      <c r="V926" s="469">
        <f t="shared" si="695"/>
        <v>0</v>
      </c>
      <c r="W926" s="469">
        <f t="shared" si="695"/>
        <v>0</v>
      </c>
      <c r="X926" s="522">
        <f t="shared" si="695"/>
        <v>0</v>
      </c>
      <c r="Y926" s="522">
        <f t="shared" si="695"/>
        <v>0</v>
      </c>
      <c r="Z926" s="541" t="b">
        <f t="shared" si="674"/>
        <v>1</v>
      </c>
      <c r="AA926" s="522"/>
      <c r="AB926" s="523">
        <f>AB927</f>
        <v>5000</v>
      </c>
      <c r="AC926" s="523">
        <f>AC927</f>
        <v>5000</v>
      </c>
      <c r="AD926" s="524"/>
      <c r="AE926" s="524"/>
      <c r="AF926" s="524"/>
      <c r="AG926" s="524"/>
      <c r="AH926" s="522"/>
      <c r="AI926" s="522">
        <v>0</v>
      </c>
      <c r="AJ926" s="516"/>
      <c r="AK926" s="516"/>
      <c r="AL926" s="516"/>
      <c r="AM926" s="292"/>
      <c r="AO926" t="b">
        <f t="shared" si="675"/>
        <v>1</v>
      </c>
      <c r="AP926" s="440">
        <f>AP927</f>
        <v>0</v>
      </c>
      <c r="AQ926" s="441">
        <v>0</v>
      </c>
      <c r="AR926" s="440">
        <f>AR927</f>
        <v>0</v>
      </c>
      <c r="AS926" s="441">
        <f>__xlfn.XLOOKUP(K926,[1]Izvršenje_proračuna_po_pozicija!$C$25:$C$149,[1]Izvršenje_proračuna_po_pozicija!$E$25:$E$149,0)</f>
        <v>0</v>
      </c>
      <c r="AT926" s="612">
        <f>AT927</f>
        <v>0</v>
      </c>
      <c r="AU926" s="469"/>
      <c r="AV926" s="636">
        <v>0</v>
      </c>
      <c r="AW926" s="636">
        <v>0</v>
      </c>
      <c r="AX926" s="655" t="str">
        <f t="shared" si="681"/>
        <v/>
      </c>
      <c r="AY926" s="655">
        <f t="shared" si="672"/>
        <v>0</v>
      </c>
      <c r="AZ926" s="655" t="str">
        <f t="shared" si="682"/>
        <v/>
      </c>
      <c r="BA926" s="655" t="str">
        <f t="shared" si="673"/>
        <v/>
      </c>
      <c r="BB926" s="655" t="str">
        <f t="shared" si="676"/>
        <v/>
      </c>
      <c r="BC926" s="655" t="str">
        <f t="shared" si="676"/>
        <v/>
      </c>
    </row>
    <row r="927" spans="1:55" ht="12" customHeight="1">
      <c r="A927" s="36"/>
      <c r="B927" s="36"/>
      <c r="C927" s="36"/>
      <c r="D927" s="36"/>
      <c r="E927" s="36"/>
      <c r="F927" s="36"/>
      <c r="G927" s="36"/>
      <c r="H927" s="204"/>
      <c r="I927" s="132"/>
      <c r="J927" s="71">
        <v>3662</v>
      </c>
      <c r="K927" s="40" t="s">
        <v>564</v>
      </c>
      <c r="L927" s="315">
        <f t="shared" si="694"/>
        <v>0</v>
      </c>
      <c r="M927" s="315">
        <f t="shared" si="694"/>
        <v>0</v>
      </c>
      <c r="N927" s="337">
        <f t="shared" si="694"/>
        <v>0</v>
      </c>
      <c r="O927" s="337">
        <f t="shared" si="694"/>
        <v>0</v>
      </c>
      <c r="P927" s="292">
        <f t="shared" si="694"/>
        <v>0</v>
      </c>
      <c r="Q927" s="292">
        <f t="shared" si="694"/>
        <v>0</v>
      </c>
      <c r="R927" s="441">
        <f t="shared" si="694"/>
        <v>0</v>
      </c>
      <c r="S927" s="292">
        <f t="shared" si="694"/>
        <v>0</v>
      </c>
      <c r="T927" s="292"/>
      <c r="U927" s="292"/>
      <c r="V927" s="469">
        <f t="shared" si="695"/>
        <v>0</v>
      </c>
      <c r="W927" s="469">
        <f t="shared" si="695"/>
        <v>0</v>
      </c>
      <c r="X927" s="522">
        <f t="shared" si="695"/>
        <v>0</v>
      </c>
      <c r="Y927" s="522">
        <f t="shared" si="695"/>
        <v>0</v>
      </c>
      <c r="Z927" s="541" t="b">
        <f t="shared" si="674"/>
        <v>1</v>
      </c>
      <c r="AA927" s="522"/>
      <c r="AB927" s="523">
        <f t="shared" si="694"/>
        <v>5000</v>
      </c>
      <c r="AC927" s="523">
        <f t="shared" si="694"/>
        <v>5000</v>
      </c>
      <c r="AD927" s="524"/>
      <c r="AE927" s="524"/>
      <c r="AF927" s="524"/>
      <c r="AG927" s="524"/>
      <c r="AH927" s="522"/>
      <c r="AI927" s="522">
        <v>0</v>
      </c>
      <c r="AJ927" s="516"/>
      <c r="AK927" s="516"/>
      <c r="AL927" s="516"/>
      <c r="AM927" s="292"/>
      <c r="AO927" t="b">
        <f t="shared" si="675"/>
        <v>1</v>
      </c>
      <c r="AP927" s="440">
        <f>AP928</f>
        <v>0</v>
      </c>
      <c r="AQ927" s="441">
        <v>0</v>
      </c>
      <c r="AR927" s="440">
        <f>AR928</f>
        <v>0</v>
      </c>
      <c r="AS927" s="441">
        <f>__xlfn.XLOOKUP(K927,[1]Izvršenje_proračuna_po_pozicija!$C$25:$C$149,[1]Izvršenje_proračuna_po_pozicija!$E$25:$E$149,0)</f>
        <v>0</v>
      </c>
      <c r="AT927" s="612">
        <f>AT928</f>
        <v>0</v>
      </c>
      <c r="AU927" s="469"/>
      <c r="AV927" s="636">
        <v>0</v>
      </c>
      <c r="AW927" s="636">
        <v>0</v>
      </c>
      <c r="AX927" s="655" t="str">
        <f t="shared" si="681"/>
        <v/>
      </c>
      <c r="AY927" s="655" t="str">
        <f t="shared" si="672"/>
        <v/>
      </c>
      <c r="AZ927" s="655" t="str">
        <f t="shared" si="682"/>
        <v/>
      </c>
      <c r="BA927" s="655" t="str">
        <f t="shared" si="673"/>
        <v/>
      </c>
      <c r="BB927" s="655" t="str">
        <f t="shared" si="676"/>
        <v/>
      </c>
      <c r="BC927" s="655" t="str">
        <f t="shared" si="676"/>
        <v/>
      </c>
    </row>
    <row r="928" spans="1:55" ht="12" customHeight="1">
      <c r="A928" s="36"/>
      <c r="B928" s="36"/>
      <c r="C928" s="36"/>
      <c r="D928" s="36"/>
      <c r="E928" s="36"/>
      <c r="F928" s="36"/>
      <c r="G928" s="36"/>
      <c r="H928" s="204" t="s">
        <v>566</v>
      </c>
      <c r="I928" s="132">
        <v>920</v>
      </c>
      <c r="J928" s="71">
        <v>3662</v>
      </c>
      <c r="K928" s="40" t="s">
        <v>706</v>
      </c>
      <c r="L928" s="309">
        <v>0</v>
      </c>
      <c r="M928" s="309">
        <v>0</v>
      </c>
      <c r="N928" s="339">
        <v>0</v>
      </c>
      <c r="O928" s="339">
        <v>0</v>
      </c>
      <c r="P928" s="294">
        <v>0</v>
      </c>
      <c r="Q928" s="294">
        <v>0</v>
      </c>
      <c r="R928" s="443">
        <v>0</v>
      </c>
      <c r="S928" s="294">
        <f>__xlfn.XLOOKUP(H928,[2]Izvršenje_proračuna_po_pozicija!$B$2:$B$153,[2]Izvršenje_proračuna_po_pozicija!$E$2:$E$153,0)</f>
        <v>0</v>
      </c>
      <c r="T928" s="294"/>
      <c r="U928" s="294"/>
      <c r="V928" s="478">
        <v>0</v>
      </c>
      <c r="W928" s="478"/>
      <c r="X928" s="544"/>
      <c r="Y928" s="544"/>
      <c r="Z928" s="541" t="b">
        <f t="shared" si="674"/>
        <v>0</v>
      </c>
      <c r="AA928" s="527"/>
      <c r="AB928" s="528">
        <v>5000</v>
      </c>
      <c r="AC928" s="528">
        <v>5000</v>
      </c>
      <c r="AD928" s="524"/>
      <c r="AE928" s="524"/>
      <c r="AF928" s="524"/>
      <c r="AG928" s="524"/>
      <c r="AH928" s="527"/>
      <c r="AI928" s="544"/>
      <c r="AJ928" s="516"/>
      <c r="AK928" s="516"/>
      <c r="AL928" s="516"/>
      <c r="AM928" s="294"/>
      <c r="AO928" t="b">
        <f t="shared" si="675"/>
        <v>0</v>
      </c>
      <c r="AQ928" s="443"/>
      <c r="AS928" s="443">
        <f>__xlfn.XLOOKUP(K928,[1]Izvršenje_proračuna_po_pozicija!$C$25:$C$149,[1]Izvršenje_proračuna_po_pozicija!$E$25:$E$149,0)</f>
        <v>0</v>
      </c>
      <c r="AT928" s="617"/>
      <c r="AU928" s="478"/>
      <c r="AV928" s="638"/>
      <c r="AW928" s="638"/>
      <c r="AX928" s="655" t="str">
        <f t="shared" si="681"/>
        <v/>
      </c>
      <c r="AY928" s="655" t="str">
        <f t="shared" si="672"/>
        <v/>
      </c>
      <c r="AZ928" s="655" t="str">
        <f t="shared" si="682"/>
        <v/>
      </c>
      <c r="BA928" s="655" t="str">
        <f t="shared" si="673"/>
        <v/>
      </c>
      <c r="BB928" s="655" t="str">
        <f t="shared" si="676"/>
        <v/>
      </c>
      <c r="BC928" s="655" t="str">
        <f t="shared" si="676"/>
        <v/>
      </c>
    </row>
    <row r="929" spans="1:55" ht="12" customHeight="1">
      <c r="A929" s="20"/>
      <c r="B929" s="20"/>
      <c r="C929" s="20"/>
      <c r="D929" s="20"/>
      <c r="E929" s="20"/>
      <c r="F929" s="20"/>
      <c r="G929" s="20"/>
      <c r="H929" s="375"/>
      <c r="I929" s="22"/>
      <c r="J929" s="21"/>
      <c r="K929" s="19"/>
      <c r="L929" s="313"/>
      <c r="M929" s="313"/>
      <c r="N929" s="335"/>
      <c r="O929" s="335"/>
      <c r="P929" s="290"/>
      <c r="Q929" s="290"/>
      <c r="R929" s="439"/>
      <c r="S929" s="294">
        <f>__xlfn.XLOOKUP(H929,[2]Izvršenje_proračuna_po_pozicija!$B$2:$B$153,[2]Izvršenje_proračuna_po_pozicija!$E$2:$E$153,0)</f>
        <v>0</v>
      </c>
      <c r="T929" s="294"/>
      <c r="U929" s="294"/>
      <c r="V929" s="474"/>
      <c r="W929" s="474"/>
      <c r="X929" s="539"/>
      <c r="Y929" s="539"/>
      <c r="Z929" s="541" t="b">
        <f t="shared" si="674"/>
        <v>0</v>
      </c>
      <c r="AA929" s="514"/>
      <c r="AB929" s="515"/>
      <c r="AC929" s="515"/>
      <c r="AD929" s="524"/>
      <c r="AE929" s="524"/>
      <c r="AF929" s="524"/>
      <c r="AG929" s="524"/>
      <c r="AH929" s="514"/>
      <c r="AI929" s="539"/>
      <c r="AJ929" s="516"/>
      <c r="AK929" s="516"/>
      <c r="AL929" s="516"/>
      <c r="AM929" s="290"/>
      <c r="AO929" t="b">
        <f t="shared" si="675"/>
        <v>0</v>
      </c>
      <c r="AQ929" s="439"/>
      <c r="AS929" s="439">
        <f>__xlfn.XLOOKUP(K929,[1]Izvršenje_proračuna_po_pozicija!$C$25:$C$149,[1]Izvršenje_proračuna_po_pozicija!$E$25:$E$149,0)</f>
        <v>0</v>
      </c>
      <c r="AT929" s="616"/>
      <c r="AU929" s="474"/>
      <c r="AV929" s="632"/>
      <c r="AW929" s="632"/>
      <c r="AX929" s="655" t="str">
        <f t="shared" si="681"/>
        <v/>
      </c>
      <c r="AY929" s="655" t="str">
        <f t="shared" si="672"/>
        <v/>
      </c>
      <c r="AZ929" s="655" t="str">
        <f t="shared" si="682"/>
        <v/>
      </c>
      <c r="BA929" s="655" t="str">
        <f t="shared" si="673"/>
        <v/>
      </c>
      <c r="BB929" s="655" t="str">
        <f t="shared" si="676"/>
        <v/>
      </c>
      <c r="BC929" s="655" t="str">
        <f t="shared" si="676"/>
        <v/>
      </c>
    </row>
    <row r="930" spans="1:55" ht="12" customHeight="1">
      <c r="A930" s="142"/>
      <c r="B930" s="142"/>
      <c r="C930" s="142"/>
      <c r="D930" s="142"/>
      <c r="E930" s="142"/>
      <c r="F930" s="142"/>
      <c r="G930" s="142"/>
      <c r="H930" s="390"/>
      <c r="I930" s="173" t="s">
        <v>498</v>
      </c>
      <c r="J930" s="174"/>
      <c r="K930" s="107"/>
      <c r="L930" s="315">
        <f t="shared" ref="L930:S930" si="696">L931+L947+L963</f>
        <v>856840</v>
      </c>
      <c r="M930" s="315">
        <f t="shared" si="696"/>
        <v>113722.21116198818</v>
      </c>
      <c r="N930" s="337">
        <f t="shared" si="696"/>
        <v>1118301</v>
      </c>
      <c r="O930" s="337">
        <f t="shared" si="696"/>
        <v>148424.04937288471</v>
      </c>
      <c r="P930" s="292">
        <f t="shared" si="696"/>
        <v>164620</v>
      </c>
      <c r="Q930" s="292">
        <f t="shared" si="696"/>
        <v>175920</v>
      </c>
      <c r="R930" s="441">
        <f t="shared" si="696"/>
        <v>170696</v>
      </c>
      <c r="S930" s="292" t="e">
        <f t="shared" si="696"/>
        <v>#REF!</v>
      </c>
      <c r="T930" s="292"/>
      <c r="U930" s="292"/>
      <c r="V930" s="469">
        <f>V931+V947+V963</f>
        <v>195000</v>
      </c>
      <c r="W930" s="469">
        <f>W931+W947+W963</f>
        <v>204000</v>
      </c>
      <c r="X930" s="522">
        <f>X931+X947+X963</f>
        <v>300000</v>
      </c>
      <c r="Y930" s="522">
        <f>Y931+Y947+Y963</f>
        <v>0</v>
      </c>
      <c r="Z930" s="541" t="b">
        <f t="shared" si="674"/>
        <v>1</v>
      </c>
      <c r="AA930" s="522"/>
      <c r="AB930" s="523">
        <f>AB931+AB947+AB963</f>
        <v>171000</v>
      </c>
      <c r="AC930" s="523">
        <f>AC931+AC947+AC963</f>
        <v>171000</v>
      </c>
      <c r="AD930" s="524">
        <f>O930/M930*100</f>
        <v>130.51456514635171</v>
      </c>
      <c r="AE930" s="524">
        <f>P930/O930*100</f>
        <v>110.91194499513102</v>
      </c>
      <c r="AF930" s="524">
        <f>Q930/P930*100</f>
        <v>106.86429352448062</v>
      </c>
      <c r="AG930" s="524">
        <f>AB930/Q930*100</f>
        <v>97.203274215552526</v>
      </c>
      <c r="AH930" s="522"/>
      <c r="AI930" s="522">
        <v>300000</v>
      </c>
      <c r="AJ930" s="516">
        <f>W930/R930*100</f>
        <v>119.51070909687398</v>
      </c>
      <c r="AK930" s="516">
        <f>AT930/W930*100</f>
        <v>126.56862745098039</v>
      </c>
      <c r="AL930" s="516">
        <f>X930/AT930*100</f>
        <v>116.18900077459332</v>
      </c>
      <c r="AM930" s="292"/>
      <c r="AO930" t="b">
        <f t="shared" si="675"/>
        <v>1</v>
      </c>
      <c r="AP930" s="440">
        <f t="shared" ref="AP930:AU930" si="697">AP931+AP947+AP963</f>
        <v>183238.14</v>
      </c>
      <c r="AQ930" s="441">
        <v>183238.14</v>
      </c>
      <c r="AR930" s="440">
        <f>AR931+AR947+AR963</f>
        <v>183238.14</v>
      </c>
      <c r="AS930" s="441">
        <f t="shared" si="697"/>
        <v>117361.70000000001</v>
      </c>
      <c r="AT930" s="612">
        <f t="shared" si="697"/>
        <v>258200</v>
      </c>
      <c r="AU930" s="469">
        <f t="shared" si="697"/>
        <v>287200</v>
      </c>
      <c r="AV930" s="636">
        <v>300000</v>
      </c>
      <c r="AW930" s="636">
        <v>300000</v>
      </c>
      <c r="AX930" s="655">
        <f t="shared" si="681"/>
        <v>151.26306416084736</v>
      </c>
      <c r="AY930" s="655">
        <f t="shared" si="672"/>
        <v>166.86254597605992</v>
      </c>
      <c r="AZ930" s="655">
        <f t="shared" si="682"/>
        <v>111.2316034082107</v>
      </c>
      <c r="BA930" s="655">
        <f t="shared" si="673"/>
        <v>185.60388537693419</v>
      </c>
      <c r="BB930" s="655">
        <f t="shared" si="676"/>
        <v>104.45682451253482</v>
      </c>
      <c r="BC930" s="655">
        <f t="shared" si="676"/>
        <v>100</v>
      </c>
    </row>
    <row r="931" spans="1:55" ht="12" customHeight="1">
      <c r="A931" s="212" t="s">
        <v>474</v>
      </c>
      <c r="B931" s="130"/>
      <c r="C931" s="130"/>
      <c r="D931" s="130"/>
      <c r="E931" s="130"/>
      <c r="F931" s="130"/>
      <c r="G931" s="130"/>
      <c r="H931" s="383"/>
      <c r="I931" s="170" t="s">
        <v>383</v>
      </c>
      <c r="J931" s="171"/>
      <c r="K931" s="111"/>
      <c r="L931" s="315">
        <f t="shared" ref="L931:S931" si="698">L933</f>
        <v>731840</v>
      </c>
      <c r="M931" s="315">
        <f t="shared" si="698"/>
        <v>97131.86011015992</v>
      </c>
      <c r="N931" s="337">
        <f t="shared" si="698"/>
        <v>988301</v>
      </c>
      <c r="O931" s="337">
        <f t="shared" si="698"/>
        <v>131170.08427898333</v>
      </c>
      <c r="P931" s="292">
        <f t="shared" si="698"/>
        <v>146700</v>
      </c>
      <c r="Q931" s="292">
        <f t="shared" si="698"/>
        <v>158000</v>
      </c>
      <c r="R931" s="441">
        <f t="shared" si="698"/>
        <v>153896</v>
      </c>
      <c r="S931" s="292">
        <f t="shared" si="698"/>
        <v>44713.59</v>
      </c>
      <c r="T931" s="292"/>
      <c r="U931" s="292"/>
      <c r="V931" s="469">
        <f>V933</f>
        <v>174500</v>
      </c>
      <c r="W931" s="469">
        <f>W933</f>
        <v>183500</v>
      </c>
      <c r="X931" s="522">
        <f>X933</f>
        <v>273000</v>
      </c>
      <c r="Y931" s="522">
        <f>Y933</f>
        <v>0</v>
      </c>
      <c r="Z931" s="541" t="b">
        <f t="shared" si="674"/>
        <v>1</v>
      </c>
      <c r="AA931" s="522"/>
      <c r="AB931" s="523">
        <f>AB933</f>
        <v>152000</v>
      </c>
      <c r="AC931" s="523">
        <f>AC933</f>
        <v>152000</v>
      </c>
      <c r="AD931" s="524">
        <f>O931/M931*100</f>
        <v>135.04331547879318</v>
      </c>
      <c r="AE931" s="524">
        <f>P931/O931*100</f>
        <v>111.83952561011272</v>
      </c>
      <c r="AF931" s="524">
        <f>Q931/P931*100</f>
        <v>107.70279481935923</v>
      </c>
      <c r="AG931" s="524">
        <f>AB931/Q931*100</f>
        <v>96.202531645569621</v>
      </c>
      <c r="AH931" s="522"/>
      <c r="AI931" s="522">
        <v>273000</v>
      </c>
      <c r="AJ931" s="516">
        <f>W931/R931*100</f>
        <v>119.23636741695691</v>
      </c>
      <c r="AK931" s="516">
        <f>AT931/W931*100</f>
        <v>127.52043596730245</v>
      </c>
      <c r="AL931" s="516">
        <f>X931/AT931*100</f>
        <v>116.66666666666667</v>
      </c>
      <c r="AM931" s="292"/>
      <c r="AO931" t="b">
        <f t="shared" si="675"/>
        <v>1</v>
      </c>
      <c r="AP931" s="440">
        <f t="shared" ref="AP931:AU931" si="699">AP933</f>
        <v>154738.14000000001</v>
      </c>
      <c r="AQ931" s="441">
        <v>154738.14000000001</v>
      </c>
      <c r="AR931" s="440">
        <f>AR933</f>
        <v>154738.14000000001</v>
      </c>
      <c r="AS931" s="441">
        <f t="shared" si="699"/>
        <v>110361.70000000001</v>
      </c>
      <c r="AT931" s="612">
        <f t="shared" si="699"/>
        <v>234000</v>
      </c>
      <c r="AU931" s="469">
        <f t="shared" si="699"/>
        <v>263000</v>
      </c>
      <c r="AV931" s="636">
        <v>273000</v>
      </c>
      <c r="AW931" s="636">
        <v>273000</v>
      </c>
      <c r="AX931" s="655">
        <f t="shared" si="681"/>
        <v>152.05073556167801</v>
      </c>
      <c r="AY931" s="655" t="str">
        <f t="shared" si="672"/>
        <v/>
      </c>
      <c r="AZ931" s="655">
        <f t="shared" si="682"/>
        <v>112.3931623931624</v>
      </c>
      <c r="BA931" s="655" t="str">
        <f t="shared" si="673"/>
        <v/>
      </c>
      <c r="BB931" s="655">
        <f t="shared" si="676"/>
        <v>103.8022813688213</v>
      </c>
      <c r="BC931" s="655">
        <f t="shared" si="676"/>
        <v>100</v>
      </c>
    </row>
    <row r="932" spans="1:55" ht="12" customHeight="1">
      <c r="A932" s="20"/>
      <c r="B932" s="20"/>
      <c r="C932" s="20"/>
      <c r="D932" s="20"/>
      <c r="E932" s="20"/>
      <c r="F932" s="20"/>
      <c r="G932" s="20"/>
      <c r="H932" s="375"/>
      <c r="I932" s="22"/>
      <c r="J932" s="21"/>
      <c r="K932" s="94"/>
      <c r="L932" s="313"/>
      <c r="M932" s="313"/>
      <c r="N932" s="335"/>
      <c r="O932" s="335"/>
      <c r="P932" s="290"/>
      <c r="Q932" s="290"/>
      <c r="R932" s="439"/>
      <c r="S932" s="294">
        <f>__xlfn.XLOOKUP(H932,[2]Izvršenje_proračuna_po_pozicija!$B$2:$B$153,[2]Izvršenje_proračuna_po_pozicija!$E$2:$E$153,0)</f>
        <v>0</v>
      </c>
      <c r="T932" s="294"/>
      <c r="U932" s="294"/>
      <c r="V932" s="474"/>
      <c r="W932" s="474"/>
      <c r="X932" s="539"/>
      <c r="Y932" s="539"/>
      <c r="Z932" s="541" t="b">
        <f t="shared" si="674"/>
        <v>0</v>
      </c>
      <c r="AA932" s="514"/>
      <c r="AB932" s="515"/>
      <c r="AC932" s="515"/>
      <c r="AD932" s="524"/>
      <c r="AE932" s="524"/>
      <c r="AF932" s="524"/>
      <c r="AG932" s="524"/>
      <c r="AH932" s="514"/>
      <c r="AI932" s="539"/>
      <c r="AJ932" s="516"/>
      <c r="AK932" s="516"/>
      <c r="AL932" s="516"/>
      <c r="AM932" s="290"/>
      <c r="AO932" t="b">
        <f t="shared" si="675"/>
        <v>0</v>
      </c>
      <c r="AQ932" s="439"/>
      <c r="AS932" s="439"/>
      <c r="AT932" s="616"/>
      <c r="AU932" s="474"/>
      <c r="AV932" s="632"/>
      <c r="AW932" s="632"/>
      <c r="AX932" s="655" t="str">
        <f t="shared" si="681"/>
        <v/>
      </c>
      <c r="AY932" s="655" t="str">
        <f t="shared" si="672"/>
        <v/>
      </c>
      <c r="AZ932" s="655" t="str">
        <f t="shared" si="682"/>
        <v/>
      </c>
      <c r="BA932" s="655" t="str">
        <f t="shared" si="673"/>
        <v/>
      </c>
      <c r="BB932" s="655" t="str">
        <f t="shared" si="676"/>
        <v/>
      </c>
      <c r="BC932" s="655" t="str">
        <f t="shared" si="676"/>
        <v/>
      </c>
    </row>
    <row r="933" spans="1:55" ht="12" customHeight="1">
      <c r="A933" s="20"/>
      <c r="B933" s="20"/>
      <c r="C933" s="20"/>
      <c r="D933" s="20"/>
      <c r="E933" s="20"/>
      <c r="F933" s="20"/>
      <c r="G933" s="20"/>
      <c r="H933" s="396"/>
      <c r="I933" s="156"/>
      <c r="J933" s="94">
        <v>3</v>
      </c>
      <c r="K933" s="21" t="s">
        <v>94</v>
      </c>
      <c r="L933" s="315">
        <f t="shared" ref="L933:S934" si="700">L934</f>
        <v>731840</v>
      </c>
      <c r="M933" s="315">
        <f t="shared" si="700"/>
        <v>97131.86011015992</v>
      </c>
      <c r="N933" s="337">
        <f t="shared" si="700"/>
        <v>988301</v>
      </c>
      <c r="O933" s="337">
        <f t="shared" si="700"/>
        <v>131170.08427898333</v>
      </c>
      <c r="P933" s="292">
        <f t="shared" si="700"/>
        <v>146700</v>
      </c>
      <c r="Q933" s="292">
        <f t="shared" si="700"/>
        <v>158000</v>
      </c>
      <c r="R933" s="441">
        <f t="shared" si="700"/>
        <v>153896</v>
      </c>
      <c r="S933" s="292">
        <f t="shared" si="700"/>
        <v>44713.59</v>
      </c>
      <c r="T933" s="292"/>
      <c r="U933" s="292"/>
      <c r="V933" s="469">
        <f t="shared" ref="V933:Y934" si="701">V934</f>
        <v>174500</v>
      </c>
      <c r="W933" s="469">
        <f t="shared" si="701"/>
        <v>183500</v>
      </c>
      <c r="X933" s="522">
        <f t="shared" si="701"/>
        <v>273000</v>
      </c>
      <c r="Y933" s="522">
        <f t="shared" si="701"/>
        <v>0</v>
      </c>
      <c r="Z933" s="541" t="b">
        <f t="shared" si="674"/>
        <v>1</v>
      </c>
      <c r="AA933" s="522"/>
      <c r="AB933" s="523">
        <f>AB934</f>
        <v>152000</v>
      </c>
      <c r="AC933" s="523">
        <f>AC934</f>
        <v>152000</v>
      </c>
      <c r="AD933" s="524">
        <f>O933/M933*100</f>
        <v>135.04331547879318</v>
      </c>
      <c r="AE933" s="524">
        <f t="shared" ref="AE933:AF935" si="702">P933/O933*100</f>
        <v>111.83952561011272</v>
      </c>
      <c r="AF933" s="524">
        <f t="shared" si="702"/>
        <v>107.70279481935923</v>
      </c>
      <c r="AG933" s="524">
        <f>AB933/Q933*100</f>
        <v>96.202531645569621</v>
      </c>
      <c r="AH933" s="522"/>
      <c r="AI933" s="522">
        <v>273000</v>
      </c>
      <c r="AJ933" s="516">
        <f>W933/R933*100</f>
        <v>119.23636741695691</v>
      </c>
      <c r="AK933" s="516">
        <f>AT933/W933*100</f>
        <v>127.52043596730245</v>
      </c>
      <c r="AL933" s="516">
        <f>X933/AT933*100</f>
        <v>116.66666666666667</v>
      </c>
      <c r="AM933" s="292"/>
      <c r="AO933" t="b">
        <f t="shared" si="675"/>
        <v>1</v>
      </c>
      <c r="AP933" s="440">
        <f t="shared" ref="AP933:AU934" si="703">AP934</f>
        <v>154738.14000000001</v>
      </c>
      <c r="AQ933" s="441"/>
      <c r="AR933" s="440">
        <f>AR934</f>
        <v>154738.14000000001</v>
      </c>
      <c r="AS933" s="441">
        <f t="shared" si="703"/>
        <v>110361.70000000001</v>
      </c>
      <c r="AT933" s="612">
        <f>AT934</f>
        <v>234000</v>
      </c>
      <c r="AU933" s="469">
        <f t="shared" si="703"/>
        <v>263000</v>
      </c>
      <c r="AV933" s="636">
        <v>273000</v>
      </c>
      <c r="AW933" s="636">
        <v>273000</v>
      </c>
      <c r="AX933" s="655">
        <f t="shared" si="681"/>
        <v>152.05073556167801</v>
      </c>
      <c r="AY933" s="655">
        <f t="shared" si="672"/>
        <v>307.0047059623069</v>
      </c>
      <c r="AZ933" s="655">
        <f t="shared" si="682"/>
        <v>112.3931623931624</v>
      </c>
      <c r="BA933" s="655">
        <f t="shared" si="673"/>
        <v>345.0522977268663</v>
      </c>
      <c r="BB933" s="655">
        <f t="shared" si="676"/>
        <v>103.8022813688213</v>
      </c>
      <c r="BC933" s="655">
        <f t="shared" si="676"/>
        <v>100</v>
      </c>
    </row>
    <row r="934" spans="1:55" ht="12" customHeight="1">
      <c r="A934" s="363"/>
      <c r="B934" s="363"/>
      <c r="C934" s="363"/>
      <c r="D934" s="363"/>
      <c r="E934" s="363"/>
      <c r="F934" s="363"/>
      <c r="G934" s="363"/>
      <c r="H934" s="369"/>
      <c r="I934" s="359"/>
      <c r="J934" s="356">
        <v>37</v>
      </c>
      <c r="K934" s="358" t="s">
        <v>384</v>
      </c>
      <c r="L934" s="315">
        <f t="shared" si="700"/>
        <v>731840</v>
      </c>
      <c r="M934" s="315">
        <f t="shared" si="700"/>
        <v>97131.86011015992</v>
      </c>
      <c r="N934" s="337">
        <f t="shared" si="700"/>
        <v>988301</v>
      </c>
      <c r="O934" s="337">
        <f t="shared" si="700"/>
        <v>131170.08427898333</v>
      </c>
      <c r="P934" s="292">
        <f t="shared" si="700"/>
        <v>146700</v>
      </c>
      <c r="Q934" s="292">
        <f t="shared" si="700"/>
        <v>158000</v>
      </c>
      <c r="R934" s="441">
        <f t="shared" si="700"/>
        <v>153896</v>
      </c>
      <c r="S934" s="292">
        <f t="shared" si="700"/>
        <v>44713.59</v>
      </c>
      <c r="T934" s="292"/>
      <c r="U934" s="292"/>
      <c r="V934" s="469">
        <f t="shared" si="701"/>
        <v>174500</v>
      </c>
      <c r="W934" s="469">
        <f t="shared" si="701"/>
        <v>183500</v>
      </c>
      <c r="X934" s="522">
        <f t="shared" si="701"/>
        <v>273000</v>
      </c>
      <c r="Y934" s="522">
        <f t="shared" si="701"/>
        <v>0</v>
      </c>
      <c r="Z934" s="541" t="b">
        <f t="shared" si="674"/>
        <v>1</v>
      </c>
      <c r="AA934" s="522"/>
      <c r="AB934" s="523">
        <f>AB935</f>
        <v>152000</v>
      </c>
      <c r="AC934" s="523">
        <f>AC935</f>
        <v>152000</v>
      </c>
      <c r="AD934" s="524">
        <f>O934/M934*100</f>
        <v>135.04331547879318</v>
      </c>
      <c r="AE934" s="524">
        <f t="shared" si="702"/>
        <v>111.83952561011272</v>
      </c>
      <c r="AF934" s="524">
        <f t="shared" si="702"/>
        <v>107.70279481935923</v>
      </c>
      <c r="AG934" s="524">
        <f>AB934/Q934*100</f>
        <v>96.202531645569621</v>
      </c>
      <c r="AH934" s="522"/>
      <c r="AI934" s="522">
        <v>273000</v>
      </c>
      <c r="AJ934" s="516">
        <f>W934/R934*100</f>
        <v>119.23636741695691</v>
      </c>
      <c r="AK934" s="516">
        <f>AT934/W934*100</f>
        <v>127.52043596730245</v>
      </c>
      <c r="AL934" s="516">
        <f>X934/AT934*100</f>
        <v>116.66666666666667</v>
      </c>
      <c r="AM934" s="292"/>
      <c r="AO934" t="b">
        <f t="shared" si="675"/>
        <v>1</v>
      </c>
      <c r="AP934" s="440">
        <f t="shared" si="703"/>
        <v>154738.14000000001</v>
      </c>
      <c r="AQ934" s="441">
        <v>154738.14000000001</v>
      </c>
      <c r="AR934" s="440">
        <f>AR935</f>
        <v>154738.14000000001</v>
      </c>
      <c r="AS934" s="441">
        <f t="shared" si="703"/>
        <v>110361.70000000001</v>
      </c>
      <c r="AT934" s="612">
        <f>AT935</f>
        <v>234000</v>
      </c>
      <c r="AU934" s="469">
        <f t="shared" si="703"/>
        <v>263000</v>
      </c>
      <c r="AV934" s="636">
        <v>273000</v>
      </c>
      <c r="AW934" s="636">
        <v>273000</v>
      </c>
      <c r="AX934" s="655">
        <f t="shared" si="681"/>
        <v>152.05073556167801</v>
      </c>
      <c r="AY934" s="655" t="str">
        <f t="shared" si="672"/>
        <v/>
      </c>
      <c r="AZ934" s="655">
        <f t="shared" si="682"/>
        <v>112.3931623931624</v>
      </c>
      <c r="BA934" s="655" t="str">
        <f t="shared" si="673"/>
        <v/>
      </c>
      <c r="BB934" s="655">
        <f t="shared" si="676"/>
        <v>103.8022813688213</v>
      </c>
      <c r="BC934" s="655">
        <f t="shared" si="676"/>
        <v>100</v>
      </c>
    </row>
    <row r="935" spans="1:55" ht="12" customHeight="1">
      <c r="A935" s="165"/>
      <c r="B935" s="165"/>
      <c r="C935" s="165"/>
      <c r="D935" s="165"/>
      <c r="E935" s="165"/>
      <c r="F935" s="165"/>
      <c r="G935" s="165"/>
      <c r="H935" s="395"/>
      <c r="I935" s="157"/>
      <c r="J935" s="116">
        <v>372</v>
      </c>
      <c r="K935" s="60" t="s">
        <v>385</v>
      </c>
      <c r="L935" s="315">
        <f t="shared" ref="L935:S935" si="704">L937+L943</f>
        <v>731840</v>
      </c>
      <c r="M935" s="315">
        <f t="shared" si="704"/>
        <v>97131.86011015992</v>
      </c>
      <c r="N935" s="337">
        <f t="shared" si="704"/>
        <v>988301</v>
      </c>
      <c r="O935" s="337">
        <f t="shared" si="704"/>
        <v>131170.08427898333</v>
      </c>
      <c r="P935" s="292">
        <f t="shared" si="704"/>
        <v>146700</v>
      </c>
      <c r="Q935" s="292">
        <f t="shared" si="704"/>
        <v>158000</v>
      </c>
      <c r="R935" s="441">
        <f t="shared" si="704"/>
        <v>153896</v>
      </c>
      <c r="S935" s="292">
        <f t="shared" si="704"/>
        <v>44713.59</v>
      </c>
      <c r="T935" s="292"/>
      <c r="U935" s="292"/>
      <c r="V935" s="469">
        <f>V937+V943</f>
        <v>174500</v>
      </c>
      <c r="W935" s="469">
        <f>W937+W943</f>
        <v>183500</v>
      </c>
      <c r="X935" s="522">
        <f>X937+X943</f>
        <v>273000</v>
      </c>
      <c r="Y935" s="522">
        <f>Y937+Y943</f>
        <v>0</v>
      </c>
      <c r="Z935" s="541" t="b">
        <f t="shared" si="674"/>
        <v>1</v>
      </c>
      <c r="AA935" s="522"/>
      <c r="AB935" s="523">
        <f>AB937+AB943</f>
        <v>152000</v>
      </c>
      <c r="AC935" s="523">
        <f>AC937+AC943</f>
        <v>152000</v>
      </c>
      <c r="AD935" s="524">
        <f>O935/M935*100</f>
        <v>135.04331547879318</v>
      </c>
      <c r="AE935" s="524">
        <f t="shared" si="702"/>
        <v>111.83952561011272</v>
      </c>
      <c r="AF935" s="524">
        <f t="shared" si="702"/>
        <v>107.70279481935923</v>
      </c>
      <c r="AG935" s="524">
        <f>AB935/Q935*100</f>
        <v>96.202531645569621</v>
      </c>
      <c r="AH935" s="522"/>
      <c r="AI935" s="522">
        <v>273000</v>
      </c>
      <c r="AJ935" s="516">
        <f>W935/R935*100</f>
        <v>119.23636741695691</v>
      </c>
      <c r="AK935" s="516">
        <f>AT935/W935*100</f>
        <v>127.52043596730245</v>
      </c>
      <c r="AL935" s="516">
        <f>X935/AT935*100</f>
        <v>116.66666666666667</v>
      </c>
      <c r="AM935" s="292"/>
      <c r="AO935" t="b">
        <f t="shared" si="675"/>
        <v>1</v>
      </c>
      <c r="AP935" s="440">
        <f t="shared" ref="AP935:AU935" si="705">AP937+AP943</f>
        <v>154738.14000000001</v>
      </c>
      <c r="AQ935" s="441">
        <v>154738.14000000001</v>
      </c>
      <c r="AR935" s="440">
        <f>AR937+AR943</f>
        <v>154738.14000000001</v>
      </c>
      <c r="AS935" s="441">
        <f t="shared" si="705"/>
        <v>110361.70000000001</v>
      </c>
      <c r="AT935" s="612">
        <f t="shared" si="705"/>
        <v>234000</v>
      </c>
      <c r="AU935" s="469">
        <f t="shared" si="705"/>
        <v>263000</v>
      </c>
      <c r="AV935" s="636">
        <v>273000</v>
      </c>
      <c r="AW935" s="636">
        <v>273000</v>
      </c>
      <c r="AX935" s="655">
        <f t="shared" si="681"/>
        <v>152.05073556167801</v>
      </c>
      <c r="AY935" s="655">
        <f t="shared" si="672"/>
        <v>1759.3984962406016</v>
      </c>
      <c r="AZ935" s="655">
        <f t="shared" si="682"/>
        <v>112.3931623931624</v>
      </c>
      <c r="BA935" s="655">
        <f t="shared" si="673"/>
        <v>1977.4436090225563</v>
      </c>
      <c r="BB935" s="655">
        <f t="shared" si="676"/>
        <v>103.8022813688213</v>
      </c>
      <c r="BC935" s="655">
        <f t="shared" si="676"/>
        <v>100</v>
      </c>
    </row>
    <row r="936" spans="1:55" ht="12" customHeight="1">
      <c r="A936" s="20"/>
      <c r="B936" s="20"/>
      <c r="C936" s="20"/>
      <c r="D936" s="20"/>
      <c r="E936" s="20"/>
      <c r="F936" s="20"/>
      <c r="G936" s="20"/>
      <c r="H936" s="375"/>
      <c r="I936" s="22"/>
      <c r="J936" s="21"/>
      <c r="K936" s="19"/>
      <c r="L936" s="313"/>
      <c r="M936" s="313"/>
      <c r="N936" s="335"/>
      <c r="O936" s="335"/>
      <c r="P936" s="290"/>
      <c r="Q936" s="290"/>
      <c r="R936" s="439"/>
      <c r="S936" s="294">
        <f>__xlfn.XLOOKUP(H936,[2]Izvršenje_proračuna_po_pozicija!$B$2:$B$153,[2]Izvršenje_proračuna_po_pozicija!$E$2:$E$153,0)</f>
        <v>0</v>
      </c>
      <c r="T936" s="294"/>
      <c r="U936" s="294"/>
      <c r="V936" s="474"/>
      <c r="W936" s="474"/>
      <c r="X936" s="539"/>
      <c r="Y936" s="539"/>
      <c r="Z936" s="541" t="b">
        <f t="shared" si="674"/>
        <v>0</v>
      </c>
      <c r="AA936" s="514"/>
      <c r="AB936" s="515"/>
      <c r="AC936" s="515"/>
      <c r="AD936" s="524"/>
      <c r="AE936" s="524"/>
      <c r="AF936" s="524"/>
      <c r="AG936" s="524"/>
      <c r="AH936" s="514"/>
      <c r="AI936" s="539"/>
      <c r="AJ936" s="516"/>
      <c r="AK936" s="516"/>
      <c r="AL936" s="516"/>
      <c r="AM936" s="290"/>
      <c r="AO936" t="b">
        <f t="shared" si="675"/>
        <v>0</v>
      </c>
      <c r="AQ936" s="439"/>
      <c r="AS936" s="439"/>
      <c r="AT936" s="616"/>
      <c r="AU936" s="474"/>
      <c r="AV936" s="632"/>
      <c r="AW936" s="632"/>
      <c r="AX936" s="655" t="str">
        <f t="shared" si="681"/>
        <v/>
      </c>
      <c r="AY936" s="655" t="str">
        <f t="shared" si="672"/>
        <v/>
      </c>
      <c r="AZ936" s="655" t="str">
        <f t="shared" si="682"/>
        <v/>
      </c>
      <c r="BA936" s="655" t="str">
        <f t="shared" si="673"/>
        <v/>
      </c>
      <c r="BB936" s="655" t="str">
        <f t="shared" si="676"/>
        <v/>
      </c>
      <c r="BC936" s="655" t="str">
        <f t="shared" si="676"/>
        <v/>
      </c>
    </row>
    <row r="937" spans="1:55" ht="12" customHeight="1">
      <c r="A937" s="66"/>
      <c r="B937" s="66"/>
      <c r="C937" s="66"/>
      <c r="D937" s="66"/>
      <c r="E937" s="66"/>
      <c r="F937" s="66"/>
      <c r="G937" s="66"/>
      <c r="H937" s="196"/>
      <c r="I937" s="132"/>
      <c r="J937" s="71">
        <v>3721</v>
      </c>
      <c r="K937" s="40" t="s">
        <v>386</v>
      </c>
      <c r="L937" s="315">
        <f t="shared" ref="L937:S937" si="706">L938+L939+L940+L941</f>
        <v>526750</v>
      </c>
      <c r="M937" s="315">
        <f t="shared" si="706"/>
        <v>69911.739332404264</v>
      </c>
      <c r="N937" s="337">
        <f t="shared" si="706"/>
        <v>592585</v>
      </c>
      <c r="O937" s="337">
        <f t="shared" si="706"/>
        <v>78649.545424381169</v>
      </c>
      <c r="P937" s="292">
        <f t="shared" si="706"/>
        <v>96700</v>
      </c>
      <c r="Q937" s="292">
        <f t="shared" si="706"/>
        <v>98000</v>
      </c>
      <c r="R937" s="441">
        <f t="shared" si="706"/>
        <v>100320</v>
      </c>
      <c r="S937" s="292">
        <f t="shared" si="706"/>
        <v>21193.68</v>
      </c>
      <c r="T937" s="292"/>
      <c r="U937" s="292"/>
      <c r="V937" s="469">
        <f>V938+V939+V940+V941</f>
        <v>110500</v>
      </c>
      <c r="W937" s="469">
        <f>W938+W939+W940+W941</f>
        <v>114500</v>
      </c>
      <c r="X937" s="522">
        <f>X938+X939+X940+X941</f>
        <v>173000</v>
      </c>
      <c r="Y937" s="522">
        <f>Y938+Y939+Y940+Y941</f>
        <v>0</v>
      </c>
      <c r="Z937" s="541" t="b">
        <f t="shared" si="674"/>
        <v>1</v>
      </c>
      <c r="AA937" s="522"/>
      <c r="AB937" s="523">
        <f>AB938+AB939+AB940+AB941</f>
        <v>100000</v>
      </c>
      <c r="AC937" s="523">
        <f>AC938+AC939+AC940+AC941</f>
        <v>100000</v>
      </c>
      <c r="AD937" s="524">
        <f>O937/M937*100</f>
        <v>112.49833887043191</v>
      </c>
      <c r="AE937" s="524">
        <f>P937/O937*100</f>
        <v>122.95048811562901</v>
      </c>
      <c r="AF937" s="524">
        <f>Q937/P937*100</f>
        <v>101.34436401240951</v>
      </c>
      <c r="AG937" s="524">
        <f>AB937/Q937*100</f>
        <v>102.04081632653062</v>
      </c>
      <c r="AH937" s="522"/>
      <c r="AI937" s="522">
        <v>173000</v>
      </c>
      <c r="AJ937" s="516">
        <f>W937/R937*100</f>
        <v>114.1347687400319</v>
      </c>
      <c r="AK937" s="516">
        <f>AT937/W937*100</f>
        <v>134.49781659388645</v>
      </c>
      <c r="AL937" s="516">
        <f>X937/AT937*100</f>
        <v>112.33766233766234</v>
      </c>
      <c r="AM937" s="292"/>
      <c r="AN937" s="413"/>
      <c r="AO937" t="b">
        <f t="shared" si="675"/>
        <v>1</v>
      </c>
      <c r="AP937" s="440">
        <f t="shared" ref="AP937:AU937" si="707">AP938+AP939+AP940+AP941</f>
        <v>113267.61</v>
      </c>
      <c r="AQ937" s="441">
        <v>113267.61</v>
      </c>
      <c r="AR937" s="440">
        <f>AR938+AR939+AR940+AR941</f>
        <v>113267.61</v>
      </c>
      <c r="AS937" s="441">
        <f t="shared" si="707"/>
        <v>41246.46</v>
      </c>
      <c r="AT937" s="612">
        <f t="shared" si="707"/>
        <v>154000</v>
      </c>
      <c r="AU937" s="469">
        <f t="shared" si="707"/>
        <v>153000</v>
      </c>
      <c r="AV937" s="636">
        <v>173000</v>
      </c>
      <c r="AW937" s="636">
        <v>173000</v>
      </c>
      <c r="AX937" s="655">
        <f t="shared" si="681"/>
        <v>153.50877192982458</v>
      </c>
      <c r="AY937" s="655" t="str">
        <f t="shared" si="672"/>
        <v/>
      </c>
      <c r="AZ937" s="655">
        <f t="shared" si="682"/>
        <v>99.350649350649363</v>
      </c>
      <c r="BA937" s="655" t="str">
        <f t="shared" si="673"/>
        <v/>
      </c>
      <c r="BB937" s="655">
        <f t="shared" si="676"/>
        <v>113.0718954248366</v>
      </c>
      <c r="BC937" s="655">
        <f t="shared" si="676"/>
        <v>100</v>
      </c>
    </row>
    <row r="938" spans="1:55" ht="12" customHeight="1">
      <c r="A938" s="36"/>
      <c r="B938" s="36"/>
      <c r="C938" s="36"/>
      <c r="D938" s="36"/>
      <c r="E938" s="36"/>
      <c r="F938" s="36"/>
      <c r="G938" s="36"/>
      <c r="H938" s="204">
        <v>130</v>
      </c>
      <c r="I938" s="136">
        <v>1070</v>
      </c>
      <c r="J938" s="71">
        <v>3721</v>
      </c>
      <c r="K938" s="40" t="s">
        <v>387</v>
      </c>
      <c r="L938" s="309">
        <v>384226</v>
      </c>
      <c r="M938" s="309">
        <f>384226/7.5345</f>
        <v>50995.553785918106</v>
      </c>
      <c r="N938" s="339">
        <v>469009</v>
      </c>
      <c r="O938" s="339">
        <f>N938/7.5345</f>
        <v>62248.191651735346</v>
      </c>
      <c r="P938" s="294">
        <v>66400</v>
      </c>
      <c r="Q938" s="269">
        <v>70000</v>
      </c>
      <c r="R938" s="443">
        <v>76777</v>
      </c>
      <c r="S938" s="294">
        <f>__xlfn.XLOOKUP(H938,[2]Izvršenje_proračuna_po_pozicija!$B$2:$B$153,[2]Izvršenje_proračuna_po_pozicija!$E$2:$E$153,0)</f>
        <v>0</v>
      </c>
      <c r="T938" s="294"/>
      <c r="U938" s="294"/>
      <c r="V938" s="478">
        <v>70000</v>
      </c>
      <c r="W938" s="478">
        <v>75000</v>
      </c>
      <c r="X938" s="544">
        <v>90000</v>
      </c>
      <c r="Y938" s="544"/>
      <c r="Z938" s="541" t="b">
        <f t="shared" si="674"/>
        <v>0</v>
      </c>
      <c r="AA938" s="527"/>
      <c r="AB938" s="528">
        <v>67000</v>
      </c>
      <c r="AC938" s="528">
        <v>67000</v>
      </c>
      <c r="AD938" s="524">
        <f>O938/M938*100</f>
        <v>122.06591953693919</v>
      </c>
      <c r="AE938" s="524">
        <f>P938/O938*100</f>
        <v>106.66976539895823</v>
      </c>
      <c r="AF938" s="524">
        <f>Q938/P938*100</f>
        <v>105.42168674698796</v>
      </c>
      <c r="AG938" s="524">
        <f>AB938/Q938*100</f>
        <v>95.714285714285722</v>
      </c>
      <c r="AH938" s="527"/>
      <c r="AI938" s="544">
        <v>90000</v>
      </c>
      <c r="AJ938" s="516">
        <f>W938/R938*100</f>
        <v>97.685504773565</v>
      </c>
      <c r="AK938" s="516">
        <f>AT938/W938*100</f>
        <v>106.66666666666667</v>
      </c>
      <c r="AL938" s="516">
        <f>X938/AT938*100</f>
        <v>112.5</v>
      </c>
      <c r="AM938" s="294"/>
      <c r="AN938" s="413"/>
      <c r="AO938" t="b">
        <f t="shared" si="675"/>
        <v>0</v>
      </c>
      <c r="AP938" s="493">
        <v>76220.33</v>
      </c>
      <c r="AQ938" s="443">
        <v>76220.33</v>
      </c>
      <c r="AR938" s="493">
        <v>76220.33</v>
      </c>
      <c r="AS938" s="443">
        <f>__xlfn.XLOOKUP(K938,[1]Izvršenje_proračuna_po_pozicija!$C$25:$C$149,[1]Izvršenje_proračuna_po_pozicija!$E$25:$E$149,0)</f>
        <v>30446.46</v>
      </c>
      <c r="AT938" s="617">
        <v>80000</v>
      </c>
      <c r="AU938" s="478">
        <v>80000</v>
      </c>
      <c r="AV938" s="638">
        <v>90000</v>
      </c>
      <c r="AW938" s="638">
        <v>90000</v>
      </c>
      <c r="AX938" s="655">
        <f t="shared" si="681"/>
        <v>104.19787175846933</v>
      </c>
      <c r="AY938" s="655">
        <f t="shared" si="672"/>
        <v>192.90807231062638</v>
      </c>
      <c r="AZ938" s="655">
        <f t="shared" si="682"/>
        <v>100</v>
      </c>
      <c r="BA938" s="655">
        <f t="shared" si="673"/>
        <v>192.90807231062638</v>
      </c>
      <c r="BB938" s="655">
        <f t="shared" si="676"/>
        <v>112.5</v>
      </c>
      <c r="BC938" s="655">
        <f t="shared" si="676"/>
        <v>100</v>
      </c>
    </row>
    <row r="939" spans="1:55" ht="12" customHeight="1">
      <c r="A939" s="36"/>
      <c r="B939" s="36"/>
      <c r="C939" s="36"/>
      <c r="D939" s="36"/>
      <c r="E939" s="36"/>
      <c r="F939" s="36"/>
      <c r="G939" s="36"/>
      <c r="H939" s="204">
        <v>131</v>
      </c>
      <c r="I939" s="136">
        <v>1012</v>
      </c>
      <c r="J939" s="71">
        <v>3721</v>
      </c>
      <c r="K939" s="40" t="s">
        <v>388</v>
      </c>
      <c r="L939" s="309">
        <v>0</v>
      </c>
      <c r="M939" s="309">
        <v>0</v>
      </c>
      <c r="N939" s="339">
        <v>0</v>
      </c>
      <c r="O939" s="339">
        <f>N939/7.5345</f>
        <v>0</v>
      </c>
      <c r="P939" s="294">
        <v>1000</v>
      </c>
      <c r="Q939" s="294">
        <v>1000</v>
      </c>
      <c r="R939" s="443">
        <v>0</v>
      </c>
      <c r="S939" s="294">
        <f>__xlfn.XLOOKUP(H939,[2]Izvršenje_proračuna_po_pozicija!$B$2:$B$153,[2]Izvršenje_proračuna_po_pozicija!$E$2:$E$153,0)</f>
        <v>0</v>
      </c>
      <c r="T939" s="294"/>
      <c r="U939" s="294"/>
      <c r="V939" s="478">
        <v>1000</v>
      </c>
      <c r="W939" s="478">
        <v>1000</v>
      </c>
      <c r="X939" s="544">
        <v>3000</v>
      </c>
      <c r="Y939" s="544"/>
      <c r="Z939" s="541" t="b">
        <f t="shared" si="674"/>
        <v>0</v>
      </c>
      <c r="AA939" s="527"/>
      <c r="AB939" s="528">
        <v>1000</v>
      </c>
      <c r="AC939" s="528">
        <v>1000</v>
      </c>
      <c r="AD939" s="524"/>
      <c r="AE939" s="524"/>
      <c r="AF939" s="524">
        <f>Q939/P939*100</f>
        <v>100</v>
      </c>
      <c r="AG939" s="524">
        <f>AB939/Q939*100</f>
        <v>100</v>
      </c>
      <c r="AH939" s="527"/>
      <c r="AI939" s="544">
        <v>3000</v>
      </c>
      <c r="AJ939" s="516"/>
      <c r="AK939" s="516">
        <f>AT939/W939*100</f>
        <v>100</v>
      </c>
      <c r="AL939" s="516">
        <f>X939/AT939*100</f>
        <v>300</v>
      </c>
      <c r="AM939" s="294"/>
      <c r="AN939" s="413"/>
      <c r="AO939" t="b">
        <f t="shared" si="675"/>
        <v>0</v>
      </c>
      <c r="AQ939" s="443"/>
      <c r="AS939" s="443">
        <f>__xlfn.XLOOKUP(K939,[1]Izvršenje_proračuna_po_pozicija!$C$25:$C$149,[1]Izvršenje_proračuna_po_pozicija!$E$25:$E$149,0)</f>
        <v>0</v>
      </c>
      <c r="AT939" s="617">
        <v>1000</v>
      </c>
      <c r="AU939" s="478"/>
      <c r="AV939" s="638">
        <v>3000</v>
      </c>
      <c r="AW939" s="638">
        <v>3000</v>
      </c>
      <c r="AX939" s="655" t="str">
        <f t="shared" si="681"/>
        <v/>
      </c>
      <c r="AY939" s="655">
        <f t="shared" si="672"/>
        <v>6.4108892800955992</v>
      </c>
      <c r="AZ939" s="655" t="str">
        <f t="shared" si="682"/>
        <v/>
      </c>
      <c r="BA939" s="655" t="str">
        <f t="shared" si="673"/>
        <v/>
      </c>
      <c r="BB939" s="655" t="str">
        <f t="shared" si="676"/>
        <v/>
      </c>
      <c r="BC939" s="655">
        <f t="shared" si="676"/>
        <v>100</v>
      </c>
    </row>
    <row r="940" spans="1:55" ht="12" customHeight="1">
      <c r="A940" s="36"/>
      <c r="B940" s="36"/>
      <c r="C940" s="36"/>
      <c r="D940" s="36"/>
      <c r="E940" s="36"/>
      <c r="F940" s="36"/>
      <c r="G940" s="36"/>
      <c r="H940" s="204">
        <v>132</v>
      </c>
      <c r="I940" s="136">
        <v>1040</v>
      </c>
      <c r="J940" s="71">
        <v>3721</v>
      </c>
      <c r="K940" s="40" t="s">
        <v>816</v>
      </c>
      <c r="L940" s="309">
        <v>0</v>
      </c>
      <c r="M940" s="309">
        <v>0</v>
      </c>
      <c r="N940" s="339">
        <v>0</v>
      </c>
      <c r="O940" s="339">
        <f>N940/7.5345</f>
        <v>0</v>
      </c>
      <c r="P940" s="294">
        <v>9300</v>
      </c>
      <c r="Q940" s="269">
        <v>5500</v>
      </c>
      <c r="R940" s="443">
        <v>0</v>
      </c>
      <c r="S940" s="294">
        <f>__xlfn.XLOOKUP(H940,[2]Izvršenje_proračuna_po_pozicija!$B$2:$B$153,[2]Izvršenje_proračuna_po_pozicija!$E$2:$E$153,0)</f>
        <v>0</v>
      </c>
      <c r="T940" s="294"/>
      <c r="U940" s="294"/>
      <c r="V940" s="478">
        <v>16500</v>
      </c>
      <c r="W940" s="478">
        <v>16500</v>
      </c>
      <c r="X940" s="544">
        <v>50000</v>
      </c>
      <c r="Y940" s="544"/>
      <c r="Z940" s="541" t="b">
        <f t="shared" si="674"/>
        <v>0</v>
      </c>
      <c r="AA940" s="527"/>
      <c r="AB940" s="528">
        <v>12000</v>
      </c>
      <c r="AC940" s="528">
        <v>12000</v>
      </c>
      <c r="AD940" s="524"/>
      <c r="AE940" s="524"/>
      <c r="AF940" s="524"/>
      <c r="AG940" s="524"/>
      <c r="AH940" s="527"/>
      <c r="AI940" s="544">
        <v>50000</v>
      </c>
      <c r="AJ940" s="516"/>
      <c r="AK940" s="516">
        <f>AT940/W940*100</f>
        <v>303.030303030303</v>
      </c>
      <c r="AL940" s="516">
        <f>X940/AT940*100</f>
        <v>100</v>
      </c>
      <c r="AM940" s="294"/>
      <c r="AN940" s="413"/>
      <c r="AO940" t="b">
        <f t="shared" si="675"/>
        <v>0</v>
      </c>
      <c r="AP940" s="493">
        <v>13300</v>
      </c>
      <c r="AQ940" s="443">
        <v>13300</v>
      </c>
      <c r="AR940" s="493">
        <v>13300</v>
      </c>
      <c r="AS940" s="443">
        <v>10800</v>
      </c>
      <c r="AT940" s="617">
        <v>50000</v>
      </c>
      <c r="AU940" s="478">
        <v>50000</v>
      </c>
      <c r="AV940" s="638">
        <v>50000</v>
      </c>
      <c r="AW940" s="638">
        <v>50000</v>
      </c>
      <c r="AX940" s="655" t="str">
        <f t="shared" si="681"/>
        <v/>
      </c>
      <c r="AY940" s="655">
        <f t="shared" si="672"/>
        <v>193.25859894473075</v>
      </c>
      <c r="AZ940" s="655">
        <f t="shared" si="682"/>
        <v>100</v>
      </c>
      <c r="BA940" s="655">
        <f t="shared" si="673"/>
        <v>193.25859894473075</v>
      </c>
      <c r="BB940" s="655">
        <f t="shared" si="676"/>
        <v>100</v>
      </c>
      <c r="BC940" s="655">
        <f t="shared" si="676"/>
        <v>100</v>
      </c>
    </row>
    <row r="941" spans="1:55" ht="12" customHeight="1">
      <c r="A941" s="36"/>
      <c r="B941" s="36"/>
      <c r="C941" s="36"/>
      <c r="D941" s="36"/>
      <c r="E941" s="36"/>
      <c r="F941" s="36"/>
      <c r="G941" s="36"/>
      <c r="H941" s="204" t="s">
        <v>607</v>
      </c>
      <c r="I941" s="136">
        <v>1040</v>
      </c>
      <c r="J941" s="71">
        <v>3721</v>
      </c>
      <c r="K941" s="40" t="s">
        <v>811</v>
      </c>
      <c r="L941" s="309">
        <v>142524</v>
      </c>
      <c r="M941" s="309">
        <f>142524/7.5345</f>
        <v>18916.185546486162</v>
      </c>
      <c r="N941" s="339">
        <v>123576</v>
      </c>
      <c r="O941" s="339">
        <f>N941/7.5345</f>
        <v>16401.353772645827</v>
      </c>
      <c r="P941" s="294">
        <v>20000</v>
      </c>
      <c r="Q941" s="269">
        <v>21500</v>
      </c>
      <c r="R941" s="443">
        <v>23543</v>
      </c>
      <c r="S941" s="294">
        <f>__xlfn.XLOOKUP(H941,[2]Izvršenje_proračuna_po_pozicija!$B$2:$B$153,[2]Izvršenje_proračuna_po_pozicija!$E$2:$E$153,0)</f>
        <v>21193.68</v>
      </c>
      <c r="T941" s="294"/>
      <c r="U941" s="294"/>
      <c r="V941" s="478">
        <v>23000</v>
      </c>
      <c r="W941" s="478">
        <v>22000</v>
      </c>
      <c r="X941" s="544">
        <v>30000</v>
      </c>
      <c r="Y941" s="544"/>
      <c r="Z941" s="541" t="b">
        <f t="shared" si="674"/>
        <v>0</v>
      </c>
      <c r="AA941" s="527"/>
      <c r="AB941" s="528">
        <v>20000</v>
      </c>
      <c r="AC941" s="528">
        <v>20000</v>
      </c>
      <c r="AD941" s="524">
        <f>O941/M941*100</f>
        <v>86.705396985770804</v>
      </c>
      <c r="AE941" s="524">
        <f>P941/O941*100</f>
        <v>121.94115362206254</v>
      </c>
      <c r="AF941" s="524">
        <f>Q941/P941*100</f>
        <v>107.5</v>
      </c>
      <c r="AG941" s="524">
        <f>AB941/Q941*100</f>
        <v>93.023255813953483</v>
      </c>
      <c r="AH941" s="527"/>
      <c r="AI941" s="544">
        <v>30000</v>
      </c>
      <c r="AJ941" s="516">
        <f>W941/R941*100</f>
        <v>93.446034914836687</v>
      </c>
      <c r="AK941" s="516">
        <f>AT941/W941*100</f>
        <v>104.54545454545455</v>
      </c>
      <c r="AL941" s="516">
        <f>X941/AT941*100</f>
        <v>130.43478260869566</v>
      </c>
      <c r="AM941" s="294"/>
      <c r="AN941" s="413"/>
      <c r="AO941" t="b">
        <f t="shared" si="675"/>
        <v>0</v>
      </c>
      <c r="AP941" s="493">
        <v>23747.279999999999</v>
      </c>
      <c r="AQ941" s="443">
        <v>23747.279999999999</v>
      </c>
      <c r="AR941" s="493">
        <v>23747.279999999999</v>
      </c>
      <c r="AS941" s="443">
        <f>__xlfn.XLOOKUP(K941,[1]Izvršenje_proračuna_po_pozicija!$C$25:$C$149,[1]Izvršenje_proračuna_po_pozicija!$E$25:$E$149,0)</f>
        <v>0</v>
      </c>
      <c r="AT941" s="617">
        <v>23000</v>
      </c>
      <c r="AU941" s="478">
        <v>23000</v>
      </c>
      <c r="AV941" s="638">
        <v>30000</v>
      </c>
      <c r="AW941" s="638">
        <v>30000</v>
      </c>
      <c r="AX941" s="655">
        <f t="shared" si="681"/>
        <v>97.693581956420175</v>
      </c>
      <c r="AY941" s="655" t="str">
        <f t="shared" si="672"/>
        <v/>
      </c>
      <c r="AZ941" s="655">
        <f t="shared" si="682"/>
        <v>100</v>
      </c>
      <c r="BA941" s="655" t="str">
        <f t="shared" si="673"/>
        <v/>
      </c>
      <c r="BB941" s="655">
        <f t="shared" si="676"/>
        <v>130.43478260869566</v>
      </c>
      <c r="BC941" s="655">
        <f t="shared" si="676"/>
        <v>100</v>
      </c>
    </row>
    <row r="942" spans="1:55" ht="12" customHeight="1">
      <c r="A942" s="25"/>
      <c r="B942" s="25"/>
      <c r="C942" s="25"/>
      <c r="D942" s="25"/>
      <c r="E942" s="25"/>
      <c r="F942" s="25"/>
      <c r="G942" s="25"/>
      <c r="H942" s="382"/>
      <c r="I942" s="30"/>
      <c r="J942" s="29"/>
      <c r="K942" s="29"/>
      <c r="L942" s="317"/>
      <c r="M942" s="317"/>
      <c r="N942" s="341"/>
      <c r="O942" s="341"/>
      <c r="P942" s="296"/>
      <c r="Q942" s="296"/>
      <c r="R942" s="445"/>
      <c r="S942" s="294">
        <f>__xlfn.XLOOKUP(H942,[2]Izvršenje_proračuna_po_pozicija!$B$2:$B$153,[2]Izvršenje_proračuna_po_pozicija!$E$2:$E$153,0)</f>
        <v>0</v>
      </c>
      <c r="T942" s="294"/>
      <c r="U942" s="294"/>
      <c r="V942" s="481"/>
      <c r="W942" s="481"/>
      <c r="X942" s="549"/>
      <c r="Y942" s="549"/>
      <c r="Z942" s="541" t="b">
        <f t="shared" si="674"/>
        <v>0</v>
      </c>
      <c r="AA942" s="531"/>
      <c r="AB942" s="532"/>
      <c r="AC942" s="532"/>
      <c r="AD942" s="524"/>
      <c r="AE942" s="524"/>
      <c r="AF942" s="524"/>
      <c r="AG942" s="524"/>
      <c r="AH942" s="531"/>
      <c r="AI942" s="549"/>
      <c r="AJ942" s="516"/>
      <c r="AK942" s="516"/>
      <c r="AL942" s="516"/>
      <c r="AM942" s="296"/>
      <c r="AN942" s="413"/>
      <c r="AO942" t="b">
        <f t="shared" si="675"/>
        <v>0</v>
      </c>
      <c r="AQ942" s="445"/>
      <c r="AS942" s="445">
        <f>__xlfn.XLOOKUP(K942,[1]Izvršenje_proračuna_po_pozicija!$C$25:$C$149,[1]Izvršenje_proračuna_po_pozicija!$E$25:$E$149,0)</f>
        <v>0</v>
      </c>
      <c r="AT942" s="616"/>
      <c r="AU942" s="481"/>
      <c r="AV942" s="640"/>
      <c r="AW942" s="640"/>
      <c r="AX942" s="655" t="str">
        <f t="shared" si="681"/>
        <v/>
      </c>
      <c r="AY942" s="655" t="str">
        <f t="shared" si="672"/>
        <v/>
      </c>
      <c r="AZ942" s="655" t="str">
        <f t="shared" si="682"/>
        <v/>
      </c>
      <c r="BA942" s="655" t="str">
        <f t="shared" si="673"/>
        <v/>
      </c>
      <c r="BB942" s="655" t="str">
        <f t="shared" si="676"/>
        <v/>
      </c>
      <c r="BC942" s="655" t="str">
        <f t="shared" si="676"/>
        <v/>
      </c>
    </row>
    <row r="943" spans="1:55" ht="12" customHeight="1">
      <c r="A943" s="36"/>
      <c r="B943" s="36"/>
      <c r="C943" s="36"/>
      <c r="D943" s="36"/>
      <c r="E943" s="36"/>
      <c r="F943" s="36"/>
      <c r="G943" s="36"/>
      <c r="H943" s="204"/>
      <c r="I943" s="136"/>
      <c r="J943" s="71">
        <v>3722</v>
      </c>
      <c r="K943" s="40" t="s">
        <v>389</v>
      </c>
      <c r="L943" s="315">
        <f t="shared" ref="L943:S943" si="708">L944+L945</f>
        <v>205090</v>
      </c>
      <c r="M943" s="315">
        <f t="shared" si="708"/>
        <v>27220.120777755656</v>
      </c>
      <c r="N943" s="337">
        <f t="shared" si="708"/>
        <v>395716</v>
      </c>
      <c r="O943" s="337">
        <f t="shared" si="708"/>
        <v>52520.538854602157</v>
      </c>
      <c r="P943" s="292">
        <f t="shared" si="708"/>
        <v>50000</v>
      </c>
      <c r="Q943" s="292">
        <f t="shared" si="708"/>
        <v>60000</v>
      </c>
      <c r="R943" s="441">
        <f t="shared" si="708"/>
        <v>53576</v>
      </c>
      <c r="S943" s="292">
        <f t="shared" si="708"/>
        <v>23519.91</v>
      </c>
      <c r="T943" s="292"/>
      <c r="U943" s="292"/>
      <c r="V943" s="469">
        <f>V944+V945</f>
        <v>64000</v>
      </c>
      <c r="W943" s="469">
        <f>W944+W945</f>
        <v>69000</v>
      </c>
      <c r="X943" s="522">
        <f>X944+X945</f>
        <v>100000</v>
      </c>
      <c r="Y943" s="522">
        <f>Y944+Y945</f>
        <v>0</v>
      </c>
      <c r="Z943" s="541" t="b">
        <f t="shared" si="674"/>
        <v>1</v>
      </c>
      <c r="AA943" s="522"/>
      <c r="AB943" s="523">
        <f>AB944+AB945</f>
        <v>52000</v>
      </c>
      <c r="AC943" s="523">
        <f>AC944+AC945</f>
        <v>52000</v>
      </c>
      <c r="AD943" s="524">
        <f>O943/M943*100</f>
        <v>192.94748646935491</v>
      </c>
      <c r="AE943" s="524">
        <f t="shared" ref="AE943:AF945" si="709">P943/O943*100</f>
        <v>95.20085111544644</v>
      </c>
      <c r="AF943" s="524">
        <f t="shared" si="709"/>
        <v>120</v>
      </c>
      <c r="AG943" s="524">
        <f>AB943/Q943*100</f>
        <v>86.666666666666671</v>
      </c>
      <c r="AH943" s="522"/>
      <c r="AI943" s="522">
        <v>100000</v>
      </c>
      <c r="AJ943" s="516">
        <f>W943/R943*100</f>
        <v>128.78901000447962</v>
      </c>
      <c r="AK943" s="516">
        <f>AT943/W943*100</f>
        <v>115.94202898550725</v>
      </c>
      <c r="AL943" s="516">
        <f>X943/AT943*100</f>
        <v>125</v>
      </c>
      <c r="AM943" s="292"/>
      <c r="AN943" s="413"/>
      <c r="AO943" t="b">
        <f t="shared" si="675"/>
        <v>1</v>
      </c>
      <c r="AP943" s="440">
        <f t="shared" ref="AP943:AU943" si="710">AP944+AP945</f>
        <v>41470.53</v>
      </c>
      <c r="AQ943" s="441">
        <v>41470.53</v>
      </c>
      <c r="AR943" s="440">
        <f>AR944+AR945</f>
        <v>41470.53</v>
      </c>
      <c r="AS943" s="441">
        <f t="shared" si="710"/>
        <v>69115.240000000005</v>
      </c>
      <c r="AT943" s="612">
        <f t="shared" si="710"/>
        <v>80000</v>
      </c>
      <c r="AU943" s="469">
        <f t="shared" si="710"/>
        <v>110000</v>
      </c>
      <c r="AV943" s="636">
        <v>100000</v>
      </c>
      <c r="AW943" s="636">
        <v>100000</v>
      </c>
      <c r="AX943" s="655">
        <f t="shared" si="681"/>
        <v>149.32059130954158</v>
      </c>
      <c r="AY943" s="655" t="str">
        <f t="shared" si="672"/>
        <v/>
      </c>
      <c r="AZ943" s="655">
        <f t="shared" si="682"/>
        <v>137.5</v>
      </c>
      <c r="BA943" s="655" t="str">
        <f t="shared" si="673"/>
        <v/>
      </c>
      <c r="BB943" s="655">
        <f t="shared" si="676"/>
        <v>90.909090909090907</v>
      </c>
      <c r="BC943" s="655">
        <f t="shared" si="676"/>
        <v>100</v>
      </c>
    </row>
    <row r="944" spans="1:55" s="198" customFormat="1" ht="12" customHeight="1">
      <c r="A944" s="36"/>
      <c r="B944" s="36"/>
      <c r="C944" s="36"/>
      <c r="D944" s="36"/>
      <c r="E944" s="36"/>
      <c r="F944" s="36"/>
      <c r="G944" s="36"/>
      <c r="H944" s="204">
        <v>134</v>
      </c>
      <c r="I944" s="136">
        <v>1060</v>
      </c>
      <c r="J944" s="71">
        <v>3722</v>
      </c>
      <c r="K944" s="40" t="s">
        <v>390</v>
      </c>
      <c r="L944" s="309">
        <v>96456</v>
      </c>
      <c r="M944" s="309">
        <f>96456/7.5345</f>
        <v>12801.91120844117</v>
      </c>
      <c r="N944" s="339">
        <v>83520</v>
      </c>
      <c r="O944" s="339">
        <f>N944/7.5345</f>
        <v>11085.008958789567</v>
      </c>
      <c r="P944" s="294">
        <v>19000</v>
      </c>
      <c r="Q944" s="294">
        <v>19000</v>
      </c>
      <c r="R944" s="443">
        <v>11036</v>
      </c>
      <c r="S944" s="294">
        <f>__xlfn.XLOOKUP(H944,[2]Izvršenje_proračuna_po_pozicija!$B$2:$B$153,[2]Izvršenje_proračuna_po_pozicija!$E$2:$E$153,0)</f>
        <v>0</v>
      </c>
      <c r="T944" s="294"/>
      <c r="U944" s="294"/>
      <c r="V944" s="478">
        <v>19000</v>
      </c>
      <c r="W944" s="478">
        <v>19000</v>
      </c>
      <c r="X944" s="544">
        <v>20000</v>
      </c>
      <c r="Y944" s="544"/>
      <c r="Z944" s="541" t="b">
        <f t="shared" si="674"/>
        <v>0</v>
      </c>
      <c r="AA944" s="527"/>
      <c r="AB944" s="528">
        <v>20000</v>
      </c>
      <c r="AC944" s="528">
        <v>20000</v>
      </c>
      <c r="AD944" s="524">
        <f>O944/M944*100</f>
        <v>86.588703657626269</v>
      </c>
      <c r="AE944" s="524">
        <f t="shared" si="709"/>
        <v>171.40265804597703</v>
      </c>
      <c r="AF944" s="524">
        <f t="shared" si="709"/>
        <v>100</v>
      </c>
      <c r="AG944" s="524">
        <f>AB944/Q944*100</f>
        <v>105.26315789473684</v>
      </c>
      <c r="AH944" s="527"/>
      <c r="AI944" s="544">
        <v>20000</v>
      </c>
      <c r="AJ944" s="516">
        <f>W944/R944*100</f>
        <v>172.16382747372236</v>
      </c>
      <c r="AK944" s="516">
        <f>AT944/W944*100</f>
        <v>105.26315789473684</v>
      </c>
      <c r="AL944" s="516">
        <f>X944/AT944*100</f>
        <v>100</v>
      </c>
      <c r="AM944" s="294"/>
      <c r="AN944" s="414"/>
      <c r="AO944" t="b">
        <f t="shared" si="675"/>
        <v>0</v>
      </c>
      <c r="AP944" s="493">
        <v>15598.46</v>
      </c>
      <c r="AQ944" s="443">
        <v>15598.46</v>
      </c>
      <c r="AR944" s="493">
        <v>15598.46</v>
      </c>
      <c r="AS944" s="443">
        <v>18422.09</v>
      </c>
      <c r="AT944" s="617">
        <v>20000</v>
      </c>
      <c r="AU944" s="478">
        <v>40000</v>
      </c>
      <c r="AV944" s="638">
        <v>20000</v>
      </c>
      <c r="AW944" s="638">
        <v>20000</v>
      </c>
      <c r="AX944" s="655">
        <f t="shared" si="681"/>
        <v>181.22508155128671</v>
      </c>
      <c r="AY944" s="655">
        <f t="shared" si="672"/>
        <v>70.175438596491219</v>
      </c>
      <c r="AZ944" s="655">
        <f t="shared" si="682"/>
        <v>200</v>
      </c>
      <c r="BA944" s="655">
        <f t="shared" si="673"/>
        <v>140.35087719298244</v>
      </c>
      <c r="BB944" s="655">
        <f t="shared" si="676"/>
        <v>50</v>
      </c>
      <c r="BC944" s="655">
        <f t="shared" si="676"/>
        <v>100</v>
      </c>
    </row>
    <row r="945" spans="1:55" s="198" customFormat="1" ht="12" customHeight="1">
      <c r="A945" s="124"/>
      <c r="B945" s="124"/>
      <c r="C945" s="124"/>
      <c r="D945" s="124"/>
      <c r="E945" s="124"/>
      <c r="F945" s="124"/>
      <c r="G945" s="124"/>
      <c r="H945" s="385" t="s">
        <v>656</v>
      </c>
      <c r="I945" s="159">
        <v>1060</v>
      </c>
      <c r="J945" s="261">
        <v>3722</v>
      </c>
      <c r="K945" s="71" t="s">
        <v>608</v>
      </c>
      <c r="L945" s="310">
        <v>108634</v>
      </c>
      <c r="M945" s="310">
        <f>108634/7.5345</f>
        <v>14418.209569314486</v>
      </c>
      <c r="N945" s="340">
        <v>312196</v>
      </c>
      <c r="O945" s="339">
        <f>N945/7.5345</f>
        <v>41435.529895812593</v>
      </c>
      <c r="P945" s="295">
        <v>31000</v>
      </c>
      <c r="Q945" s="370">
        <v>41000</v>
      </c>
      <c r="R945" s="444">
        <v>42540</v>
      </c>
      <c r="S945" s="294">
        <f>__xlfn.XLOOKUP(H945,[2]Izvršenje_proračuna_po_pozicija!$B$2:$B$153,[2]Izvršenje_proračuna_po_pozicija!$E$2:$E$153,0)</f>
        <v>23519.91</v>
      </c>
      <c r="T945" s="294"/>
      <c r="U945" s="294"/>
      <c r="V945" s="482">
        <v>45000</v>
      </c>
      <c r="W945" s="482">
        <v>50000</v>
      </c>
      <c r="X945" s="550">
        <v>80000</v>
      </c>
      <c r="Y945" s="550"/>
      <c r="Z945" s="541" t="b">
        <f t="shared" si="674"/>
        <v>0</v>
      </c>
      <c r="AA945" s="529"/>
      <c r="AB945" s="530">
        <v>32000</v>
      </c>
      <c r="AC945" s="530">
        <v>32000</v>
      </c>
      <c r="AD945" s="524">
        <f>O945/M945*100</f>
        <v>287.3833238212714</v>
      </c>
      <c r="AE945" s="524">
        <f t="shared" si="709"/>
        <v>74.81502005150611</v>
      </c>
      <c r="AF945" s="524">
        <f t="shared" si="709"/>
        <v>132.25806451612902</v>
      </c>
      <c r="AG945" s="524">
        <f>AB945/Q945*100</f>
        <v>78.048780487804876</v>
      </c>
      <c r="AH945" s="529"/>
      <c r="AI945" s="550">
        <v>80000</v>
      </c>
      <c r="AJ945" s="516">
        <f>W945/R945*100</f>
        <v>117.53643629525152</v>
      </c>
      <c r="AK945" s="516">
        <f>AT945/W945*100</f>
        <v>120</v>
      </c>
      <c r="AL945" s="516">
        <f>X945/AT945*100</f>
        <v>133.33333333333331</v>
      </c>
      <c r="AM945" s="295"/>
      <c r="AN945" s="414"/>
      <c r="AO945" t="b">
        <f t="shared" si="675"/>
        <v>0</v>
      </c>
      <c r="AP945" s="493">
        <v>25872.07</v>
      </c>
      <c r="AQ945" s="444">
        <v>25872.07</v>
      </c>
      <c r="AR945" s="493">
        <v>25872.07</v>
      </c>
      <c r="AS945" s="444">
        <v>50693.15</v>
      </c>
      <c r="AT945" s="617">
        <v>60000</v>
      </c>
      <c r="AU945" s="482">
        <v>70000</v>
      </c>
      <c r="AV945" s="639">
        <v>80000</v>
      </c>
      <c r="AW945" s="639">
        <v>80000</v>
      </c>
      <c r="AX945" s="655">
        <f t="shared" si="681"/>
        <v>141.04372355430183</v>
      </c>
      <c r="AY945" s="655">
        <f t="shared" si="672"/>
        <v>210.52631578947367</v>
      </c>
      <c r="AZ945" s="655">
        <f t="shared" si="682"/>
        <v>116.66666666666667</v>
      </c>
      <c r="BA945" s="655">
        <f t="shared" si="673"/>
        <v>245.61403508771932</v>
      </c>
      <c r="BB945" s="655">
        <f t="shared" si="676"/>
        <v>114.28571428571428</v>
      </c>
      <c r="BC945" s="655">
        <f t="shared" si="676"/>
        <v>100</v>
      </c>
    </row>
    <row r="946" spans="1:55" ht="12" customHeight="1">
      <c r="A946" s="124"/>
      <c r="B946" s="124"/>
      <c r="C946" s="124"/>
      <c r="D946" s="124"/>
      <c r="E946" s="124"/>
      <c r="F946" s="124"/>
      <c r="G946" s="124"/>
      <c r="H946" s="385"/>
      <c r="I946" s="159"/>
      <c r="J946" s="261"/>
      <c r="K946" s="71"/>
      <c r="L946" s="310"/>
      <c r="M946" s="310"/>
      <c r="N946" s="340"/>
      <c r="O946" s="340"/>
      <c r="P946" s="295"/>
      <c r="Q946" s="295"/>
      <c r="R946" s="444"/>
      <c r="S946" s="294">
        <f>__xlfn.XLOOKUP(H946,[2]Izvršenje_proračuna_po_pozicija!$B$2:$B$153,[2]Izvršenje_proračuna_po_pozicija!$E$2:$E$153,0)</f>
        <v>0</v>
      </c>
      <c r="T946" s="294"/>
      <c r="U946" s="294"/>
      <c r="V946" s="482"/>
      <c r="W946" s="482"/>
      <c r="X946" s="550"/>
      <c r="Y946" s="550"/>
      <c r="Z946" s="541" t="b">
        <f t="shared" si="674"/>
        <v>0</v>
      </c>
      <c r="AA946" s="529"/>
      <c r="AB946" s="530"/>
      <c r="AC946" s="530"/>
      <c r="AD946" s="524"/>
      <c r="AE946" s="524"/>
      <c r="AF946" s="524"/>
      <c r="AG946" s="524"/>
      <c r="AH946" s="529"/>
      <c r="AI946" s="550"/>
      <c r="AJ946" s="516"/>
      <c r="AK946" s="516"/>
      <c r="AL946" s="516"/>
      <c r="AM946" s="295"/>
      <c r="AO946" t="b">
        <f t="shared" si="675"/>
        <v>0</v>
      </c>
      <c r="AQ946" s="444"/>
      <c r="AS946" s="444">
        <f>__xlfn.XLOOKUP(K946,[1]Izvršenje_proračuna_po_pozicija!$C$25:$C$149,[1]Izvršenje_proračuna_po_pozicija!$E$25:$E$149,0)</f>
        <v>0</v>
      </c>
      <c r="AT946" s="617"/>
      <c r="AU946" s="482"/>
      <c r="AV946" s="639"/>
      <c r="AW946" s="639"/>
      <c r="AX946" s="655" t="str">
        <f t="shared" si="681"/>
        <v/>
      </c>
      <c r="AY946" s="655" t="str">
        <f t="shared" si="672"/>
        <v/>
      </c>
      <c r="AZ946" s="655" t="str">
        <f t="shared" si="682"/>
        <v/>
      </c>
      <c r="BA946" s="655" t="str">
        <f t="shared" si="673"/>
        <v/>
      </c>
      <c r="BB946" s="655" t="str">
        <f t="shared" si="676"/>
        <v/>
      </c>
      <c r="BC946" s="655" t="str">
        <f t="shared" si="676"/>
        <v/>
      </c>
    </row>
    <row r="947" spans="1:55" ht="12" customHeight="1">
      <c r="A947" s="212" t="s">
        <v>475</v>
      </c>
      <c r="B947" s="130"/>
      <c r="C947" s="130"/>
      <c r="D947" s="130"/>
      <c r="E947" s="130"/>
      <c r="F947" s="130"/>
      <c r="G947" s="130"/>
      <c r="H947" s="383"/>
      <c r="I947" s="158" t="s">
        <v>391</v>
      </c>
      <c r="J947" s="171"/>
      <c r="K947" s="111"/>
      <c r="L947" s="315">
        <f t="shared" ref="L947:S947" si="711">L949</f>
        <v>125000</v>
      </c>
      <c r="M947" s="315">
        <f t="shared" si="711"/>
        <v>16590.351051828256</v>
      </c>
      <c r="N947" s="337">
        <f t="shared" si="711"/>
        <v>130000</v>
      </c>
      <c r="O947" s="337">
        <f t="shared" si="711"/>
        <v>17253.965093901385</v>
      </c>
      <c r="P947" s="292">
        <f t="shared" si="711"/>
        <v>17920</v>
      </c>
      <c r="Q947" s="292">
        <f t="shared" si="711"/>
        <v>17920</v>
      </c>
      <c r="R947" s="441">
        <f t="shared" si="711"/>
        <v>16800</v>
      </c>
      <c r="S947" s="292" t="e">
        <f t="shared" si="711"/>
        <v>#REF!</v>
      </c>
      <c r="T947" s="292"/>
      <c r="U947" s="292"/>
      <c r="V947" s="469">
        <f>V949</f>
        <v>20500</v>
      </c>
      <c r="W947" s="469">
        <f>W949</f>
        <v>20500</v>
      </c>
      <c r="X947" s="522">
        <f>X949</f>
        <v>27000</v>
      </c>
      <c r="Y947" s="522">
        <f>Y949</f>
        <v>0</v>
      </c>
      <c r="Z947" s="541" t="b">
        <f t="shared" si="674"/>
        <v>1</v>
      </c>
      <c r="AA947" s="522"/>
      <c r="AB947" s="523">
        <f>AB949</f>
        <v>19000</v>
      </c>
      <c r="AC947" s="523">
        <f>AC949</f>
        <v>19000</v>
      </c>
      <c r="AD947" s="524">
        <f>O947/M947*100</f>
        <v>103.99999999999999</v>
      </c>
      <c r="AE947" s="524">
        <f>P947/O947*100</f>
        <v>103.86018461538463</v>
      </c>
      <c r="AF947" s="524">
        <f>Q947/P947*100</f>
        <v>100</v>
      </c>
      <c r="AG947" s="524">
        <f>AB947/Q947*100</f>
        <v>106.02678571428572</v>
      </c>
      <c r="AH947" s="522"/>
      <c r="AI947" s="522">
        <v>27000</v>
      </c>
      <c r="AJ947" s="516">
        <f>W947/R947*100</f>
        <v>122.02380952380953</v>
      </c>
      <c r="AK947" s="516">
        <f>AT947/W947*100</f>
        <v>118.04878048780488</v>
      </c>
      <c r="AL947" s="516">
        <f>X947/AT947*100</f>
        <v>111.5702479338843</v>
      </c>
      <c r="AM947" s="292"/>
      <c r="AO947" t="b">
        <f t="shared" si="675"/>
        <v>1</v>
      </c>
      <c r="AP947" s="440">
        <f t="shared" ref="AP947:AU947" si="712">AP949</f>
        <v>28500</v>
      </c>
      <c r="AQ947" s="441">
        <v>28500</v>
      </c>
      <c r="AR947" s="440">
        <f>AR949</f>
        <v>28500</v>
      </c>
      <c r="AS947" s="441">
        <f t="shared" si="712"/>
        <v>7000</v>
      </c>
      <c r="AT947" s="612">
        <f t="shared" si="712"/>
        <v>24200</v>
      </c>
      <c r="AU947" s="469">
        <f t="shared" si="712"/>
        <v>24200</v>
      </c>
      <c r="AV947" s="636">
        <v>27000</v>
      </c>
      <c r="AW947" s="636">
        <v>27000</v>
      </c>
      <c r="AX947" s="655">
        <f t="shared" si="681"/>
        <v>144.04761904761904</v>
      </c>
      <c r="AY947" s="655">
        <f t="shared" si="672"/>
        <v>84.912280701754383</v>
      </c>
      <c r="AZ947" s="655">
        <f t="shared" si="682"/>
        <v>100</v>
      </c>
      <c r="BA947" s="655">
        <f t="shared" si="673"/>
        <v>84.912280701754383</v>
      </c>
      <c r="BB947" s="655">
        <f t="shared" si="676"/>
        <v>111.5702479338843</v>
      </c>
      <c r="BC947" s="655">
        <f t="shared" si="676"/>
        <v>100</v>
      </c>
    </row>
    <row r="948" spans="1:55" ht="12" customHeight="1">
      <c r="A948" s="25"/>
      <c r="B948" s="25"/>
      <c r="C948" s="25"/>
      <c r="D948" s="25"/>
      <c r="E948" s="25"/>
      <c r="F948" s="25"/>
      <c r="G948" s="25"/>
      <c r="H948" s="389"/>
      <c r="I948" s="30"/>
      <c r="J948" s="29"/>
      <c r="K948" s="29"/>
      <c r="L948" s="313"/>
      <c r="M948" s="313"/>
      <c r="N948" s="335"/>
      <c r="O948" s="335"/>
      <c r="P948" s="290"/>
      <c r="Q948" s="290"/>
      <c r="R948" s="439"/>
      <c r="S948" s="294">
        <f>__xlfn.XLOOKUP(H948,[2]Izvršenje_proračuna_po_pozicija!$B$2:$B$153,[2]Izvršenje_proračuna_po_pozicija!$E$2:$E$153,0)</f>
        <v>0</v>
      </c>
      <c r="T948" s="294"/>
      <c r="U948" s="294"/>
      <c r="V948" s="474"/>
      <c r="W948" s="474"/>
      <c r="X948" s="539"/>
      <c r="Y948" s="539"/>
      <c r="Z948" s="541" t="b">
        <f t="shared" si="674"/>
        <v>0</v>
      </c>
      <c r="AA948" s="514"/>
      <c r="AB948" s="515"/>
      <c r="AC948" s="515"/>
      <c r="AD948" s="524"/>
      <c r="AE948" s="524"/>
      <c r="AF948" s="524"/>
      <c r="AG948" s="524"/>
      <c r="AH948" s="514"/>
      <c r="AI948" s="539"/>
      <c r="AJ948" s="516"/>
      <c r="AK948" s="516"/>
      <c r="AL948" s="516"/>
      <c r="AM948" s="290"/>
      <c r="AO948" t="b">
        <f t="shared" si="675"/>
        <v>0</v>
      </c>
      <c r="AQ948" s="439"/>
      <c r="AS948" s="439"/>
      <c r="AT948" s="616"/>
      <c r="AU948" s="474"/>
      <c r="AV948" s="632"/>
      <c r="AW948" s="632"/>
      <c r="AX948" s="655" t="str">
        <f t="shared" si="681"/>
        <v/>
      </c>
      <c r="AY948" s="655" t="str">
        <f t="shared" si="672"/>
        <v/>
      </c>
      <c r="AZ948" s="655" t="str">
        <f t="shared" si="682"/>
        <v/>
      </c>
      <c r="BA948" s="655" t="str">
        <f t="shared" si="673"/>
        <v/>
      </c>
      <c r="BB948" s="655" t="str">
        <f t="shared" si="676"/>
        <v/>
      </c>
      <c r="BC948" s="655" t="str">
        <f t="shared" si="676"/>
        <v/>
      </c>
    </row>
    <row r="949" spans="1:55" ht="12" customHeight="1">
      <c r="A949" s="52"/>
      <c r="B949" s="52"/>
      <c r="C949" s="52"/>
      <c r="D949" s="52"/>
      <c r="E949" s="52"/>
      <c r="F949" s="52"/>
      <c r="G949" s="52"/>
      <c r="H949" s="384"/>
      <c r="I949" s="92"/>
      <c r="J949" s="94">
        <v>3</v>
      </c>
      <c r="K949" s="21" t="s">
        <v>94</v>
      </c>
      <c r="L949" s="315">
        <f t="shared" ref="L949:AC951" si="713">L950</f>
        <v>125000</v>
      </c>
      <c r="M949" s="315">
        <f t="shared" si="713"/>
        <v>16590.351051828256</v>
      </c>
      <c r="N949" s="337">
        <f t="shared" si="713"/>
        <v>130000</v>
      </c>
      <c r="O949" s="337">
        <f t="shared" si="713"/>
        <v>17253.965093901385</v>
      </c>
      <c r="P949" s="292">
        <f t="shared" si="713"/>
        <v>17920</v>
      </c>
      <c r="Q949" s="292">
        <f t="shared" si="713"/>
        <v>17920</v>
      </c>
      <c r="R949" s="441">
        <f t="shared" si="713"/>
        <v>16800</v>
      </c>
      <c r="S949" s="292" t="e">
        <f t="shared" si="713"/>
        <v>#REF!</v>
      </c>
      <c r="T949" s="292"/>
      <c r="U949" s="292"/>
      <c r="V949" s="469">
        <f t="shared" si="713"/>
        <v>20500</v>
      </c>
      <c r="W949" s="469">
        <f t="shared" si="713"/>
        <v>20500</v>
      </c>
      <c r="X949" s="522">
        <f t="shared" si="713"/>
        <v>27000</v>
      </c>
      <c r="Y949" s="522">
        <f t="shared" si="713"/>
        <v>0</v>
      </c>
      <c r="Z949" s="541" t="b">
        <f t="shared" si="674"/>
        <v>1</v>
      </c>
      <c r="AA949" s="522"/>
      <c r="AB949" s="523">
        <f t="shared" si="713"/>
        <v>19000</v>
      </c>
      <c r="AC949" s="523">
        <f t="shared" si="713"/>
        <v>19000</v>
      </c>
      <c r="AD949" s="524">
        <f>O949/M949*100</f>
        <v>103.99999999999999</v>
      </c>
      <c r="AE949" s="524">
        <f t="shared" ref="AE949:AF953" si="714">P949/O949*100</f>
        <v>103.86018461538463</v>
      </c>
      <c r="AF949" s="524">
        <f t="shared" si="714"/>
        <v>100</v>
      </c>
      <c r="AG949" s="524">
        <f>AB949/Q949*100</f>
        <v>106.02678571428572</v>
      </c>
      <c r="AH949" s="522"/>
      <c r="AI949" s="522">
        <v>27000</v>
      </c>
      <c r="AJ949" s="516">
        <f>W949/R949*100</f>
        <v>122.02380952380953</v>
      </c>
      <c r="AK949" s="516">
        <f>AT949/W949*100</f>
        <v>118.04878048780488</v>
      </c>
      <c r="AL949" s="516">
        <f>X949/AT949*100</f>
        <v>111.5702479338843</v>
      </c>
      <c r="AM949" s="292"/>
      <c r="AO949" t="b">
        <f t="shared" si="675"/>
        <v>1</v>
      </c>
      <c r="AP949" s="440">
        <f t="shared" ref="AP949:AU951" si="715">AP950</f>
        <v>28500</v>
      </c>
      <c r="AQ949" s="441">
        <v>28500</v>
      </c>
      <c r="AR949" s="440">
        <f>AR950</f>
        <v>28500</v>
      </c>
      <c r="AS949" s="441">
        <f t="shared" si="715"/>
        <v>7000</v>
      </c>
      <c r="AT949" s="612">
        <f>AT950</f>
        <v>24200</v>
      </c>
      <c r="AU949" s="469">
        <f t="shared" si="715"/>
        <v>24200</v>
      </c>
      <c r="AV949" s="636">
        <v>27000</v>
      </c>
      <c r="AW949" s="636">
        <v>27000</v>
      </c>
      <c r="AX949" s="655">
        <f t="shared" si="681"/>
        <v>144.04761904761904</v>
      </c>
      <c r="AY949" s="655" t="str">
        <f t="shared" si="672"/>
        <v/>
      </c>
      <c r="AZ949" s="655">
        <f t="shared" si="682"/>
        <v>100</v>
      </c>
      <c r="BA949" s="655" t="str">
        <f t="shared" si="673"/>
        <v/>
      </c>
      <c r="BB949" s="655">
        <f t="shared" si="676"/>
        <v>111.5702479338843</v>
      </c>
      <c r="BC949" s="655">
        <f t="shared" si="676"/>
        <v>100</v>
      </c>
    </row>
    <row r="950" spans="1:55" ht="12" customHeight="1">
      <c r="A950" s="355"/>
      <c r="B950" s="355"/>
      <c r="C950" s="355"/>
      <c r="D950" s="355"/>
      <c r="E950" s="355"/>
      <c r="F950" s="355"/>
      <c r="G950" s="355"/>
      <c r="H950" s="379"/>
      <c r="I950" s="361"/>
      <c r="J950" s="356">
        <v>38</v>
      </c>
      <c r="K950" s="358" t="s">
        <v>144</v>
      </c>
      <c r="L950" s="315">
        <f t="shared" si="713"/>
        <v>125000</v>
      </c>
      <c r="M950" s="315">
        <f t="shared" si="713"/>
        <v>16590.351051828256</v>
      </c>
      <c r="N950" s="337">
        <f t="shared" si="713"/>
        <v>130000</v>
      </c>
      <c r="O950" s="337">
        <f t="shared" si="713"/>
        <v>17253.965093901385</v>
      </c>
      <c r="P950" s="292">
        <f t="shared" si="713"/>
        <v>17920</v>
      </c>
      <c r="Q950" s="292">
        <f t="shared" si="713"/>
        <v>17920</v>
      </c>
      <c r="R950" s="441">
        <f t="shared" si="713"/>
        <v>16800</v>
      </c>
      <c r="S950" s="292" t="e">
        <f t="shared" si="713"/>
        <v>#REF!</v>
      </c>
      <c r="T950" s="292"/>
      <c r="U950" s="292"/>
      <c r="V950" s="469">
        <f t="shared" si="713"/>
        <v>20500</v>
      </c>
      <c r="W950" s="469">
        <f t="shared" si="713"/>
        <v>20500</v>
      </c>
      <c r="X950" s="522">
        <f t="shared" si="713"/>
        <v>27000</v>
      </c>
      <c r="Y950" s="522">
        <f t="shared" si="713"/>
        <v>0</v>
      </c>
      <c r="Z950" s="541" t="b">
        <f t="shared" si="674"/>
        <v>1</v>
      </c>
      <c r="AA950" s="522"/>
      <c r="AB950" s="523">
        <f t="shared" si="713"/>
        <v>19000</v>
      </c>
      <c r="AC950" s="523">
        <f t="shared" si="713"/>
        <v>19000</v>
      </c>
      <c r="AD950" s="524">
        <f>O950/M950*100</f>
        <v>103.99999999999999</v>
      </c>
      <c r="AE950" s="524">
        <f t="shared" si="714"/>
        <v>103.86018461538463</v>
      </c>
      <c r="AF950" s="524">
        <f t="shared" si="714"/>
        <v>100</v>
      </c>
      <c r="AG950" s="524">
        <f>AB950/Q950*100</f>
        <v>106.02678571428572</v>
      </c>
      <c r="AH950" s="522"/>
      <c r="AI950" s="522">
        <v>27000</v>
      </c>
      <c r="AJ950" s="516">
        <f>W950/R950*100</f>
        <v>122.02380952380953</v>
      </c>
      <c r="AK950" s="516">
        <f>AT950/W950*100</f>
        <v>118.04878048780488</v>
      </c>
      <c r="AL950" s="516">
        <f>X950/AT950*100</f>
        <v>111.5702479338843</v>
      </c>
      <c r="AM950" s="292"/>
      <c r="AO950" t="b">
        <f t="shared" si="675"/>
        <v>1</v>
      </c>
      <c r="AP950" s="440">
        <f t="shared" si="715"/>
        <v>28500</v>
      </c>
      <c r="AQ950" s="441">
        <v>28500</v>
      </c>
      <c r="AR950" s="440">
        <f>AR951</f>
        <v>28500</v>
      </c>
      <c r="AS950" s="441">
        <f t="shared" si="715"/>
        <v>7000</v>
      </c>
      <c r="AT950" s="612">
        <f>AT951</f>
        <v>24200</v>
      </c>
      <c r="AU950" s="469">
        <f t="shared" si="715"/>
        <v>24200</v>
      </c>
      <c r="AV950" s="636">
        <v>27000</v>
      </c>
      <c r="AW950" s="636">
        <v>27000</v>
      </c>
      <c r="AX950" s="655">
        <f t="shared" si="681"/>
        <v>144.04761904761904</v>
      </c>
      <c r="AY950" s="655" t="str">
        <f t="shared" si="672"/>
        <v/>
      </c>
      <c r="AZ950" s="655">
        <f t="shared" si="682"/>
        <v>100</v>
      </c>
      <c r="BA950" s="655" t="str">
        <f t="shared" si="673"/>
        <v/>
      </c>
      <c r="BB950" s="655">
        <f t="shared" si="676"/>
        <v>111.5702479338843</v>
      </c>
      <c r="BC950" s="655">
        <f t="shared" si="676"/>
        <v>100</v>
      </c>
    </row>
    <row r="951" spans="1:55" ht="12" customHeight="1">
      <c r="A951" s="56"/>
      <c r="B951" s="56"/>
      <c r="C951" s="56"/>
      <c r="D951" s="56"/>
      <c r="E951" s="56"/>
      <c r="F951" s="56"/>
      <c r="G951" s="56"/>
      <c r="H951" s="377"/>
      <c r="I951" s="146"/>
      <c r="J951" s="116">
        <v>381</v>
      </c>
      <c r="K951" s="60" t="s">
        <v>236</v>
      </c>
      <c r="L951" s="315">
        <f t="shared" si="713"/>
        <v>125000</v>
      </c>
      <c r="M951" s="315">
        <f t="shared" si="713"/>
        <v>16590.351051828256</v>
      </c>
      <c r="N951" s="337">
        <f t="shared" si="713"/>
        <v>130000</v>
      </c>
      <c r="O951" s="337">
        <f t="shared" si="713"/>
        <v>17253.965093901385</v>
      </c>
      <c r="P951" s="292">
        <f t="shared" si="713"/>
        <v>17920</v>
      </c>
      <c r="Q951" s="292">
        <f t="shared" si="713"/>
        <v>17920</v>
      </c>
      <c r="R951" s="441">
        <f t="shared" si="713"/>
        <v>16800</v>
      </c>
      <c r="S951" s="292" t="e">
        <f t="shared" si="713"/>
        <v>#REF!</v>
      </c>
      <c r="T951" s="292"/>
      <c r="U951" s="292"/>
      <c r="V951" s="469">
        <f t="shared" si="713"/>
        <v>20500</v>
      </c>
      <c r="W951" s="469">
        <f t="shared" si="713"/>
        <v>20500</v>
      </c>
      <c r="X951" s="522">
        <f t="shared" si="713"/>
        <v>27000</v>
      </c>
      <c r="Y951" s="522">
        <f t="shared" si="713"/>
        <v>0</v>
      </c>
      <c r="Z951" s="541" t="b">
        <f t="shared" si="674"/>
        <v>1</v>
      </c>
      <c r="AA951" s="522"/>
      <c r="AB951" s="523">
        <f t="shared" si="713"/>
        <v>19000</v>
      </c>
      <c r="AC951" s="523">
        <f t="shared" si="713"/>
        <v>19000</v>
      </c>
      <c r="AD951" s="524">
        <f>O951/M951*100</f>
        <v>103.99999999999999</v>
      </c>
      <c r="AE951" s="524">
        <f t="shared" si="714"/>
        <v>103.86018461538463</v>
      </c>
      <c r="AF951" s="524">
        <f t="shared" si="714"/>
        <v>100</v>
      </c>
      <c r="AG951" s="524">
        <f>AB951/Q951*100</f>
        <v>106.02678571428572</v>
      </c>
      <c r="AH951" s="522"/>
      <c r="AI951" s="522">
        <v>27000</v>
      </c>
      <c r="AJ951" s="516">
        <f>W951/R951*100</f>
        <v>122.02380952380953</v>
      </c>
      <c r="AK951" s="516">
        <f>AT951/W951*100</f>
        <v>118.04878048780488</v>
      </c>
      <c r="AL951" s="516">
        <f>X951/AT951*100</f>
        <v>111.5702479338843</v>
      </c>
      <c r="AM951" s="292"/>
      <c r="AO951" t="b">
        <f t="shared" si="675"/>
        <v>1</v>
      </c>
      <c r="AP951" s="440">
        <f t="shared" si="715"/>
        <v>28500</v>
      </c>
      <c r="AQ951" s="441">
        <v>28500</v>
      </c>
      <c r="AR951" s="440">
        <f>AR952</f>
        <v>28500</v>
      </c>
      <c r="AS951" s="441">
        <f t="shared" si="715"/>
        <v>7000</v>
      </c>
      <c r="AT951" s="612">
        <f>AT952</f>
        <v>24200</v>
      </c>
      <c r="AU951" s="469">
        <f t="shared" si="715"/>
        <v>24200</v>
      </c>
      <c r="AV951" s="636">
        <v>27000</v>
      </c>
      <c r="AW951" s="636">
        <v>27000</v>
      </c>
      <c r="AX951" s="655">
        <f t="shared" si="681"/>
        <v>144.04761904761904</v>
      </c>
      <c r="AY951" s="655" t="str">
        <f t="shared" si="672"/>
        <v/>
      </c>
      <c r="AZ951" s="655">
        <f t="shared" si="682"/>
        <v>100</v>
      </c>
      <c r="BA951" s="655" t="str">
        <f t="shared" si="673"/>
        <v/>
      </c>
      <c r="BB951" s="655">
        <f t="shared" si="676"/>
        <v>111.5702479338843</v>
      </c>
      <c r="BC951" s="655">
        <f t="shared" si="676"/>
        <v>100</v>
      </c>
    </row>
    <row r="952" spans="1:55" ht="12" customHeight="1">
      <c r="A952" s="36"/>
      <c r="B952" s="36"/>
      <c r="C952" s="36"/>
      <c r="D952" s="36"/>
      <c r="E952" s="36"/>
      <c r="F952" s="36"/>
      <c r="G952" s="36"/>
      <c r="H952" s="204"/>
      <c r="I952" s="136"/>
      <c r="J952" s="71">
        <v>3811</v>
      </c>
      <c r="K952" s="40" t="s">
        <v>145</v>
      </c>
      <c r="L952" s="315">
        <v>125000</v>
      </c>
      <c r="M952" s="315">
        <f>125000/7.5345</f>
        <v>16590.351051828256</v>
      </c>
      <c r="N952" s="337">
        <v>130000</v>
      </c>
      <c r="O952" s="337">
        <f>N952/7.5345</f>
        <v>17253.965093901385</v>
      </c>
      <c r="P952" s="292">
        <v>17920</v>
      </c>
      <c r="Q952" s="292">
        <v>17920</v>
      </c>
      <c r="R952" s="441">
        <f>R953+R954+R955+R956+R957+R958+R960+R961</f>
        <v>16800</v>
      </c>
      <c r="S952" s="292" t="e">
        <f>S953+S954+S955+S956+S957+S958+S960+S961</f>
        <v>#REF!</v>
      </c>
      <c r="T952" s="292"/>
      <c r="U952" s="292"/>
      <c r="V952" s="469">
        <f>V953+V954+V955+V956+V957+V958+V960+V961</f>
        <v>20500</v>
      </c>
      <c r="W952" s="469">
        <f>W953+W954+W955+W956+W957+W958+W960+W961</f>
        <v>20500</v>
      </c>
      <c r="X952" s="522">
        <f>X953+X954+X955+X956+X957+X958+X960+X961</f>
        <v>27000</v>
      </c>
      <c r="Y952" s="522">
        <f>Y953+Y954+Y955+Y956+Y957+Y958+Y960+Y961</f>
        <v>0</v>
      </c>
      <c r="Z952" s="541" t="b">
        <f t="shared" si="674"/>
        <v>1</v>
      </c>
      <c r="AA952" s="522"/>
      <c r="AB952" s="523">
        <v>19000</v>
      </c>
      <c r="AC952" s="523">
        <v>19000</v>
      </c>
      <c r="AD952" s="524">
        <f>O952/M952*100</f>
        <v>103.99999999999999</v>
      </c>
      <c r="AE952" s="524">
        <f t="shared" si="714"/>
        <v>103.86018461538463</v>
      </c>
      <c r="AF952" s="524">
        <f t="shared" si="714"/>
        <v>100</v>
      </c>
      <c r="AG952" s="524">
        <f>AB952/Q952*100</f>
        <v>106.02678571428572</v>
      </c>
      <c r="AH952" s="522"/>
      <c r="AI952" s="522">
        <v>27000</v>
      </c>
      <c r="AJ952" s="516">
        <f>W952/R952*100</f>
        <v>122.02380952380953</v>
      </c>
      <c r="AK952" s="516">
        <f>AT952/W952*100</f>
        <v>118.04878048780488</v>
      </c>
      <c r="AL952" s="516">
        <f>X952/AT952*100</f>
        <v>111.5702479338843</v>
      </c>
      <c r="AM952" s="292"/>
      <c r="AO952" t="b">
        <f t="shared" si="675"/>
        <v>1</v>
      </c>
      <c r="AP952" s="440">
        <f t="shared" ref="AP952:AU952" si="716">AP953+AP954+AP955+AP956+AP957+AP958+AP960+AP961</f>
        <v>28500</v>
      </c>
      <c r="AQ952" s="441">
        <v>28500</v>
      </c>
      <c r="AR952" s="440">
        <f>AR953+AR954+AR955+AR956+AR957+AR958+AR960+AR961</f>
        <v>28500</v>
      </c>
      <c r="AS952" s="441">
        <f t="shared" si="716"/>
        <v>7000</v>
      </c>
      <c r="AT952" s="612">
        <f t="shared" si="716"/>
        <v>24200</v>
      </c>
      <c r="AU952" s="469">
        <f t="shared" si="716"/>
        <v>24200</v>
      </c>
      <c r="AV952" s="636">
        <v>27000</v>
      </c>
      <c r="AW952" s="636">
        <v>27000</v>
      </c>
      <c r="AX952" s="655">
        <f t="shared" si="681"/>
        <v>144.04761904761904</v>
      </c>
      <c r="AY952" s="655" t="str">
        <f t="shared" si="672"/>
        <v/>
      </c>
      <c r="AZ952" s="655">
        <f t="shared" si="682"/>
        <v>100</v>
      </c>
      <c r="BA952" s="655" t="str">
        <f t="shared" si="673"/>
        <v/>
      </c>
      <c r="BB952" s="655">
        <f t="shared" si="676"/>
        <v>111.5702479338843</v>
      </c>
      <c r="BC952" s="655">
        <f t="shared" si="676"/>
        <v>100</v>
      </c>
    </row>
    <row r="953" spans="1:55" ht="12" customHeight="1">
      <c r="A953" s="36"/>
      <c r="B953" s="36"/>
      <c r="C953" s="36"/>
      <c r="D953" s="36"/>
      <c r="E953" s="36"/>
      <c r="F953" s="36"/>
      <c r="G953" s="36"/>
      <c r="H953" s="204">
        <v>165</v>
      </c>
      <c r="I953" s="136">
        <v>1090</v>
      </c>
      <c r="J953" s="71">
        <v>3811</v>
      </c>
      <c r="K953" s="40" t="s">
        <v>392</v>
      </c>
      <c r="L953" s="309">
        <v>70000</v>
      </c>
      <c r="M953" s="309">
        <f>70000/7.5345</f>
        <v>9290.596589023824</v>
      </c>
      <c r="N953" s="339">
        <v>75000</v>
      </c>
      <c r="O953" s="339">
        <f>75000/7.5345</f>
        <v>9954.2106310969539</v>
      </c>
      <c r="P953" s="294">
        <v>10620</v>
      </c>
      <c r="Q953" s="294">
        <v>10000</v>
      </c>
      <c r="R953" s="443">
        <v>10000</v>
      </c>
      <c r="S953" s="294">
        <f>__xlfn.XLOOKUP(H953,[2]Izvršenje_proračuna_po_pozicija!$B$2:$B$153,[2]Izvršenje_proračuna_po_pozicija!$E$2:$E$153,0)</f>
        <v>0</v>
      </c>
      <c r="T953" s="294"/>
      <c r="U953" s="294"/>
      <c r="V953" s="478">
        <v>11700</v>
      </c>
      <c r="W953" s="478">
        <v>11700</v>
      </c>
      <c r="X953" s="544">
        <v>15000</v>
      </c>
      <c r="Y953" s="544"/>
      <c r="Z953" s="541" t="b">
        <f t="shared" si="674"/>
        <v>0</v>
      </c>
      <c r="AA953" s="527"/>
      <c r="AB953" s="528">
        <v>10620</v>
      </c>
      <c r="AC953" s="528">
        <v>10620</v>
      </c>
      <c r="AD953" s="524">
        <f>O953/M953*100</f>
        <v>107.14285714285714</v>
      </c>
      <c r="AE953" s="524">
        <f t="shared" si="714"/>
        <v>106.68852</v>
      </c>
      <c r="AF953" s="524">
        <f t="shared" si="714"/>
        <v>94.161958568738228</v>
      </c>
      <c r="AG953" s="524">
        <f>AB953/Q953*100</f>
        <v>106.2</v>
      </c>
      <c r="AH953" s="527"/>
      <c r="AI953" s="544">
        <v>15000</v>
      </c>
      <c r="AJ953" s="516">
        <f>W953/R953*100</f>
        <v>117</v>
      </c>
      <c r="AK953" s="516">
        <f>AT953/W953*100</f>
        <v>119.65811965811966</v>
      </c>
      <c r="AL953" s="516">
        <f>X953/AT953*100</f>
        <v>107.14285714285714</v>
      </c>
      <c r="AM953" s="294"/>
      <c r="AO953" t="b">
        <f t="shared" si="675"/>
        <v>0</v>
      </c>
      <c r="AP953" s="493">
        <v>11700</v>
      </c>
      <c r="AQ953" s="443">
        <v>11700</v>
      </c>
      <c r="AR953" s="493">
        <v>11700</v>
      </c>
      <c r="AS953" s="443">
        <f>__xlfn.XLOOKUP(K953,[1]Izvršenje_proračuna_po_pozicija!$C$25:$C$149,[1]Izvršenje_proračuna_po_pozicija!$E$25:$E$149,0)</f>
        <v>7000</v>
      </c>
      <c r="AT953" s="617">
        <v>14000</v>
      </c>
      <c r="AU953" s="478">
        <v>14000</v>
      </c>
      <c r="AV953" s="638">
        <v>15000</v>
      </c>
      <c r="AW953" s="638">
        <v>15000</v>
      </c>
      <c r="AX953" s="655">
        <f t="shared" si="681"/>
        <v>140</v>
      </c>
      <c r="AY953" s="655" t="str">
        <f t="shared" si="672"/>
        <v/>
      </c>
      <c r="AZ953" s="655">
        <f t="shared" si="682"/>
        <v>100</v>
      </c>
      <c r="BA953" s="655" t="str">
        <f t="shared" si="673"/>
        <v/>
      </c>
      <c r="BB953" s="655">
        <f t="shared" si="676"/>
        <v>107.14285714285714</v>
      </c>
      <c r="BC953" s="655">
        <f t="shared" si="676"/>
        <v>100</v>
      </c>
    </row>
    <row r="954" spans="1:55" ht="12" customHeight="1">
      <c r="A954" s="36"/>
      <c r="B954" s="36"/>
      <c r="C954" s="36"/>
      <c r="D954" s="36"/>
      <c r="E954" s="36"/>
      <c r="F954" s="36"/>
      <c r="G954" s="36"/>
      <c r="H954" s="204" t="s">
        <v>393</v>
      </c>
      <c r="I954" s="136">
        <v>1090</v>
      </c>
      <c r="J954" s="71">
        <v>3811</v>
      </c>
      <c r="K954" s="40" t="s">
        <v>394</v>
      </c>
      <c r="L954" s="309"/>
      <c r="M954" s="309"/>
      <c r="N954" s="339"/>
      <c r="O954" s="339"/>
      <c r="P954" s="294"/>
      <c r="Q954" s="294"/>
      <c r="R954" s="443"/>
      <c r="S954" s="294">
        <f>__xlfn.XLOOKUP(H954,[2]Izvršenje_proračuna_po_pozicija!$B$2:$B$153,[2]Izvršenje_proračuna_po_pozicija!$E$2:$E$153,0)</f>
        <v>0</v>
      </c>
      <c r="T954" s="294"/>
      <c r="U954" s="294"/>
      <c r="V954" s="478"/>
      <c r="W954" s="478"/>
      <c r="X954" s="544"/>
      <c r="Y954" s="544"/>
      <c r="Z954" s="541" t="b">
        <f t="shared" si="674"/>
        <v>0</v>
      </c>
      <c r="AA954" s="527"/>
      <c r="AB954" s="528"/>
      <c r="AC954" s="528"/>
      <c r="AD954" s="524"/>
      <c r="AE954" s="524"/>
      <c r="AF954" s="524"/>
      <c r="AG954" s="524"/>
      <c r="AH954" s="527"/>
      <c r="AI954" s="544"/>
      <c r="AJ954" s="516"/>
      <c r="AK954" s="516"/>
      <c r="AL954" s="516"/>
      <c r="AM954" s="294"/>
      <c r="AO954" t="b">
        <f t="shared" si="675"/>
        <v>0</v>
      </c>
      <c r="AQ954" s="443"/>
      <c r="AS954" s="443">
        <f>__xlfn.XLOOKUP(K954,[1]Izvršenje_proračuna_po_pozicija!$C$25:$C$149,[1]Izvršenje_proračuna_po_pozicija!$E$25:$E$149,0)</f>
        <v>0</v>
      </c>
      <c r="AT954" s="617"/>
      <c r="AU954" s="478"/>
      <c r="AV954" s="638"/>
      <c r="AW954" s="638"/>
      <c r="AX954" s="655" t="str">
        <f t="shared" si="681"/>
        <v/>
      </c>
      <c r="AY954" s="655" t="str">
        <f t="shared" si="672"/>
        <v/>
      </c>
      <c r="AZ954" s="655" t="str">
        <f t="shared" si="682"/>
        <v/>
      </c>
      <c r="BA954" s="655" t="str">
        <f t="shared" si="673"/>
        <v/>
      </c>
      <c r="BB954" s="655" t="str">
        <f t="shared" si="676"/>
        <v/>
      </c>
      <c r="BC954" s="655" t="str">
        <f t="shared" si="676"/>
        <v/>
      </c>
    </row>
    <row r="955" spans="1:55" ht="12" customHeight="1">
      <c r="A955" s="36"/>
      <c r="B955" s="36"/>
      <c r="C955" s="36"/>
      <c r="D955" s="36"/>
      <c r="E955" s="36"/>
      <c r="F955" s="36"/>
      <c r="G955" s="36"/>
      <c r="H955" s="204" t="s">
        <v>395</v>
      </c>
      <c r="I955" s="136">
        <v>1090</v>
      </c>
      <c r="J955" s="71">
        <v>3811</v>
      </c>
      <c r="K955" s="40" t="s">
        <v>396</v>
      </c>
      <c r="L955" s="309"/>
      <c r="M955" s="309"/>
      <c r="N955" s="339"/>
      <c r="O955" s="339"/>
      <c r="P955" s="294"/>
      <c r="Q955" s="294"/>
      <c r="R955" s="443"/>
      <c r="S955" s="294">
        <f>__xlfn.XLOOKUP(H955,[2]Izvršenje_proračuna_po_pozicija!$B$2:$B$153,[2]Izvršenje_proračuna_po_pozicija!$E$2:$E$153,0)</f>
        <v>0</v>
      </c>
      <c r="T955" s="294"/>
      <c r="U955" s="294"/>
      <c r="V955" s="478"/>
      <c r="W955" s="478"/>
      <c r="X955" s="544"/>
      <c r="Y955" s="544"/>
      <c r="Z955" s="541" t="b">
        <f t="shared" si="674"/>
        <v>0</v>
      </c>
      <c r="AA955" s="527"/>
      <c r="AB955" s="528"/>
      <c r="AC955" s="528"/>
      <c r="AD955" s="524"/>
      <c r="AE955" s="524"/>
      <c r="AF955" s="524"/>
      <c r="AG955" s="524"/>
      <c r="AH955" s="527"/>
      <c r="AI955" s="544"/>
      <c r="AJ955" s="516"/>
      <c r="AK955" s="516"/>
      <c r="AL955" s="516"/>
      <c r="AM955" s="294"/>
      <c r="AO955" t="b">
        <f t="shared" si="675"/>
        <v>0</v>
      </c>
      <c r="AQ955" s="443"/>
      <c r="AS955" s="443">
        <f>__xlfn.XLOOKUP(K955,[1]Izvršenje_proračuna_po_pozicija!$C$25:$C$149,[1]Izvršenje_proračuna_po_pozicija!$E$25:$E$149,0)</f>
        <v>0</v>
      </c>
      <c r="AT955" s="617"/>
      <c r="AU955" s="478"/>
      <c r="AV955" s="638"/>
      <c r="AW955" s="638"/>
      <c r="AX955" s="655" t="str">
        <f t="shared" si="681"/>
        <v/>
      </c>
      <c r="AY955" s="655" t="str">
        <f t="shared" si="672"/>
        <v/>
      </c>
      <c r="AZ955" s="655" t="str">
        <f t="shared" si="682"/>
        <v/>
      </c>
      <c r="BA955" s="655" t="str">
        <f t="shared" si="673"/>
        <v/>
      </c>
      <c r="BB955" s="655" t="str">
        <f t="shared" si="676"/>
        <v/>
      </c>
      <c r="BC955" s="655" t="str">
        <f t="shared" si="676"/>
        <v/>
      </c>
    </row>
    <row r="956" spans="1:55" ht="12" customHeight="1">
      <c r="A956" s="36"/>
      <c r="B956" s="36"/>
      <c r="C956" s="36"/>
      <c r="D956" s="36"/>
      <c r="E956" s="36"/>
      <c r="F956" s="36"/>
      <c r="G956" s="36"/>
      <c r="H956" s="398" t="s">
        <v>397</v>
      </c>
      <c r="I956" s="185">
        <v>1090</v>
      </c>
      <c r="J956" s="186">
        <v>3811</v>
      </c>
      <c r="K956" s="184" t="s">
        <v>398</v>
      </c>
      <c r="L956" s="328"/>
      <c r="M956" s="328"/>
      <c r="N956" s="352"/>
      <c r="O956" s="352"/>
      <c r="P956" s="307"/>
      <c r="Q956" s="307"/>
      <c r="R956" s="463">
        <v>0</v>
      </c>
      <c r="S956" s="294">
        <f>__xlfn.XLOOKUP(H956,[2]Izvršenje_proračuna_po_pozicija!$B$2:$B$153,[2]Izvršenje_proračuna_po_pozicija!$E$2:$E$153,0)</f>
        <v>0</v>
      </c>
      <c r="T956" s="307"/>
      <c r="U956" s="307"/>
      <c r="V956" s="488"/>
      <c r="W956" s="488"/>
      <c r="X956" s="564"/>
      <c r="Y956" s="564"/>
      <c r="Z956" s="541" t="b">
        <f t="shared" si="674"/>
        <v>0</v>
      </c>
      <c r="AA956" s="565"/>
      <c r="AB956" s="566"/>
      <c r="AC956" s="566"/>
      <c r="AD956" s="524"/>
      <c r="AE956" s="524"/>
      <c r="AF956" s="524"/>
      <c r="AG956" s="524"/>
      <c r="AH956" s="565"/>
      <c r="AI956" s="564"/>
      <c r="AJ956" s="516"/>
      <c r="AK956" s="516"/>
      <c r="AL956" s="516"/>
      <c r="AM956" s="307"/>
      <c r="AO956" t="b">
        <f t="shared" si="675"/>
        <v>0</v>
      </c>
      <c r="AQ956" s="463"/>
      <c r="AS956" s="463">
        <f>__xlfn.XLOOKUP(K956,[1]Izvršenje_proračuna_po_pozicija!$C$25:$C$149,[1]Izvršenje_proračuna_po_pozicija!$E$25:$E$149,0)</f>
        <v>0</v>
      </c>
      <c r="AT956" s="620"/>
      <c r="AU956" s="488"/>
      <c r="AV956" s="650"/>
      <c r="AW956" s="650"/>
      <c r="AX956" s="655" t="str">
        <f t="shared" si="681"/>
        <v/>
      </c>
      <c r="AY956" s="655" t="str">
        <f t="shared" si="672"/>
        <v/>
      </c>
      <c r="AZ956" s="655" t="str">
        <f t="shared" si="682"/>
        <v/>
      </c>
      <c r="BA956" s="655" t="str">
        <f t="shared" si="673"/>
        <v/>
      </c>
      <c r="BB956" s="655" t="str">
        <f t="shared" si="676"/>
        <v/>
      </c>
      <c r="BC956" s="655" t="str">
        <f t="shared" si="676"/>
        <v/>
      </c>
    </row>
    <row r="957" spans="1:55" ht="12" customHeight="1">
      <c r="A957" s="66"/>
      <c r="B957" s="66"/>
      <c r="C957" s="66"/>
      <c r="D957" s="66"/>
      <c r="E957" s="66"/>
      <c r="F957" s="66"/>
      <c r="G957" s="66"/>
      <c r="H957" s="399" t="s">
        <v>399</v>
      </c>
      <c r="I957" s="183">
        <v>1090</v>
      </c>
      <c r="J957" s="122">
        <v>3811</v>
      </c>
      <c r="K957" s="123" t="s">
        <v>400</v>
      </c>
      <c r="L957" s="322">
        <v>10000</v>
      </c>
      <c r="M957" s="322">
        <f>10000/7.5345</f>
        <v>1327.2280841462605</v>
      </c>
      <c r="N957" s="346"/>
      <c r="O957" s="346"/>
      <c r="P957" s="301"/>
      <c r="Q957" s="301"/>
      <c r="R957" s="458">
        <v>800</v>
      </c>
      <c r="S957" s="294">
        <f>__xlfn.XLOOKUP(H957,[2]Izvršenje_proračuna_po_pozicija!$B$2:$B$153,[2]Izvršenje_proračuna_po_pozicija!$E$2:$E$153,0)</f>
        <v>0</v>
      </c>
      <c r="T957" s="301"/>
      <c r="U957" s="301"/>
      <c r="V957" s="480"/>
      <c r="W957" s="480"/>
      <c r="X957" s="548"/>
      <c r="Y957" s="548"/>
      <c r="Z957" s="541" t="b">
        <f t="shared" si="674"/>
        <v>0</v>
      </c>
      <c r="AA957" s="533"/>
      <c r="AB957" s="534"/>
      <c r="AC957" s="534"/>
      <c r="AD957" s="524">
        <f>O957/M957*100</f>
        <v>0</v>
      </c>
      <c r="AE957" s="524"/>
      <c r="AF957" s="524"/>
      <c r="AG957" s="524"/>
      <c r="AH957" s="533"/>
      <c r="AI957" s="548"/>
      <c r="AJ957" s="516">
        <f>W957/R957*100</f>
        <v>0</v>
      </c>
      <c r="AK957" s="516"/>
      <c r="AL957" s="516"/>
      <c r="AM957" s="301"/>
      <c r="AO957" t="b">
        <f t="shared" si="675"/>
        <v>0</v>
      </c>
      <c r="AQ957" s="458"/>
      <c r="AS957" s="458">
        <f>__xlfn.XLOOKUP(K957,[1]Izvršenje_proračuna_po_pozicija!$C$25:$C$149,[1]Izvršenje_proračuna_po_pozicija!$E$25:$E$149,0)</f>
        <v>0</v>
      </c>
      <c r="AT957" s="618"/>
      <c r="AU957" s="480"/>
      <c r="AV957" s="641"/>
      <c r="AW957" s="641"/>
      <c r="AX957" s="655" t="str">
        <f t="shared" si="681"/>
        <v/>
      </c>
      <c r="AY957" s="655" t="str">
        <f t="shared" si="672"/>
        <v/>
      </c>
      <c r="AZ957" s="655" t="str">
        <f t="shared" si="682"/>
        <v/>
      </c>
      <c r="BA957" s="655" t="str">
        <f t="shared" si="673"/>
        <v/>
      </c>
      <c r="BB957" s="655" t="str">
        <f t="shared" si="676"/>
        <v/>
      </c>
      <c r="BC957" s="655" t="str">
        <f t="shared" si="676"/>
        <v/>
      </c>
    </row>
    <row r="958" spans="1:55" ht="12" customHeight="1">
      <c r="A958" s="66"/>
      <c r="B958" s="66"/>
      <c r="C958" s="66"/>
      <c r="D958" s="66"/>
      <c r="E958" s="66"/>
      <c r="F958" s="66"/>
      <c r="G958" s="66"/>
      <c r="H958" s="196" t="s">
        <v>575</v>
      </c>
      <c r="I958" s="136">
        <v>1090</v>
      </c>
      <c r="J958" s="71">
        <v>3811</v>
      </c>
      <c r="K958" s="40" t="s">
        <v>624</v>
      </c>
      <c r="L958" s="309">
        <v>40000</v>
      </c>
      <c r="M958" s="309">
        <f>40000/7.5345</f>
        <v>5308.9123365850419</v>
      </c>
      <c r="N958" s="339"/>
      <c r="O958" s="339"/>
      <c r="P958" s="294"/>
      <c r="Q958" s="294"/>
      <c r="R958" s="443">
        <v>6000</v>
      </c>
      <c r="S958" s="294">
        <f>__xlfn.XLOOKUP(H958,[2]Izvršenje_proračuna_po_pozicija!$B$2:$B$153,[2]Izvršenje_proračuna_po_pozicija!$E$2:$E$153,0)</f>
        <v>0</v>
      </c>
      <c r="T958" s="294"/>
      <c r="U958" s="294"/>
      <c r="V958" s="478"/>
      <c r="W958" s="478"/>
      <c r="X958" s="544"/>
      <c r="Y958" s="544"/>
      <c r="Z958" s="541" t="b">
        <f t="shared" si="674"/>
        <v>0</v>
      </c>
      <c r="AA958" s="527"/>
      <c r="AB958" s="528"/>
      <c r="AC958" s="528"/>
      <c r="AD958" s="524">
        <f>O958/M958*100</f>
        <v>0</v>
      </c>
      <c r="AE958" s="524"/>
      <c r="AF958" s="524"/>
      <c r="AG958" s="524"/>
      <c r="AH958" s="527"/>
      <c r="AI958" s="544"/>
      <c r="AJ958" s="516">
        <f>W958/R958*100</f>
        <v>0</v>
      </c>
      <c r="AK958" s="516"/>
      <c r="AL958" s="516"/>
      <c r="AM958" s="294"/>
      <c r="AO958" t="b">
        <f t="shared" si="675"/>
        <v>0</v>
      </c>
      <c r="AQ958" s="443"/>
      <c r="AS958" s="443">
        <f>__xlfn.XLOOKUP(K958,[1]Izvršenje_proračuna_po_pozicija!$C$25:$C$149,[1]Izvršenje_proračuna_po_pozicija!$E$25:$E$149,0)</f>
        <v>0</v>
      </c>
      <c r="AT958" s="617"/>
      <c r="AU958" s="478"/>
      <c r="AV958" s="638"/>
      <c r="AW958" s="638"/>
      <c r="AX958" s="655" t="str">
        <f t="shared" si="681"/>
        <v/>
      </c>
      <c r="AY958" s="655" t="str">
        <f t="shared" si="672"/>
        <v/>
      </c>
      <c r="AZ958" s="655" t="str">
        <f t="shared" si="682"/>
        <v/>
      </c>
      <c r="BA958" s="655" t="str">
        <f t="shared" si="673"/>
        <v/>
      </c>
      <c r="BB958" s="655" t="str">
        <f t="shared" si="676"/>
        <v/>
      </c>
      <c r="BC958" s="655" t="str">
        <f t="shared" si="676"/>
        <v/>
      </c>
    </row>
    <row r="959" spans="1:55" ht="12" customHeight="1">
      <c r="A959" s="20"/>
      <c r="B959" s="20"/>
      <c r="C959" s="20"/>
      <c r="D959" s="20"/>
      <c r="E959" s="20"/>
      <c r="F959" s="20"/>
      <c r="G959" s="20"/>
      <c r="H959" s="375"/>
      <c r="I959" s="22"/>
      <c r="J959" s="21"/>
      <c r="K959" s="19"/>
      <c r="L959" s="313">
        <v>1</v>
      </c>
      <c r="M959" s="313">
        <v>2</v>
      </c>
      <c r="N959" s="335">
        <v>3</v>
      </c>
      <c r="O959" s="335">
        <v>4</v>
      </c>
      <c r="P959" s="290">
        <v>5</v>
      </c>
      <c r="Q959" s="290">
        <v>6</v>
      </c>
      <c r="R959" s="439"/>
      <c r="S959" s="294">
        <f>__xlfn.XLOOKUP(H959,[2]Izvršenje_proračuna_po_pozicija!$B$2:$B$153,[2]Izvršenje_proračuna_po_pozicija!$E$2:$E$153,0)</f>
        <v>0</v>
      </c>
      <c r="T959" s="294"/>
      <c r="U959" s="294"/>
      <c r="V959" s="474"/>
      <c r="W959" s="474"/>
      <c r="X959" s="539"/>
      <c r="Y959" s="539"/>
      <c r="Z959" s="541" t="b">
        <f t="shared" si="674"/>
        <v>0</v>
      </c>
      <c r="AA959" s="514"/>
      <c r="AB959" s="515">
        <v>7</v>
      </c>
      <c r="AC959" s="515">
        <v>8</v>
      </c>
      <c r="AD959" s="515">
        <v>9</v>
      </c>
      <c r="AE959" s="515">
        <v>10</v>
      </c>
      <c r="AF959" s="515">
        <v>11</v>
      </c>
      <c r="AG959" s="515">
        <v>12</v>
      </c>
      <c r="AH959" s="514"/>
      <c r="AI959" s="539"/>
      <c r="AJ959" s="516"/>
      <c r="AK959" s="516"/>
      <c r="AL959" s="516"/>
      <c r="AM959" s="290"/>
      <c r="AO959" t="b">
        <f t="shared" si="675"/>
        <v>0</v>
      </c>
      <c r="AQ959" s="439"/>
      <c r="AS959" s="439">
        <f>__xlfn.XLOOKUP(K959,[1]Izvršenje_proračuna_po_pozicija!$C$25:$C$149,[1]Izvršenje_proračuna_po_pozicija!$E$25:$E$149,0)</f>
        <v>0</v>
      </c>
      <c r="AT959" s="616"/>
      <c r="AU959" s="474"/>
      <c r="AV959" s="632"/>
      <c r="AW959" s="632"/>
      <c r="AX959" s="655" t="str">
        <f t="shared" si="681"/>
        <v/>
      </c>
      <c r="AY959" s="655" t="str">
        <f t="shared" ref="AY959:AY1022" si="717">IF(AND(ISNUMBER(AT959), ISNUMBER(AQ964), AQ964&lt;&gt;0), (AT959/AQ964)*100, "")</f>
        <v/>
      </c>
      <c r="AZ959" s="655" t="str">
        <f t="shared" si="682"/>
        <v/>
      </c>
      <c r="BA959" s="655" t="str">
        <f t="shared" ref="BA959:BA1022" si="718">IF(AND(ISNUMBER(AU959), ISNUMBER(AQ964), AQ964&lt;&gt;0), (AU959/AQ964)*100, "")</f>
        <v/>
      </c>
      <c r="BB959" s="655" t="str">
        <f t="shared" si="676"/>
        <v/>
      </c>
      <c r="BC959" s="655" t="str">
        <f t="shared" si="676"/>
        <v/>
      </c>
    </row>
    <row r="960" spans="1:55" ht="12" customHeight="1">
      <c r="A960" s="66"/>
      <c r="B960" s="66"/>
      <c r="C960" s="66"/>
      <c r="D960" s="66"/>
      <c r="E960" s="66"/>
      <c r="F960" s="66"/>
      <c r="G960" s="66"/>
      <c r="H960" s="196" t="s">
        <v>869</v>
      </c>
      <c r="I960" s="136">
        <v>1090</v>
      </c>
      <c r="J960" s="71">
        <v>3811</v>
      </c>
      <c r="K960" s="40" t="s">
        <v>467</v>
      </c>
      <c r="L960" s="309">
        <v>5000</v>
      </c>
      <c r="M960" s="309">
        <f>5000/7.5345</f>
        <v>663.61404207313024</v>
      </c>
      <c r="N960" s="339"/>
      <c r="O960" s="339"/>
      <c r="P960" s="294"/>
      <c r="Q960" s="294"/>
      <c r="R960" s="443"/>
      <c r="S960" s="294" t="e">
        <f>__xlfn.XLOOKUP(#REF!,[2]Izvršenje_proračuna_po_pozicija!$B$2:$B$153,[2]Izvršenje_proračuna_po_pozicija!$E$2:$E$153,0)</f>
        <v>#REF!</v>
      </c>
      <c r="T960" s="294"/>
      <c r="U960" s="294"/>
      <c r="V960" s="478">
        <v>8800</v>
      </c>
      <c r="W960" s="478">
        <v>8800</v>
      </c>
      <c r="X960" s="544">
        <v>12000</v>
      </c>
      <c r="Y960" s="544"/>
      <c r="Z960" s="541" t="b">
        <f t="shared" ref="Z960:Z1023" si="719">__xlfn.ISFORMULA(R960)</f>
        <v>0</v>
      </c>
      <c r="AA960" s="527"/>
      <c r="AB960" s="528"/>
      <c r="AC960" s="528"/>
      <c r="AD960" s="524">
        <f>O960/M960*100</f>
        <v>0</v>
      </c>
      <c r="AE960" s="524"/>
      <c r="AF960" s="524"/>
      <c r="AG960" s="524"/>
      <c r="AH960" s="527"/>
      <c r="AI960" s="544">
        <v>12000</v>
      </c>
      <c r="AJ960" s="516"/>
      <c r="AK960" s="516">
        <f>AT960/W960*100</f>
        <v>115.90909090909092</v>
      </c>
      <c r="AL960" s="516">
        <f>X960/AT960*100</f>
        <v>117.64705882352942</v>
      </c>
      <c r="AM960" s="294"/>
      <c r="AO960" t="b">
        <f t="shared" ref="AO960:AO1023" si="720">__xlfn.ISFORMULA(AT960)</f>
        <v>0</v>
      </c>
      <c r="AP960" s="493">
        <v>16800</v>
      </c>
      <c r="AQ960" s="443">
        <v>16800</v>
      </c>
      <c r="AR960" s="493">
        <v>16800</v>
      </c>
      <c r="AS960" s="443">
        <f>__xlfn.XLOOKUP(K960,[1]Izvršenje_proračuna_po_pozicija!$C$25:$C$149,[1]Izvršenje_proračuna_po_pozicija!$E$25:$E$149,0)</f>
        <v>0</v>
      </c>
      <c r="AT960" s="617">
        <v>10200</v>
      </c>
      <c r="AU960" s="478">
        <v>10200</v>
      </c>
      <c r="AV960" s="638">
        <v>12000</v>
      </c>
      <c r="AW960" s="638">
        <v>12000</v>
      </c>
      <c r="AX960" s="655" t="str">
        <f t="shared" si="681"/>
        <v/>
      </c>
      <c r="AY960" s="655" t="str">
        <f t="shared" si="717"/>
        <v/>
      </c>
      <c r="AZ960" s="655">
        <f t="shared" si="682"/>
        <v>100</v>
      </c>
      <c r="BA960" s="655" t="str">
        <f t="shared" si="718"/>
        <v/>
      </c>
      <c r="BB960" s="655">
        <f t="shared" si="676"/>
        <v>117.64705882352942</v>
      </c>
      <c r="BC960" s="655">
        <f t="shared" si="676"/>
        <v>100</v>
      </c>
    </row>
    <row r="961" spans="1:55" ht="12" customHeight="1">
      <c r="A961" s="66"/>
      <c r="B961" s="66"/>
      <c r="C961" s="66"/>
      <c r="D961" s="66"/>
      <c r="E961" s="66"/>
      <c r="F961" s="66"/>
      <c r="G961" s="66"/>
      <c r="H961" s="196" t="s">
        <v>627</v>
      </c>
      <c r="I961" s="136">
        <v>1090</v>
      </c>
      <c r="J961" s="71">
        <v>3811</v>
      </c>
      <c r="K961" s="255" t="s">
        <v>623</v>
      </c>
      <c r="L961" s="309"/>
      <c r="M961" s="309"/>
      <c r="N961" s="339"/>
      <c r="O961" s="339"/>
      <c r="P961" s="294"/>
      <c r="Q961" s="294"/>
      <c r="R961" s="443"/>
      <c r="S961" s="294">
        <f>__xlfn.XLOOKUP(H961,[2]Izvršenje_proračuna_po_pozicija!$B$2:$B$153,[2]Izvršenje_proračuna_po_pozicija!$E$2:$E$153,0)</f>
        <v>0</v>
      </c>
      <c r="T961" s="294"/>
      <c r="U961" s="294"/>
      <c r="V961" s="478"/>
      <c r="W961" s="478"/>
      <c r="X961" s="544"/>
      <c r="Y961" s="544"/>
      <c r="Z961" s="541" t="b">
        <f t="shared" si="719"/>
        <v>0</v>
      </c>
      <c r="AA961" s="527"/>
      <c r="AB961" s="528"/>
      <c r="AC961" s="528"/>
      <c r="AD961" s="524"/>
      <c r="AE961" s="524"/>
      <c r="AF961" s="524"/>
      <c r="AG961" s="524"/>
      <c r="AH961" s="527"/>
      <c r="AI961" s="544"/>
      <c r="AJ961" s="516"/>
      <c r="AK961" s="516"/>
      <c r="AL961" s="516"/>
      <c r="AM961" s="294"/>
      <c r="AO961" t="b">
        <f t="shared" si="720"/>
        <v>0</v>
      </c>
      <c r="AQ961" s="443"/>
      <c r="AS961" s="443">
        <f>__xlfn.XLOOKUP(K961,[1]Izvršenje_proračuna_po_pozicija!$C$25:$C$149,[1]Izvršenje_proračuna_po_pozicija!$E$25:$E$149,0)</f>
        <v>0</v>
      </c>
      <c r="AT961" s="617"/>
      <c r="AU961" s="478"/>
      <c r="AV961" s="638"/>
      <c r="AW961" s="638"/>
      <c r="AX961" s="655" t="str">
        <f t="shared" si="681"/>
        <v/>
      </c>
      <c r="AY961" s="655" t="str">
        <f t="shared" si="717"/>
        <v/>
      </c>
      <c r="AZ961" s="655" t="str">
        <f t="shared" si="682"/>
        <v/>
      </c>
      <c r="BA961" s="655" t="str">
        <f t="shared" si="718"/>
        <v/>
      </c>
      <c r="BB961" s="655" t="str">
        <f t="shared" si="676"/>
        <v/>
      </c>
      <c r="BC961" s="655" t="str">
        <f t="shared" si="676"/>
        <v/>
      </c>
    </row>
    <row r="962" spans="1:55" s="257" customFormat="1" ht="12" customHeight="1">
      <c r="A962" s="20"/>
      <c r="B962" s="20"/>
      <c r="C962" s="20"/>
      <c r="D962" s="20"/>
      <c r="E962" s="20"/>
      <c r="F962" s="20"/>
      <c r="G962" s="20"/>
      <c r="I962" s="183"/>
      <c r="J962" s="122"/>
      <c r="K962" s="19"/>
      <c r="L962" s="313"/>
      <c r="M962" s="313"/>
      <c r="N962" s="335"/>
      <c r="O962" s="335"/>
      <c r="P962" s="290"/>
      <c r="Q962" s="290"/>
      <c r="R962" s="439"/>
      <c r="S962" s="294">
        <f>__xlfn.XLOOKUP(H960,[2]Izvršenje_proračuna_po_pozicija!$B$2:$B$153,[2]Izvršenje_proračuna_po_pozicija!$E$2:$E$153,0)</f>
        <v>16800</v>
      </c>
      <c r="T962" s="294"/>
      <c r="U962" s="294"/>
      <c r="V962" s="474"/>
      <c r="W962" s="474"/>
      <c r="X962" s="539"/>
      <c r="Y962" s="539"/>
      <c r="Z962" s="541" t="b">
        <f t="shared" si="719"/>
        <v>0</v>
      </c>
      <c r="AA962" s="514"/>
      <c r="AB962" s="515"/>
      <c r="AC962" s="515"/>
      <c r="AD962" s="524"/>
      <c r="AE962" s="524"/>
      <c r="AF962" s="524"/>
      <c r="AG962" s="524"/>
      <c r="AH962" s="514"/>
      <c r="AI962" s="539"/>
      <c r="AJ962" s="516"/>
      <c r="AK962" s="516"/>
      <c r="AL962" s="516"/>
      <c r="AM962" s="290"/>
      <c r="AO962" t="b">
        <f t="shared" si="720"/>
        <v>0</v>
      </c>
      <c r="AQ962" s="439"/>
      <c r="AS962" s="439">
        <f>__xlfn.XLOOKUP(K962,[1]Izvršenje_proračuna_po_pozicija!$C$25:$C$149,[1]Izvršenje_proračuna_po_pozicija!$E$25:$E$149,0)</f>
        <v>0</v>
      </c>
      <c r="AT962" s="616"/>
      <c r="AU962" s="474"/>
      <c r="AV962" s="632"/>
      <c r="AW962" s="632"/>
      <c r="AX962" s="655" t="str">
        <f t="shared" si="681"/>
        <v/>
      </c>
      <c r="AY962" s="655" t="str">
        <f t="shared" si="717"/>
        <v/>
      </c>
      <c r="AZ962" s="655" t="str">
        <f t="shared" si="682"/>
        <v/>
      </c>
      <c r="BA962" s="655" t="str">
        <f t="shared" si="718"/>
        <v/>
      </c>
      <c r="BB962" s="655" t="str">
        <f t="shared" si="676"/>
        <v/>
      </c>
      <c r="BC962" s="655" t="str">
        <f t="shared" si="676"/>
        <v/>
      </c>
    </row>
    <row r="963" spans="1:55" ht="12" customHeight="1">
      <c r="A963" s="256" t="s">
        <v>476</v>
      </c>
      <c r="B963" s="256"/>
      <c r="C963" s="256"/>
      <c r="D963" s="256"/>
      <c r="E963" s="256"/>
      <c r="F963" s="256"/>
      <c r="G963" s="256"/>
      <c r="H963" s="400"/>
      <c r="I963" s="170" t="s">
        <v>458</v>
      </c>
      <c r="J963" s="151"/>
      <c r="K963" s="45"/>
      <c r="L963" s="315">
        <f t="shared" ref="L963:S963" si="721">L966+L982</f>
        <v>0</v>
      </c>
      <c r="M963" s="315">
        <f t="shared" si="721"/>
        <v>0</v>
      </c>
      <c r="N963" s="337">
        <f t="shared" si="721"/>
        <v>0</v>
      </c>
      <c r="O963" s="337">
        <f t="shared" si="721"/>
        <v>0</v>
      </c>
      <c r="P963" s="292">
        <f t="shared" si="721"/>
        <v>0</v>
      </c>
      <c r="Q963" s="292">
        <f t="shared" si="721"/>
        <v>0</v>
      </c>
      <c r="R963" s="441">
        <f t="shared" si="721"/>
        <v>0</v>
      </c>
      <c r="S963" s="292">
        <f t="shared" si="721"/>
        <v>0</v>
      </c>
      <c r="T963" s="292"/>
      <c r="U963" s="292"/>
      <c r="V963" s="469">
        <f>V966+V982</f>
        <v>0</v>
      </c>
      <c r="W963" s="469">
        <f>W966+W982</f>
        <v>0</v>
      </c>
      <c r="X963" s="522">
        <f>X966+X982</f>
        <v>0</v>
      </c>
      <c r="Y963" s="522">
        <f>Y966+Y982</f>
        <v>0</v>
      </c>
      <c r="Z963" s="541" t="b">
        <f t="shared" si="719"/>
        <v>1</v>
      </c>
      <c r="AA963" s="522"/>
      <c r="AB963" s="523">
        <f>AB966+AB982</f>
        <v>0</v>
      </c>
      <c r="AC963" s="523">
        <f>AC966+AC982</f>
        <v>0</v>
      </c>
      <c r="AD963" s="524"/>
      <c r="AE963" s="524"/>
      <c r="AF963" s="524"/>
      <c r="AG963" s="524"/>
      <c r="AH963" s="522"/>
      <c r="AI963" s="522">
        <v>0</v>
      </c>
      <c r="AJ963" s="516"/>
      <c r="AK963" s="516"/>
      <c r="AL963" s="516"/>
      <c r="AM963" s="292"/>
      <c r="AO963" t="b">
        <f t="shared" si="720"/>
        <v>1</v>
      </c>
      <c r="AP963" s="440">
        <f>AP966+AP982</f>
        <v>0</v>
      </c>
      <c r="AQ963" s="441">
        <v>0</v>
      </c>
      <c r="AR963" s="440">
        <f>AR966+AR982</f>
        <v>0</v>
      </c>
      <c r="AS963" s="441">
        <f>__xlfn.XLOOKUP(K963,[1]Izvršenje_proračuna_po_pozicija!$C$25:$C$149,[1]Izvršenje_proračuna_po_pozicija!$E$25:$E$149,0)</f>
        <v>0</v>
      </c>
      <c r="AT963" s="612">
        <f>AT966+AT982</f>
        <v>0</v>
      </c>
      <c r="AU963" s="469"/>
      <c r="AV963" s="636">
        <v>0</v>
      </c>
      <c r="AW963" s="636">
        <v>0</v>
      </c>
      <c r="AX963" s="655" t="str">
        <f t="shared" si="681"/>
        <v/>
      </c>
      <c r="AY963" s="655" t="str">
        <f t="shared" si="717"/>
        <v/>
      </c>
      <c r="AZ963" s="655" t="str">
        <f t="shared" si="682"/>
        <v/>
      </c>
      <c r="BA963" s="655" t="str">
        <f t="shared" si="718"/>
        <v/>
      </c>
      <c r="BB963" s="655" t="str">
        <f t="shared" si="676"/>
        <v/>
      </c>
      <c r="BC963" s="655" t="str">
        <f t="shared" si="676"/>
        <v/>
      </c>
    </row>
    <row r="964" spans="1:55" ht="12" customHeight="1">
      <c r="A964" s="66"/>
      <c r="B964" s="66"/>
      <c r="C964" s="66"/>
      <c r="D964" s="66"/>
      <c r="E964" s="66"/>
      <c r="F964" s="66"/>
      <c r="G964" s="66"/>
      <c r="H964" s="196"/>
      <c r="I964" s="156"/>
      <c r="J964" s="71"/>
      <c r="K964" s="40"/>
      <c r="L964" s="315"/>
      <c r="M964" s="315"/>
      <c r="N964" s="337"/>
      <c r="O964" s="337"/>
      <c r="P964" s="292"/>
      <c r="Q964" s="292"/>
      <c r="R964" s="441"/>
      <c r="S964" s="294">
        <f>__xlfn.XLOOKUP(H964,[2]Izvršenje_proračuna_po_pozicija!$B$2:$B$153,[2]Izvršenje_proračuna_po_pozicija!$E$2:$E$153,0)</f>
        <v>0</v>
      </c>
      <c r="T964" s="294"/>
      <c r="U964" s="294"/>
      <c r="V964" s="476"/>
      <c r="W964" s="476"/>
      <c r="X964" s="541"/>
      <c r="Y964" s="541"/>
      <c r="Z964" s="541" t="b">
        <f t="shared" si="719"/>
        <v>0</v>
      </c>
      <c r="AA964" s="522"/>
      <c r="AB964" s="523"/>
      <c r="AC964" s="523"/>
      <c r="AD964" s="524"/>
      <c r="AE964" s="524"/>
      <c r="AF964" s="524"/>
      <c r="AG964" s="524"/>
      <c r="AH964" s="522"/>
      <c r="AI964" s="541"/>
      <c r="AJ964" s="516"/>
      <c r="AK964" s="516"/>
      <c r="AL964" s="516"/>
      <c r="AM964" s="292"/>
      <c r="AO964" t="b">
        <f t="shared" si="720"/>
        <v>0</v>
      </c>
      <c r="AQ964" s="441"/>
      <c r="AS964" s="441">
        <f>__xlfn.XLOOKUP(K964,[1]Izvršenje_proračuna_po_pozicija!$C$25:$C$149,[1]Izvršenje_proračuna_po_pozicija!$E$25:$E$149,0)</f>
        <v>0</v>
      </c>
      <c r="AT964" s="616"/>
      <c r="AU964" s="476"/>
      <c r="AV964" s="636"/>
      <c r="AW964" s="636"/>
      <c r="AX964" s="655" t="str">
        <f t="shared" si="681"/>
        <v/>
      </c>
      <c r="AY964" s="655" t="str">
        <f t="shared" si="717"/>
        <v/>
      </c>
      <c r="AZ964" s="655" t="str">
        <f t="shared" si="682"/>
        <v/>
      </c>
      <c r="BA964" s="655" t="str">
        <f t="shared" si="718"/>
        <v/>
      </c>
      <c r="BB964" s="655" t="str">
        <f t="shared" si="676"/>
        <v/>
      </c>
      <c r="BC964" s="655" t="str">
        <f t="shared" si="676"/>
        <v/>
      </c>
    </row>
    <row r="965" spans="1:55" ht="12" customHeight="1">
      <c r="A965" s="20"/>
      <c r="B965" s="20"/>
      <c r="C965" s="20"/>
      <c r="D965" s="20"/>
      <c r="E965" s="20"/>
      <c r="F965" s="20"/>
      <c r="G965" s="20"/>
      <c r="H965" s="396"/>
      <c r="I965" s="156"/>
      <c r="J965" s="94">
        <v>4</v>
      </c>
      <c r="K965" s="21" t="s">
        <v>337</v>
      </c>
      <c r="L965" s="315">
        <f t="shared" ref="L965:AC965" si="722">L966</f>
        <v>0</v>
      </c>
      <c r="M965" s="315">
        <f t="shared" si="722"/>
        <v>0</v>
      </c>
      <c r="N965" s="337">
        <f t="shared" si="722"/>
        <v>0</v>
      </c>
      <c r="O965" s="337">
        <f t="shared" si="722"/>
        <v>0</v>
      </c>
      <c r="P965" s="292">
        <f t="shared" si="722"/>
        <v>0</v>
      </c>
      <c r="Q965" s="292">
        <f t="shared" si="722"/>
        <v>0</v>
      </c>
      <c r="R965" s="441">
        <f t="shared" si="722"/>
        <v>0</v>
      </c>
      <c r="S965" s="292">
        <f t="shared" si="722"/>
        <v>0</v>
      </c>
      <c r="T965" s="292"/>
      <c r="U965" s="292"/>
      <c r="V965" s="469">
        <f t="shared" si="722"/>
        <v>0</v>
      </c>
      <c r="W965" s="469">
        <f t="shared" si="722"/>
        <v>0</v>
      </c>
      <c r="X965" s="522">
        <f t="shared" si="722"/>
        <v>0</v>
      </c>
      <c r="Y965" s="522">
        <f t="shared" si="722"/>
        <v>0</v>
      </c>
      <c r="Z965" s="541" t="b">
        <f t="shared" si="719"/>
        <v>1</v>
      </c>
      <c r="AA965" s="522"/>
      <c r="AB965" s="523">
        <f t="shared" si="722"/>
        <v>0</v>
      </c>
      <c r="AC965" s="523">
        <f t="shared" si="722"/>
        <v>0</v>
      </c>
      <c r="AD965" s="524"/>
      <c r="AE965" s="524"/>
      <c r="AF965" s="524"/>
      <c r="AG965" s="524"/>
      <c r="AH965" s="522"/>
      <c r="AI965" s="522">
        <v>0</v>
      </c>
      <c r="AJ965" s="516"/>
      <c r="AK965" s="516"/>
      <c r="AL965" s="516"/>
      <c r="AM965" s="292"/>
      <c r="AO965" t="b">
        <f t="shared" si="720"/>
        <v>1</v>
      </c>
      <c r="AP965" s="440">
        <f>AP966</f>
        <v>0</v>
      </c>
      <c r="AQ965" s="441">
        <v>0</v>
      </c>
      <c r="AR965" s="440">
        <f>AR966</f>
        <v>0</v>
      </c>
      <c r="AS965" s="441">
        <f>__xlfn.XLOOKUP(K965,[1]Izvršenje_proračuna_po_pozicija!$C$25:$C$149,[1]Izvršenje_proračuna_po_pozicija!$E$25:$E$149,0)</f>
        <v>0</v>
      </c>
      <c r="AT965" s="612">
        <f>AT966</f>
        <v>0</v>
      </c>
      <c r="AU965" s="469"/>
      <c r="AV965" s="636">
        <v>0</v>
      </c>
      <c r="AW965" s="636">
        <v>0</v>
      </c>
      <c r="AX965" s="655" t="str">
        <f t="shared" si="681"/>
        <v/>
      </c>
      <c r="AY965" s="655" t="str">
        <f t="shared" si="717"/>
        <v/>
      </c>
      <c r="AZ965" s="655" t="str">
        <f t="shared" si="682"/>
        <v/>
      </c>
      <c r="BA965" s="655" t="str">
        <f t="shared" si="718"/>
        <v/>
      </c>
      <c r="BB965" s="655" t="str">
        <f t="shared" si="676"/>
        <v/>
      </c>
      <c r="BC965" s="655" t="str">
        <f t="shared" si="676"/>
        <v/>
      </c>
    </row>
    <row r="966" spans="1:55" ht="12" customHeight="1">
      <c r="A966" s="363"/>
      <c r="B966" s="363"/>
      <c r="C966" s="363"/>
      <c r="D966" s="363"/>
      <c r="E966" s="363"/>
      <c r="F966" s="363"/>
      <c r="G966" s="363"/>
      <c r="H966" s="369"/>
      <c r="I966" s="359"/>
      <c r="J966" s="356">
        <v>42</v>
      </c>
      <c r="K966" s="358" t="s">
        <v>325</v>
      </c>
      <c r="L966" s="315">
        <f t="shared" ref="L966:S966" si="723">L968</f>
        <v>0</v>
      </c>
      <c r="M966" s="315">
        <f t="shared" si="723"/>
        <v>0</v>
      </c>
      <c r="N966" s="337">
        <f t="shared" si="723"/>
        <v>0</v>
      </c>
      <c r="O966" s="337">
        <f t="shared" si="723"/>
        <v>0</v>
      </c>
      <c r="P966" s="292">
        <f t="shared" si="723"/>
        <v>0</v>
      </c>
      <c r="Q966" s="292">
        <f t="shared" si="723"/>
        <v>0</v>
      </c>
      <c r="R966" s="441">
        <f t="shared" si="723"/>
        <v>0</v>
      </c>
      <c r="S966" s="292">
        <f t="shared" si="723"/>
        <v>0</v>
      </c>
      <c r="T966" s="292"/>
      <c r="U966" s="292"/>
      <c r="V966" s="469">
        <f>V968</f>
        <v>0</v>
      </c>
      <c r="W966" s="469">
        <f>W968</f>
        <v>0</v>
      </c>
      <c r="X966" s="522">
        <f>X968</f>
        <v>0</v>
      </c>
      <c r="Y966" s="522">
        <f>Y968</f>
        <v>0</v>
      </c>
      <c r="Z966" s="541" t="b">
        <f t="shared" si="719"/>
        <v>1</v>
      </c>
      <c r="AA966" s="522"/>
      <c r="AB966" s="523">
        <f>AB968</f>
        <v>0</v>
      </c>
      <c r="AC966" s="523">
        <f>AC968</f>
        <v>0</v>
      </c>
      <c r="AD966" s="524"/>
      <c r="AE966" s="524"/>
      <c r="AF966" s="524"/>
      <c r="AG966" s="524"/>
      <c r="AH966" s="522"/>
      <c r="AI966" s="522">
        <v>0</v>
      </c>
      <c r="AJ966" s="516"/>
      <c r="AK966" s="516"/>
      <c r="AL966" s="516"/>
      <c r="AM966" s="292"/>
      <c r="AO966" t="b">
        <f t="shared" si="720"/>
        <v>1</v>
      </c>
      <c r="AP966" s="440">
        <f>AP968</f>
        <v>0</v>
      </c>
      <c r="AQ966" s="441">
        <v>0</v>
      </c>
      <c r="AR966" s="440">
        <f>AR968</f>
        <v>0</v>
      </c>
      <c r="AS966" s="441">
        <f>__xlfn.XLOOKUP(K966,[1]Izvršenje_proračuna_po_pozicija!$C$25:$C$149,[1]Izvršenje_proračuna_po_pozicija!$E$25:$E$149,0)</f>
        <v>0</v>
      </c>
      <c r="AT966" s="612">
        <f>AT968</f>
        <v>0</v>
      </c>
      <c r="AU966" s="469"/>
      <c r="AV966" s="636">
        <v>0</v>
      </c>
      <c r="AW966" s="636">
        <v>0</v>
      </c>
      <c r="AX966" s="655" t="str">
        <f t="shared" si="681"/>
        <v/>
      </c>
      <c r="AY966" s="655" t="str">
        <f t="shared" si="717"/>
        <v/>
      </c>
      <c r="AZ966" s="655" t="str">
        <f t="shared" si="682"/>
        <v/>
      </c>
      <c r="BA966" s="655" t="str">
        <f t="shared" si="718"/>
        <v/>
      </c>
      <c r="BB966" s="655" t="str">
        <f t="shared" ref="BB966:BC1029" si="724">IF(AND(ISNUMBER(AV966), ISNUMBER(AU966), AU966&lt;&gt;0), (AV966/AU966)*100, "")</f>
        <v/>
      </c>
      <c r="BC966" s="655" t="str">
        <f t="shared" si="724"/>
        <v/>
      </c>
    </row>
    <row r="967" spans="1:55" ht="12" customHeight="1">
      <c r="A967" s="20"/>
      <c r="B967" s="20"/>
      <c r="C967" s="20"/>
      <c r="D967" s="20"/>
      <c r="E967" s="20"/>
      <c r="F967" s="20"/>
      <c r="G967" s="20"/>
      <c r="H967" s="375"/>
      <c r="I967" s="22"/>
      <c r="J967" s="21"/>
      <c r="K967" s="19"/>
      <c r="L967" s="313"/>
      <c r="M967" s="313"/>
      <c r="N967" s="335"/>
      <c r="O967" s="335"/>
      <c r="P967" s="290"/>
      <c r="Q967" s="290"/>
      <c r="R967" s="439"/>
      <c r="S967" s="294">
        <f>__xlfn.XLOOKUP(H967,[2]Izvršenje_proračuna_po_pozicija!$B$2:$B$153,[2]Izvršenje_proračuna_po_pozicija!$E$2:$E$153,0)</f>
        <v>0</v>
      </c>
      <c r="T967" s="294"/>
      <c r="U967" s="294"/>
      <c r="V967" s="474"/>
      <c r="W967" s="474"/>
      <c r="X967" s="539"/>
      <c r="Y967" s="539"/>
      <c r="Z967" s="541" t="b">
        <f t="shared" si="719"/>
        <v>0</v>
      </c>
      <c r="AA967" s="514"/>
      <c r="AB967" s="515"/>
      <c r="AC967" s="515"/>
      <c r="AD967" s="524"/>
      <c r="AE967" s="524"/>
      <c r="AF967" s="524"/>
      <c r="AG967" s="524"/>
      <c r="AH967" s="514"/>
      <c r="AI967" s="539"/>
      <c r="AJ967" s="516"/>
      <c r="AK967" s="516"/>
      <c r="AL967" s="516"/>
      <c r="AM967" s="290"/>
      <c r="AO967" t="b">
        <f t="shared" si="720"/>
        <v>0</v>
      </c>
      <c r="AQ967" s="439"/>
      <c r="AS967" s="439">
        <f>__xlfn.XLOOKUP(K967,[1]Izvršenje_proračuna_po_pozicija!$C$25:$C$149,[1]Izvršenje_proračuna_po_pozicija!$E$25:$E$149,0)</f>
        <v>0</v>
      </c>
      <c r="AT967" s="616"/>
      <c r="AU967" s="474"/>
      <c r="AV967" s="632"/>
      <c r="AW967" s="632"/>
      <c r="AX967" s="655" t="str">
        <f t="shared" si="681"/>
        <v/>
      </c>
      <c r="AY967" s="655" t="str">
        <f t="shared" si="717"/>
        <v/>
      </c>
      <c r="AZ967" s="655" t="str">
        <f t="shared" si="682"/>
        <v/>
      </c>
      <c r="BA967" s="655" t="str">
        <f t="shared" si="718"/>
        <v/>
      </c>
      <c r="BB967" s="655" t="str">
        <f t="shared" si="724"/>
        <v/>
      </c>
      <c r="BC967" s="655" t="str">
        <f t="shared" si="724"/>
        <v/>
      </c>
    </row>
    <row r="968" spans="1:55" ht="12" customHeight="1">
      <c r="A968" s="165"/>
      <c r="B968" s="165"/>
      <c r="C968" s="165"/>
      <c r="D968" s="165"/>
      <c r="E968" s="165"/>
      <c r="F968" s="165"/>
      <c r="G968" s="165"/>
      <c r="H968" s="395"/>
      <c r="I968" s="157"/>
      <c r="J968" s="116">
        <v>421</v>
      </c>
      <c r="K968" s="60" t="s">
        <v>243</v>
      </c>
      <c r="L968" s="315">
        <f t="shared" ref="L968:S968" si="725">L969+L970</f>
        <v>0</v>
      </c>
      <c r="M968" s="315">
        <f t="shared" si="725"/>
        <v>0</v>
      </c>
      <c r="N968" s="337">
        <f t="shared" si="725"/>
        <v>0</v>
      </c>
      <c r="O968" s="337">
        <f t="shared" si="725"/>
        <v>0</v>
      </c>
      <c r="P968" s="292">
        <f t="shared" si="725"/>
        <v>0</v>
      </c>
      <c r="Q968" s="292">
        <f t="shared" si="725"/>
        <v>0</v>
      </c>
      <c r="R968" s="441">
        <f t="shared" si="725"/>
        <v>0</v>
      </c>
      <c r="S968" s="292">
        <f t="shared" si="725"/>
        <v>0</v>
      </c>
      <c r="T968" s="292"/>
      <c r="U968" s="292"/>
      <c r="V968" s="469">
        <f>V969+V970</f>
        <v>0</v>
      </c>
      <c r="W968" s="469">
        <f>W969+W970</f>
        <v>0</v>
      </c>
      <c r="X968" s="522">
        <f>X969+X970</f>
        <v>0</v>
      </c>
      <c r="Y968" s="522">
        <f>Y969+Y970</f>
        <v>0</v>
      </c>
      <c r="Z968" s="541" t="b">
        <f t="shared" si="719"/>
        <v>1</v>
      </c>
      <c r="AA968" s="522"/>
      <c r="AB968" s="523">
        <f>AB969+AB970</f>
        <v>0</v>
      </c>
      <c r="AC968" s="523">
        <f>AC969+AC970</f>
        <v>0</v>
      </c>
      <c r="AD968" s="524"/>
      <c r="AE968" s="524"/>
      <c r="AF968" s="524"/>
      <c r="AG968" s="524"/>
      <c r="AH968" s="522"/>
      <c r="AI968" s="522">
        <v>0</v>
      </c>
      <c r="AJ968" s="516"/>
      <c r="AK968" s="516"/>
      <c r="AL968" s="516"/>
      <c r="AM968" s="292"/>
      <c r="AO968" t="b">
        <f t="shared" si="720"/>
        <v>1</v>
      </c>
      <c r="AP968" s="440">
        <f>AP969+AP970</f>
        <v>0</v>
      </c>
      <c r="AQ968" s="441">
        <v>0</v>
      </c>
      <c r="AR968" s="440">
        <f>AR969+AR970</f>
        <v>0</v>
      </c>
      <c r="AS968" s="441">
        <f>__xlfn.XLOOKUP(K968,[1]Izvršenje_proračuna_po_pozicija!$C$25:$C$149,[1]Izvršenje_proračuna_po_pozicija!$E$25:$E$149,0)</f>
        <v>0</v>
      </c>
      <c r="AT968" s="612">
        <f>AT969+AT970</f>
        <v>0</v>
      </c>
      <c r="AU968" s="469"/>
      <c r="AV968" s="636">
        <v>0</v>
      </c>
      <c r="AW968" s="636">
        <v>0</v>
      </c>
      <c r="AX968" s="655" t="str">
        <f t="shared" si="681"/>
        <v/>
      </c>
      <c r="AY968" s="655">
        <f t="shared" si="717"/>
        <v>0</v>
      </c>
      <c r="AZ968" s="655" t="str">
        <f t="shared" si="682"/>
        <v/>
      </c>
      <c r="BA968" s="655" t="str">
        <f t="shared" si="718"/>
        <v/>
      </c>
      <c r="BB968" s="655" t="str">
        <f t="shared" si="724"/>
        <v/>
      </c>
      <c r="BC968" s="655" t="str">
        <f t="shared" si="724"/>
        <v/>
      </c>
    </row>
    <row r="969" spans="1:55" ht="12" customHeight="1">
      <c r="A969" s="66"/>
      <c r="B969" s="66"/>
      <c r="C969" s="66"/>
      <c r="D969" s="66"/>
      <c r="E969" s="66"/>
      <c r="F969" s="66"/>
      <c r="G969" s="66"/>
      <c r="H969" s="196" t="s">
        <v>457</v>
      </c>
      <c r="I969" s="136">
        <v>1020</v>
      </c>
      <c r="J969" s="71">
        <v>4212</v>
      </c>
      <c r="K969" s="40" t="s">
        <v>652</v>
      </c>
      <c r="L969" s="309">
        <v>0</v>
      </c>
      <c r="M969" s="309">
        <v>0</v>
      </c>
      <c r="N969" s="339">
        <v>0</v>
      </c>
      <c r="O969" s="339">
        <v>0</v>
      </c>
      <c r="P969" s="294">
        <v>0</v>
      </c>
      <c r="Q969" s="294">
        <v>0</v>
      </c>
      <c r="R969" s="443">
        <v>0</v>
      </c>
      <c r="S969" s="294">
        <f>__xlfn.XLOOKUP(H969,[2]Izvršenje_proračuna_po_pozicija!$B$2:$B$153,[2]Izvršenje_proračuna_po_pozicija!$E$2:$E$153,0)</f>
        <v>0</v>
      </c>
      <c r="T969" s="294"/>
      <c r="U969" s="294"/>
      <c r="V969" s="478">
        <v>0</v>
      </c>
      <c r="W969" s="478"/>
      <c r="X969" s="544"/>
      <c r="Y969" s="544"/>
      <c r="Z969" s="541" t="b">
        <f t="shared" si="719"/>
        <v>0</v>
      </c>
      <c r="AA969" s="527"/>
      <c r="AB969" s="528">
        <v>0</v>
      </c>
      <c r="AC969" s="528">
        <v>0</v>
      </c>
      <c r="AD969" s="524"/>
      <c r="AE969" s="524"/>
      <c r="AF969" s="524"/>
      <c r="AG969" s="524"/>
      <c r="AH969" s="527"/>
      <c r="AI969" s="544"/>
      <c r="AJ969" s="516"/>
      <c r="AK969" s="516"/>
      <c r="AL969" s="516"/>
      <c r="AM969" s="294"/>
      <c r="AO969" t="b">
        <f t="shared" si="720"/>
        <v>0</v>
      </c>
      <c r="AQ969" s="443"/>
      <c r="AS969" s="443">
        <f>__xlfn.XLOOKUP(K969,[1]Izvršenje_proračuna_po_pozicija!$C$25:$C$149,[1]Izvršenje_proračuna_po_pozicija!$E$25:$E$149,0)</f>
        <v>0</v>
      </c>
      <c r="AT969" s="617"/>
      <c r="AU969" s="478"/>
      <c r="AV969" s="638"/>
      <c r="AW969" s="638"/>
      <c r="AX969" s="655" t="str">
        <f t="shared" si="681"/>
        <v/>
      </c>
      <c r="AY969" s="655" t="str">
        <f t="shared" si="717"/>
        <v/>
      </c>
      <c r="AZ969" s="655" t="str">
        <f t="shared" si="682"/>
        <v/>
      </c>
      <c r="BA969" s="655" t="str">
        <f t="shared" si="718"/>
        <v/>
      </c>
      <c r="BB969" s="655" t="str">
        <f t="shared" si="724"/>
        <v/>
      </c>
      <c r="BC969" s="655" t="str">
        <f t="shared" si="724"/>
        <v/>
      </c>
    </row>
    <row r="970" spans="1:55" ht="12" customHeight="1">
      <c r="A970" s="66"/>
      <c r="B970" s="66"/>
      <c r="C970" s="66"/>
      <c r="D970" s="66"/>
      <c r="E970" s="66"/>
      <c r="F970" s="66"/>
      <c r="G970" s="66"/>
      <c r="H970" s="196" t="s">
        <v>670</v>
      </c>
      <c r="I970" s="136">
        <v>1020</v>
      </c>
      <c r="J970" s="71">
        <v>4212</v>
      </c>
      <c r="K970" s="40" t="s">
        <v>653</v>
      </c>
      <c r="L970" s="309">
        <v>0</v>
      </c>
      <c r="M970" s="309">
        <v>0</v>
      </c>
      <c r="N970" s="339">
        <v>0</v>
      </c>
      <c r="O970" s="339">
        <v>0</v>
      </c>
      <c r="P970" s="294">
        <v>0</v>
      </c>
      <c r="Q970" s="294">
        <v>0</v>
      </c>
      <c r="R970" s="443">
        <v>0</v>
      </c>
      <c r="S970" s="294">
        <f>__xlfn.XLOOKUP(H970,[2]Izvršenje_proračuna_po_pozicija!$B$2:$B$153,[2]Izvršenje_proračuna_po_pozicija!$E$2:$E$153,0)</f>
        <v>0</v>
      </c>
      <c r="T970" s="294"/>
      <c r="U970" s="294"/>
      <c r="V970" s="478">
        <v>0</v>
      </c>
      <c r="W970" s="478"/>
      <c r="X970" s="544"/>
      <c r="Y970" s="544"/>
      <c r="Z970" s="541" t="b">
        <f t="shared" si="719"/>
        <v>0</v>
      </c>
      <c r="AA970" s="527"/>
      <c r="AB970" s="528">
        <v>0</v>
      </c>
      <c r="AC970" s="528">
        <v>0</v>
      </c>
      <c r="AD970" s="524"/>
      <c r="AE970" s="524"/>
      <c r="AF970" s="524"/>
      <c r="AG970" s="524"/>
      <c r="AH970" s="527"/>
      <c r="AI970" s="544"/>
      <c r="AJ970" s="516"/>
      <c r="AK970" s="516"/>
      <c r="AL970" s="516"/>
      <c r="AM970" s="294"/>
      <c r="AO970" t="b">
        <f t="shared" si="720"/>
        <v>0</v>
      </c>
      <c r="AQ970" s="443"/>
      <c r="AS970" s="443">
        <f>__xlfn.XLOOKUP(K970,[1]Izvršenje_proračuna_po_pozicija!$C$25:$C$149,[1]Izvršenje_proračuna_po_pozicija!$E$25:$E$149,0)</f>
        <v>0</v>
      </c>
      <c r="AT970" s="617"/>
      <c r="AU970" s="478"/>
      <c r="AV970" s="638"/>
      <c r="AW970" s="638"/>
      <c r="AX970" s="655" t="str">
        <f t="shared" si="681"/>
        <v/>
      </c>
      <c r="AY970" s="655" t="str">
        <f t="shared" si="717"/>
        <v/>
      </c>
      <c r="AZ970" s="655" t="str">
        <f t="shared" si="682"/>
        <v/>
      </c>
      <c r="BA970" s="655" t="str">
        <f t="shared" si="718"/>
        <v/>
      </c>
      <c r="BB970" s="655" t="str">
        <f t="shared" si="724"/>
        <v/>
      </c>
      <c r="BC970" s="655" t="str">
        <f t="shared" si="724"/>
        <v/>
      </c>
    </row>
    <row r="971" spans="1:55" ht="12" customHeight="1">
      <c r="A971" s="20"/>
      <c r="B971" s="20"/>
      <c r="C971" s="20"/>
      <c r="D971" s="20"/>
      <c r="E971" s="20"/>
      <c r="F971" s="20"/>
      <c r="G971" s="20"/>
      <c r="H971" s="375"/>
      <c r="I971" s="22"/>
      <c r="J971" s="21"/>
      <c r="K971" s="94"/>
      <c r="L971" s="313"/>
      <c r="M971" s="313"/>
      <c r="N971" s="335"/>
      <c r="O971" s="335"/>
      <c r="P971" s="290"/>
      <c r="Q971" s="290"/>
      <c r="R971" s="439"/>
      <c r="S971" s="294">
        <f>__xlfn.XLOOKUP(H971,[2]Izvršenje_proračuna_po_pozicija!$B$2:$B$153,[2]Izvršenje_proračuna_po_pozicija!$E$2:$E$153,0)</f>
        <v>0</v>
      </c>
      <c r="T971" s="294"/>
      <c r="U971" s="294"/>
      <c r="V971" s="474"/>
      <c r="W971" s="474"/>
      <c r="X971" s="539"/>
      <c r="Y971" s="539"/>
      <c r="Z971" s="541" t="b">
        <f t="shared" si="719"/>
        <v>0</v>
      </c>
      <c r="AA971" s="514"/>
      <c r="AB971" s="515"/>
      <c r="AC971" s="515"/>
      <c r="AD971" s="524"/>
      <c r="AE971" s="524"/>
      <c r="AF971" s="524"/>
      <c r="AG971" s="524"/>
      <c r="AH971" s="514"/>
      <c r="AI971" s="539"/>
      <c r="AJ971" s="516"/>
      <c r="AK971" s="516"/>
      <c r="AL971" s="516"/>
      <c r="AM971" s="290"/>
      <c r="AO971" t="b">
        <f t="shared" si="720"/>
        <v>0</v>
      </c>
      <c r="AQ971" s="439"/>
      <c r="AS971" s="439">
        <f>__xlfn.XLOOKUP(K971,[1]Izvršenje_proračuna_po_pozicija!$C$25:$C$149,[1]Izvršenje_proračuna_po_pozicija!$E$25:$E$149,0)</f>
        <v>0</v>
      </c>
      <c r="AT971" s="616"/>
      <c r="AU971" s="474"/>
      <c r="AV971" s="632"/>
      <c r="AW971" s="632"/>
      <c r="AX971" s="655" t="str">
        <f t="shared" ref="AX971:AX1034" si="726">IF(AND(ISNUMBER(AT971), ISNUMBER(R971), R971&lt;&gt;0), (AT971/R971)*100, "")</f>
        <v/>
      </c>
      <c r="AY971" s="655" t="str">
        <f t="shared" si="717"/>
        <v/>
      </c>
      <c r="AZ971" s="655" t="str">
        <f t="shared" ref="AZ971:AZ1034" si="727">IF(AND(ISNUMBER(AU971), ISNUMBER(AT971), AT971&lt;&gt;0), (AU971/AT971)*100, "")</f>
        <v/>
      </c>
      <c r="BA971" s="655" t="str">
        <f t="shared" si="718"/>
        <v/>
      </c>
      <c r="BB971" s="655" t="str">
        <f t="shared" si="724"/>
        <v/>
      </c>
      <c r="BC971" s="655" t="str">
        <f t="shared" si="724"/>
        <v/>
      </c>
    </row>
    <row r="972" spans="1:55" ht="12" customHeight="1">
      <c r="A972" s="210"/>
      <c r="B972" s="106"/>
      <c r="C972" s="106"/>
      <c r="D972" s="106"/>
      <c r="E972" s="106"/>
      <c r="F972" s="106"/>
      <c r="G972" s="227"/>
      <c r="H972" s="401"/>
      <c r="I972" s="187" t="s">
        <v>569</v>
      </c>
      <c r="J972" s="174"/>
      <c r="K972" s="107"/>
      <c r="L972" s="315">
        <f t="shared" ref="L972:AC972" si="728">L973</f>
        <v>296739</v>
      </c>
      <c r="M972" s="315">
        <f t="shared" si="728"/>
        <v>39384.033446147718</v>
      </c>
      <c r="N972" s="337">
        <f t="shared" si="728"/>
        <v>438368</v>
      </c>
      <c r="O972" s="337">
        <f t="shared" si="728"/>
        <v>58181.432079102793</v>
      </c>
      <c r="P972" s="292">
        <f t="shared" si="728"/>
        <v>358300</v>
      </c>
      <c r="Q972" s="292">
        <f t="shared" si="728"/>
        <v>6600</v>
      </c>
      <c r="R972" s="441">
        <f t="shared" si="728"/>
        <v>6600</v>
      </c>
      <c r="S972" s="292">
        <f t="shared" si="728"/>
        <v>21301.48</v>
      </c>
      <c r="T972" s="292"/>
      <c r="U972" s="292"/>
      <c r="V972" s="469">
        <f t="shared" si="728"/>
        <v>863000</v>
      </c>
      <c r="W972" s="469">
        <f t="shared" si="728"/>
        <v>50000</v>
      </c>
      <c r="X972" s="522">
        <f t="shared" si="728"/>
        <v>150000</v>
      </c>
      <c r="Y972" s="522">
        <f t="shared" si="728"/>
        <v>0</v>
      </c>
      <c r="Z972" s="541" t="b">
        <f t="shared" si="719"/>
        <v>1</v>
      </c>
      <c r="AA972" s="522"/>
      <c r="AB972" s="523">
        <f t="shared" si="728"/>
        <v>172600</v>
      </c>
      <c r="AC972" s="523">
        <f t="shared" si="728"/>
        <v>172600</v>
      </c>
      <c r="AD972" s="524">
        <f>O972/M972*100</f>
        <v>147.72847519200377</v>
      </c>
      <c r="AE972" s="524"/>
      <c r="AF972" s="524"/>
      <c r="AG972" s="524"/>
      <c r="AH972" s="522"/>
      <c r="AI972" s="522">
        <v>150000</v>
      </c>
      <c r="AJ972" s="516">
        <f>W972/R972*100</f>
        <v>757.57575757575762</v>
      </c>
      <c r="AK972" s="516">
        <f>AT972/W972*100</f>
        <v>1100</v>
      </c>
      <c r="AL972" s="516">
        <f>X972/AT972*100</f>
        <v>27.27272727272727</v>
      </c>
      <c r="AM972" s="292"/>
      <c r="AO972" t="b">
        <f t="shared" si="720"/>
        <v>1</v>
      </c>
      <c r="AP972" s="440">
        <f t="shared" ref="AP972:AU972" si="729">AP973</f>
        <v>25437.5</v>
      </c>
      <c r="AQ972" s="441">
        <v>25437.5</v>
      </c>
      <c r="AR972" s="440">
        <f>AR973</f>
        <v>25437.5</v>
      </c>
      <c r="AS972" s="441">
        <f t="shared" si="729"/>
        <v>5179.68</v>
      </c>
      <c r="AT972" s="612">
        <f>AT973</f>
        <v>550000</v>
      </c>
      <c r="AU972" s="469">
        <f t="shared" si="729"/>
        <v>1380000</v>
      </c>
      <c r="AV972" s="636">
        <v>150000</v>
      </c>
      <c r="AW972" s="636">
        <v>150000</v>
      </c>
      <c r="AX972" s="655">
        <f t="shared" si="726"/>
        <v>8333.3333333333321</v>
      </c>
      <c r="AY972" s="655">
        <f t="shared" si="717"/>
        <v>2162.1621621621621</v>
      </c>
      <c r="AZ972" s="655">
        <f t="shared" si="727"/>
        <v>250.90909090909093</v>
      </c>
      <c r="BA972" s="655">
        <f t="shared" si="718"/>
        <v>5425.0614250614244</v>
      </c>
      <c r="BB972" s="655">
        <f t="shared" si="724"/>
        <v>10.869565217391305</v>
      </c>
      <c r="BC972" s="655">
        <f t="shared" si="724"/>
        <v>100</v>
      </c>
    </row>
    <row r="973" spans="1:55" ht="12" customHeight="1">
      <c r="A973" s="213" t="s">
        <v>523</v>
      </c>
      <c r="B973" s="177"/>
      <c r="C973" s="177"/>
      <c r="D973" s="177"/>
      <c r="E973" s="177"/>
      <c r="F973" s="177"/>
      <c r="G973" s="177"/>
      <c r="H973" s="402"/>
      <c r="I973" s="158" t="s">
        <v>570</v>
      </c>
      <c r="J973" s="171"/>
      <c r="K973" s="111"/>
      <c r="L973" s="315">
        <f t="shared" ref="L973:S973" si="730">L975</f>
        <v>296739</v>
      </c>
      <c r="M973" s="315">
        <f t="shared" si="730"/>
        <v>39384.033446147718</v>
      </c>
      <c r="N973" s="337">
        <f t="shared" si="730"/>
        <v>438368</v>
      </c>
      <c r="O973" s="337">
        <f t="shared" si="730"/>
        <v>58181.432079102793</v>
      </c>
      <c r="P973" s="292">
        <f t="shared" si="730"/>
        <v>358300</v>
      </c>
      <c r="Q973" s="292">
        <f t="shared" si="730"/>
        <v>6600</v>
      </c>
      <c r="R973" s="441">
        <f t="shared" si="730"/>
        <v>6600</v>
      </c>
      <c r="S973" s="292">
        <f t="shared" si="730"/>
        <v>21301.48</v>
      </c>
      <c r="T973" s="292"/>
      <c r="U973" s="292"/>
      <c r="V973" s="469">
        <f>V975</f>
        <v>863000</v>
      </c>
      <c r="W973" s="469">
        <f>W975</f>
        <v>50000</v>
      </c>
      <c r="X973" s="522">
        <f>X975</f>
        <v>150000</v>
      </c>
      <c r="Y973" s="522">
        <f>Y975</f>
        <v>0</v>
      </c>
      <c r="Z973" s="541" t="b">
        <f t="shared" si="719"/>
        <v>1</v>
      </c>
      <c r="AA973" s="522"/>
      <c r="AB973" s="523">
        <f>AB975</f>
        <v>172600</v>
      </c>
      <c r="AC973" s="523">
        <f>AC975</f>
        <v>172600</v>
      </c>
      <c r="AD973" s="524">
        <f>O973/M973*100</f>
        <v>147.72847519200377</v>
      </c>
      <c r="AE973" s="524"/>
      <c r="AF973" s="524"/>
      <c r="AG973" s="524"/>
      <c r="AH973" s="522"/>
      <c r="AI973" s="522">
        <v>150000</v>
      </c>
      <c r="AJ973" s="516">
        <f>W973/R973*100</f>
        <v>757.57575757575762</v>
      </c>
      <c r="AK973" s="516">
        <f>AT973/W973*100</f>
        <v>1100</v>
      </c>
      <c r="AL973" s="516">
        <f>X973/AT973*100</f>
        <v>27.27272727272727</v>
      </c>
      <c r="AM973" s="292"/>
      <c r="AO973" t="b">
        <f t="shared" si="720"/>
        <v>1</v>
      </c>
      <c r="AP973" s="440">
        <f t="shared" ref="AP973:AU973" si="731">AP975</f>
        <v>25437.5</v>
      </c>
      <c r="AQ973" s="441">
        <v>25437.5</v>
      </c>
      <c r="AR973" s="440">
        <f>AR975</f>
        <v>25437.5</v>
      </c>
      <c r="AS973" s="441">
        <f t="shared" si="731"/>
        <v>5179.68</v>
      </c>
      <c r="AT973" s="612">
        <f t="shared" si="731"/>
        <v>550000</v>
      </c>
      <c r="AU973" s="469">
        <f t="shared" si="731"/>
        <v>1380000</v>
      </c>
      <c r="AV973" s="636">
        <v>150000</v>
      </c>
      <c r="AW973" s="636">
        <v>150000</v>
      </c>
      <c r="AX973" s="655">
        <f t="shared" si="726"/>
        <v>8333.3333333333321</v>
      </c>
      <c r="AY973" s="655">
        <f t="shared" si="717"/>
        <v>2162.1621621621621</v>
      </c>
      <c r="AZ973" s="655">
        <f t="shared" si="727"/>
        <v>250.90909090909093</v>
      </c>
      <c r="BA973" s="655">
        <f t="shared" si="718"/>
        <v>5425.0614250614244</v>
      </c>
      <c r="BB973" s="655">
        <f t="shared" si="724"/>
        <v>10.869565217391305</v>
      </c>
      <c r="BC973" s="655">
        <f t="shared" si="724"/>
        <v>100</v>
      </c>
    </row>
    <row r="974" spans="1:55" ht="12" customHeight="1">
      <c r="A974" s="66"/>
      <c r="B974" s="66"/>
      <c r="C974" s="66"/>
      <c r="D974" s="66"/>
      <c r="E974" s="66"/>
      <c r="F974" s="66"/>
      <c r="G974" s="66"/>
      <c r="H974" s="196"/>
      <c r="I974" s="136"/>
      <c r="J974" s="71"/>
      <c r="K974" s="40"/>
      <c r="L974" s="326"/>
      <c r="M974" s="326"/>
      <c r="N974" s="350"/>
      <c r="O974" s="350"/>
      <c r="P974" s="305"/>
      <c r="Q974" s="305"/>
      <c r="R974" s="461"/>
      <c r="S974" s="294">
        <f>__xlfn.XLOOKUP(H974,[2]Izvršenje_proračuna_po_pozicija!$B$2:$B$153,[2]Izvršenje_proračuna_po_pozicija!$E$2:$E$153,0)</f>
        <v>0</v>
      </c>
      <c r="T974" s="294"/>
      <c r="U974" s="294"/>
      <c r="V974" s="486"/>
      <c r="W974" s="486"/>
      <c r="X974" s="559"/>
      <c r="Y974" s="559"/>
      <c r="Z974" s="541" t="b">
        <f t="shared" si="719"/>
        <v>0</v>
      </c>
      <c r="AA974" s="560"/>
      <c r="AB974" s="561"/>
      <c r="AC974" s="561"/>
      <c r="AD974" s="524"/>
      <c r="AE974" s="524"/>
      <c r="AF974" s="524"/>
      <c r="AG974" s="524"/>
      <c r="AH974" s="560"/>
      <c r="AI974" s="559"/>
      <c r="AJ974" s="516"/>
      <c r="AK974" s="516"/>
      <c r="AL974" s="516"/>
      <c r="AM974" s="305"/>
      <c r="AO974" t="b">
        <f t="shared" si="720"/>
        <v>0</v>
      </c>
      <c r="AQ974" s="461"/>
      <c r="AS974" s="461"/>
      <c r="AT974" s="616"/>
      <c r="AU974" s="486"/>
      <c r="AV974" s="648"/>
      <c r="AW974" s="648"/>
      <c r="AX974" s="655" t="str">
        <f t="shared" si="726"/>
        <v/>
      </c>
      <c r="AY974" s="655" t="str">
        <f t="shared" si="717"/>
        <v/>
      </c>
      <c r="AZ974" s="655" t="str">
        <f t="shared" si="727"/>
        <v/>
      </c>
      <c r="BA974" s="655" t="str">
        <f t="shared" si="718"/>
        <v/>
      </c>
      <c r="BB974" s="655" t="str">
        <f t="shared" si="724"/>
        <v/>
      </c>
      <c r="BC974" s="655" t="str">
        <f t="shared" si="724"/>
        <v/>
      </c>
    </row>
    <row r="975" spans="1:55" ht="12" customHeight="1">
      <c r="A975" s="20"/>
      <c r="B975" s="20"/>
      <c r="C975" s="20"/>
      <c r="D975" s="20"/>
      <c r="E975" s="20"/>
      <c r="F975" s="20"/>
      <c r="G975" s="20"/>
      <c r="H975" s="396"/>
      <c r="I975" s="92"/>
      <c r="J975" s="94">
        <v>4</v>
      </c>
      <c r="K975" s="21" t="s">
        <v>572</v>
      </c>
      <c r="L975" s="315">
        <f t="shared" ref="L975:AC976" si="732">L976</f>
        <v>296739</v>
      </c>
      <c r="M975" s="315">
        <f t="shared" si="732"/>
        <v>39384.033446147718</v>
      </c>
      <c r="N975" s="337">
        <f t="shared" si="732"/>
        <v>438368</v>
      </c>
      <c r="O975" s="337">
        <f t="shared" si="732"/>
        <v>58181.432079102793</v>
      </c>
      <c r="P975" s="292">
        <f t="shared" si="732"/>
        <v>358300</v>
      </c>
      <c r="Q975" s="292">
        <f t="shared" si="732"/>
        <v>6600</v>
      </c>
      <c r="R975" s="441">
        <f t="shared" si="732"/>
        <v>6600</v>
      </c>
      <c r="S975" s="292">
        <f t="shared" si="732"/>
        <v>21301.48</v>
      </c>
      <c r="T975" s="292"/>
      <c r="U975" s="292"/>
      <c r="V975" s="469">
        <f t="shared" si="732"/>
        <v>863000</v>
      </c>
      <c r="W975" s="469">
        <f t="shared" si="732"/>
        <v>50000</v>
      </c>
      <c r="X975" s="522">
        <f t="shared" si="732"/>
        <v>150000</v>
      </c>
      <c r="Y975" s="522">
        <f t="shared" si="732"/>
        <v>0</v>
      </c>
      <c r="Z975" s="541" t="b">
        <f t="shared" si="719"/>
        <v>1</v>
      </c>
      <c r="AA975" s="522"/>
      <c r="AB975" s="523">
        <f t="shared" si="732"/>
        <v>172600</v>
      </c>
      <c r="AC975" s="523">
        <f t="shared" si="732"/>
        <v>172600</v>
      </c>
      <c r="AD975" s="524">
        <f>O975/M975*100</f>
        <v>147.72847519200377</v>
      </c>
      <c r="AE975" s="524"/>
      <c r="AF975" s="524"/>
      <c r="AG975" s="524"/>
      <c r="AH975" s="522"/>
      <c r="AI975" s="522">
        <v>150000</v>
      </c>
      <c r="AJ975" s="516">
        <f>W975/R975*100</f>
        <v>757.57575757575762</v>
      </c>
      <c r="AK975" s="516">
        <f>AT975/W975*100</f>
        <v>1100</v>
      </c>
      <c r="AL975" s="516">
        <f>X975/AT975*100</f>
        <v>27.27272727272727</v>
      </c>
      <c r="AM975" s="292"/>
      <c r="AO975" t="b">
        <f t="shared" si="720"/>
        <v>1</v>
      </c>
      <c r="AP975" s="440">
        <f t="shared" ref="AP975:AU976" si="733">AP976</f>
        <v>25437.5</v>
      </c>
      <c r="AQ975" s="441">
        <v>25437.5</v>
      </c>
      <c r="AR975" s="440">
        <f>AR976</f>
        <v>25437.5</v>
      </c>
      <c r="AS975" s="441">
        <f t="shared" si="733"/>
        <v>5179.68</v>
      </c>
      <c r="AT975" s="612">
        <f>AT976</f>
        <v>550000</v>
      </c>
      <c r="AU975" s="469">
        <f t="shared" si="733"/>
        <v>1380000</v>
      </c>
      <c r="AV975" s="636">
        <v>150000</v>
      </c>
      <c r="AW975" s="636">
        <v>150000</v>
      </c>
      <c r="AX975" s="655">
        <f t="shared" si="726"/>
        <v>8333.3333333333321</v>
      </c>
      <c r="AY975" s="655" t="str">
        <f t="shared" si="717"/>
        <v/>
      </c>
      <c r="AZ975" s="655">
        <f t="shared" si="727"/>
        <v>250.90909090909093</v>
      </c>
      <c r="BA975" s="655" t="str">
        <f t="shared" si="718"/>
        <v/>
      </c>
      <c r="BB975" s="655">
        <f t="shared" si="724"/>
        <v>10.869565217391305</v>
      </c>
      <c r="BC975" s="655">
        <f t="shared" si="724"/>
        <v>100</v>
      </c>
    </row>
    <row r="976" spans="1:55" ht="12" customHeight="1">
      <c r="A976" s="363"/>
      <c r="B976" s="363"/>
      <c r="C976" s="363"/>
      <c r="D976" s="363"/>
      <c r="E976" s="363"/>
      <c r="F976" s="363"/>
      <c r="G976" s="363"/>
      <c r="H976" s="369"/>
      <c r="I976" s="361"/>
      <c r="J976" s="356">
        <v>42</v>
      </c>
      <c r="K976" s="358" t="s">
        <v>571</v>
      </c>
      <c r="L976" s="315">
        <f t="shared" si="732"/>
        <v>296739</v>
      </c>
      <c r="M976" s="315">
        <f t="shared" si="732"/>
        <v>39384.033446147718</v>
      </c>
      <c r="N976" s="337">
        <f t="shared" si="732"/>
        <v>438368</v>
      </c>
      <c r="O976" s="337">
        <f t="shared" si="732"/>
        <v>58181.432079102793</v>
      </c>
      <c r="P976" s="292">
        <f t="shared" si="732"/>
        <v>358300</v>
      </c>
      <c r="Q976" s="292">
        <f t="shared" si="732"/>
        <v>6600</v>
      </c>
      <c r="R976" s="441">
        <f t="shared" si="732"/>
        <v>6600</v>
      </c>
      <c r="S976" s="292">
        <f t="shared" si="732"/>
        <v>21301.48</v>
      </c>
      <c r="T976" s="292"/>
      <c r="U976" s="292"/>
      <c r="V976" s="469">
        <f t="shared" si="732"/>
        <v>863000</v>
      </c>
      <c r="W976" s="469">
        <f t="shared" si="732"/>
        <v>50000</v>
      </c>
      <c r="X976" s="522">
        <f t="shared" si="732"/>
        <v>150000</v>
      </c>
      <c r="Y976" s="522">
        <f t="shared" si="732"/>
        <v>0</v>
      </c>
      <c r="Z976" s="541" t="b">
        <f t="shared" si="719"/>
        <v>1</v>
      </c>
      <c r="AA976" s="522"/>
      <c r="AB976" s="523">
        <f t="shared" si="732"/>
        <v>172600</v>
      </c>
      <c r="AC976" s="523">
        <f t="shared" si="732"/>
        <v>172600</v>
      </c>
      <c r="AD976" s="524">
        <f>O976/M976*100</f>
        <v>147.72847519200377</v>
      </c>
      <c r="AE976" s="524"/>
      <c r="AF976" s="524"/>
      <c r="AG976" s="524"/>
      <c r="AH976" s="522"/>
      <c r="AI976" s="522">
        <v>150000</v>
      </c>
      <c r="AJ976" s="516">
        <f>W976/R976*100</f>
        <v>757.57575757575762</v>
      </c>
      <c r="AK976" s="516">
        <f>AT976/W976*100</f>
        <v>1100</v>
      </c>
      <c r="AL976" s="516">
        <f>X976/AT976*100</f>
        <v>27.27272727272727</v>
      </c>
      <c r="AM976" s="292"/>
      <c r="AO976" t="b">
        <f t="shared" si="720"/>
        <v>1</v>
      </c>
      <c r="AP976" s="440">
        <f t="shared" si="733"/>
        <v>25437.5</v>
      </c>
      <c r="AQ976" s="441">
        <v>25437.5</v>
      </c>
      <c r="AR976" s="440">
        <f>AR977</f>
        <v>25437.5</v>
      </c>
      <c r="AS976" s="441">
        <f t="shared" si="733"/>
        <v>5179.68</v>
      </c>
      <c r="AT976" s="612">
        <f>AT977</f>
        <v>550000</v>
      </c>
      <c r="AU976" s="469">
        <f t="shared" si="733"/>
        <v>1380000</v>
      </c>
      <c r="AV976" s="636">
        <v>150000</v>
      </c>
      <c r="AW976" s="636">
        <v>150000</v>
      </c>
      <c r="AX976" s="655">
        <f t="shared" si="726"/>
        <v>8333.3333333333321</v>
      </c>
      <c r="AY976" s="655">
        <f t="shared" si="717"/>
        <v>79.304431501352425</v>
      </c>
      <c r="AZ976" s="655">
        <f t="shared" si="727"/>
        <v>250.90909090909093</v>
      </c>
      <c r="BA976" s="655">
        <f t="shared" si="718"/>
        <v>198.98202813066607</v>
      </c>
      <c r="BB976" s="655">
        <f t="shared" si="724"/>
        <v>10.869565217391305</v>
      </c>
      <c r="BC976" s="655">
        <f t="shared" si="724"/>
        <v>100</v>
      </c>
    </row>
    <row r="977" spans="1:55" ht="12" customHeight="1">
      <c r="A977" s="165"/>
      <c r="B977" s="165"/>
      <c r="C977" s="165"/>
      <c r="D977" s="165"/>
      <c r="E977" s="165"/>
      <c r="F977" s="165"/>
      <c r="G977" s="165"/>
      <c r="H977" s="403"/>
      <c r="I977" s="188"/>
      <c r="J977" s="189">
        <v>421</v>
      </c>
      <c r="K977" s="190" t="s">
        <v>243</v>
      </c>
      <c r="L977" s="325">
        <f t="shared" ref="L977:S977" si="734">L978+L979</f>
        <v>296739</v>
      </c>
      <c r="M977" s="325">
        <f t="shared" si="734"/>
        <v>39384.033446147718</v>
      </c>
      <c r="N977" s="349">
        <f t="shared" si="734"/>
        <v>438368</v>
      </c>
      <c r="O977" s="349">
        <f t="shared" si="734"/>
        <v>58181.432079102793</v>
      </c>
      <c r="P977" s="304">
        <f t="shared" si="734"/>
        <v>358300</v>
      </c>
      <c r="Q977" s="304">
        <f t="shared" si="734"/>
        <v>6600</v>
      </c>
      <c r="R977" s="448">
        <f t="shared" si="734"/>
        <v>6600</v>
      </c>
      <c r="S977" s="304">
        <f t="shared" si="734"/>
        <v>21301.48</v>
      </c>
      <c r="T977" s="304"/>
      <c r="U977" s="304"/>
      <c r="V977" s="485">
        <f>V978+V979</f>
        <v>863000</v>
      </c>
      <c r="W977" s="485">
        <f>W978+W979</f>
        <v>50000</v>
      </c>
      <c r="X977" s="557">
        <f>X978+X979</f>
        <v>150000</v>
      </c>
      <c r="Y977" s="557">
        <f>Y978+Y979</f>
        <v>0</v>
      </c>
      <c r="Z977" s="541" t="b">
        <f t="shared" si="719"/>
        <v>1</v>
      </c>
      <c r="AA977" s="557"/>
      <c r="AB977" s="558">
        <f>AB978+AB979</f>
        <v>172600</v>
      </c>
      <c r="AC977" s="558">
        <f>AC978+AC979</f>
        <v>172600</v>
      </c>
      <c r="AD977" s="524">
        <f>O977/M977*100</f>
        <v>147.72847519200377</v>
      </c>
      <c r="AE977" s="524"/>
      <c r="AF977" s="524"/>
      <c r="AG977" s="524"/>
      <c r="AH977" s="557"/>
      <c r="AI977" s="557">
        <v>150000</v>
      </c>
      <c r="AJ977" s="516">
        <f>W977/R977*100</f>
        <v>757.57575757575762</v>
      </c>
      <c r="AK977" s="516">
        <f>AT977/W977*100</f>
        <v>1100</v>
      </c>
      <c r="AL977" s="516">
        <f>X977/AT977*100</f>
        <v>27.27272727272727</v>
      </c>
      <c r="AM977" s="304"/>
      <c r="AO977" t="b">
        <f t="shared" si="720"/>
        <v>1</v>
      </c>
      <c r="AP977" s="496">
        <f>AP978+AP979</f>
        <v>25437.5</v>
      </c>
      <c r="AQ977" s="448">
        <v>25437.5</v>
      </c>
      <c r="AR977" s="496">
        <f>AR978+AR979</f>
        <v>25437.5</v>
      </c>
      <c r="AS977" s="448">
        <f>AS978+AS979</f>
        <v>5179.68</v>
      </c>
      <c r="AT977" s="610">
        <f>AT978+AT979</f>
        <v>550000</v>
      </c>
      <c r="AU977" s="485">
        <f>AU978+AU979+AU980</f>
        <v>1380000</v>
      </c>
      <c r="AV977" s="647">
        <v>150000</v>
      </c>
      <c r="AW977" s="647">
        <v>150000</v>
      </c>
      <c r="AX977" s="655">
        <f t="shared" si="726"/>
        <v>8333.3333333333321</v>
      </c>
      <c r="AY977" s="655" t="str">
        <f t="shared" si="717"/>
        <v/>
      </c>
      <c r="AZ977" s="655">
        <f t="shared" si="727"/>
        <v>250.90909090909093</v>
      </c>
      <c r="BA977" s="655" t="str">
        <f t="shared" si="718"/>
        <v/>
      </c>
      <c r="BB977" s="655">
        <f t="shared" si="724"/>
        <v>10.869565217391305</v>
      </c>
      <c r="BC977" s="655">
        <f t="shared" si="724"/>
        <v>100</v>
      </c>
    </row>
    <row r="978" spans="1:55" ht="12" customHeight="1">
      <c r="A978" s="36"/>
      <c r="B978" s="36"/>
      <c r="C978" s="36"/>
      <c r="D978" s="36"/>
      <c r="E978" s="36"/>
      <c r="F978" s="36"/>
      <c r="G978" s="36"/>
      <c r="H978" s="204" t="s">
        <v>573</v>
      </c>
      <c r="I978" s="132">
        <v>911</v>
      </c>
      <c r="J978" s="71">
        <v>4212</v>
      </c>
      <c r="K978" s="40" t="s">
        <v>574</v>
      </c>
      <c r="L978" s="309">
        <v>296739</v>
      </c>
      <c r="M978" s="309">
        <f>296739/7.5345</f>
        <v>39384.033446147718</v>
      </c>
      <c r="N978" s="339">
        <v>438368</v>
      </c>
      <c r="O978" s="339">
        <f>N978/7.5345</f>
        <v>58181.432079102793</v>
      </c>
      <c r="P978" s="294">
        <v>358300</v>
      </c>
      <c r="Q978" s="269">
        <v>6600</v>
      </c>
      <c r="R978" s="443">
        <v>6600</v>
      </c>
      <c r="S978" s="294">
        <f>__xlfn.XLOOKUP(H978,[2]Izvršenje_proračuna_po_pozicija!$B$2:$B$153,[2]Izvršenje_proračuna_po_pozicija!$E$2:$E$153,0)</f>
        <v>21301.48</v>
      </c>
      <c r="T978" s="294"/>
      <c r="U978" s="294"/>
      <c r="V978" s="478">
        <v>863000</v>
      </c>
      <c r="W978" s="478">
        <v>50000</v>
      </c>
      <c r="X978" s="544">
        <v>150000</v>
      </c>
      <c r="Y978" s="544"/>
      <c r="Z978" s="541" t="b">
        <f t="shared" si="719"/>
        <v>0</v>
      </c>
      <c r="AA978" s="527"/>
      <c r="AB978" s="528">
        <v>172600</v>
      </c>
      <c r="AC978" s="528">
        <v>172600</v>
      </c>
      <c r="AD978" s="524">
        <f>O978/M978*100</f>
        <v>147.72847519200377</v>
      </c>
      <c r="AE978" s="524"/>
      <c r="AF978" s="524"/>
      <c r="AG978" s="524"/>
      <c r="AH978" s="527"/>
      <c r="AI978" s="544">
        <v>150000</v>
      </c>
      <c r="AJ978" s="516">
        <f>W978/R978*100</f>
        <v>757.57575757575762</v>
      </c>
      <c r="AK978" s="516">
        <f>AT978/W978*100</f>
        <v>1100</v>
      </c>
      <c r="AL978" s="516">
        <f>X978/AT978*100</f>
        <v>27.27272727272727</v>
      </c>
      <c r="AM978" s="294"/>
      <c r="AO978" t="b">
        <f t="shared" si="720"/>
        <v>0</v>
      </c>
      <c r="AP978" s="493">
        <v>25437.5</v>
      </c>
      <c r="AQ978" s="443">
        <v>25437.5</v>
      </c>
      <c r="AR978" s="493">
        <v>25437.5</v>
      </c>
      <c r="AS978" s="443">
        <v>5179.68</v>
      </c>
      <c r="AT978" s="617">
        <v>550000</v>
      </c>
      <c r="AU978" s="478">
        <v>1300000</v>
      </c>
      <c r="AV978" s="638">
        <v>150000</v>
      </c>
      <c r="AW978" s="638">
        <v>150000</v>
      </c>
      <c r="AX978" s="655">
        <f t="shared" si="726"/>
        <v>8333.3333333333321</v>
      </c>
      <c r="AY978" s="655">
        <f t="shared" si="717"/>
        <v>79.304431501352425</v>
      </c>
      <c r="AZ978" s="655">
        <f t="shared" si="727"/>
        <v>236.36363636363637</v>
      </c>
      <c r="BA978" s="655">
        <f t="shared" si="718"/>
        <v>187.44683809410574</v>
      </c>
      <c r="BB978" s="655">
        <f t="shared" si="724"/>
        <v>11.538461538461538</v>
      </c>
      <c r="BC978" s="655">
        <f t="shared" si="724"/>
        <v>100</v>
      </c>
    </row>
    <row r="979" spans="1:55" ht="12" customHeight="1">
      <c r="A979" s="36"/>
      <c r="B979" s="36"/>
      <c r="C979" s="36"/>
      <c r="D979" s="36"/>
      <c r="E979" s="36"/>
      <c r="F979" s="36"/>
      <c r="G979" s="36"/>
      <c r="H979" s="244" t="s">
        <v>711</v>
      </c>
      <c r="I979" s="166">
        <v>911</v>
      </c>
      <c r="J979" s="134">
        <v>4212</v>
      </c>
      <c r="K979" s="135" t="s">
        <v>712</v>
      </c>
      <c r="L979" s="324"/>
      <c r="M979" s="324"/>
      <c r="N979" s="348"/>
      <c r="O979" s="348"/>
      <c r="P979" s="303"/>
      <c r="Q979" s="303"/>
      <c r="R979" s="460"/>
      <c r="S979" s="294">
        <f>__xlfn.XLOOKUP(H979,[2]Izvršenje_proračuna_po_pozicija!$B$2:$B$153,[2]Izvršenje_proračuna_po_pozicija!$E$2:$E$153,0)</f>
        <v>0</v>
      </c>
      <c r="T979" s="303"/>
      <c r="U979" s="303"/>
      <c r="V979" s="484"/>
      <c r="W979" s="484"/>
      <c r="X979" s="554"/>
      <c r="Y979" s="554"/>
      <c r="Z979" s="541" t="b">
        <f t="shared" si="719"/>
        <v>0</v>
      </c>
      <c r="AA979" s="555"/>
      <c r="AB979" s="556"/>
      <c r="AC979" s="556"/>
      <c r="AD979" s="524"/>
      <c r="AE979" s="524"/>
      <c r="AF979" s="524"/>
      <c r="AG979" s="524"/>
      <c r="AH979" s="555"/>
      <c r="AI979" s="554"/>
      <c r="AJ979" s="516"/>
      <c r="AK979" s="516"/>
      <c r="AL979" s="516"/>
      <c r="AM979" s="303"/>
      <c r="AO979" t="b">
        <f t="shared" si="720"/>
        <v>0</v>
      </c>
      <c r="AQ979" s="460"/>
      <c r="AS979" s="460">
        <f>__xlfn.XLOOKUP(K979,[1]Izvršenje_proračuna_po_pozicija!$C$25:$C$149,[1]Izvršenje_proračuna_po_pozicija!$E$25:$E$149,0)</f>
        <v>0</v>
      </c>
      <c r="AT979" s="619"/>
      <c r="AU979" s="484"/>
      <c r="AV979" s="646"/>
      <c r="AW979" s="646"/>
      <c r="AX979" s="655" t="str">
        <f t="shared" si="726"/>
        <v/>
      </c>
      <c r="AY979" s="655" t="str">
        <f t="shared" si="717"/>
        <v/>
      </c>
      <c r="AZ979" s="655" t="str">
        <f t="shared" si="727"/>
        <v/>
      </c>
      <c r="BA979" s="655" t="str">
        <f t="shared" si="718"/>
        <v/>
      </c>
      <c r="BB979" s="655" t="str">
        <f t="shared" si="724"/>
        <v/>
      </c>
      <c r="BC979" s="655" t="str">
        <f t="shared" si="724"/>
        <v/>
      </c>
    </row>
    <row r="980" spans="1:55" ht="12" customHeight="1">
      <c r="A980" s="36"/>
      <c r="B980" s="36"/>
      <c r="C980" s="36"/>
      <c r="D980" s="36"/>
      <c r="E980" s="36"/>
      <c r="F980" s="36"/>
      <c r="G980" s="36"/>
      <c r="H980" s="204" t="s">
        <v>881</v>
      </c>
      <c r="I980" s="132">
        <v>911</v>
      </c>
      <c r="J980" s="71">
        <v>4212</v>
      </c>
      <c r="K980" s="40" t="s">
        <v>878</v>
      </c>
      <c r="L980" s="324"/>
      <c r="M980" s="324"/>
      <c r="N980" s="348"/>
      <c r="O980" s="348"/>
      <c r="P980" s="303"/>
      <c r="Q980" s="303"/>
      <c r="R980" s="460"/>
      <c r="S980" s="303"/>
      <c r="T980" s="303"/>
      <c r="U980" s="303"/>
      <c r="V980" s="484"/>
      <c r="W980" s="484"/>
      <c r="X980" s="554"/>
      <c r="Y980" s="554"/>
      <c r="Z980" s="541" t="b">
        <f t="shared" si="719"/>
        <v>0</v>
      </c>
      <c r="AA980" s="555"/>
      <c r="AB980" s="556"/>
      <c r="AC980" s="556"/>
      <c r="AD980" s="524"/>
      <c r="AE980" s="524"/>
      <c r="AF980" s="524"/>
      <c r="AG980" s="524"/>
      <c r="AH980" s="555"/>
      <c r="AI980" s="554"/>
      <c r="AJ980" s="516"/>
      <c r="AK980" s="516"/>
      <c r="AL980" s="516"/>
      <c r="AM980" s="303"/>
      <c r="AO980" t="b">
        <f t="shared" si="720"/>
        <v>0</v>
      </c>
      <c r="AQ980" s="460"/>
      <c r="AS980" s="460"/>
      <c r="AT980" s="619"/>
      <c r="AU980" s="484">
        <v>80000</v>
      </c>
      <c r="AV980" s="646"/>
      <c r="AW980" s="646"/>
      <c r="AX980" s="655" t="str">
        <f t="shared" si="726"/>
        <v/>
      </c>
      <c r="AY980" s="655" t="str">
        <f t="shared" si="717"/>
        <v/>
      </c>
      <c r="AZ980" s="655" t="str">
        <f t="shared" si="727"/>
        <v/>
      </c>
      <c r="BA980" s="655" t="str">
        <f t="shared" si="718"/>
        <v/>
      </c>
      <c r="BB980" s="655" t="str">
        <f t="shared" si="724"/>
        <v/>
      </c>
      <c r="BC980" s="655" t="str">
        <f t="shared" si="724"/>
        <v/>
      </c>
    </row>
    <row r="981" spans="1:55" ht="12" customHeight="1">
      <c r="A981" s="221"/>
      <c r="B981" s="222"/>
      <c r="C981" s="222"/>
      <c r="D981" s="222"/>
      <c r="E981" s="222"/>
      <c r="F981" s="222"/>
      <c r="G981" s="223"/>
      <c r="H981" s="404" t="s">
        <v>531</v>
      </c>
      <c r="I981" s="214"/>
      <c r="J981" s="216" t="s">
        <v>401</v>
      </c>
      <c r="K981" s="217"/>
      <c r="L981" s="320">
        <f t="shared" ref="L981:S981" si="735">L983</f>
        <v>3218040</v>
      </c>
      <c r="M981" s="320">
        <f t="shared" si="735"/>
        <v>427107.30639060313</v>
      </c>
      <c r="N981" s="344">
        <f t="shared" si="735"/>
        <v>3652627</v>
      </c>
      <c r="O981" s="344">
        <f t="shared" si="735"/>
        <v>484786.91353109037</v>
      </c>
      <c r="P981" s="299">
        <f t="shared" si="735"/>
        <v>623600</v>
      </c>
      <c r="Q981" s="299">
        <f t="shared" si="735"/>
        <v>550900</v>
      </c>
      <c r="R981" s="447">
        <f t="shared" si="735"/>
        <v>533980</v>
      </c>
      <c r="S981" s="299">
        <f t="shared" si="735"/>
        <v>0</v>
      </c>
      <c r="T981" s="299"/>
      <c r="U981" s="299"/>
      <c r="V981" s="477">
        <f>V983</f>
        <v>714380</v>
      </c>
      <c r="W981" s="477">
        <f>W983</f>
        <v>750069.92999999993</v>
      </c>
      <c r="X981" s="542">
        <f>X983</f>
        <v>902352.3</v>
      </c>
      <c r="Y981" s="542">
        <f>Y983</f>
        <v>0</v>
      </c>
      <c r="Z981" s="541" t="b">
        <f t="shared" si="719"/>
        <v>1</v>
      </c>
      <c r="AA981" s="542"/>
      <c r="AB981" s="543">
        <f>AB983</f>
        <v>626400</v>
      </c>
      <c r="AC981" s="543">
        <f>AC983</f>
        <v>626400</v>
      </c>
      <c r="AD981" s="524">
        <f>O981/M981*100</f>
        <v>113.50471094206415</v>
      </c>
      <c r="AE981" s="524">
        <f>P981/O981*100</f>
        <v>128.63383531907309</v>
      </c>
      <c r="AF981" s="524">
        <f>Q981/P981*100</f>
        <v>88.341885824246319</v>
      </c>
      <c r="AG981" s="524">
        <f>AB981/Q981*100</f>
        <v>113.70484661463061</v>
      </c>
      <c r="AH981" s="542"/>
      <c r="AI981" s="542">
        <v>902352.3</v>
      </c>
      <c r="AJ981" s="516">
        <f>W981/R981*100</f>
        <v>140.46779467395783</v>
      </c>
      <c r="AK981" s="516">
        <f>AT981/W981*100</f>
        <v>118.55427933232841</v>
      </c>
      <c r="AL981" s="516">
        <f>X981/AT981*100</f>
        <v>101.47455130223561</v>
      </c>
      <c r="AM981" s="299"/>
      <c r="AO981" t="b">
        <f t="shared" si="720"/>
        <v>1</v>
      </c>
      <c r="AP981" s="503">
        <f>AP983</f>
        <v>0</v>
      </c>
      <c r="AQ981" s="447">
        <v>693529.97</v>
      </c>
      <c r="AR981" s="503">
        <f>AR983</f>
        <v>0</v>
      </c>
      <c r="AS981" s="447"/>
      <c r="AT981" s="611">
        <f>AT983</f>
        <v>889240</v>
      </c>
      <c r="AU981" s="477">
        <f>AU983</f>
        <v>889240</v>
      </c>
      <c r="AV981" s="643">
        <v>902352.3</v>
      </c>
      <c r="AW981" s="643">
        <v>902352.3</v>
      </c>
      <c r="AX981" s="655">
        <f t="shared" si="726"/>
        <v>166.53058166972545</v>
      </c>
      <c r="AY981" s="655">
        <f t="shared" si="717"/>
        <v>167.80258864421211</v>
      </c>
      <c r="AZ981" s="655">
        <f t="shared" si="727"/>
        <v>100</v>
      </c>
      <c r="BA981" s="655">
        <f t="shared" si="718"/>
        <v>167.80258864421211</v>
      </c>
      <c r="BB981" s="655">
        <f t="shared" si="724"/>
        <v>101.47455130223561</v>
      </c>
      <c r="BC981" s="655">
        <f t="shared" si="724"/>
        <v>100</v>
      </c>
    </row>
    <row r="982" spans="1:55" ht="12" customHeight="1">
      <c r="A982" s="224"/>
      <c r="B982" s="225"/>
      <c r="C982" s="225"/>
      <c r="D982" s="225"/>
      <c r="E982" s="225"/>
      <c r="F982" s="225"/>
      <c r="G982" s="226"/>
      <c r="H982" s="219" t="s">
        <v>499</v>
      </c>
      <c r="I982" s="215"/>
      <c r="J982" s="218"/>
      <c r="K982" s="220">
        <v>30435</v>
      </c>
      <c r="L982" s="326"/>
      <c r="M982" s="326"/>
      <c r="N982" s="350"/>
      <c r="O982" s="350"/>
      <c r="P982" s="305"/>
      <c r="Q982" s="305"/>
      <c r="R982" s="461"/>
      <c r="S982" s="305"/>
      <c r="T982" s="305"/>
      <c r="U982" s="305"/>
      <c r="V982" s="486"/>
      <c r="W982" s="486"/>
      <c r="X982" s="559"/>
      <c r="Y982" s="559"/>
      <c r="Z982" s="541" t="b">
        <f t="shared" si="719"/>
        <v>0</v>
      </c>
      <c r="AA982" s="560"/>
      <c r="AB982" s="561"/>
      <c r="AC982" s="561"/>
      <c r="AD982" s="524"/>
      <c r="AE982" s="524"/>
      <c r="AF982" s="524"/>
      <c r="AG982" s="524"/>
      <c r="AH982" s="560"/>
      <c r="AI982" s="559"/>
      <c r="AJ982" s="516"/>
      <c r="AK982" s="516"/>
      <c r="AL982" s="516"/>
      <c r="AM982" s="305"/>
      <c r="AO982" t="b">
        <f t="shared" si="720"/>
        <v>0</v>
      </c>
      <c r="AQ982" s="461"/>
      <c r="AS982" s="461"/>
      <c r="AT982" s="616"/>
      <c r="AU982" s="486"/>
      <c r="AV982" s="648"/>
      <c r="AW982" s="648"/>
      <c r="AX982" s="655" t="str">
        <f t="shared" si="726"/>
        <v/>
      </c>
      <c r="AY982" s="655" t="str">
        <f t="shared" si="717"/>
        <v/>
      </c>
      <c r="AZ982" s="655" t="str">
        <f t="shared" si="727"/>
        <v/>
      </c>
      <c r="BA982" s="655" t="str">
        <f t="shared" si="718"/>
        <v/>
      </c>
      <c r="BB982" s="655" t="str">
        <f t="shared" si="724"/>
        <v/>
      </c>
      <c r="BC982" s="655" t="str">
        <f t="shared" si="724"/>
        <v/>
      </c>
    </row>
    <row r="983" spans="1:55" ht="12" customHeight="1">
      <c r="A983" s="210" t="s">
        <v>500</v>
      </c>
      <c r="B983" s="106"/>
      <c r="C983" s="106"/>
      <c r="D983" s="106"/>
      <c r="E983" s="106"/>
      <c r="F983" s="106"/>
      <c r="G983" s="227"/>
      <c r="H983" s="401"/>
      <c r="I983" s="187" t="s">
        <v>501</v>
      </c>
      <c r="J983" s="174"/>
      <c r="K983" s="107"/>
      <c r="L983" s="315">
        <f t="shared" ref="L983:S983" si="736">L984+L1007+L1046+L1054</f>
        <v>3218040</v>
      </c>
      <c r="M983" s="315">
        <f t="shared" si="736"/>
        <v>427107.30639060313</v>
      </c>
      <c r="N983" s="337">
        <f t="shared" si="736"/>
        <v>3652627</v>
      </c>
      <c r="O983" s="337">
        <f t="shared" si="736"/>
        <v>484786.91353109037</v>
      </c>
      <c r="P983" s="292">
        <f t="shared" si="736"/>
        <v>623600</v>
      </c>
      <c r="Q983" s="292">
        <f t="shared" si="736"/>
        <v>550900</v>
      </c>
      <c r="R983" s="441">
        <f t="shared" si="736"/>
        <v>533980</v>
      </c>
      <c r="S983" s="292">
        <f t="shared" si="736"/>
        <v>0</v>
      </c>
      <c r="T983" s="292"/>
      <c r="U983" s="292"/>
      <c r="V983" s="469">
        <f>V984+V1007+V1046+V1054</f>
        <v>714380</v>
      </c>
      <c r="W983" s="469">
        <f>W984+W1007+W1046+W1054</f>
        <v>750069.92999999993</v>
      </c>
      <c r="X983" s="522">
        <f>X984+X1007+X1046+X1054</f>
        <v>902352.3</v>
      </c>
      <c r="Y983" s="522">
        <f>Y984+Y1007+Y1046+Y1054</f>
        <v>0</v>
      </c>
      <c r="Z983" s="541" t="b">
        <f t="shared" si="719"/>
        <v>1</v>
      </c>
      <c r="AA983" s="522"/>
      <c r="AB983" s="523">
        <f>AB984+AB1007+AB1046+AB1054</f>
        <v>626400</v>
      </c>
      <c r="AC983" s="523">
        <f>AC984+AC1007+AC1046+AC1054</f>
        <v>626400</v>
      </c>
      <c r="AD983" s="524">
        <f>O983/M983*100</f>
        <v>113.50471094206415</v>
      </c>
      <c r="AE983" s="524">
        <f>P983/O983*100</f>
        <v>128.63383531907309</v>
      </c>
      <c r="AF983" s="524">
        <f>Q983/P983*100</f>
        <v>88.341885824246319</v>
      </c>
      <c r="AG983" s="524">
        <f>AB983/Q983*100</f>
        <v>113.70484661463061</v>
      </c>
      <c r="AH983" s="522"/>
      <c r="AI983" s="522">
        <v>902352.3</v>
      </c>
      <c r="AJ983" s="516">
        <f>W983/R983*100</f>
        <v>140.46779467395783</v>
      </c>
      <c r="AK983" s="516">
        <f>AT983/W983*100</f>
        <v>118.55427933232841</v>
      </c>
      <c r="AL983" s="516">
        <f>X983/AT983*100</f>
        <v>101.47455130223561</v>
      </c>
      <c r="AM983" s="292"/>
      <c r="AO983" t="b">
        <f t="shared" si="720"/>
        <v>1</v>
      </c>
      <c r="AP983" s="440">
        <f>AP984+AP1007+AP1046+AP1054</f>
        <v>0</v>
      </c>
      <c r="AQ983" s="441">
        <v>693529.97</v>
      </c>
      <c r="AR983" s="440">
        <f>AR984+AR1007+AR1046+AR1054</f>
        <v>0</v>
      </c>
      <c r="AS983" s="441"/>
      <c r="AT983" s="612">
        <f>AT984+AT1007+AT1046+AT1054</f>
        <v>889240</v>
      </c>
      <c r="AU983" s="469">
        <f>AU984+AU1007+AU1046+AU1054</f>
        <v>889240</v>
      </c>
      <c r="AV983" s="636">
        <v>902352.3</v>
      </c>
      <c r="AW983" s="636">
        <v>902352.3</v>
      </c>
      <c r="AX983" s="655">
        <f t="shared" si="726"/>
        <v>166.53058166972545</v>
      </c>
      <c r="AY983" s="655" t="str">
        <f t="shared" si="717"/>
        <v/>
      </c>
      <c r="AZ983" s="655">
        <f t="shared" si="727"/>
        <v>100</v>
      </c>
      <c r="BA983" s="655" t="str">
        <f t="shared" si="718"/>
        <v/>
      </c>
      <c r="BB983" s="655">
        <f t="shared" si="724"/>
        <v>101.47455130223561</v>
      </c>
      <c r="BC983" s="655">
        <f t="shared" si="724"/>
        <v>100</v>
      </c>
    </row>
    <row r="984" spans="1:55" ht="12" customHeight="1">
      <c r="A984" s="213" t="s">
        <v>474</v>
      </c>
      <c r="B984" s="177"/>
      <c r="C984" s="177"/>
      <c r="D984" s="177"/>
      <c r="E984" s="177"/>
      <c r="F984" s="177"/>
      <c r="G984" s="177"/>
      <c r="H984" s="402"/>
      <c r="I984" s="158" t="s">
        <v>402</v>
      </c>
      <c r="J984" s="171"/>
      <c r="K984" s="111"/>
      <c r="L984" s="315">
        <f t="shared" ref="L984:S984" si="737">L986</f>
        <v>2562776</v>
      </c>
      <c r="M984" s="315">
        <f t="shared" si="737"/>
        <v>340138.8280576017</v>
      </c>
      <c r="N984" s="337">
        <f t="shared" si="737"/>
        <v>2734630</v>
      </c>
      <c r="O984" s="337">
        <f t="shared" si="737"/>
        <v>362947.77357488888</v>
      </c>
      <c r="P984" s="292">
        <f t="shared" si="737"/>
        <v>497600</v>
      </c>
      <c r="Q984" s="292">
        <f t="shared" si="737"/>
        <v>429600</v>
      </c>
      <c r="R984" s="441">
        <f t="shared" si="737"/>
        <v>404073</v>
      </c>
      <c r="S984" s="292">
        <f t="shared" si="737"/>
        <v>0</v>
      </c>
      <c r="T984" s="292"/>
      <c r="U984" s="292"/>
      <c r="V984" s="469">
        <f>V986</f>
        <v>553710</v>
      </c>
      <c r="W984" s="469">
        <f>W986</f>
        <v>594050</v>
      </c>
      <c r="X984" s="522">
        <f>X986</f>
        <v>742500.6</v>
      </c>
      <c r="Y984" s="522">
        <f>Y986</f>
        <v>0</v>
      </c>
      <c r="Z984" s="541" t="b">
        <f t="shared" si="719"/>
        <v>1</v>
      </c>
      <c r="AA984" s="522"/>
      <c r="AB984" s="523">
        <f>AB986</f>
        <v>498300</v>
      </c>
      <c r="AC984" s="523">
        <f>AC986</f>
        <v>498300</v>
      </c>
      <c r="AD984" s="524">
        <f>O984/M984*100</f>
        <v>106.70577529990916</v>
      </c>
      <c r="AE984" s="524">
        <f>P984/O984*100</f>
        <v>137.09961493876682</v>
      </c>
      <c r="AF984" s="524">
        <f>Q984/P984*100</f>
        <v>86.334405144694543</v>
      </c>
      <c r="AG984" s="524">
        <f>AB984/Q984*100</f>
        <v>115.99162011173185</v>
      </c>
      <c r="AH984" s="522"/>
      <c r="AI984" s="522">
        <v>742500.6</v>
      </c>
      <c r="AJ984" s="516">
        <f>W984/R984*100</f>
        <v>147.01551452336582</v>
      </c>
      <c r="AK984" s="516">
        <f>AT984/W984*100</f>
        <v>124.14779900681761</v>
      </c>
      <c r="AL984" s="516">
        <f>X984/AT984*100</f>
        <v>100.67804745762712</v>
      </c>
      <c r="AM984" s="292"/>
      <c r="AO984" t="b">
        <f t="shared" si="720"/>
        <v>1</v>
      </c>
      <c r="AP984" s="440">
        <f>AP986</f>
        <v>0</v>
      </c>
      <c r="AQ984" s="441">
        <v>529932.23</v>
      </c>
      <c r="AR984" s="440">
        <f>AR986</f>
        <v>0</v>
      </c>
      <c r="AS984" s="441"/>
      <c r="AT984" s="612">
        <f>AT986</f>
        <v>737500</v>
      </c>
      <c r="AU984" s="469">
        <f>AU986</f>
        <v>737500</v>
      </c>
      <c r="AV984" s="636">
        <v>742500.6</v>
      </c>
      <c r="AW984" s="636">
        <v>742500.6</v>
      </c>
      <c r="AX984" s="655">
        <f t="shared" si="726"/>
        <v>182.51652547930695</v>
      </c>
      <c r="AY984" s="655">
        <f t="shared" si="717"/>
        <v>176.02215468540544</v>
      </c>
      <c r="AZ984" s="655">
        <f t="shared" si="727"/>
        <v>100</v>
      </c>
      <c r="BA984" s="655">
        <f t="shared" si="718"/>
        <v>176.02215468540544</v>
      </c>
      <c r="BB984" s="655">
        <f t="shared" si="724"/>
        <v>100.67804745762712</v>
      </c>
      <c r="BC984" s="655">
        <f t="shared" si="724"/>
        <v>100</v>
      </c>
    </row>
    <row r="985" spans="1:55" ht="12" customHeight="1">
      <c r="A985" s="25"/>
      <c r="B985" s="25"/>
      <c r="C985" s="25"/>
      <c r="D985" s="25"/>
      <c r="E985" s="25"/>
      <c r="F985" s="25"/>
      <c r="G985" s="25"/>
      <c r="H985" s="389"/>
      <c r="I985" s="30"/>
      <c r="J985" s="29"/>
      <c r="K985" s="29"/>
      <c r="L985" s="313"/>
      <c r="M985" s="313"/>
      <c r="N985" s="335"/>
      <c r="O985" s="335"/>
      <c r="P985" s="290"/>
      <c r="Q985" s="290"/>
      <c r="R985" s="439"/>
      <c r="S985" s="290"/>
      <c r="T985" s="290"/>
      <c r="U985" s="290"/>
      <c r="V985" s="474"/>
      <c r="W985" s="474"/>
      <c r="X985" s="539"/>
      <c r="Y985" s="539"/>
      <c r="Z985" s="541" t="b">
        <f t="shared" si="719"/>
        <v>0</v>
      </c>
      <c r="AA985" s="514"/>
      <c r="AB985" s="515"/>
      <c r="AC985" s="515"/>
      <c r="AD985" s="524"/>
      <c r="AE985" s="524"/>
      <c r="AF985" s="524"/>
      <c r="AG985" s="524"/>
      <c r="AH985" s="514"/>
      <c r="AI985" s="539"/>
      <c r="AJ985" s="516"/>
      <c r="AK985" s="516"/>
      <c r="AL985" s="516"/>
      <c r="AM985" s="290"/>
      <c r="AO985" t="b">
        <f t="shared" si="720"/>
        <v>0</v>
      </c>
      <c r="AQ985" s="439"/>
      <c r="AS985" s="439"/>
      <c r="AT985" s="616"/>
      <c r="AU985" s="474"/>
      <c r="AV985" s="632"/>
      <c r="AW985" s="632"/>
      <c r="AX985" s="655" t="str">
        <f t="shared" si="726"/>
        <v/>
      </c>
      <c r="AY985" s="655" t="str">
        <f t="shared" si="717"/>
        <v/>
      </c>
      <c r="AZ985" s="655" t="str">
        <f t="shared" si="727"/>
        <v/>
      </c>
      <c r="BA985" s="655" t="str">
        <f t="shared" si="718"/>
        <v/>
      </c>
      <c r="BB985" s="655" t="str">
        <f t="shared" si="724"/>
        <v/>
      </c>
      <c r="BC985" s="655" t="str">
        <f t="shared" si="724"/>
        <v/>
      </c>
    </row>
    <row r="986" spans="1:55" ht="12" customHeight="1">
      <c r="A986" s="20"/>
      <c r="B986" s="20"/>
      <c r="C986" s="20"/>
      <c r="D986" s="20"/>
      <c r="E986" s="20"/>
      <c r="F986" s="20"/>
      <c r="G986" s="20"/>
      <c r="H986" s="396"/>
      <c r="I986" s="92"/>
      <c r="J986" s="94">
        <v>3</v>
      </c>
      <c r="K986" s="21" t="s">
        <v>94</v>
      </c>
      <c r="L986" s="315">
        <f t="shared" ref="L986:S986" si="738">L987+L1000</f>
        <v>2562776</v>
      </c>
      <c r="M986" s="315">
        <f t="shared" si="738"/>
        <v>340138.8280576017</v>
      </c>
      <c r="N986" s="337">
        <f t="shared" si="738"/>
        <v>2734630</v>
      </c>
      <c r="O986" s="337">
        <f t="shared" si="738"/>
        <v>362947.77357488888</v>
      </c>
      <c r="P986" s="292">
        <f t="shared" si="738"/>
        <v>497600</v>
      </c>
      <c r="Q986" s="292">
        <f t="shared" si="738"/>
        <v>429600</v>
      </c>
      <c r="R986" s="441">
        <f t="shared" si="738"/>
        <v>404073</v>
      </c>
      <c r="S986" s="292">
        <f t="shared" si="738"/>
        <v>0</v>
      </c>
      <c r="T986" s="292"/>
      <c r="U986" s="292"/>
      <c r="V986" s="469">
        <f>V987+V1000</f>
        <v>553710</v>
      </c>
      <c r="W986" s="469">
        <f>W987+W1000</f>
        <v>594050</v>
      </c>
      <c r="X986" s="522">
        <f>X987+X1000</f>
        <v>742500.6</v>
      </c>
      <c r="Y986" s="522">
        <f>Y987+Y1000</f>
        <v>0</v>
      </c>
      <c r="Z986" s="541" t="b">
        <f t="shared" si="719"/>
        <v>1</v>
      </c>
      <c r="AA986" s="522"/>
      <c r="AB986" s="523">
        <f>AB987+AB1000</f>
        <v>498300</v>
      </c>
      <c r="AC986" s="523">
        <f>AC987+AC1000</f>
        <v>498300</v>
      </c>
      <c r="AD986" s="524">
        <f>O986/M986*100</f>
        <v>106.70577529990916</v>
      </c>
      <c r="AE986" s="524">
        <f>P986/O986*100</f>
        <v>137.09961493876682</v>
      </c>
      <c r="AF986" s="524">
        <f>Q986/P986*100</f>
        <v>86.334405144694543</v>
      </c>
      <c r="AG986" s="524">
        <f>AB986/Q986*100</f>
        <v>115.99162011173185</v>
      </c>
      <c r="AH986" s="522"/>
      <c r="AI986" s="522">
        <v>742500.6</v>
      </c>
      <c r="AJ986" s="516">
        <f>W986/R986*100</f>
        <v>147.01551452336582</v>
      </c>
      <c r="AK986" s="516">
        <f>AT986/W986*100</f>
        <v>124.14779900681761</v>
      </c>
      <c r="AL986" s="516">
        <f>X986/AT986*100</f>
        <v>100.67804745762712</v>
      </c>
      <c r="AM986" s="292"/>
      <c r="AO986" t="b">
        <f t="shared" si="720"/>
        <v>1</v>
      </c>
      <c r="AP986" s="440">
        <f>AP987+AP1000</f>
        <v>0</v>
      </c>
      <c r="AQ986" s="441">
        <v>529932.23</v>
      </c>
      <c r="AR986" s="440">
        <f>AR987+AR1000</f>
        <v>0</v>
      </c>
      <c r="AS986" s="441"/>
      <c r="AT986" s="612">
        <f>AT987+AT1000</f>
        <v>737500</v>
      </c>
      <c r="AU986" s="469">
        <f>AU987+AU1000</f>
        <v>737500</v>
      </c>
      <c r="AV986" s="636">
        <v>742500.6</v>
      </c>
      <c r="AW986" s="636">
        <v>742500.6</v>
      </c>
      <c r="AX986" s="655">
        <f t="shared" si="726"/>
        <v>182.51652547930695</v>
      </c>
      <c r="AY986" s="655" t="str">
        <f t="shared" si="717"/>
        <v/>
      </c>
      <c r="AZ986" s="655">
        <f t="shared" si="727"/>
        <v>100</v>
      </c>
      <c r="BA986" s="655" t="str">
        <f t="shared" si="718"/>
        <v/>
      </c>
      <c r="BB986" s="655">
        <f t="shared" si="724"/>
        <v>100.67804745762712</v>
      </c>
      <c r="BC986" s="655">
        <f t="shared" si="724"/>
        <v>100</v>
      </c>
    </row>
    <row r="987" spans="1:55" ht="12" customHeight="1">
      <c r="A987" s="363"/>
      <c r="B987" s="363"/>
      <c r="C987" s="363"/>
      <c r="D987" s="363"/>
      <c r="E987" s="363"/>
      <c r="F987" s="363"/>
      <c r="G987" s="363"/>
      <c r="H987" s="369"/>
      <c r="I987" s="361"/>
      <c r="J987" s="356">
        <v>31</v>
      </c>
      <c r="K987" s="358" t="s">
        <v>95</v>
      </c>
      <c r="L987" s="315">
        <f t="shared" ref="L987:S987" si="739">L989+L992+L995</f>
        <v>2433988</v>
      </c>
      <c r="M987" s="315">
        <f t="shared" si="739"/>
        <v>323045.72300749883</v>
      </c>
      <c r="N987" s="337">
        <f t="shared" si="739"/>
        <v>2554890</v>
      </c>
      <c r="O987" s="337">
        <f t="shared" si="739"/>
        <v>339092.17599044397</v>
      </c>
      <c r="P987" s="292">
        <f t="shared" si="739"/>
        <v>467700</v>
      </c>
      <c r="Q987" s="292">
        <f t="shared" si="739"/>
        <v>396300</v>
      </c>
      <c r="R987" s="441">
        <f t="shared" si="739"/>
        <v>372990</v>
      </c>
      <c r="S987" s="292">
        <f t="shared" si="739"/>
        <v>0</v>
      </c>
      <c r="T987" s="292"/>
      <c r="U987" s="292"/>
      <c r="V987" s="469">
        <f>V989+V992+V995</f>
        <v>516060</v>
      </c>
      <c r="W987" s="469">
        <f>W989+W992+W995</f>
        <v>558150</v>
      </c>
      <c r="X987" s="522">
        <f>X989+X992+X995</f>
        <v>692600.1</v>
      </c>
      <c r="Y987" s="522">
        <f>Y989+Y992+Y995</f>
        <v>0</v>
      </c>
      <c r="Z987" s="541" t="b">
        <f t="shared" si="719"/>
        <v>1</v>
      </c>
      <c r="AA987" s="522"/>
      <c r="AB987" s="523">
        <f>AB989+AB992+AB995</f>
        <v>468300</v>
      </c>
      <c r="AC987" s="523">
        <f>AC989+AC992+AC995</f>
        <v>468300</v>
      </c>
      <c r="AD987" s="524">
        <f>O987/M987*100</f>
        <v>104.96723895105482</v>
      </c>
      <c r="AE987" s="524">
        <f>P987/O987*100</f>
        <v>137.92709862264127</v>
      </c>
      <c r="AF987" s="524">
        <f>Q987/P987*100</f>
        <v>84.73380372033354</v>
      </c>
      <c r="AG987" s="524">
        <f>AB987/Q987*100</f>
        <v>118.16805450416352</v>
      </c>
      <c r="AH987" s="522"/>
      <c r="AI987" s="522">
        <v>692600.1</v>
      </c>
      <c r="AJ987" s="516">
        <f>W987/R987*100</f>
        <v>149.6420815571463</v>
      </c>
      <c r="AK987" s="516">
        <f>AT987/W987*100</f>
        <v>123.46143509809191</v>
      </c>
      <c r="AL987" s="516">
        <f>X987/AT987*100</f>
        <v>100.50792337831955</v>
      </c>
      <c r="AM987" s="292"/>
      <c r="AO987" t="b">
        <f t="shared" si="720"/>
        <v>1</v>
      </c>
      <c r="AP987" s="440">
        <f>AP989+AP992+AP995</f>
        <v>0</v>
      </c>
      <c r="AQ987" s="441">
        <v>497454.86</v>
      </c>
      <c r="AR987" s="440">
        <f>AR989+AR992+AR995</f>
        <v>0</v>
      </c>
      <c r="AS987" s="441"/>
      <c r="AT987" s="612">
        <f>AT989+AT992+AT995</f>
        <v>689100</v>
      </c>
      <c r="AU987" s="469">
        <f>AU989+AU992+AU995</f>
        <v>689100</v>
      </c>
      <c r="AV987" s="636">
        <v>692600.1</v>
      </c>
      <c r="AW987" s="636">
        <v>692600.1</v>
      </c>
      <c r="AX987" s="655">
        <f t="shared" si="726"/>
        <v>184.75026140110995</v>
      </c>
      <c r="AY987" s="655">
        <f t="shared" si="717"/>
        <v>9378.0875832541733</v>
      </c>
      <c r="AZ987" s="655">
        <f t="shared" si="727"/>
        <v>100</v>
      </c>
      <c r="BA987" s="655">
        <f t="shared" si="718"/>
        <v>9378.0875832541733</v>
      </c>
      <c r="BB987" s="655">
        <f t="shared" si="724"/>
        <v>100.50792337831955</v>
      </c>
      <c r="BC987" s="655">
        <f t="shared" si="724"/>
        <v>100</v>
      </c>
    </row>
    <row r="988" spans="1:55" ht="12" customHeight="1">
      <c r="A988" s="25"/>
      <c r="B988" s="25"/>
      <c r="C988" s="25"/>
      <c r="D988" s="25"/>
      <c r="E988" s="25"/>
      <c r="F988" s="25"/>
      <c r="G988" s="25"/>
      <c r="H988" s="382"/>
      <c r="I988" s="115"/>
      <c r="J988" s="29"/>
      <c r="K988" s="26"/>
      <c r="L988" s="317"/>
      <c r="M988" s="317"/>
      <c r="N988" s="341"/>
      <c r="O988" s="341"/>
      <c r="P988" s="296"/>
      <c r="Q988" s="296"/>
      <c r="R988" s="445"/>
      <c r="S988" s="296"/>
      <c r="T988" s="296"/>
      <c r="U988" s="296"/>
      <c r="V988" s="481"/>
      <c r="W988" s="481"/>
      <c r="X988" s="549"/>
      <c r="Y988" s="549"/>
      <c r="Z988" s="541" t="b">
        <f t="shared" si="719"/>
        <v>0</v>
      </c>
      <c r="AA988" s="531"/>
      <c r="AB988" s="532"/>
      <c r="AC988" s="532"/>
      <c r="AD988" s="524"/>
      <c r="AE988" s="524"/>
      <c r="AF988" s="524"/>
      <c r="AG988" s="524"/>
      <c r="AH988" s="531"/>
      <c r="AI988" s="549"/>
      <c r="AJ988" s="516"/>
      <c r="AK988" s="516"/>
      <c r="AL988" s="516"/>
      <c r="AM988" s="296"/>
      <c r="AO988" t="b">
        <f t="shared" si="720"/>
        <v>0</v>
      </c>
      <c r="AQ988" s="445"/>
      <c r="AS988" s="445"/>
      <c r="AT988" s="616"/>
      <c r="AU988" s="481"/>
      <c r="AV988" s="640"/>
      <c r="AW988" s="640"/>
      <c r="AX988" s="655" t="str">
        <f t="shared" si="726"/>
        <v/>
      </c>
      <c r="AY988" s="655" t="str">
        <f t="shared" si="717"/>
        <v/>
      </c>
      <c r="AZ988" s="655" t="str">
        <f t="shared" si="727"/>
        <v/>
      </c>
      <c r="BA988" s="655" t="str">
        <f t="shared" si="718"/>
        <v/>
      </c>
      <c r="BB988" s="655" t="str">
        <f t="shared" si="724"/>
        <v/>
      </c>
      <c r="BC988" s="655" t="str">
        <f t="shared" si="724"/>
        <v/>
      </c>
    </row>
    <row r="989" spans="1:55" ht="12" customHeight="1">
      <c r="A989" s="165"/>
      <c r="B989" s="165"/>
      <c r="C989" s="165"/>
      <c r="D989" s="165"/>
      <c r="E989" s="165"/>
      <c r="F989" s="165"/>
      <c r="G989" s="165"/>
      <c r="H989" s="403"/>
      <c r="I989" s="188"/>
      <c r="J989" s="189">
        <v>311</v>
      </c>
      <c r="K989" s="190" t="s">
        <v>178</v>
      </c>
      <c r="L989" s="325">
        <f t="shared" ref="L989:AC989" si="740">L990</f>
        <v>2042317</v>
      </c>
      <c r="M989" s="325">
        <f t="shared" si="740"/>
        <v>271062.04791293381</v>
      </c>
      <c r="N989" s="349">
        <f t="shared" si="740"/>
        <v>2128913</v>
      </c>
      <c r="O989" s="349">
        <f t="shared" si="740"/>
        <v>282555.31223040679</v>
      </c>
      <c r="P989" s="304">
        <f t="shared" si="740"/>
        <v>409400</v>
      </c>
      <c r="Q989" s="304">
        <f t="shared" si="740"/>
        <v>323300</v>
      </c>
      <c r="R989" s="448">
        <f t="shared" si="740"/>
        <v>313632</v>
      </c>
      <c r="S989" s="304">
        <f t="shared" si="740"/>
        <v>0</v>
      </c>
      <c r="T989" s="304"/>
      <c r="U989" s="304"/>
      <c r="V989" s="485">
        <f t="shared" si="740"/>
        <v>425720</v>
      </c>
      <c r="W989" s="485">
        <f t="shared" si="740"/>
        <v>470000</v>
      </c>
      <c r="X989" s="557">
        <f t="shared" si="740"/>
        <v>585000</v>
      </c>
      <c r="Y989" s="557">
        <f t="shared" si="740"/>
        <v>0</v>
      </c>
      <c r="Z989" s="541" t="b">
        <f t="shared" si="719"/>
        <v>1</v>
      </c>
      <c r="AA989" s="557"/>
      <c r="AB989" s="558">
        <f t="shared" si="740"/>
        <v>410000</v>
      </c>
      <c r="AC989" s="558">
        <f t="shared" si="740"/>
        <v>410000</v>
      </c>
      <c r="AD989" s="524">
        <f>O989/M989*100</f>
        <v>104.24008613746057</v>
      </c>
      <c r="AE989" s="524">
        <f>P989/O989*100</f>
        <v>144.89198478284459</v>
      </c>
      <c r="AF989" s="524">
        <f>Q989/P989*100</f>
        <v>78.96922325354177</v>
      </c>
      <c r="AG989" s="524">
        <f>AB989/Q989*100</f>
        <v>126.8171976492422</v>
      </c>
      <c r="AH989" s="557"/>
      <c r="AI989" s="557">
        <v>585000</v>
      </c>
      <c r="AJ989" s="516">
        <f>W989/R989*100</f>
        <v>149.85715743291502</v>
      </c>
      <c r="AK989" s="516">
        <f>AT989/W989*100</f>
        <v>123.82978723404254</v>
      </c>
      <c r="AL989" s="516">
        <f>X989/AT989*100</f>
        <v>100.51546391752578</v>
      </c>
      <c r="AM989" s="304"/>
      <c r="AO989" t="b">
        <f t="shared" si="720"/>
        <v>1</v>
      </c>
      <c r="AP989" s="496">
        <f>AP990</f>
        <v>0</v>
      </c>
      <c r="AQ989" s="448">
        <v>418981.35</v>
      </c>
      <c r="AR989" s="496">
        <f>AR990</f>
        <v>0</v>
      </c>
      <c r="AS989" s="448"/>
      <c r="AT989" s="610">
        <f>AT990</f>
        <v>582000</v>
      </c>
      <c r="AU989" s="485">
        <f>AU990</f>
        <v>582000</v>
      </c>
      <c r="AV989" s="647">
        <v>585000</v>
      </c>
      <c r="AW989" s="647">
        <v>585000</v>
      </c>
      <c r="AX989" s="655">
        <f t="shared" si="726"/>
        <v>185.56779920416284</v>
      </c>
      <c r="AY989" s="655" t="str">
        <f t="shared" si="717"/>
        <v/>
      </c>
      <c r="AZ989" s="655">
        <f t="shared" si="727"/>
        <v>100</v>
      </c>
      <c r="BA989" s="655" t="str">
        <f t="shared" si="718"/>
        <v/>
      </c>
      <c r="BB989" s="655">
        <f t="shared" si="724"/>
        <v>100.51546391752578</v>
      </c>
      <c r="BC989" s="655">
        <f t="shared" si="724"/>
        <v>100</v>
      </c>
    </row>
    <row r="990" spans="1:55" ht="12" customHeight="1">
      <c r="A990" s="36"/>
      <c r="B990" s="36"/>
      <c r="C990" s="36"/>
      <c r="D990" s="36"/>
      <c r="E990" s="36"/>
      <c r="F990" s="36"/>
      <c r="G990" s="36"/>
      <c r="H990" s="204">
        <v>32</v>
      </c>
      <c r="I990" s="132">
        <v>911</v>
      </c>
      <c r="J990" s="71">
        <v>3111</v>
      </c>
      <c r="K990" s="40" t="s">
        <v>97</v>
      </c>
      <c r="L990" s="309">
        <v>2042317</v>
      </c>
      <c r="M990" s="309">
        <f>2042317/7.5345</f>
        <v>271062.04791293381</v>
      </c>
      <c r="N990" s="339">
        <v>2128913</v>
      </c>
      <c r="O990" s="339">
        <f>N990/7.5345</f>
        <v>282555.31223040679</v>
      </c>
      <c r="P990" s="294">
        <v>409400</v>
      </c>
      <c r="Q990" s="269">
        <v>323300</v>
      </c>
      <c r="R990" s="443">
        <v>313632</v>
      </c>
      <c r="S990" s="294"/>
      <c r="T990" s="294"/>
      <c r="U990" s="294"/>
      <c r="V990" s="478">
        <v>425720</v>
      </c>
      <c r="W990" s="478">
        <v>470000</v>
      </c>
      <c r="X990" s="544">
        <v>585000</v>
      </c>
      <c r="Y990" s="544"/>
      <c r="Z990" s="541" t="b">
        <f t="shared" si="719"/>
        <v>0</v>
      </c>
      <c r="AA990" s="527"/>
      <c r="AB990" s="528">
        <v>410000</v>
      </c>
      <c r="AC990" s="528">
        <v>410000</v>
      </c>
      <c r="AD990" s="524">
        <f>O990/M990*100</f>
        <v>104.24008613746057</v>
      </c>
      <c r="AE990" s="524">
        <f>P990/O990*100</f>
        <v>144.89198478284459</v>
      </c>
      <c r="AF990" s="524">
        <f>Q990/P990*100</f>
        <v>78.96922325354177</v>
      </c>
      <c r="AG990" s="524">
        <f>AB990/Q990*100</f>
        <v>126.8171976492422</v>
      </c>
      <c r="AH990" s="527"/>
      <c r="AI990" s="544">
        <v>585000</v>
      </c>
      <c r="AJ990" s="516">
        <f>W990/R990*100</f>
        <v>149.85715743291502</v>
      </c>
      <c r="AK990" s="516">
        <f>AT990/W990*100</f>
        <v>123.82978723404254</v>
      </c>
      <c r="AL990" s="516">
        <f>X990/AT990*100</f>
        <v>100.51546391752578</v>
      </c>
      <c r="AM990" s="294"/>
      <c r="AO990" t="b">
        <f t="shared" si="720"/>
        <v>0</v>
      </c>
      <c r="AQ990" s="443">
        <v>418981.35</v>
      </c>
      <c r="AS990" s="443"/>
      <c r="AT990" s="617">
        <v>582000</v>
      </c>
      <c r="AU990" s="478">
        <v>582000</v>
      </c>
      <c r="AV990" s="638">
        <v>585000</v>
      </c>
      <c r="AW990" s="638">
        <v>585000</v>
      </c>
      <c r="AX990" s="655">
        <f t="shared" si="726"/>
        <v>185.56779920416284</v>
      </c>
      <c r="AY990" s="655">
        <f t="shared" si="717"/>
        <v>818.27158265112394</v>
      </c>
      <c r="AZ990" s="655">
        <f t="shared" si="727"/>
        <v>100</v>
      </c>
      <c r="BA990" s="655">
        <f t="shared" si="718"/>
        <v>818.27158265112394</v>
      </c>
      <c r="BB990" s="655">
        <f t="shared" si="724"/>
        <v>100.51546391752578</v>
      </c>
      <c r="BC990" s="655">
        <f t="shared" si="724"/>
        <v>100</v>
      </c>
    </row>
    <row r="991" spans="1:55" ht="12" customHeight="1">
      <c r="A991" s="25"/>
      <c r="B991" s="25"/>
      <c r="C991" s="25"/>
      <c r="D991" s="25"/>
      <c r="E991" s="25"/>
      <c r="F991" s="25"/>
      <c r="G991" s="25"/>
      <c r="H991" s="389"/>
      <c r="I991" s="114"/>
      <c r="J991" s="94"/>
      <c r="K991" s="26"/>
      <c r="L991" s="317"/>
      <c r="M991" s="317"/>
      <c r="N991" s="341"/>
      <c r="O991" s="341"/>
      <c r="P991" s="296"/>
      <c r="Q991" s="296"/>
      <c r="R991" s="445"/>
      <c r="S991" s="296"/>
      <c r="T991" s="296"/>
      <c r="U991" s="296"/>
      <c r="V991" s="481"/>
      <c r="W991" s="481"/>
      <c r="X991" s="549"/>
      <c r="Y991" s="549"/>
      <c r="Z991" s="541" t="b">
        <f t="shared" si="719"/>
        <v>0</v>
      </c>
      <c r="AA991" s="531"/>
      <c r="AB991" s="532"/>
      <c r="AC991" s="532"/>
      <c r="AD991" s="524"/>
      <c r="AE991" s="524"/>
      <c r="AF991" s="524"/>
      <c r="AG991" s="524"/>
      <c r="AH991" s="531"/>
      <c r="AI991" s="549"/>
      <c r="AJ991" s="516"/>
      <c r="AK991" s="516"/>
      <c r="AL991" s="516"/>
      <c r="AM991" s="296"/>
      <c r="AO991" t="b">
        <f t="shared" si="720"/>
        <v>0</v>
      </c>
      <c r="AQ991" s="445"/>
      <c r="AS991" s="445"/>
      <c r="AT991" s="616"/>
      <c r="AU991" s="481"/>
      <c r="AV991" s="640"/>
      <c r="AW991" s="640"/>
      <c r="AX991" s="655" t="str">
        <f t="shared" si="726"/>
        <v/>
      </c>
      <c r="AY991" s="655" t="str">
        <f t="shared" si="717"/>
        <v/>
      </c>
      <c r="AZ991" s="655" t="str">
        <f t="shared" si="727"/>
        <v/>
      </c>
      <c r="BA991" s="655" t="str">
        <f t="shared" si="718"/>
        <v/>
      </c>
      <c r="BB991" s="655" t="str">
        <f t="shared" si="724"/>
        <v/>
      </c>
      <c r="BC991" s="655" t="str">
        <f t="shared" si="724"/>
        <v/>
      </c>
    </row>
    <row r="992" spans="1:55" ht="12" customHeight="1">
      <c r="A992" s="56"/>
      <c r="B992" s="56"/>
      <c r="C992" s="56"/>
      <c r="D992" s="56"/>
      <c r="E992" s="56"/>
      <c r="F992" s="56"/>
      <c r="G992" s="56"/>
      <c r="H992" s="381"/>
      <c r="I992" s="191"/>
      <c r="J992" s="126">
        <v>312</v>
      </c>
      <c r="K992" s="127" t="s">
        <v>180</v>
      </c>
      <c r="L992" s="320">
        <f t="shared" ref="L992:AC992" si="741">L993</f>
        <v>39500</v>
      </c>
      <c r="M992" s="320">
        <f t="shared" si="741"/>
        <v>5242.5509323777287</v>
      </c>
      <c r="N992" s="344">
        <f t="shared" si="741"/>
        <v>94000</v>
      </c>
      <c r="O992" s="344">
        <f t="shared" si="741"/>
        <v>12475.943990974849</v>
      </c>
      <c r="P992" s="299">
        <f t="shared" si="741"/>
        <v>8000</v>
      </c>
      <c r="Q992" s="299">
        <f t="shared" si="741"/>
        <v>18000</v>
      </c>
      <c r="R992" s="447">
        <f t="shared" si="741"/>
        <v>11755</v>
      </c>
      <c r="S992" s="299">
        <f t="shared" si="741"/>
        <v>0</v>
      </c>
      <c r="T992" s="299"/>
      <c r="U992" s="299"/>
      <c r="V992" s="477">
        <f t="shared" si="741"/>
        <v>18000</v>
      </c>
      <c r="W992" s="477">
        <f t="shared" si="741"/>
        <v>7600</v>
      </c>
      <c r="X992" s="542">
        <f t="shared" si="741"/>
        <v>9500.1</v>
      </c>
      <c r="Y992" s="542">
        <f t="shared" si="741"/>
        <v>0</v>
      </c>
      <c r="Z992" s="541" t="b">
        <f t="shared" si="719"/>
        <v>1</v>
      </c>
      <c r="AA992" s="542"/>
      <c r="AB992" s="543">
        <f t="shared" si="741"/>
        <v>8000</v>
      </c>
      <c r="AC992" s="543">
        <f t="shared" si="741"/>
        <v>8000</v>
      </c>
      <c r="AD992" s="524">
        <f>O992/M992*100</f>
        <v>237.97468354430382</v>
      </c>
      <c r="AE992" s="524">
        <f>P992/O992*100</f>
        <v>64.123404255319144</v>
      </c>
      <c r="AF992" s="524">
        <f>Q992/P992*100</f>
        <v>225</v>
      </c>
      <c r="AG992" s="524">
        <f>AB992/Q992*100</f>
        <v>44.444444444444443</v>
      </c>
      <c r="AH992" s="542"/>
      <c r="AI992" s="542">
        <v>9500.1</v>
      </c>
      <c r="AJ992" s="516">
        <f>W992/R992*100</f>
        <v>64.653339004678855</v>
      </c>
      <c r="AK992" s="516">
        <f>AT992/W992*100</f>
        <v>118.42105263157893</v>
      </c>
      <c r="AL992" s="516">
        <f>X992/AT992*100</f>
        <v>105.55666666666667</v>
      </c>
      <c r="AM992" s="299"/>
      <c r="AO992" t="b">
        <f t="shared" si="720"/>
        <v>1</v>
      </c>
      <c r="AP992" s="503">
        <f>AP993</f>
        <v>0</v>
      </c>
      <c r="AQ992" s="447">
        <v>7347.98</v>
      </c>
      <c r="AR992" s="503">
        <f>AR993</f>
        <v>0</v>
      </c>
      <c r="AS992" s="447"/>
      <c r="AT992" s="611">
        <f>AT993</f>
        <v>9000</v>
      </c>
      <c r="AU992" s="477">
        <f>AU993</f>
        <v>9000</v>
      </c>
      <c r="AV992" s="643">
        <v>9500.1</v>
      </c>
      <c r="AW992" s="643">
        <v>9500.1</v>
      </c>
      <c r="AX992" s="655">
        <f t="shared" si="726"/>
        <v>76.563164610803909</v>
      </c>
      <c r="AY992" s="655">
        <f t="shared" si="717"/>
        <v>13.017531867279608</v>
      </c>
      <c r="AZ992" s="655">
        <f t="shared" si="727"/>
        <v>100</v>
      </c>
      <c r="BA992" s="655">
        <f t="shared" si="718"/>
        <v>13.017531867279608</v>
      </c>
      <c r="BB992" s="655">
        <f t="shared" si="724"/>
        <v>105.55666666666667</v>
      </c>
      <c r="BC992" s="655">
        <f t="shared" si="724"/>
        <v>100</v>
      </c>
    </row>
    <row r="993" spans="1:55" ht="12" customHeight="1">
      <c r="A993" s="36"/>
      <c r="B993" s="36"/>
      <c r="C993" s="36"/>
      <c r="D993" s="36"/>
      <c r="E993" s="36"/>
      <c r="F993" s="36"/>
      <c r="G993" s="36"/>
      <c r="H993" s="204">
        <v>33</v>
      </c>
      <c r="I993" s="132">
        <v>911</v>
      </c>
      <c r="J993" s="71">
        <v>3121</v>
      </c>
      <c r="K993" s="40" t="s">
        <v>99</v>
      </c>
      <c r="L993" s="309">
        <v>39500</v>
      </c>
      <c r="M993" s="309">
        <f>39500/7.5345</f>
        <v>5242.5509323777287</v>
      </c>
      <c r="N993" s="339">
        <v>94000</v>
      </c>
      <c r="O993" s="339">
        <f>N993/7.5345</f>
        <v>12475.943990974849</v>
      </c>
      <c r="P993" s="294">
        <v>8000</v>
      </c>
      <c r="Q993" s="269">
        <v>18000</v>
      </c>
      <c r="R993" s="443">
        <v>11755</v>
      </c>
      <c r="S993" s="294"/>
      <c r="T993" s="294"/>
      <c r="U993" s="294"/>
      <c r="V993" s="478">
        <v>18000</v>
      </c>
      <c r="W993" s="478">
        <v>7600</v>
      </c>
      <c r="X993" s="544">
        <v>9500.1</v>
      </c>
      <c r="Y993" s="544"/>
      <c r="Z993" s="541" t="b">
        <f t="shared" si="719"/>
        <v>0</v>
      </c>
      <c r="AA993" s="527"/>
      <c r="AB993" s="528">
        <v>8000</v>
      </c>
      <c r="AC993" s="528">
        <v>8000</v>
      </c>
      <c r="AD993" s="524">
        <f>O993/M993*100</f>
        <v>237.97468354430382</v>
      </c>
      <c r="AE993" s="524">
        <f>P993/O993*100</f>
        <v>64.123404255319144</v>
      </c>
      <c r="AF993" s="524">
        <f>Q993/P993*100</f>
        <v>225</v>
      </c>
      <c r="AG993" s="524">
        <f>AB993/Q993*100</f>
        <v>44.444444444444443</v>
      </c>
      <c r="AH993" s="527"/>
      <c r="AI993" s="544">
        <v>9500.1</v>
      </c>
      <c r="AJ993" s="516">
        <f>W993/R993*100</f>
        <v>64.653339004678855</v>
      </c>
      <c r="AK993" s="516">
        <f>AT993/W993*100</f>
        <v>118.42105263157893</v>
      </c>
      <c r="AL993" s="516">
        <f>X993/AT993*100</f>
        <v>105.55666666666667</v>
      </c>
      <c r="AM993" s="294"/>
      <c r="AO993" t="b">
        <f t="shared" si="720"/>
        <v>0</v>
      </c>
      <c r="AQ993" s="443">
        <v>7347.98</v>
      </c>
      <c r="AS993" s="443"/>
      <c r="AT993" s="617">
        <v>9000</v>
      </c>
      <c r="AU993" s="478">
        <v>9000</v>
      </c>
      <c r="AV993" s="638">
        <v>9500.1</v>
      </c>
      <c r="AW993" s="638">
        <v>9500.1</v>
      </c>
      <c r="AX993" s="655">
        <f t="shared" si="726"/>
        <v>76.563164610803909</v>
      </c>
      <c r="AY993" s="655">
        <f t="shared" si="717"/>
        <v>452.7162977867203</v>
      </c>
      <c r="AZ993" s="655">
        <f t="shared" si="727"/>
        <v>100</v>
      </c>
      <c r="BA993" s="655">
        <f t="shared" si="718"/>
        <v>452.7162977867203</v>
      </c>
      <c r="BB993" s="655">
        <f t="shared" si="724"/>
        <v>105.55666666666667</v>
      </c>
      <c r="BC993" s="655">
        <f t="shared" si="724"/>
        <v>100</v>
      </c>
    </row>
    <row r="994" spans="1:55" ht="12" customHeight="1">
      <c r="A994" s="25"/>
      <c r="B994" s="25"/>
      <c r="C994" s="25"/>
      <c r="D994" s="25"/>
      <c r="E994" s="25"/>
      <c r="F994" s="25"/>
      <c r="G994" s="25"/>
      <c r="H994" s="389"/>
      <c r="I994" s="30"/>
      <c r="J994" s="29"/>
      <c r="K994" s="29"/>
      <c r="L994" s="313"/>
      <c r="M994" s="313"/>
      <c r="N994" s="335"/>
      <c r="O994" s="335"/>
      <c r="P994" s="290"/>
      <c r="Q994" s="290"/>
      <c r="R994" s="439"/>
      <c r="S994" s="290"/>
      <c r="T994" s="290"/>
      <c r="U994" s="290"/>
      <c r="V994" s="474"/>
      <c r="W994" s="474"/>
      <c r="X994" s="539"/>
      <c r="Y994" s="539"/>
      <c r="Z994" s="541" t="b">
        <f t="shared" si="719"/>
        <v>0</v>
      </c>
      <c r="AA994" s="514"/>
      <c r="AB994" s="515"/>
      <c r="AC994" s="515"/>
      <c r="AD994" s="524"/>
      <c r="AE994" s="524"/>
      <c r="AF994" s="524"/>
      <c r="AG994" s="524"/>
      <c r="AH994" s="514"/>
      <c r="AI994" s="539"/>
      <c r="AJ994" s="516"/>
      <c r="AK994" s="516"/>
      <c r="AL994" s="516"/>
      <c r="AM994" s="290"/>
      <c r="AO994" t="b">
        <f t="shared" si="720"/>
        <v>0</v>
      </c>
      <c r="AQ994" s="439"/>
      <c r="AS994" s="439"/>
      <c r="AT994" s="616"/>
      <c r="AU994" s="474"/>
      <c r="AV994" s="632"/>
      <c r="AW994" s="632"/>
      <c r="AX994" s="655" t="str">
        <f t="shared" si="726"/>
        <v/>
      </c>
      <c r="AY994" s="655" t="str">
        <f t="shared" si="717"/>
        <v/>
      </c>
      <c r="AZ994" s="655" t="str">
        <f t="shared" si="727"/>
        <v/>
      </c>
      <c r="BA994" s="655" t="str">
        <f t="shared" si="718"/>
        <v/>
      </c>
      <c r="BB994" s="655" t="str">
        <f t="shared" si="724"/>
        <v/>
      </c>
      <c r="BC994" s="655" t="str">
        <f t="shared" si="724"/>
        <v/>
      </c>
    </row>
    <row r="995" spans="1:55" ht="12" customHeight="1">
      <c r="A995" s="56"/>
      <c r="B995" s="56"/>
      <c r="C995" s="56"/>
      <c r="D995" s="56"/>
      <c r="E995" s="56"/>
      <c r="F995" s="56"/>
      <c r="G995" s="56"/>
      <c r="H995" s="377"/>
      <c r="I995" s="157"/>
      <c r="J995" s="116">
        <v>313</v>
      </c>
      <c r="K995" s="60" t="s">
        <v>181</v>
      </c>
      <c r="L995" s="315">
        <f t="shared" ref="L995:S995" si="742">L997+L998</f>
        <v>352171</v>
      </c>
      <c r="M995" s="315">
        <f t="shared" si="742"/>
        <v>46741.124162187269</v>
      </c>
      <c r="N995" s="337">
        <f t="shared" si="742"/>
        <v>331977</v>
      </c>
      <c r="O995" s="337">
        <f t="shared" si="742"/>
        <v>44060.919769062311</v>
      </c>
      <c r="P995" s="292">
        <f t="shared" si="742"/>
        <v>50300</v>
      </c>
      <c r="Q995" s="292">
        <f t="shared" si="742"/>
        <v>55000</v>
      </c>
      <c r="R995" s="441">
        <f t="shared" si="742"/>
        <v>47603</v>
      </c>
      <c r="S995" s="292">
        <f t="shared" si="742"/>
        <v>0</v>
      </c>
      <c r="T995" s="292"/>
      <c r="U995" s="292"/>
      <c r="V995" s="469">
        <f>V997+V998</f>
        <v>72340</v>
      </c>
      <c r="W995" s="469">
        <f>W997+W998</f>
        <v>80550</v>
      </c>
      <c r="X995" s="522">
        <f>X997+X998</f>
        <v>98100</v>
      </c>
      <c r="Y995" s="522">
        <f>Y997+Y998</f>
        <v>0</v>
      </c>
      <c r="Z995" s="541" t="b">
        <f t="shared" si="719"/>
        <v>1</v>
      </c>
      <c r="AA995" s="522"/>
      <c r="AB995" s="523">
        <f>AB997+AB998</f>
        <v>50300</v>
      </c>
      <c r="AC995" s="523">
        <f>AC997+AC998</f>
        <v>50300</v>
      </c>
      <c r="AD995" s="524">
        <f>O995/M995*100</f>
        <v>94.265853803975901</v>
      </c>
      <c r="AE995" s="524">
        <f>P995/O995*100</f>
        <v>114.16012253860961</v>
      </c>
      <c r="AF995" s="524">
        <f>Q995/P995*100</f>
        <v>109.34393638170974</v>
      </c>
      <c r="AG995" s="524">
        <f>AB995/Q995*100</f>
        <v>91.454545454545453</v>
      </c>
      <c r="AH995" s="522"/>
      <c r="AI995" s="522">
        <v>98100</v>
      </c>
      <c r="AJ995" s="516">
        <f>W995/R995*100</f>
        <v>169.2120244522404</v>
      </c>
      <c r="AK995" s="516">
        <f>AT995/W995*100</f>
        <v>121.78770949720669</v>
      </c>
      <c r="AL995" s="516">
        <f>X995/AT995*100</f>
        <v>100</v>
      </c>
      <c r="AM995" s="292"/>
      <c r="AO995" t="b">
        <f t="shared" si="720"/>
        <v>1</v>
      </c>
      <c r="AP995" s="440">
        <f>AP997+AP998</f>
        <v>0</v>
      </c>
      <c r="AQ995" s="441">
        <v>71125.53</v>
      </c>
      <c r="AR995" s="440">
        <f>AR997+AR998</f>
        <v>0</v>
      </c>
      <c r="AS995" s="441"/>
      <c r="AT995" s="612">
        <f>AT997+AT998</f>
        <v>98100</v>
      </c>
      <c r="AU995" s="469">
        <f>AU997+AU998</f>
        <v>98100</v>
      </c>
      <c r="AV995" s="636">
        <v>98100</v>
      </c>
      <c r="AW995" s="636">
        <v>98100</v>
      </c>
      <c r="AX995" s="655">
        <f t="shared" si="726"/>
        <v>206.07944877423691</v>
      </c>
      <c r="AY995" s="655">
        <f t="shared" si="717"/>
        <v>302.05647809536305</v>
      </c>
      <c r="AZ995" s="655">
        <f t="shared" si="727"/>
        <v>100</v>
      </c>
      <c r="BA995" s="655">
        <f t="shared" si="718"/>
        <v>302.05647809536305</v>
      </c>
      <c r="BB995" s="655">
        <f t="shared" si="724"/>
        <v>100</v>
      </c>
      <c r="BC995" s="655">
        <f t="shared" si="724"/>
        <v>100</v>
      </c>
    </row>
    <row r="996" spans="1:55" ht="12" customHeight="1">
      <c r="A996" s="20"/>
      <c r="B996" s="20"/>
      <c r="C996" s="20"/>
      <c r="D996" s="20"/>
      <c r="E996" s="20"/>
      <c r="F996" s="20"/>
      <c r="G996" s="20"/>
      <c r="H996" s="375"/>
      <c r="I996" s="22"/>
      <c r="J996" s="21"/>
      <c r="K996" s="19"/>
      <c r="L996" s="313">
        <v>1</v>
      </c>
      <c r="M996" s="313">
        <v>2</v>
      </c>
      <c r="N996" s="335">
        <v>3</v>
      </c>
      <c r="O996" s="335">
        <v>4</v>
      </c>
      <c r="P996" s="290">
        <v>5</v>
      </c>
      <c r="Q996" s="290">
        <v>6</v>
      </c>
      <c r="R996" s="439"/>
      <c r="S996" s="290"/>
      <c r="T996" s="290"/>
      <c r="U996" s="290"/>
      <c r="V996" s="474">
        <v>5</v>
      </c>
      <c r="W996" s="474"/>
      <c r="X996" s="539"/>
      <c r="Y996" s="539"/>
      <c r="Z996" s="541" t="b">
        <f t="shared" si="719"/>
        <v>0</v>
      </c>
      <c r="AA996" s="514"/>
      <c r="AB996" s="515">
        <v>7</v>
      </c>
      <c r="AC996" s="515">
        <v>8</v>
      </c>
      <c r="AD996" s="515">
        <v>9</v>
      </c>
      <c r="AE996" s="515">
        <v>10</v>
      </c>
      <c r="AF996" s="515">
        <v>11</v>
      </c>
      <c r="AG996" s="515">
        <v>12</v>
      </c>
      <c r="AH996" s="514"/>
      <c r="AI996" s="539"/>
      <c r="AJ996" s="516"/>
      <c r="AK996" s="516"/>
      <c r="AL996" s="516"/>
      <c r="AM996" s="290"/>
      <c r="AO996" t="b">
        <f t="shared" si="720"/>
        <v>0</v>
      </c>
      <c r="AQ996" s="439"/>
      <c r="AS996" s="439"/>
      <c r="AT996" s="616"/>
      <c r="AU996" s="474"/>
      <c r="AV996" s="632"/>
      <c r="AW996" s="632"/>
      <c r="AX996" s="655" t="str">
        <f t="shared" si="726"/>
        <v/>
      </c>
      <c r="AY996" s="655" t="str">
        <f t="shared" si="717"/>
        <v/>
      </c>
      <c r="AZ996" s="655" t="str">
        <f t="shared" si="727"/>
        <v/>
      </c>
      <c r="BA996" s="655" t="str">
        <f t="shared" si="718"/>
        <v/>
      </c>
      <c r="BB996" s="655" t="str">
        <f t="shared" si="724"/>
        <v/>
      </c>
      <c r="BC996" s="655" t="str">
        <f t="shared" si="724"/>
        <v/>
      </c>
    </row>
    <row r="997" spans="1:55" ht="12" customHeight="1">
      <c r="A997" s="36"/>
      <c r="B997" s="36"/>
      <c r="C997" s="36"/>
      <c r="D997" s="36"/>
      <c r="E997" s="36"/>
      <c r="F997" s="36"/>
      <c r="G997" s="36"/>
      <c r="H997" s="204">
        <v>35</v>
      </c>
      <c r="I997" s="132">
        <v>911</v>
      </c>
      <c r="J997" s="71">
        <v>3132</v>
      </c>
      <c r="K997" s="40" t="s">
        <v>553</v>
      </c>
      <c r="L997" s="309">
        <v>336983</v>
      </c>
      <c r="M997" s="309">
        <f>336983/7.5345</f>
        <v>44725.330147985929</v>
      </c>
      <c r="N997" s="339">
        <v>317915</v>
      </c>
      <c r="O997" s="339">
        <f>N997/7.5345</f>
        <v>42194.571637135843</v>
      </c>
      <c r="P997" s="294">
        <v>48200</v>
      </c>
      <c r="Q997" s="269">
        <v>53400</v>
      </c>
      <c r="R997" s="443">
        <v>46156</v>
      </c>
      <c r="S997" s="294"/>
      <c r="T997" s="294"/>
      <c r="U997" s="294"/>
      <c r="V997" s="478">
        <v>70250</v>
      </c>
      <c r="W997" s="478">
        <v>77550</v>
      </c>
      <c r="X997" s="544">
        <v>96000</v>
      </c>
      <c r="Y997" s="544"/>
      <c r="Z997" s="541" t="b">
        <f t="shared" si="719"/>
        <v>0</v>
      </c>
      <c r="AA997" s="527"/>
      <c r="AB997" s="528">
        <v>48200</v>
      </c>
      <c r="AC997" s="528">
        <v>48200</v>
      </c>
      <c r="AD997" s="524">
        <f>O997/M997*100</f>
        <v>94.341554321731365</v>
      </c>
      <c r="AE997" s="524">
        <f>P997/O997*100</f>
        <v>114.23270371011118</v>
      </c>
      <c r="AF997" s="524">
        <f>Q997/P997*100</f>
        <v>110.78838174273859</v>
      </c>
      <c r="AG997" s="524">
        <f>AB997/Q997*100</f>
        <v>90.262172284644194</v>
      </c>
      <c r="AH997" s="527"/>
      <c r="AI997" s="544">
        <v>96000</v>
      </c>
      <c r="AJ997" s="516">
        <f>W997/R997*100</f>
        <v>168.01715919923737</v>
      </c>
      <c r="AK997" s="516">
        <f>AT997/W997*100</f>
        <v>123.79110251450678</v>
      </c>
      <c r="AL997" s="516">
        <f>X997/AT997*100</f>
        <v>100</v>
      </c>
      <c r="AM997" s="294"/>
      <c r="AO997" t="b">
        <f t="shared" si="720"/>
        <v>0</v>
      </c>
      <c r="AQ997" s="443">
        <v>69137.53</v>
      </c>
      <c r="AS997" s="443"/>
      <c r="AT997" s="617">
        <v>96000</v>
      </c>
      <c r="AU997" s="478">
        <v>96000</v>
      </c>
      <c r="AV997" s="638">
        <v>96000</v>
      </c>
      <c r="AW997" s="638">
        <v>96000</v>
      </c>
      <c r="AX997" s="655">
        <f t="shared" si="726"/>
        <v>207.99029378628998</v>
      </c>
      <c r="AY997" s="655">
        <f t="shared" si="717"/>
        <v>3790.0621412271903</v>
      </c>
      <c r="AZ997" s="655">
        <f t="shared" si="727"/>
        <v>100</v>
      </c>
      <c r="BA997" s="655">
        <f t="shared" si="718"/>
        <v>3790.0621412271903</v>
      </c>
      <c r="BB997" s="655">
        <f t="shared" si="724"/>
        <v>100</v>
      </c>
      <c r="BC997" s="655">
        <f t="shared" si="724"/>
        <v>100</v>
      </c>
    </row>
    <row r="998" spans="1:55" ht="12" customHeight="1">
      <c r="A998" s="36"/>
      <c r="B998" s="36"/>
      <c r="C998" s="36"/>
      <c r="D998" s="36"/>
      <c r="E998" s="36"/>
      <c r="F998" s="36"/>
      <c r="G998" s="36"/>
      <c r="H998" s="204">
        <v>36</v>
      </c>
      <c r="I998" s="132">
        <v>911</v>
      </c>
      <c r="J998" s="71">
        <v>3133</v>
      </c>
      <c r="K998" s="40" t="s">
        <v>756</v>
      </c>
      <c r="L998" s="309">
        <v>15188</v>
      </c>
      <c r="M998" s="309">
        <f>15188/7.5345</f>
        <v>2015.7940142013404</v>
      </c>
      <c r="N998" s="339">
        <v>14062</v>
      </c>
      <c r="O998" s="339">
        <f>N998/7.5345</f>
        <v>1866.3481319264715</v>
      </c>
      <c r="P998" s="294">
        <v>2100</v>
      </c>
      <c r="Q998" s="269">
        <v>1600</v>
      </c>
      <c r="R998" s="443">
        <v>1447</v>
      </c>
      <c r="S998" s="294"/>
      <c r="T998" s="294"/>
      <c r="U998" s="294"/>
      <c r="V998" s="478">
        <v>2090</v>
      </c>
      <c r="W998" s="478">
        <v>3000</v>
      </c>
      <c r="X998" s="544">
        <v>2100</v>
      </c>
      <c r="Y998" s="544"/>
      <c r="Z998" s="541" t="b">
        <f t="shared" si="719"/>
        <v>0</v>
      </c>
      <c r="AA998" s="527"/>
      <c r="AB998" s="528">
        <v>2100</v>
      </c>
      <c r="AC998" s="528">
        <v>2100</v>
      </c>
      <c r="AD998" s="524">
        <f>O998/M998*100</f>
        <v>92.586252304450895</v>
      </c>
      <c r="AE998" s="524">
        <f>P998/O998*100</f>
        <v>112.51920068269095</v>
      </c>
      <c r="AF998" s="524">
        <f>Q998/P998*100</f>
        <v>76.19047619047619</v>
      </c>
      <c r="AG998" s="524">
        <f>AB998/Q998*100</f>
        <v>131.25</v>
      </c>
      <c r="AH998" s="527"/>
      <c r="AI998" s="544">
        <v>2100</v>
      </c>
      <c r="AJ998" s="516">
        <f>W998/R998*100</f>
        <v>207.32550103662751</v>
      </c>
      <c r="AK998" s="516">
        <f>AT998/W998*100</f>
        <v>70</v>
      </c>
      <c r="AL998" s="516">
        <f>X998/AT998*100</f>
        <v>100</v>
      </c>
      <c r="AM998" s="294"/>
      <c r="AO998" t="b">
        <f t="shared" si="720"/>
        <v>0</v>
      </c>
      <c r="AQ998" s="443">
        <v>1988</v>
      </c>
      <c r="AS998" s="443"/>
      <c r="AT998" s="617">
        <v>2100</v>
      </c>
      <c r="AU998" s="478">
        <v>2100</v>
      </c>
      <c r="AV998" s="638">
        <v>2100</v>
      </c>
      <c r="AW998" s="638">
        <v>2100</v>
      </c>
      <c r="AX998" s="655">
        <f t="shared" si="726"/>
        <v>145.12785072563926</v>
      </c>
      <c r="AY998" s="655">
        <f t="shared" si="717"/>
        <v>8.3393131503423277</v>
      </c>
      <c r="AZ998" s="655">
        <f t="shared" si="727"/>
        <v>100</v>
      </c>
      <c r="BA998" s="655">
        <f t="shared" si="718"/>
        <v>8.3393131503423277</v>
      </c>
      <c r="BB998" s="655">
        <f t="shared" si="724"/>
        <v>100</v>
      </c>
      <c r="BC998" s="655">
        <f t="shared" si="724"/>
        <v>100</v>
      </c>
    </row>
    <row r="999" spans="1:55" ht="12" customHeight="1">
      <c r="A999" s="20"/>
      <c r="B999" s="20"/>
      <c r="C999" s="20"/>
      <c r="D999" s="20"/>
      <c r="E999" s="20"/>
      <c r="F999" s="20"/>
      <c r="G999" s="20"/>
      <c r="H999" s="375"/>
      <c r="I999" s="22"/>
      <c r="J999" s="21"/>
      <c r="K999" s="94"/>
      <c r="L999" s="313"/>
      <c r="M999" s="313"/>
      <c r="N999" s="335"/>
      <c r="O999" s="335"/>
      <c r="P999" s="290"/>
      <c r="Q999" s="290"/>
      <c r="R999" s="439"/>
      <c r="S999" s="290"/>
      <c r="T999" s="290"/>
      <c r="U999" s="290"/>
      <c r="V999" s="474"/>
      <c r="W999" s="474"/>
      <c r="X999" s="539"/>
      <c r="Y999" s="539"/>
      <c r="Z999" s="541" t="b">
        <f t="shared" si="719"/>
        <v>0</v>
      </c>
      <c r="AA999" s="514"/>
      <c r="AB999" s="515"/>
      <c r="AC999" s="515"/>
      <c r="AD999" s="524"/>
      <c r="AE999" s="524"/>
      <c r="AF999" s="524"/>
      <c r="AG999" s="524"/>
      <c r="AH999" s="514"/>
      <c r="AI999" s="539"/>
      <c r="AJ999" s="516"/>
      <c r="AK999" s="516"/>
      <c r="AL999" s="516"/>
      <c r="AM999" s="290"/>
      <c r="AO999" t="b">
        <f t="shared" si="720"/>
        <v>0</v>
      </c>
      <c r="AQ999" s="439"/>
      <c r="AS999" s="439"/>
      <c r="AT999" s="616"/>
      <c r="AU999" s="474"/>
      <c r="AV999" s="632"/>
      <c r="AW999" s="632"/>
      <c r="AX999" s="655" t="str">
        <f t="shared" si="726"/>
        <v/>
      </c>
      <c r="AY999" s="655" t="str">
        <f t="shared" si="717"/>
        <v/>
      </c>
      <c r="AZ999" s="655" t="str">
        <f t="shared" si="727"/>
        <v/>
      </c>
      <c r="BA999" s="655" t="str">
        <f t="shared" si="718"/>
        <v/>
      </c>
      <c r="BB999" s="655" t="str">
        <f t="shared" si="724"/>
        <v/>
      </c>
      <c r="BC999" s="655" t="str">
        <f t="shared" si="724"/>
        <v/>
      </c>
    </row>
    <row r="1000" spans="1:55" ht="12" customHeight="1">
      <c r="A1000" s="355"/>
      <c r="B1000" s="355"/>
      <c r="C1000" s="355"/>
      <c r="D1000" s="355"/>
      <c r="E1000" s="355"/>
      <c r="F1000" s="355"/>
      <c r="G1000" s="355"/>
      <c r="H1000" s="379"/>
      <c r="I1000" s="359"/>
      <c r="J1000" s="356">
        <v>32</v>
      </c>
      <c r="K1000" s="358" t="s">
        <v>103</v>
      </c>
      <c r="L1000" s="315">
        <f t="shared" ref="L1000:AC1000" si="743">L1001</f>
        <v>128788</v>
      </c>
      <c r="M1000" s="315">
        <f t="shared" si="743"/>
        <v>17093.105050102859</v>
      </c>
      <c r="N1000" s="337">
        <f t="shared" si="743"/>
        <v>179740</v>
      </c>
      <c r="O1000" s="337">
        <f t="shared" si="743"/>
        <v>23855.597584444888</v>
      </c>
      <c r="P1000" s="292">
        <f t="shared" si="743"/>
        <v>29900</v>
      </c>
      <c r="Q1000" s="292">
        <f t="shared" si="743"/>
        <v>33300</v>
      </c>
      <c r="R1000" s="441">
        <f t="shared" si="743"/>
        <v>31083</v>
      </c>
      <c r="S1000" s="292">
        <f t="shared" si="743"/>
        <v>0</v>
      </c>
      <c r="T1000" s="292"/>
      <c r="U1000" s="292"/>
      <c r="V1000" s="469">
        <f t="shared" si="743"/>
        <v>37650</v>
      </c>
      <c r="W1000" s="469">
        <f t="shared" si="743"/>
        <v>35900</v>
      </c>
      <c r="X1000" s="522">
        <f t="shared" si="743"/>
        <v>49900.5</v>
      </c>
      <c r="Y1000" s="522">
        <f t="shared" si="743"/>
        <v>0</v>
      </c>
      <c r="Z1000" s="541" t="b">
        <f t="shared" si="719"/>
        <v>1</v>
      </c>
      <c r="AA1000" s="522"/>
      <c r="AB1000" s="523">
        <f t="shared" si="743"/>
        <v>30000</v>
      </c>
      <c r="AC1000" s="523">
        <f t="shared" si="743"/>
        <v>30000</v>
      </c>
      <c r="AD1000" s="524">
        <f>O1000/M1000*100</f>
        <v>139.56269217628974</v>
      </c>
      <c r="AE1000" s="524">
        <f t="shared" ref="AE1000:AF1004" si="744">P1000/O1000*100</f>
        <v>125.33745966395904</v>
      </c>
      <c r="AF1000" s="524">
        <f t="shared" si="744"/>
        <v>111.37123745819397</v>
      </c>
      <c r="AG1000" s="524">
        <f>AB1000/Q1000*100</f>
        <v>90.090090090090087</v>
      </c>
      <c r="AH1000" s="522"/>
      <c r="AI1000" s="522">
        <v>49900.5</v>
      </c>
      <c r="AJ1000" s="516">
        <f t="shared" ref="AJ1000:AJ1005" si="745">W1000/R1000*100</f>
        <v>115.4972171283338</v>
      </c>
      <c r="AK1000" s="516">
        <f>AT1000/W1000*100</f>
        <v>134.81894150417827</v>
      </c>
      <c r="AL1000" s="516">
        <f>X1000/AT1000*100</f>
        <v>103.10020661157024</v>
      </c>
      <c r="AM1000" s="292"/>
      <c r="AO1000" t="b">
        <f t="shared" si="720"/>
        <v>1</v>
      </c>
      <c r="AP1000" s="440">
        <f>AP1001</f>
        <v>0</v>
      </c>
      <c r="AQ1000" s="441">
        <v>32477.37</v>
      </c>
      <c r="AR1000" s="440">
        <f>AR1001</f>
        <v>0</v>
      </c>
      <c r="AS1000" s="441"/>
      <c r="AT1000" s="612">
        <f>AT1001</f>
        <v>48400</v>
      </c>
      <c r="AU1000" s="469">
        <f>AU1001</f>
        <v>48400</v>
      </c>
      <c r="AV1000" s="636">
        <v>49900.5</v>
      </c>
      <c r="AW1000" s="636">
        <v>49900.5</v>
      </c>
      <c r="AX1000" s="655">
        <f t="shared" si="726"/>
        <v>155.71212559920212</v>
      </c>
      <c r="AY1000" s="655">
        <f t="shared" si="717"/>
        <v>6225.0803858520903</v>
      </c>
      <c r="AZ1000" s="655">
        <f t="shared" si="727"/>
        <v>100</v>
      </c>
      <c r="BA1000" s="655">
        <f t="shared" si="718"/>
        <v>6225.0803858520903</v>
      </c>
      <c r="BB1000" s="655">
        <f t="shared" si="724"/>
        <v>103.10020661157024</v>
      </c>
      <c r="BC1000" s="655">
        <f t="shared" si="724"/>
        <v>100</v>
      </c>
    </row>
    <row r="1001" spans="1:55" s="198" customFormat="1" ht="12" customHeight="1">
      <c r="A1001" s="56"/>
      <c r="B1001" s="56"/>
      <c r="C1001" s="56"/>
      <c r="D1001" s="56"/>
      <c r="E1001" s="56"/>
      <c r="F1001" s="56"/>
      <c r="G1001" s="56"/>
      <c r="H1001" s="377"/>
      <c r="I1001" s="157"/>
      <c r="J1001" s="116">
        <v>321</v>
      </c>
      <c r="K1001" s="60" t="s">
        <v>404</v>
      </c>
      <c r="L1001" s="315">
        <f t="shared" ref="L1001:S1001" si="746">L1002+L1003+L1004+L1005</f>
        <v>128788</v>
      </c>
      <c r="M1001" s="315">
        <f t="shared" si="746"/>
        <v>17093.105050102859</v>
      </c>
      <c r="N1001" s="337">
        <f t="shared" si="746"/>
        <v>179740</v>
      </c>
      <c r="O1001" s="337">
        <f t="shared" si="746"/>
        <v>23855.597584444888</v>
      </c>
      <c r="P1001" s="292">
        <f t="shared" si="746"/>
        <v>29900</v>
      </c>
      <c r="Q1001" s="292">
        <f t="shared" si="746"/>
        <v>33300</v>
      </c>
      <c r="R1001" s="441">
        <f t="shared" si="746"/>
        <v>31083</v>
      </c>
      <c r="S1001" s="292">
        <f t="shared" si="746"/>
        <v>0</v>
      </c>
      <c r="T1001" s="292"/>
      <c r="U1001" s="292"/>
      <c r="V1001" s="469">
        <f>V1002+V1003+V1004+V1005</f>
        <v>37650</v>
      </c>
      <c r="W1001" s="469">
        <f>W1002+W1003+W1004+W1005</f>
        <v>35900</v>
      </c>
      <c r="X1001" s="522">
        <f>X1002+X1003+X1004+X1005</f>
        <v>49900.5</v>
      </c>
      <c r="Y1001" s="522">
        <f>Y1002+Y1003+Y1004+Y1005</f>
        <v>0</v>
      </c>
      <c r="Z1001" s="541" t="b">
        <f t="shared" si="719"/>
        <v>1</v>
      </c>
      <c r="AA1001" s="522"/>
      <c r="AB1001" s="523">
        <f>AB1002+AB1003+AB1004+AB1005</f>
        <v>30000</v>
      </c>
      <c r="AC1001" s="523">
        <f>AC1002+AC1003+AC1004+AC1005</f>
        <v>30000</v>
      </c>
      <c r="AD1001" s="524">
        <f>O1001/M1001*100</f>
        <v>139.56269217628974</v>
      </c>
      <c r="AE1001" s="524">
        <f t="shared" si="744"/>
        <v>125.33745966395904</v>
      </c>
      <c r="AF1001" s="524">
        <f t="shared" si="744"/>
        <v>111.37123745819397</v>
      </c>
      <c r="AG1001" s="524">
        <f>AB1001/Q1001*100</f>
        <v>90.090090090090087</v>
      </c>
      <c r="AH1001" s="522"/>
      <c r="AI1001" s="522">
        <v>49900.5</v>
      </c>
      <c r="AJ1001" s="516">
        <f t="shared" si="745"/>
        <v>115.4972171283338</v>
      </c>
      <c r="AK1001" s="516">
        <f>AT1001/W1001*100</f>
        <v>134.81894150417827</v>
      </c>
      <c r="AL1001" s="516">
        <f>X1001/AT1001*100</f>
        <v>103.10020661157024</v>
      </c>
      <c r="AM1001" s="292"/>
      <c r="AO1001" t="b">
        <f t="shared" si="720"/>
        <v>1</v>
      </c>
      <c r="AP1001" s="440">
        <f>AP1002+AP1003+AP1004+AP1005</f>
        <v>0</v>
      </c>
      <c r="AQ1001" s="441">
        <v>32477.37</v>
      </c>
      <c r="AR1001" s="440">
        <f>AR1002+AR1003+AR1004+AR1005</f>
        <v>0</v>
      </c>
      <c r="AS1001" s="441"/>
      <c r="AT1001" s="612">
        <f>AT1002+AT1003+AT1004+AT1005</f>
        <v>48400</v>
      </c>
      <c r="AU1001" s="469">
        <f>AU1002+AU1003+AU1004+AU1005</f>
        <v>48400</v>
      </c>
      <c r="AV1001" s="636">
        <v>49900.5</v>
      </c>
      <c r="AW1001" s="636">
        <v>49900.5</v>
      </c>
      <c r="AX1001" s="655">
        <f t="shared" si="726"/>
        <v>155.71212559920212</v>
      </c>
      <c r="AY1001" s="655" t="str">
        <f t="shared" si="717"/>
        <v/>
      </c>
      <c r="AZ1001" s="655">
        <f t="shared" si="727"/>
        <v>100</v>
      </c>
      <c r="BA1001" s="655" t="str">
        <f t="shared" si="718"/>
        <v/>
      </c>
      <c r="BB1001" s="655">
        <f t="shared" si="724"/>
        <v>103.10020661157024</v>
      </c>
      <c r="BC1001" s="655">
        <f t="shared" si="724"/>
        <v>100</v>
      </c>
    </row>
    <row r="1002" spans="1:55" ht="12" customHeight="1">
      <c r="A1002" s="66"/>
      <c r="B1002" s="66"/>
      <c r="C1002" s="66"/>
      <c r="D1002" s="66"/>
      <c r="E1002" s="66"/>
      <c r="F1002" s="66"/>
      <c r="G1002" s="66"/>
      <c r="H1002" s="405"/>
      <c r="I1002" s="132">
        <v>911</v>
      </c>
      <c r="J1002" s="40">
        <v>3211</v>
      </c>
      <c r="K1002" s="208" t="s">
        <v>105</v>
      </c>
      <c r="L1002" s="310">
        <v>1480</v>
      </c>
      <c r="M1002" s="310">
        <f>1480/7.5345</f>
        <v>196.42975645364655</v>
      </c>
      <c r="N1002" s="340">
        <v>4310</v>
      </c>
      <c r="O1002" s="340">
        <f>N1002/7.5345</f>
        <v>572.03530426703821</v>
      </c>
      <c r="P1002" s="295">
        <v>3300</v>
      </c>
      <c r="Q1002" s="295">
        <v>3300</v>
      </c>
      <c r="R1002" s="444">
        <v>2547</v>
      </c>
      <c r="S1002" s="295"/>
      <c r="T1002" s="295"/>
      <c r="U1002" s="295"/>
      <c r="V1002" s="482">
        <v>4520</v>
      </c>
      <c r="W1002" s="482">
        <v>3500</v>
      </c>
      <c r="X1002" s="550">
        <v>5000</v>
      </c>
      <c r="Y1002" s="550"/>
      <c r="Z1002" s="541" t="b">
        <f t="shared" si="719"/>
        <v>0</v>
      </c>
      <c r="AA1002" s="529"/>
      <c r="AB1002" s="530">
        <v>3300</v>
      </c>
      <c r="AC1002" s="530">
        <v>3300</v>
      </c>
      <c r="AD1002" s="524"/>
      <c r="AE1002" s="524">
        <f t="shared" si="744"/>
        <v>576.88747099767988</v>
      </c>
      <c r="AF1002" s="524">
        <f t="shared" si="744"/>
        <v>100</v>
      </c>
      <c r="AG1002" s="524">
        <f>AB1002/Q1002*100</f>
        <v>100</v>
      </c>
      <c r="AH1002" s="529"/>
      <c r="AI1002" s="550">
        <v>5000</v>
      </c>
      <c r="AJ1002" s="516">
        <f t="shared" si="745"/>
        <v>137.41656851197487</v>
      </c>
      <c r="AK1002" s="516">
        <f>AT1002/W1002*100</f>
        <v>142.85714285714286</v>
      </c>
      <c r="AL1002" s="516">
        <f>X1002/AT1002*100</f>
        <v>100</v>
      </c>
      <c r="AM1002" s="295"/>
      <c r="AO1002" t="b">
        <f t="shared" si="720"/>
        <v>0</v>
      </c>
      <c r="AQ1002" s="444">
        <v>2532.94</v>
      </c>
      <c r="AS1002" s="444"/>
      <c r="AT1002" s="617">
        <v>5000</v>
      </c>
      <c r="AU1002" s="482">
        <v>5000</v>
      </c>
      <c r="AV1002" s="639">
        <v>5000</v>
      </c>
      <c r="AW1002" s="639">
        <v>5000</v>
      </c>
      <c r="AX1002" s="655">
        <f t="shared" si="726"/>
        <v>196.30938358853552</v>
      </c>
      <c r="AY1002" s="655">
        <f t="shared" si="717"/>
        <v>3.8946900730269971</v>
      </c>
      <c r="AZ1002" s="655">
        <f t="shared" si="727"/>
        <v>100</v>
      </c>
      <c r="BA1002" s="655">
        <f t="shared" si="718"/>
        <v>3.8946900730269971</v>
      </c>
      <c r="BB1002" s="655">
        <f t="shared" si="724"/>
        <v>100</v>
      </c>
      <c r="BC1002" s="655">
        <f t="shared" si="724"/>
        <v>100</v>
      </c>
    </row>
    <row r="1003" spans="1:55" ht="12" customHeight="1">
      <c r="A1003" s="36"/>
      <c r="B1003" s="36"/>
      <c r="C1003" s="36"/>
      <c r="D1003" s="36"/>
      <c r="E1003" s="36"/>
      <c r="F1003" s="36"/>
      <c r="G1003" s="36"/>
      <c r="H1003" s="204">
        <v>37</v>
      </c>
      <c r="I1003" s="132">
        <v>911</v>
      </c>
      <c r="J1003" s="71">
        <v>3212</v>
      </c>
      <c r="K1003" s="40" t="s">
        <v>184</v>
      </c>
      <c r="L1003" s="309">
        <v>120944</v>
      </c>
      <c r="M1003" s="309">
        <f>120944/7.5345</f>
        <v>16052.027340898532</v>
      </c>
      <c r="N1003" s="339">
        <v>163101</v>
      </c>
      <c r="O1003" s="340">
        <f>N1003/7.5345</f>
        <v>21647.222775233924</v>
      </c>
      <c r="P1003" s="294">
        <v>23900</v>
      </c>
      <c r="Q1003" s="269">
        <v>26600</v>
      </c>
      <c r="R1003" s="443">
        <v>25400</v>
      </c>
      <c r="S1003" s="294"/>
      <c r="T1003" s="294"/>
      <c r="U1003" s="294"/>
      <c r="V1003" s="478">
        <v>28600</v>
      </c>
      <c r="W1003" s="478">
        <v>27900</v>
      </c>
      <c r="X1003" s="544">
        <v>39000.199999999997</v>
      </c>
      <c r="Y1003" s="544"/>
      <c r="Z1003" s="541" t="b">
        <f t="shared" si="719"/>
        <v>0</v>
      </c>
      <c r="AA1003" s="527"/>
      <c r="AB1003" s="528">
        <v>24000</v>
      </c>
      <c r="AC1003" s="528">
        <v>24000</v>
      </c>
      <c r="AD1003" s="524">
        <f>O1003/M1003*100</f>
        <v>134.85662786082818</v>
      </c>
      <c r="AE1003" s="524">
        <f t="shared" si="744"/>
        <v>110.40677249066529</v>
      </c>
      <c r="AF1003" s="524">
        <f t="shared" si="744"/>
        <v>111.29707112970711</v>
      </c>
      <c r="AG1003" s="524">
        <f>AB1003/Q1003*100</f>
        <v>90.225563909774436</v>
      </c>
      <c r="AH1003" s="527"/>
      <c r="AI1003" s="544">
        <v>39000.199999999997</v>
      </c>
      <c r="AJ1003" s="516">
        <f t="shared" si="745"/>
        <v>109.84251968503938</v>
      </c>
      <c r="AK1003" s="516">
        <f>AT1003/W1003*100</f>
        <v>135.84229390681003</v>
      </c>
      <c r="AL1003" s="516">
        <f>X1003/AT1003*100</f>
        <v>102.90290237467016</v>
      </c>
      <c r="AM1003" s="294"/>
      <c r="AO1003" t="b">
        <f t="shared" si="720"/>
        <v>0</v>
      </c>
      <c r="AQ1003" s="443">
        <v>25181.93</v>
      </c>
      <c r="AS1003" s="443"/>
      <c r="AT1003" s="617">
        <v>37900</v>
      </c>
      <c r="AU1003" s="478">
        <v>37900</v>
      </c>
      <c r="AV1003" s="638">
        <v>39000.199999999997</v>
      </c>
      <c r="AW1003" s="638">
        <v>39000.199999999997</v>
      </c>
      <c r="AX1003" s="655">
        <f t="shared" si="726"/>
        <v>149.21259842519686</v>
      </c>
      <c r="AY1003" s="655" t="str">
        <f t="shared" si="717"/>
        <v/>
      </c>
      <c r="AZ1003" s="655">
        <f t="shared" si="727"/>
        <v>100</v>
      </c>
      <c r="BA1003" s="655" t="str">
        <f t="shared" si="718"/>
        <v/>
      </c>
      <c r="BB1003" s="655">
        <f t="shared" si="724"/>
        <v>102.90290237467016</v>
      </c>
      <c r="BC1003" s="655">
        <f t="shared" si="724"/>
        <v>100</v>
      </c>
    </row>
    <row r="1004" spans="1:55" ht="12" customHeight="1">
      <c r="A1004" s="36"/>
      <c r="B1004" s="36"/>
      <c r="C1004" s="36"/>
      <c r="D1004" s="36"/>
      <c r="E1004" s="36"/>
      <c r="F1004" s="36"/>
      <c r="G1004" s="36"/>
      <c r="H1004" s="204" t="s">
        <v>405</v>
      </c>
      <c r="I1004" s="132">
        <v>911</v>
      </c>
      <c r="J1004" s="71">
        <v>3213</v>
      </c>
      <c r="K1004" s="40" t="s">
        <v>107</v>
      </c>
      <c r="L1004" s="309">
        <v>6364</v>
      </c>
      <c r="M1004" s="309">
        <f>6364/7.5345</f>
        <v>844.64795275068013</v>
      </c>
      <c r="N1004" s="339">
        <v>11775</v>
      </c>
      <c r="O1004" s="340">
        <f>N1004/7.5345</f>
        <v>1562.8110690822216</v>
      </c>
      <c r="P1004" s="294">
        <v>2700</v>
      </c>
      <c r="Q1004" s="269">
        <v>3400</v>
      </c>
      <c r="R1004" s="443">
        <v>2848</v>
      </c>
      <c r="S1004" s="294"/>
      <c r="T1004" s="294"/>
      <c r="U1004" s="294"/>
      <c r="V1004" s="478">
        <v>4530</v>
      </c>
      <c r="W1004" s="478">
        <v>4500</v>
      </c>
      <c r="X1004" s="544">
        <v>5900.3</v>
      </c>
      <c r="Y1004" s="544"/>
      <c r="Z1004" s="541" t="b">
        <f t="shared" si="719"/>
        <v>0</v>
      </c>
      <c r="AA1004" s="527"/>
      <c r="AB1004" s="528">
        <v>2700</v>
      </c>
      <c r="AC1004" s="528">
        <v>2700</v>
      </c>
      <c r="AD1004" s="524">
        <f>O1004/M1004*100</f>
        <v>185.02514142049026</v>
      </c>
      <c r="AE1004" s="524">
        <f t="shared" si="744"/>
        <v>172.76560509554142</v>
      </c>
      <c r="AF1004" s="524">
        <f t="shared" si="744"/>
        <v>125.92592592592592</v>
      </c>
      <c r="AG1004" s="524">
        <f>AB1004/Q1004*100</f>
        <v>79.411764705882348</v>
      </c>
      <c r="AH1004" s="527"/>
      <c r="AI1004" s="544">
        <v>5900.3</v>
      </c>
      <c r="AJ1004" s="516">
        <f t="shared" si="745"/>
        <v>158.00561797752809</v>
      </c>
      <c r="AK1004" s="516">
        <f>AT1004/W1004*100</f>
        <v>122.22222222222223</v>
      </c>
      <c r="AL1004" s="516">
        <f>X1004/AT1004*100</f>
        <v>107.27818181818182</v>
      </c>
      <c r="AM1004" s="294"/>
      <c r="AO1004" t="b">
        <f t="shared" si="720"/>
        <v>0</v>
      </c>
      <c r="AQ1004" s="443">
        <v>3985</v>
      </c>
      <c r="AS1004" s="443"/>
      <c r="AT1004" s="617">
        <v>5500</v>
      </c>
      <c r="AU1004" s="478">
        <v>5500</v>
      </c>
      <c r="AV1004" s="638">
        <v>5900.3</v>
      </c>
      <c r="AW1004" s="638">
        <v>5900.3</v>
      </c>
      <c r="AX1004" s="655">
        <f t="shared" si="726"/>
        <v>193.11797752808988</v>
      </c>
      <c r="AY1004" s="655">
        <f t="shared" si="717"/>
        <v>4.2841590803296965</v>
      </c>
      <c r="AZ1004" s="655">
        <f t="shared" si="727"/>
        <v>100</v>
      </c>
      <c r="BA1004" s="655">
        <f t="shared" si="718"/>
        <v>4.2841590803296965</v>
      </c>
      <c r="BB1004" s="655">
        <f t="shared" si="724"/>
        <v>107.27818181818182</v>
      </c>
      <c r="BC1004" s="655">
        <f t="shared" si="724"/>
        <v>100</v>
      </c>
    </row>
    <row r="1005" spans="1:55" ht="12" customHeight="1">
      <c r="A1005" s="36"/>
      <c r="B1005" s="36"/>
      <c r="C1005" s="36"/>
      <c r="D1005" s="36"/>
      <c r="E1005" s="36"/>
      <c r="F1005" s="36"/>
      <c r="G1005" s="36"/>
      <c r="H1005" s="204"/>
      <c r="I1005" s="132"/>
      <c r="J1005" s="71">
        <v>3214</v>
      </c>
      <c r="K1005" s="40" t="s">
        <v>664</v>
      </c>
      <c r="L1005" s="309"/>
      <c r="M1005" s="309"/>
      <c r="N1005" s="339">
        <v>554</v>
      </c>
      <c r="O1005" s="340">
        <f>N1005/7.5345</f>
        <v>73.528435861702832</v>
      </c>
      <c r="P1005" s="294"/>
      <c r="Q1005" s="294"/>
      <c r="R1005" s="443">
        <v>288</v>
      </c>
      <c r="S1005" s="294"/>
      <c r="T1005" s="294"/>
      <c r="U1005" s="294"/>
      <c r="V1005" s="478"/>
      <c r="W1005" s="478"/>
      <c r="X1005" s="544"/>
      <c r="Y1005" s="544"/>
      <c r="Z1005" s="541" t="b">
        <f t="shared" si="719"/>
        <v>0</v>
      </c>
      <c r="AA1005" s="527"/>
      <c r="AB1005" s="528"/>
      <c r="AC1005" s="528"/>
      <c r="AD1005" s="524"/>
      <c r="AE1005" s="524"/>
      <c r="AF1005" s="524"/>
      <c r="AG1005" s="524"/>
      <c r="AH1005" s="527"/>
      <c r="AI1005" s="544"/>
      <c r="AJ1005" s="516">
        <f t="shared" si="745"/>
        <v>0</v>
      </c>
      <c r="AK1005" s="516"/>
      <c r="AL1005" s="516"/>
      <c r="AM1005" s="294"/>
      <c r="AO1005" t="b">
        <f t="shared" si="720"/>
        <v>0</v>
      </c>
      <c r="AQ1005" s="443">
        <v>777.5</v>
      </c>
      <c r="AS1005" s="443"/>
      <c r="AT1005" s="617"/>
      <c r="AU1005" s="478"/>
      <c r="AV1005" s="638"/>
      <c r="AW1005" s="638"/>
      <c r="AX1005" s="655" t="str">
        <f t="shared" si="726"/>
        <v/>
      </c>
      <c r="AY1005" s="655" t="str">
        <f t="shared" si="717"/>
        <v/>
      </c>
      <c r="AZ1005" s="655" t="str">
        <f t="shared" si="727"/>
        <v/>
      </c>
      <c r="BA1005" s="655" t="str">
        <f t="shared" si="718"/>
        <v/>
      </c>
      <c r="BB1005" s="655" t="str">
        <f t="shared" si="724"/>
        <v/>
      </c>
      <c r="BC1005" s="655" t="str">
        <f t="shared" si="724"/>
        <v/>
      </c>
    </row>
    <row r="1006" spans="1:55" ht="12" customHeight="1">
      <c r="A1006" s="36"/>
      <c r="B1006" s="36"/>
      <c r="C1006" s="36"/>
      <c r="D1006" s="36"/>
      <c r="E1006" s="36"/>
      <c r="F1006" s="36"/>
      <c r="G1006" s="36"/>
      <c r="H1006" s="204"/>
      <c r="I1006" s="132"/>
      <c r="J1006" s="71"/>
      <c r="K1006" s="40"/>
      <c r="L1006" s="309"/>
      <c r="M1006" s="309"/>
      <c r="N1006" s="339"/>
      <c r="O1006" s="339"/>
      <c r="P1006" s="294"/>
      <c r="Q1006" s="294"/>
      <c r="R1006" s="443"/>
      <c r="S1006" s="294"/>
      <c r="T1006" s="294"/>
      <c r="U1006" s="294"/>
      <c r="V1006" s="478"/>
      <c r="W1006" s="478"/>
      <c r="X1006" s="544"/>
      <c r="Y1006" s="544"/>
      <c r="Z1006" s="541" t="b">
        <f t="shared" si="719"/>
        <v>0</v>
      </c>
      <c r="AA1006" s="527"/>
      <c r="AB1006" s="528"/>
      <c r="AC1006" s="528"/>
      <c r="AD1006" s="524"/>
      <c r="AE1006" s="524"/>
      <c r="AF1006" s="524"/>
      <c r="AG1006" s="524"/>
      <c r="AH1006" s="527"/>
      <c r="AI1006" s="544"/>
      <c r="AJ1006" s="516"/>
      <c r="AK1006" s="516"/>
      <c r="AL1006" s="516"/>
      <c r="AM1006" s="294"/>
      <c r="AO1006" t="b">
        <f t="shared" si="720"/>
        <v>0</v>
      </c>
      <c r="AQ1006" s="443"/>
      <c r="AS1006" s="443"/>
      <c r="AT1006" s="617"/>
      <c r="AU1006" s="478"/>
      <c r="AV1006" s="638"/>
      <c r="AW1006" s="638"/>
      <c r="AX1006" s="655" t="str">
        <f t="shared" si="726"/>
        <v/>
      </c>
      <c r="AY1006" s="655" t="str">
        <f t="shared" si="717"/>
        <v/>
      </c>
      <c r="AZ1006" s="655" t="str">
        <f t="shared" si="727"/>
        <v/>
      </c>
      <c r="BA1006" s="655" t="str">
        <f t="shared" si="718"/>
        <v/>
      </c>
      <c r="BB1006" s="655" t="str">
        <f t="shared" si="724"/>
        <v/>
      </c>
      <c r="BC1006" s="655" t="str">
        <f t="shared" si="724"/>
        <v/>
      </c>
    </row>
    <row r="1007" spans="1:55" ht="12" customHeight="1">
      <c r="A1007" s="212" t="s">
        <v>475</v>
      </c>
      <c r="B1007" s="130"/>
      <c r="C1007" s="130"/>
      <c r="D1007" s="130"/>
      <c r="E1007" s="130"/>
      <c r="F1007" s="130"/>
      <c r="G1007" s="130"/>
      <c r="H1007" s="383"/>
      <c r="I1007" s="170" t="s">
        <v>610</v>
      </c>
      <c r="J1007" s="171"/>
      <c r="K1007" s="111"/>
      <c r="L1007" s="315">
        <f t="shared" ref="L1007:S1007" si="747">L1009</f>
        <v>583334</v>
      </c>
      <c r="M1007" s="315">
        <f t="shared" si="747"/>
        <v>77421.726723737462</v>
      </c>
      <c r="N1007" s="337">
        <f t="shared" si="747"/>
        <v>798518</v>
      </c>
      <c r="O1007" s="337">
        <f t="shared" si="747"/>
        <v>105981.55152963036</v>
      </c>
      <c r="P1007" s="292">
        <f t="shared" si="747"/>
        <v>111500</v>
      </c>
      <c r="Q1007" s="292">
        <f t="shared" si="747"/>
        <v>102600</v>
      </c>
      <c r="R1007" s="441">
        <f t="shared" si="747"/>
        <v>100837</v>
      </c>
      <c r="S1007" s="292">
        <f t="shared" si="747"/>
        <v>0</v>
      </c>
      <c r="T1007" s="292"/>
      <c r="U1007" s="292"/>
      <c r="V1007" s="469">
        <f>V1009</f>
        <v>128970</v>
      </c>
      <c r="W1007" s="469">
        <f>W1009</f>
        <v>130639.93</v>
      </c>
      <c r="X1007" s="522">
        <f>X1009</f>
        <v>132851.4</v>
      </c>
      <c r="Y1007" s="522">
        <f>Y1009</f>
        <v>0</v>
      </c>
      <c r="Z1007" s="541" t="b">
        <f t="shared" si="719"/>
        <v>1</v>
      </c>
      <c r="AA1007" s="522"/>
      <c r="AB1007" s="523">
        <f>AB1009</f>
        <v>113600</v>
      </c>
      <c r="AC1007" s="523">
        <f>AC1009</f>
        <v>113600</v>
      </c>
      <c r="AD1007" s="524">
        <f>O1007/M1007*100</f>
        <v>136.88864355583596</v>
      </c>
      <c r="AE1007" s="524">
        <f>P1007/O1007*100</f>
        <v>105.20698969841631</v>
      </c>
      <c r="AF1007" s="524">
        <f>Q1007/P1007*100</f>
        <v>92.017937219730939</v>
      </c>
      <c r="AG1007" s="524">
        <f>AB1007/Q1007*100</f>
        <v>110.72124756335282</v>
      </c>
      <c r="AH1007" s="522"/>
      <c r="AI1007" s="522">
        <v>132851.4</v>
      </c>
      <c r="AJ1007" s="516">
        <f>W1007/R1007*100</f>
        <v>129.55555004611401</v>
      </c>
      <c r="AK1007" s="516">
        <f>AT1007/W1007*100</f>
        <v>97.856757884055824</v>
      </c>
      <c r="AL1007" s="516">
        <f>X1007/AT1007*100</f>
        <v>103.92005632040049</v>
      </c>
      <c r="AM1007" s="292"/>
      <c r="AO1007" t="b">
        <f t="shared" si="720"/>
        <v>1</v>
      </c>
      <c r="AP1007" s="440">
        <f>AP1009</f>
        <v>0</v>
      </c>
      <c r="AQ1007" s="441">
        <v>128379.92</v>
      </c>
      <c r="AR1007" s="440">
        <f>AR1009</f>
        <v>0</v>
      </c>
      <c r="AS1007" s="441"/>
      <c r="AT1007" s="612">
        <f>AT1009</f>
        <v>127840</v>
      </c>
      <c r="AU1007" s="469">
        <f>AU1009</f>
        <v>127840</v>
      </c>
      <c r="AV1007" s="636">
        <v>132851.4</v>
      </c>
      <c r="AW1007" s="636">
        <v>132851.4</v>
      </c>
      <c r="AX1007" s="655">
        <f t="shared" si="726"/>
        <v>126.77886093398256</v>
      </c>
      <c r="AY1007" s="655">
        <f t="shared" si="717"/>
        <v>146.276181880427</v>
      </c>
      <c r="AZ1007" s="655">
        <f t="shared" si="727"/>
        <v>100</v>
      </c>
      <c r="BA1007" s="655">
        <f t="shared" si="718"/>
        <v>146.276181880427</v>
      </c>
      <c r="BB1007" s="655">
        <f t="shared" si="724"/>
        <v>103.92005632040049</v>
      </c>
      <c r="BC1007" s="655">
        <f t="shared" si="724"/>
        <v>100</v>
      </c>
    </row>
    <row r="1008" spans="1:55" ht="12" customHeight="1">
      <c r="A1008" s="36"/>
      <c r="B1008" s="36"/>
      <c r="C1008" s="36"/>
      <c r="D1008" s="36"/>
      <c r="E1008" s="36"/>
      <c r="F1008" s="36"/>
      <c r="G1008" s="36"/>
      <c r="H1008" s="204"/>
      <c r="I1008" s="132"/>
      <c r="J1008" s="71"/>
      <c r="K1008" s="40"/>
      <c r="L1008" s="326"/>
      <c r="M1008" s="326"/>
      <c r="N1008" s="350"/>
      <c r="O1008" s="350"/>
      <c r="P1008" s="305"/>
      <c r="Q1008" s="305"/>
      <c r="R1008" s="461"/>
      <c r="S1008" s="305"/>
      <c r="T1008" s="305"/>
      <c r="U1008" s="305"/>
      <c r="V1008" s="486"/>
      <c r="W1008" s="486"/>
      <c r="X1008" s="559"/>
      <c r="Y1008" s="559"/>
      <c r="Z1008" s="541" t="b">
        <f t="shared" si="719"/>
        <v>0</v>
      </c>
      <c r="AA1008" s="560"/>
      <c r="AB1008" s="561"/>
      <c r="AC1008" s="561"/>
      <c r="AD1008" s="524"/>
      <c r="AE1008" s="524"/>
      <c r="AF1008" s="524"/>
      <c r="AG1008" s="524"/>
      <c r="AH1008" s="560"/>
      <c r="AI1008" s="559"/>
      <c r="AJ1008" s="516"/>
      <c r="AK1008" s="516"/>
      <c r="AL1008" s="516"/>
      <c r="AM1008" s="305"/>
      <c r="AO1008" t="b">
        <f t="shared" si="720"/>
        <v>0</v>
      </c>
      <c r="AQ1008" s="461"/>
      <c r="AS1008" s="461"/>
      <c r="AT1008" s="616"/>
      <c r="AU1008" s="486"/>
      <c r="AV1008" s="648"/>
      <c r="AW1008" s="648"/>
      <c r="AX1008" s="655" t="str">
        <f t="shared" si="726"/>
        <v/>
      </c>
      <c r="AY1008" s="655" t="str">
        <f t="shared" si="717"/>
        <v/>
      </c>
      <c r="AZ1008" s="655" t="str">
        <f t="shared" si="727"/>
        <v/>
      </c>
      <c r="BA1008" s="655" t="str">
        <f t="shared" si="718"/>
        <v/>
      </c>
      <c r="BB1008" s="655" t="str">
        <f t="shared" si="724"/>
        <v/>
      </c>
      <c r="BC1008" s="655" t="str">
        <f t="shared" si="724"/>
        <v/>
      </c>
    </row>
    <row r="1009" spans="1:55" ht="12" customHeight="1">
      <c r="A1009" s="52"/>
      <c r="B1009" s="52"/>
      <c r="C1009" s="52"/>
      <c r="D1009" s="52"/>
      <c r="E1009" s="52"/>
      <c r="F1009" s="52"/>
      <c r="G1009" s="52"/>
      <c r="H1009" s="384"/>
      <c r="I1009" s="156"/>
      <c r="J1009" s="94">
        <v>3</v>
      </c>
      <c r="K1009" s="21" t="s">
        <v>94</v>
      </c>
      <c r="L1009" s="315">
        <f t="shared" ref="L1009:S1009" si="748">L1010+L1042</f>
        <v>583334</v>
      </c>
      <c r="M1009" s="315">
        <f t="shared" si="748"/>
        <v>77421.726723737462</v>
      </c>
      <c r="N1009" s="337">
        <f t="shared" si="748"/>
        <v>798518</v>
      </c>
      <c r="O1009" s="337">
        <f t="shared" si="748"/>
        <v>105981.55152963036</v>
      </c>
      <c r="P1009" s="292">
        <f t="shared" si="748"/>
        <v>111500</v>
      </c>
      <c r="Q1009" s="292">
        <f t="shared" si="748"/>
        <v>102600</v>
      </c>
      <c r="R1009" s="441">
        <f t="shared" si="748"/>
        <v>100837</v>
      </c>
      <c r="S1009" s="292">
        <f t="shared" si="748"/>
        <v>0</v>
      </c>
      <c r="T1009" s="292"/>
      <c r="U1009" s="292"/>
      <c r="V1009" s="469">
        <f>V1010+V1042</f>
        <v>128970</v>
      </c>
      <c r="W1009" s="469">
        <f>W1010+W1042</f>
        <v>130639.93</v>
      </c>
      <c r="X1009" s="522">
        <f>X1010+X1042</f>
        <v>132851.4</v>
      </c>
      <c r="Y1009" s="522">
        <f>Y1010+Y1042</f>
        <v>0</v>
      </c>
      <c r="Z1009" s="541" t="b">
        <f t="shared" si="719"/>
        <v>1</v>
      </c>
      <c r="AA1009" s="522"/>
      <c r="AB1009" s="523">
        <f>AB1010+AB1042</f>
        <v>113600</v>
      </c>
      <c r="AC1009" s="523">
        <f>AC1010+AC1042</f>
        <v>113600</v>
      </c>
      <c r="AD1009" s="524">
        <f>O1009/M1009*100</f>
        <v>136.88864355583596</v>
      </c>
      <c r="AE1009" s="524">
        <f>P1009/O1009*100</f>
        <v>105.20698969841631</v>
      </c>
      <c r="AF1009" s="524">
        <f>Q1009/P1009*100</f>
        <v>92.017937219730939</v>
      </c>
      <c r="AG1009" s="524">
        <f>AB1009/Q1009*100</f>
        <v>110.72124756335282</v>
      </c>
      <c r="AH1009" s="522"/>
      <c r="AI1009" s="522">
        <v>132851.4</v>
      </c>
      <c r="AJ1009" s="516">
        <f>W1009/R1009*100</f>
        <v>129.55555004611401</v>
      </c>
      <c r="AK1009" s="516">
        <f>AT1009/W1009*100</f>
        <v>97.856757884055824</v>
      </c>
      <c r="AL1009" s="516">
        <f>X1009/AT1009*100</f>
        <v>103.92005632040049</v>
      </c>
      <c r="AM1009" s="292"/>
      <c r="AO1009" t="b">
        <f t="shared" si="720"/>
        <v>1</v>
      </c>
      <c r="AP1009" s="440">
        <f>AP1010+AP1042</f>
        <v>0</v>
      </c>
      <c r="AQ1009" s="441">
        <v>128379.92</v>
      </c>
      <c r="AR1009" s="440">
        <f>AR1010+AR1042</f>
        <v>0</v>
      </c>
      <c r="AS1009" s="441"/>
      <c r="AT1009" s="612">
        <f>AT1010+AT1042</f>
        <v>127840</v>
      </c>
      <c r="AU1009" s="469">
        <f>AU1010+AU1042</f>
        <v>127840</v>
      </c>
      <c r="AV1009" s="636">
        <v>132851.4</v>
      </c>
      <c r="AW1009" s="636">
        <v>132851.4</v>
      </c>
      <c r="AX1009" s="655">
        <f t="shared" si="726"/>
        <v>126.77886093398256</v>
      </c>
      <c r="AY1009" s="655">
        <f t="shared" si="717"/>
        <v>249.63659753753333</v>
      </c>
      <c r="AZ1009" s="655">
        <f t="shared" si="727"/>
        <v>100</v>
      </c>
      <c r="BA1009" s="655">
        <f t="shared" si="718"/>
        <v>249.63659753753333</v>
      </c>
      <c r="BB1009" s="655">
        <f t="shared" si="724"/>
        <v>103.92005632040049</v>
      </c>
      <c r="BC1009" s="655">
        <f t="shared" si="724"/>
        <v>100</v>
      </c>
    </row>
    <row r="1010" spans="1:55" ht="12" customHeight="1">
      <c r="A1010" s="355"/>
      <c r="B1010" s="355"/>
      <c r="C1010" s="355"/>
      <c r="D1010" s="355"/>
      <c r="E1010" s="355"/>
      <c r="F1010" s="355"/>
      <c r="G1010" s="355"/>
      <c r="H1010" s="379"/>
      <c r="I1010" s="359"/>
      <c r="J1010" s="356">
        <v>32</v>
      </c>
      <c r="K1010" s="358" t="s">
        <v>103</v>
      </c>
      <c r="L1010" s="315">
        <f t="shared" ref="L1010:S1010" si="749">L1012+L1020+L1035</f>
        <v>579031</v>
      </c>
      <c r="M1010" s="315">
        <f t="shared" si="749"/>
        <v>76850.620479129328</v>
      </c>
      <c r="N1010" s="337">
        <f t="shared" si="749"/>
        <v>794027</v>
      </c>
      <c r="O1010" s="337">
        <f t="shared" si="749"/>
        <v>105385.49339704028</v>
      </c>
      <c r="P1010" s="292">
        <f t="shared" si="749"/>
        <v>110400</v>
      </c>
      <c r="Q1010" s="292">
        <f t="shared" si="749"/>
        <v>101400</v>
      </c>
      <c r="R1010" s="441">
        <f t="shared" si="749"/>
        <v>100138</v>
      </c>
      <c r="S1010" s="292">
        <f t="shared" si="749"/>
        <v>0</v>
      </c>
      <c r="T1010" s="292"/>
      <c r="U1010" s="292"/>
      <c r="V1010" s="469">
        <f>V1012+V1020+V1035</f>
        <v>127040</v>
      </c>
      <c r="W1010" s="469">
        <f>W1012+W1020+W1035</f>
        <v>128709.93</v>
      </c>
      <c r="X1010" s="522">
        <f>X1012+X1020+X1035</f>
        <v>131451.4</v>
      </c>
      <c r="Y1010" s="522">
        <f>Y1012+Y1020+Y1035</f>
        <v>0</v>
      </c>
      <c r="Z1010" s="541" t="b">
        <f t="shared" si="719"/>
        <v>1</v>
      </c>
      <c r="AA1010" s="522"/>
      <c r="AB1010" s="523">
        <f>AB1012+AB1020+AB1035</f>
        <v>112400</v>
      </c>
      <c r="AC1010" s="523">
        <f>AC1012+AC1020+AC1035</f>
        <v>112400</v>
      </c>
      <c r="AD1010" s="524">
        <f>O1010/M1010*100</f>
        <v>137.13030908535123</v>
      </c>
      <c r="AE1010" s="524">
        <f>P1010/O1010*100</f>
        <v>104.75825129372176</v>
      </c>
      <c r="AF1010" s="524">
        <f>Q1010/P1010*100</f>
        <v>91.847826086956516</v>
      </c>
      <c r="AG1010" s="524">
        <f>AB1010/Q1010*100</f>
        <v>110.84812623274163</v>
      </c>
      <c r="AH1010" s="522"/>
      <c r="AI1010" s="522">
        <v>131451.4</v>
      </c>
      <c r="AJ1010" s="516">
        <f>W1010/R1010*100</f>
        <v>128.53255507399788</v>
      </c>
      <c r="AK1010" s="516">
        <f>AT1010/W1010*100</f>
        <v>98.39178686524032</v>
      </c>
      <c r="AL1010" s="516">
        <f>X1010/AT1010*100</f>
        <v>103.79927353126975</v>
      </c>
      <c r="AM1010" s="292"/>
      <c r="AO1010" t="b">
        <f t="shared" si="720"/>
        <v>1</v>
      </c>
      <c r="AP1010" s="440">
        <f>AP1012+AP1020+AP1035</f>
        <v>0</v>
      </c>
      <c r="AQ1010" s="441">
        <v>127647.58</v>
      </c>
      <c r="AR1010" s="440">
        <f>AR1012+AR1020+AR1035</f>
        <v>0</v>
      </c>
      <c r="AS1010" s="441"/>
      <c r="AT1010" s="612">
        <f>AT1012+AT1020+AT1035</f>
        <v>126640</v>
      </c>
      <c r="AU1010" s="469">
        <f>AU1012+AU1020+AU1035</f>
        <v>126640</v>
      </c>
      <c r="AV1010" s="636">
        <v>131451.4</v>
      </c>
      <c r="AW1010" s="636">
        <v>131451.4</v>
      </c>
      <c r="AX1010" s="655">
        <f t="shared" si="726"/>
        <v>126.46547764085562</v>
      </c>
      <c r="AY1010" s="655">
        <f t="shared" si="717"/>
        <v>2315.9993050539038</v>
      </c>
      <c r="AZ1010" s="655">
        <f t="shared" si="727"/>
        <v>100</v>
      </c>
      <c r="BA1010" s="655">
        <f t="shared" si="718"/>
        <v>2315.9993050539038</v>
      </c>
      <c r="BB1010" s="655">
        <f t="shared" si="724"/>
        <v>103.79927353126975</v>
      </c>
      <c r="BC1010" s="655">
        <f t="shared" si="724"/>
        <v>100</v>
      </c>
    </row>
    <row r="1011" spans="1:55" ht="12" customHeight="1">
      <c r="A1011" s="52"/>
      <c r="B1011" s="52"/>
      <c r="C1011" s="52"/>
      <c r="D1011" s="52"/>
      <c r="E1011" s="52"/>
      <c r="F1011" s="52"/>
      <c r="G1011" s="52"/>
      <c r="H1011" s="384"/>
      <c r="I1011" s="156"/>
      <c r="J1011" s="94"/>
      <c r="K1011" s="21"/>
      <c r="L1011" s="313"/>
      <c r="M1011" s="313"/>
      <c r="N1011" s="335"/>
      <c r="O1011" s="335"/>
      <c r="P1011" s="290"/>
      <c r="Q1011" s="290"/>
      <c r="R1011" s="439"/>
      <c r="S1011" s="290"/>
      <c r="T1011" s="290"/>
      <c r="U1011" s="290"/>
      <c r="V1011" s="474"/>
      <c r="W1011" s="474"/>
      <c r="X1011" s="539"/>
      <c r="Y1011" s="539"/>
      <c r="Z1011" s="541" t="b">
        <f t="shared" si="719"/>
        <v>0</v>
      </c>
      <c r="AA1011" s="514"/>
      <c r="AB1011" s="515"/>
      <c r="AC1011" s="515"/>
      <c r="AD1011" s="524"/>
      <c r="AE1011" s="524"/>
      <c r="AF1011" s="524"/>
      <c r="AG1011" s="524"/>
      <c r="AH1011" s="514"/>
      <c r="AI1011" s="539"/>
      <c r="AJ1011" s="516"/>
      <c r="AK1011" s="516"/>
      <c r="AL1011" s="516"/>
      <c r="AM1011" s="290"/>
      <c r="AO1011" t="b">
        <f t="shared" si="720"/>
        <v>0</v>
      </c>
      <c r="AQ1011" s="439"/>
      <c r="AS1011" s="439"/>
      <c r="AT1011" s="616"/>
      <c r="AU1011" s="474"/>
      <c r="AV1011" s="632"/>
      <c r="AW1011" s="632"/>
      <c r="AX1011" s="655" t="str">
        <f t="shared" si="726"/>
        <v/>
      </c>
      <c r="AY1011" s="655" t="str">
        <f t="shared" si="717"/>
        <v/>
      </c>
      <c r="AZ1011" s="655" t="str">
        <f t="shared" si="727"/>
        <v/>
      </c>
      <c r="BA1011" s="655" t="str">
        <f t="shared" si="718"/>
        <v/>
      </c>
      <c r="BB1011" s="655" t="str">
        <f t="shared" si="724"/>
        <v/>
      </c>
      <c r="BC1011" s="655" t="str">
        <f t="shared" si="724"/>
        <v/>
      </c>
    </row>
    <row r="1012" spans="1:55" s="198" customFormat="1" ht="12" customHeight="1">
      <c r="A1012" s="56"/>
      <c r="B1012" s="137"/>
      <c r="C1012" s="137"/>
      <c r="D1012" s="137"/>
      <c r="E1012" s="137"/>
      <c r="F1012" s="137"/>
      <c r="G1012" s="137"/>
      <c r="H1012" s="387"/>
      <c r="I1012" s="176"/>
      <c r="J1012" s="116">
        <v>322</v>
      </c>
      <c r="K1012" s="60" t="s">
        <v>406</v>
      </c>
      <c r="L1012" s="315">
        <f t="shared" ref="L1012:S1012" si="750">L1013+L1014+L1015+L1016+L1017+L1018</f>
        <v>400497</v>
      </c>
      <c r="M1012" s="315">
        <f t="shared" si="750"/>
        <v>53155.08660163248</v>
      </c>
      <c r="N1012" s="337">
        <f t="shared" si="750"/>
        <v>479540</v>
      </c>
      <c r="O1012" s="337">
        <f t="shared" si="750"/>
        <v>63645.895547149768</v>
      </c>
      <c r="P1012" s="292">
        <f t="shared" si="750"/>
        <v>76800</v>
      </c>
      <c r="Q1012" s="292">
        <f t="shared" si="750"/>
        <v>72700</v>
      </c>
      <c r="R1012" s="441">
        <f t="shared" si="750"/>
        <v>72215</v>
      </c>
      <c r="S1012" s="292">
        <f t="shared" si="750"/>
        <v>0</v>
      </c>
      <c r="T1012" s="292"/>
      <c r="U1012" s="292"/>
      <c r="V1012" s="469">
        <f>V1013+V1014+V1015+V1016+V1017+V1018</f>
        <v>87850</v>
      </c>
      <c r="W1012" s="469">
        <f>W1013+W1014+W1015+W1016+W1017+W1018</f>
        <v>89519.76</v>
      </c>
      <c r="X1012" s="522">
        <f>X1013+X1014+X1015+X1016+X1017+X1018</f>
        <v>86200.3</v>
      </c>
      <c r="Y1012" s="522">
        <f>Y1013+Y1014+Y1015+Y1016+Y1017+Y1018</f>
        <v>0</v>
      </c>
      <c r="Z1012" s="541" t="b">
        <f t="shared" si="719"/>
        <v>1</v>
      </c>
      <c r="AA1012" s="522"/>
      <c r="AB1012" s="523">
        <f>AB1013+AB1014+AB1015+AB1016+AB1017+AB1018</f>
        <v>78000</v>
      </c>
      <c r="AC1012" s="523">
        <f>AC1013+AC1014+AC1015+AC1016+AC1017+AC1018</f>
        <v>78000</v>
      </c>
      <c r="AD1012" s="524">
        <f>O1012/M1012*100</f>
        <v>119.73622773703674</v>
      </c>
      <c r="AE1012" s="524">
        <f t="shared" ref="AE1012:AF1016" si="751">P1012/O1012*100</f>
        <v>120.66763982149563</v>
      </c>
      <c r="AF1012" s="524">
        <f t="shared" si="751"/>
        <v>94.661458333333343</v>
      </c>
      <c r="AG1012" s="524">
        <f>AB1012/Q1012*100</f>
        <v>107.29023383768914</v>
      </c>
      <c r="AH1012" s="522"/>
      <c r="AI1012" s="522">
        <v>86200.3</v>
      </c>
      <c r="AJ1012" s="516">
        <f>W1012/R1012*100</f>
        <v>123.96283320639756</v>
      </c>
      <c r="AK1012" s="516">
        <f>AT1012/W1012*100</f>
        <v>93.83403172662662</v>
      </c>
      <c r="AL1012" s="516">
        <f>X1012/AT1012*100</f>
        <v>102.61940476190476</v>
      </c>
      <c r="AM1012" s="292"/>
      <c r="AO1012" t="b">
        <f t="shared" si="720"/>
        <v>1</v>
      </c>
      <c r="AP1012" s="440">
        <f>AP1013+AP1014+AP1015+AP1016+AP1017+AP1018</f>
        <v>0</v>
      </c>
      <c r="AQ1012" s="441">
        <v>87396.32</v>
      </c>
      <c r="AR1012" s="440">
        <f>AR1013+AR1014+AR1015+AR1016+AR1017+AR1018</f>
        <v>0</v>
      </c>
      <c r="AS1012" s="441"/>
      <c r="AT1012" s="612">
        <f>AT1013+AT1014+AT1015+AT1016+AT1017+AT1018</f>
        <v>84000</v>
      </c>
      <c r="AU1012" s="469">
        <f>AU1013+AU1014+AU1015+AU1016+AU1017+AU1018</f>
        <v>84000</v>
      </c>
      <c r="AV1012" s="636">
        <v>86200.3</v>
      </c>
      <c r="AW1012" s="636">
        <v>86200.3</v>
      </c>
      <c r="AX1012" s="655">
        <f t="shared" si="726"/>
        <v>116.31932424011633</v>
      </c>
      <c r="AY1012" s="655" t="str">
        <f t="shared" si="717"/>
        <v/>
      </c>
      <c r="AZ1012" s="655">
        <f t="shared" si="727"/>
        <v>100</v>
      </c>
      <c r="BA1012" s="655" t="str">
        <f t="shared" si="718"/>
        <v/>
      </c>
      <c r="BB1012" s="655">
        <f t="shared" si="724"/>
        <v>102.61940476190476</v>
      </c>
      <c r="BC1012" s="655">
        <f t="shared" si="724"/>
        <v>100</v>
      </c>
    </row>
    <row r="1013" spans="1:55" s="198" customFormat="1" ht="12" customHeight="1">
      <c r="A1013" s="36"/>
      <c r="B1013" s="36"/>
      <c r="C1013" s="36"/>
      <c r="D1013" s="36"/>
      <c r="E1013" s="36"/>
      <c r="F1013" s="36"/>
      <c r="G1013" s="36"/>
      <c r="H1013" s="204"/>
      <c r="I1013" s="132">
        <v>911</v>
      </c>
      <c r="J1013" s="71">
        <v>3221</v>
      </c>
      <c r="K1013" s="40" t="s">
        <v>599</v>
      </c>
      <c r="L1013" s="309">
        <v>92336</v>
      </c>
      <c r="M1013" s="309">
        <f>92336/7.5345</f>
        <v>12255.093237772911</v>
      </c>
      <c r="N1013" s="339">
        <v>88937</v>
      </c>
      <c r="O1013" s="339">
        <f t="shared" ref="O1013:O1018" si="752">N1013/7.5345</f>
        <v>11803.968411971597</v>
      </c>
      <c r="P1013" s="294">
        <v>11300</v>
      </c>
      <c r="Q1013" s="294">
        <v>11300</v>
      </c>
      <c r="R1013" s="443">
        <v>10486</v>
      </c>
      <c r="S1013" s="294"/>
      <c r="T1013" s="294"/>
      <c r="U1013" s="294"/>
      <c r="V1013" s="478">
        <v>13000</v>
      </c>
      <c r="W1013" s="478">
        <v>12999.5</v>
      </c>
      <c r="X1013" s="544">
        <v>13200</v>
      </c>
      <c r="Y1013" s="544"/>
      <c r="Z1013" s="541" t="b">
        <f t="shared" si="719"/>
        <v>0</v>
      </c>
      <c r="AA1013" s="527"/>
      <c r="AB1013" s="528">
        <v>11500</v>
      </c>
      <c r="AC1013" s="528">
        <v>11500</v>
      </c>
      <c r="AD1013" s="524">
        <f>O1013/M1013*100</f>
        <v>96.318878877144328</v>
      </c>
      <c r="AE1013" s="524">
        <f t="shared" si="751"/>
        <v>95.730517107615512</v>
      </c>
      <c r="AF1013" s="524">
        <f t="shared" si="751"/>
        <v>100</v>
      </c>
      <c r="AG1013" s="524">
        <f>AB1013/Q1013*100</f>
        <v>101.76991150442478</v>
      </c>
      <c r="AH1013" s="527"/>
      <c r="AI1013" s="544">
        <v>13200</v>
      </c>
      <c r="AJ1013" s="516">
        <f>W1013/R1013*100</f>
        <v>123.97005531184438</v>
      </c>
      <c r="AK1013" s="516">
        <f>AT1013/W1013*100</f>
        <v>100.00384630178083</v>
      </c>
      <c r="AL1013" s="516">
        <f>X1013/AT1013*100</f>
        <v>101.53846153846153</v>
      </c>
      <c r="AM1013" s="294"/>
      <c r="AO1013" t="b">
        <f t="shared" si="720"/>
        <v>0</v>
      </c>
      <c r="AQ1013" s="443">
        <v>12964.23</v>
      </c>
      <c r="AS1013" s="443"/>
      <c r="AT1013" s="617">
        <v>13000</v>
      </c>
      <c r="AU1013" s="478">
        <v>13000</v>
      </c>
      <c r="AV1013" s="638">
        <v>13200</v>
      </c>
      <c r="AW1013" s="638">
        <v>13200</v>
      </c>
      <c r="AX1013" s="655">
        <f t="shared" si="726"/>
        <v>123.97482357428953</v>
      </c>
      <c r="AY1013" s="655">
        <f t="shared" si="717"/>
        <v>94.572966681216357</v>
      </c>
      <c r="AZ1013" s="655">
        <f t="shared" si="727"/>
        <v>100</v>
      </c>
      <c r="BA1013" s="655">
        <f t="shared" si="718"/>
        <v>94.572966681216357</v>
      </c>
      <c r="BB1013" s="655">
        <f t="shared" si="724"/>
        <v>101.53846153846153</v>
      </c>
      <c r="BC1013" s="655">
        <f t="shared" si="724"/>
        <v>100</v>
      </c>
    </row>
    <row r="1014" spans="1:55" s="198" customFormat="1" ht="12" customHeight="1">
      <c r="A1014" s="36"/>
      <c r="B1014" s="36"/>
      <c r="C1014" s="36"/>
      <c r="D1014" s="36"/>
      <c r="E1014" s="36"/>
      <c r="F1014" s="36"/>
      <c r="G1014" s="36"/>
      <c r="H1014" s="204"/>
      <c r="I1014" s="132">
        <v>911</v>
      </c>
      <c r="J1014" s="71">
        <v>3222</v>
      </c>
      <c r="K1014" s="40" t="s">
        <v>600</v>
      </c>
      <c r="L1014" s="309">
        <v>211207</v>
      </c>
      <c r="M1014" s="309">
        <f>211207/7.5345</f>
        <v>28031.986196827922</v>
      </c>
      <c r="N1014" s="339">
        <v>256784</v>
      </c>
      <c r="O1014" s="339">
        <f t="shared" si="752"/>
        <v>34081.093635941332</v>
      </c>
      <c r="P1014" s="294">
        <v>40500</v>
      </c>
      <c r="Q1014" s="269">
        <v>42200</v>
      </c>
      <c r="R1014" s="443">
        <v>47585</v>
      </c>
      <c r="S1014" s="294"/>
      <c r="T1014" s="294"/>
      <c r="U1014" s="294"/>
      <c r="V1014" s="478">
        <v>48270</v>
      </c>
      <c r="W1014" s="478">
        <v>48300</v>
      </c>
      <c r="X1014" s="544">
        <v>51200</v>
      </c>
      <c r="Y1014" s="544"/>
      <c r="Z1014" s="541" t="b">
        <f t="shared" si="719"/>
        <v>0</v>
      </c>
      <c r="AA1014" s="527"/>
      <c r="AB1014" s="528">
        <v>40500</v>
      </c>
      <c r="AC1014" s="528">
        <v>40500</v>
      </c>
      <c r="AD1014" s="524">
        <f>O1014/M1014*100</f>
        <v>121.5793037162594</v>
      </c>
      <c r="AE1014" s="524">
        <f t="shared" si="751"/>
        <v>118.8342147485825</v>
      </c>
      <c r="AF1014" s="524">
        <f t="shared" si="751"/>
        <v>104.19753086419755</v>
      </c>
      <c r="AG1014" s="524">
        <f>AB1014/Q1014*100</f>
        <v>95.97156398104265</v>
      </c>
      <c r="AH1014" s="527"/>
      <c r="AI1014" s="544">
        <v>51200</v>
      </c>
      <c r="AJ1014" s="516">
        <f>W1014/R1014*100</f>
        <v>101.50257434065357</v>
      </c>
      <c r="AK1014" s="516">
        <f>AT1014/W1014*100</f>
        <v>103.51966873706004</v>
      </c>
      <c r="AL1014" s="516">
        <f>X1014/AT1014*100</f>
        <v>102.4</v>
      </c>
      <c r="AM1014" s="294"/>
      <c r="AO1014" t="b">
        <f t="shared" si="720"/>
        <v>0</v>
      </c>
      <c r="AQ1014" s="443">
        <v>51210.44</v>
      </c>
      <c r="AS1014" s="443"/>
      <c r="AT1014" s="617">
        <v>50000</v>
      </c>
      <c r="AU1014" s="478">
        <v>50000</v>
      </c>
      <c r="AV1014" s="638">
        <v>51200</v>
      </c>
      <c r="AW1014" s="638">
        <v>51200</v>
      </c>
      <c r="AX1014" s="655">
        <f t="shared" si="726"/>
        <v>105.07512871703268</v>
      </c>
      <c r="AY1014" s="655" t="str">
        <f t="shared" si="717"/>
        <v/>
      </c>
      <c r="AZ1014" s="655">
        <f t="shared" si="727"/>
        <v>100</v>
      </c>
      <c r="BA1014" s="655" t="str">
        <f t="shared" si="718"/>
        <v/>
      </c>
      <c r="BB1014" s="655">
        <f t="shared" si="724"/>
        <v>102.4</v>
      </c>
      <c r="BC1014" s="655">
        <f t="shared" si="724"/>
        <v>100</v>
      </c>
    </row>
    <row r="1015" spans="1:55" ht="12" customHeight="1">
      <c r="A1015" s="36"/>
      <c r="B1015" s="36"/>
      <c r="C1015" s="36"/>
      <c r="D1015" s="36"/>
      <c r="E1015" s="36"/>
      <c r="F1015" s="36"/>
      <c r="G1015" s="36"/>
      <c r="H1015" s="204"/>
      <c r="I1015" s="132">
        <v>911</v>
      </c>
      <c r="J1015" s="71">
        <v>3223</v>
      </c>
      <c r="K1015" s="40" t="s">
        <v>110</v>
      </c>
      <c r="L1015" s="309">
        <v>48338</v>
      </c>
      <c r="M1015" s="309">
        <f>48338/7.5345</f>
        <v>6415.5551131461934</v>
      </c>
      <c r="N1015" s="339">
        <v>78461</v>
      </c>
      <c r="O1015" s="339">
        <f t="shared" si="752"/>
        <v>10413.564271019974</v>
      </c>
      <c r="P1015" s="294">
        <v>13100</v>
      </c>
      <c r="Q1015" s="269">
        <v>9200</v>
      </c>
      <c r="R1015" s="443">
        <v>5305</v>
      </c>
      <c r="S1015" s="294"/>
      <c r="T1015" s="294"/>
      <c r="U1015" s="294"/>
      <c r="V1015" s="478">
        <v>12220</v>
      </c>
      <c r="W1015" s="478">
        <v>12220.26</v>
      </c>
      <c r="X1015" s="544">
        <v>8500</v>
      </c>
      <c r="Y1015" s="544"/>
      <c r="Z1015" s="541" t="b">
        <f t="shared" si="719"/>
        <v>0</v>
      </c>
      <c r="AA1015" s="527"/>
      <c r="AB1015" s="528">
        <v>14000</v>
      </c>
      <c r="AC1015" s="528">
        <v>14000</v>
      </c>
      <c r="AD1015" s="524">
        <f>O1015/M1015*100</f>
        <v>162.31743142041458</v>
      </c>
      <c r="AE1015" s="524">
        <f t="shared" si="751"/>
        <v>125.79746625712139</v>
      </c>
      <c r="AF1015" s="524">
        <f t="shared" si="751"/>
        <v>70.229007633587784</v>
      </c>
      <c r="AG1015" s="524">
        <f>AB1015/Q1015*100</f>
        <v>152.17391304347828</v>
      </c>
      <c r="AH1015" s="527"/>
      <c r="AI1015" s="544">
        <v>8500</v>
      </c>
      <c r="AJ1015" s="516">
        <f>W1015/R1015*100</f>
        <v>230.35362865221489</v>
      </c>
      <c r="AK1015" s="516">
        <f>AT1015/W1015*100</f>
        <v>65.465055571649046</v>
      </c>
      <c r="AL1015" s="516">
        <f>X1015/AT1015*100</f>
        <v>106.25</v>
      </c>
      <c r="AM1015" s="294"/>
      <c r="AO1015" t="b">
        <f t="shared" si="720"/>
        <v>0</v>
      </c>
      <c r="AQ1015" s="443">
        <v>5468.05</v>
      </c>
      <c r="AS1015" s="443"/>
      <c r="AT1015" s="617">
        <v>8000</v>
      </c>
      <c r="AU1015" s="478">
        <v>8000</v>
      </c>
      <c r="AV1015" s="638">
        <v>8500</v>
      </c>
      <c r="AW1015" s="638">
        <v>8500</v>
      </c>
      <c r="AX1015" s="655">
        <f t="shared" si="726"/>
        <v>150.80113100848257</v>
      </c>
      <c r="AY1015" s="655">
        <f t="shared" si="717"/>
        <v>22.217698451954089</v>
      </c>
      <c r="AZ1015" s="655">
        <f t="shared" si="727"/>
        <v>100</v>
      </c>
      <c r="BA1015" s="655">
        <f t="shared" si="718"/>
        <v>22.217698451954089</v>
      </c>
      <c r="BB1015" s="655">
        <f t="shared" si="724"/>
        <v>106.25</v>
      </c>
      <c r="BC1015" s="655">
        <f t="shared" si="724"/>
        <v>100</v>
      </c>
    </row>
    <row r="1016" spans="1:55" ht="12" customHeight="1">
      <c r="A1016" s="36"/>
      <c r="B1016" s="36"/>
      <c r="C1016" s="36"/>
      <c r="D1016" s="36"/>
      <c r="E1016" s="36"/>
      <c r="F1016" s="36"/>
      <c r="G1016" s="36"/>
      <c r="H1016" s="204">
        <v>38</v>
      </c>
      <c r="I1016" s="132">
        <v>911</v>
      </c>
      <c r="J1016" s="71">
        <v>3224</v>
      </c>
      <c r="K1016" s="40" t="s">
        <v>407</v>
      </c>
      <c r="L1016" s="309">
        <v>13501</v>
      </c>
      <c r="M1016" s="309">
        <f>13501/7.5345</f>
        <v>1791.8906364058662</v>
      </c>
      <c r="N1016" s="339">
        <v>47763</v>
      </c>
      <c r="O1016" s="339">
        <f t="shared" si="752"/>
        <v>6339.2394983077838</v>
      </c>
      <c r="P1016" s="294">
        <v>7900</v>
      </c>
      <c r="Q1016" s="269">
        <v>1600</v>
      </c>
      <c r="R1016" s="443">
        <v>679</v>
      </c>
      <c r="S1016" s="294"/>
      <c r="T1016" s="294"/>
      <c r="U1016" s="294"/>
      <c r="V1016" s="478">
        <v>2600</v>
      </c>
      <c r="W1016" s="478">
        <v>3000</v>
      </c>
      <c r="X1016" s="544">
        <v>6500.1</v>
      </c>
      <c r="Y1016" s="544"/>
      <c r="Z1016" s="541" t="b">
        <f t="shared" si="719"/>
        <v>0</v>
      </c>
      <c r="AA1016" s="527"/>
      <c r="AB1016" s="528">
        <v>8000</v>
      </c>
      <c r="AC1016" s="528">
        <v>8000</v>
      </c>
      <c r="AD1016" s="524">
        <f>O1016/M1016*100</f>
        <v>353.77379453373823</v>
      </c>
      <c r="AE1016" s="524">
        <f t="shared" si="751"/>
        <v>124.62062684504743</v>
      </c>
      <c r="AF1016" s="524">
        <f t="shared" si="751"/>
        <v>20.253164556962027</v>
      </c>
      <c r="AG1016" s="524">
        <f>AB1016/Q1016*100</f>
        <v>500</v>
      </c>
      <c r="AH1016" s="527"/>
      <c r="AI1016" s="544">
        <v>6500.1</v>
      </c>
      <c r="AJ1016" s="516">
        <f>W1016/R1016*100</f>
        <v>441.82621502209133</v>
      </c>
      <c r="AK1016" s="516">
        <f>AT1016/W1016*100</f>
        <v>183.33333333333331</v>
      </c>
      <c r="AL1016" s="516">
        <f>X1016/AT1016*100</f>
        <v>118.18363636363638</v>
      </c>
      <c r="AM1016" s="294"/>
      <c r="AO1016" t="b">
        <f t="shared" si="720"/>
        <v>0</v>
      </c>
      <c r="AQ1016" s="443">
        <v>4007.6</v>
      </c>
      <c r="AS1016" s="443"/>
      <c r="AT1016" s="617">
        <v>5500</v>
      </c>
      <c r="AU1016" s="478">
        <v>5500</v>
      </c>
      <c r="AV1016" s="638">
        <v>6500.1</v>
      </c>
      <c r="AW1016" s="638">
        <v>6500.1</v>
      </c>
      <c r="AX1016" s="655">
        <f t="shared" si="726"/>
        <v>810.01472754050064</v>
      </c>
      <c r="AY1016" s="655">
        <f t="shared" si="717"/>
        <v>174.60372890072668</v>
      </c>
      <c r="AZ1016" s="655">
        <f t="shared" si="727"/>
        <v>100</v>
      </c>
      <c r="BA1016" s="655">
        <f t="shared" si="718"/>
        <v>174.60372890072668</v>
      </c>
      <c r="BB1016" s="655">
        <f t="shared" si="724"/>
        <v>118.18363636363638</v>
      </c>
      <c r="BC1016" s="655">
        <f t="shared" si="724"/>
        <v>100</v>
      </c>
    </row>
    <row r="1017" spans="1:55" ht="12" customHeight="1">
      <c r="A1017" s="36"/>
      <c r="B1017" s="36"/>
      <c r="C1017" s="36"/>
      <c r="D1017" s="36"/>
      <c r="E1017" s="36"/>
      <c r="F1017" s="36"/>
      <c r="G1017" s="36"/>
      <c r="H1017" s="380" t="s">
        <v>408</v>
      </c>
      <c r="I1017" s="172">
        <v>911</v>
      </c>
      <c r="J1017" s="122">
        <v>3224</v>
      </c>
      <c r="K1017" s="123" t="s">
        <v>409</v>
      </c>
      <c r="L1017" s="322">
        <v>0</v>
      </c>
      <c r="M1017" s="322">
        <v>0</v>
      </c>
      <c r="N1017" s="346">
        <v>0</v>
      </c>
      <c r="O1017" s="339">
        <f t="shared" si="752"/>
        <v>0</v>
      </c>
      <c r="P1017" s="301">
        <v>0</v>
      </c>
      <c r="Q1017" s="301">
        <v>0</v>
      </c>
      <c r="R1017" s="458">
        <v>0</v>
      </c>
      <c r="S1017" s="301"/>
      <c r="T1017" s="301"/>
      <c r="U1017" s="301"/>
      <c r="V1017" s="480">
        <v>0</v>
      </c>
      <c r="W1017" s="480"/>
      <c r="X1017" s="548"/>
      <c r="Y1017" s="548"/>
      <c r="Z1017" s="541" t="b">
        <f t="shared" si="719"/>
        <v>0</v>
      </c>
      <c r="AA1017" s="533"/>
      <c r="AB1017" s="534">
        <v>0</v>
      </c>
      <c r="AC1017" s="534">
        <v>0</v>
      </c>
      <c r="AD1017" s="524"/>
      <c r="AE1017" s="524"/>
      <c r="AF1017" s="524"/>
      <c r="AG1017" s="524"/>
      <c r="AH1017" s="533"/>
      <c r="AI1017" s="548"/>
      <c r="AJ1017" s="516"/>
      <c r="AK1017" s="516"/>
      <c r="AL1017" s="516"/>
      <c r="AM1017" s="301"/>
      <c r="AO1017" t="b">
        <f t="shared" si="720"/>
        <v>0</v>
      </c>
      <c r="AQ1017" s="458"/>
      <c r="AS1017" s="458"/>
      <c r="AT1017" s="618"/>
      <c r="AU1017" s="480"/>
      <c r="AV1017" s="641"/>
      <c r="AW1017" s="641"/>
      <c r="AX1017" s="655" t="str">
        <f t="shared" si="726"/>
        <v/>
      </c>
      <c r="AY1017" s="655" t="str">
        <f t="shared" si="717"/>
        <v/>
      </c>
      <c r="AZ1017" s="655" t="str">
        <f t="shared" si="727"/>
        <v/>
      </c>
      <c r="BA1017" s="655" t="str">
        <f t="shared" si="718"/>
        <v/>
      </c>
      <c r="BB1017" s="655" t="str">
        <f t="shared" si="724"/>
        <v/>
      </c>
      <c r="BC1017" s="655" t="str">
        <f t="shared" si="724"/>
        <v/>
      </c>
    </row>
    <row r="1018" spans="1:55" ht="12" customHeight="1">
      <c r="A1018" s="36"/>
      <c r="B1018" s="36"/>
      <c r="C1018" s="36"/>
      <c r="D1018" s="36"/>
      <c r="E1018" s="36"/>
      <c r="F1018" s="36"/>
      <c r="G1018" s="36"/>
      <c r="H1018" s="380" t="s">
        <v>410</v>
      </c>
      <c r="I1018" s="172">
        <v>911</v>
      </c>
      <c r="J1018" s="122">
        <v>3225</v>
      </c>
      <c r="K1018" s="123" t="s">
        <v>190</v>
      </c>
      <c r="L1018" s="322">
        <v>35115</v>
      </c>
      <c r="M1018" s="322">
        <f>35115/7.5345</f>
        <v>4660.5614174795937</v>
      </c>
      <c r="N1018" s="346">
        <v>7595</v>
      </c>
      <c r="O1018" s="339">
        <f t="shared" si="752"/>
        <v>1008.0297299090848</v>
      </c>
      <c r="P1018" s="301">
        <v>4000</v>
      </c>
      <c r="Q1018" s="371">
        <v>8400</v>
      </c>
      <c r="R1018" s="458">
        <v>8160</v>
      </c>
      <c r="S1018" s="301"/>
      <c r="T1018" s="301"/>
      <c r="U1018" s="301"/>
      <c r="V1018" s="480">
        <v>11760</v>
      </c>
      <c r="W1018" s="480">
        <v>13000</v>
      </c>
      <c r="X1018" s="548">
        <v>6800.2</v>
      </c>
      <c r="Y1018" s="548"/>
      <c r="Z1018" s="541" t="b">
        <f t="shared" si="719"/>
        <v>0</v>
      </c>
      <c r="AA1018" s="533"/>
      <c r="AB1018" s="534">
        <v>4000</v>
      </c>
      <c r="AC1018" s="534">
        <v>4000</v>
      </c>
      <c r="AD1018" s="524">
        <f>O1018/M1018*100</f>
        <v>21.628933504200486</v>
      </c>
      <c r="AE1018" s="524">
        <f>P1018/O1018*100</f>
        <v>396.81369321922318</v>
      </c>
      <c r="AF1018" s="524">
        <f>Q1018/P1018*100</f>
        <v>210</v>
      </c>
      <c r="AG1018" s="524">
        <f>AB1018/Q1018*100</f>
        <v>47.619047619047613</v>
      </c>
      <c r="AH1018" s="533"/>
      <c r="AI1018" s="548">
        <v>6800.2</v>
      </c>
      <c r="AJ1018" s="516">
        <f>W1018/R1018*100</f>
        <v>159.31372549019608</v>
      </c>
      <c r="AK1018" s="516">
        <f>AT1018/W1018*100</f>
        <v>57.692307692307686</v>
      </c>
      <c r="AL1018" s="516">
        <f>X1018/AT1018*100</f>
        <v>90.669333333333341</v>
      </c>
      <c r="AM1018" s="301"/>
      <c r="AO1018" t="b">
        <f t="shared" si="720"/>
        <v>0</v>
      </c>
      <c r="AQ1018" s="458">
        <v>13746</v>
      </c>
      <c r="AS1018" s="458"/>
      <c r="AT1018" s="618">
        <v>7500</v>
      </c>
      <c r="AU1018" s="480">
        <v>7500</v>
      </c>
      <c r="AV1018" s="641">
        <v>6800.2</v>
      </c>
      <c r="AW1018" s="641">
        <v>6800.2</v>
      </c>
      <c r="AX1018" s="655">
        <f t="shared" si="726"/>
        <v>91.911764705882348</v>
      </c>
      <c r="AY1018" s="655" t="str">
        <f t="shared" si="717"/>
        <v/>
      </c>
      <c r="AZ1018" s="655">
        <f t="shared" si="727"/>
        <v>100</v>
      </c>
      <c r="BA1018" s="655" t="str">
        <f t="shared" si="718"/>
        <v/>
      </c>
      <c r="BB1018" s="655">
        <f t="shared" si="724"/>
        <v>90.669333333333341</v>
      </c>
      <c r="BC1018" s="655">
        <f t="shared" si="724"/>
        <v>100</v>
      </c>
    </row>
    <row r="1019" spans="1:55" ht="12" customHeight="1">
      <c r="A1019" s="52"/>
      <c r="B1019" s="52"/>
      <c r="C1019" s="52"/>
      <c r="D1019" s="52"/>
      <c r="E1019" s="52"/>
      <c r="F1019" s="52"/>
      <c r="G1019" s="52"/>
      <c r="H1019" s="380"/>
      <c r="I1019" s="192"/>
      <c r="J1019" s="85"/>
      <c r="K1019" s="83"/>
      <c r="L1019" s="325"/>
      <c r="M1019" s="325"/>
      <c r="N1019" s="349"/>
      <c r="O1019" s="349"/>
      <c r="P1019" s="304"/>
      <c r="Q1019" s="304"/>
      <c r="R1019" s="448"/>
      <c r="S1019" s="304"/>
      <c r="T1019" s="304"/>
      <c r="U1019" s="304"/>
      <c r="V1019" s="489"/>
      <c r="W1019" s="489"/>
      <c r="X1019" s="567"/>
      <c r="Y1019" s="567"/>
      <c r="Z1019" s="541" t="b">
        <f t="shared" si="719"/>
        <v>0</v>
      </c>
      <c r="AA1019" s="557"/>
      <c r="AB1019" s="558"/>
      <c r="AC1019" s="558"/>
      <c r="AD1019" s="524"/>
      <c r="AE1019" s="524"/>
      <c r="AF1019" s="524"/>
      <c r="AG1019" s="524"/>
      <c r="AH1019" s="557"/>
      <c r="AI1019" s="567"/>
      <c r="AJ1019" s="516"/>
      <c r="AK1019" s="516"/>
      <c r="AL1019" s="516"/>
      <c r="AM1019" s="304"/>
      <c r="AO1019" t="b">
        <f t="shared" si="720"/>
        <v>0</v>
      </c>
      <c r="AQ1019" s="448"/>
      <c r="AS1019" s="448"/>
      <c r="AT1019" s="615"/>
      <c r="AU1019" s="489"/>
      <c r="AV1019" s="647"/>
      <c r="AW1019" s="647"/>
      <c r="AX1019" s="655" t="str">
        <f t="shared" si="726"/>
        <v/>
      </c>
      <c r="AY1019" s="655" t="str">
        <f t="shared" si="717"/>
        <v/>
      </c>
      <c r="AZ1019" s="655" t="str">
        <f t="shared" si="727"/>
        <v/>
      </c>
      <c r="BA1019" s="655" t="str">
        <f t="shared" si="718"/>
        <v/>
      </c>
      <c r="BB1019" s="655" t="str">
        <f t="shared" si="724"/>
        <v/>
      </c>
      <c r="BC1019" s="655" t="str">
        <f t="shared" si="724"/>
        <v/>
      </c>
    </row>
    <row r="1020" spans="1:55" ht="12" customHeight="1">
      <c r="A1020" s="56"/>
      <c r="B1020" s="56"/>
      <c r="C1020" s="56"/>
      <c r="D1020" s="56"/>
      <c r="E1020" s="56"/>
      <c r="F1020" s="56"/>
      <c r="G1020" s="56"/>
      <c r="H1020" s="406"/>
      <c r="I1020" s="193"/>
      <c r="J1020" s="189">
        <v>323</v>
      </c>
      <c r="K1020" s="190" t="s">
        <v>191</v>
      </c>
      <c r="L1020" s="325">
        <f t="shared" ref="L1020:S1020" si="753">L1021+L1022+L1023+L1024+L1025+L1026+L1027+L1028+L1029</f>
        <v>167537</v>
      </c>
      <c r="M1020" s="325">
        <f t="shared" si="753"/>
        <v>22235.981153361205</v>
      </c>
      <c r="N1020" s="349">
        <f t="shared" si="753"/>
        <v>300061</v>
      </c>
      <c r="O1020" s="349">
        <f t="shared" si="753"/>
        <v>39824.93861570111</v>
      </c>
      <c r="P1020" s="304">
        <f t="shared" si="753"/>
        <v>29100</v>
      </c>
      <c r="Q1020" s="304">
        <f t="shared" si="753"/>
        <v>22700</v>
      </c>
      <c r="R1020" s="448">
        <f t="shared" si="753"/>
        <v>23667</v>
      </c>
      <c r="S1020" s="304">
        <f t="shared" si="753"/>
        <v>0</v>
      </c>
      <c r="T1020" s="304"/>
      <c r="U1020" s="304"/>
      <c r="V1020" s="485">
        <f>V1021+V1022+V1023+V1024+V1025+V1026+V1027+V1028+V1029</f>
        <v>30420</v>
      </c>
      <c r="W1020" s="485">
        <f>W1021+W1022+W1023+W1024+W1025+W1026+W1027+W1028+W1029</f>
        <v>30419.919999999998</v>
      </c>
      <c r="X1020" s="557">
        <f>X1021+X1022+X1023+X1024+X1025+X1026+X1027+X1028+X1029</f>
        <v>35450.800000000003</v>
      </c>
      <c r="Y1020" s="557">
        <f>Y1021+Y1022+Y1023+Y1024+Y1025+Y1026+Y1027+Y1028+Y1029</f>
        <v>0</v>
      </c>
      <c r="Z1020" s="541" t="b">
        <f t="shared" si="719"/>
        <v>1</v>
      </c>
      <c r="AA1020" s="557"/>
      <c r="AB1020" s="558">
        <f>AB1021+AB1022+AB1023+AB1024+AB1025+AB1026+AB1027+AB1028+AB1029</f>
        <v>29700</v>
      </c>
      <c r="AC1020" s="558">
        <f>AC1021+AC1022+AC1023+AC1024+AC1025+AC1026+AC1027+AC1028+AC1029</f>
        <v>29700</v>
      </c>
      <c r="AD1020" s="524">
        <f>O1020/M1020*100</f>
        <v>179.10133283991001</v>
      </c>
      <c r="AE1020" s="524">
        <f t="shared" ref="AE1020:AF1022" si="754">P1020/O1020*100</f>
        <v>73.069792475529965</v>
      </c>
      <c r="AF1020" s="524">
        <f t="shared" si="754"/>
        <v>78.006872852233684</v>
      </c>
      <c r="AG1020" s="524">
        <f>AB1020/Q1020*100</f>
        <v>130.83700440528634</v>
      </c>
      <c r="AH1020" s="557"/>
      <c r="AI1020" s="557">
        <v>35450.800000000003</v>
      </c>
      <c r="AJ1020" s="516">
        <f>W1020/R1020*100</f>
        <v>128.53306291460683</v>
      </c>
      <c r="AK1020" s="516">
        <f>AT1020/W1020*100</f>
        <v>109.10613834618894</v>
      </c>
      <c r="AL1020" s="516">
        <f>X1020/AT1020*100</f>
        <v>106.81169026815307</v>
      </c>
      <c r="AM1020" s="304"/>
      <c r="AO1020" t="b">
        <f t="shared" si="720"/>
        <v>1</v>
      </c>
      <c r="AP1020" s="496">
        <f>AP1021+AP1022+AP1023+AP1024+AP1025+AP1026+AP1027+AP1028+AP1029</f>
        <v>0</v>
      </c>
      <c r="AQ1020" s="448">
        <v>36007.33</v>
      </c>
      <c r="AR1020" s="496">
        <f>AR1021+AR1022+AR1023+AR1024+AR1025+AR1026+AR1027+AR1028+AR1029</f>
        <v>0</v>
      </c>
      <c r="AS1020" s="448"/>
      <c r="AT1020" s="610">
        <f>AT1021+AT1022+AT1023+AT1024+AT1025+AT1026+AT1027+AT1028+AT1029</f>
        <v>33190</v>
      </c>
      <c r="AU1020" s="485">
        <f>AU1021+AU1022+AU1023+AU1024+AU1025+AU1026+AU1027+AU1028+AU1029</f>
        <v>33190</v>
      </c>
      <c r="AV1020" s="647">
        <v>35450.800000000003</v>
      </c>
      <c r="AW1020" s="647">
        <v>35450.800000000003</v>
      </c>
      <c r="AX1020" s="655">
        <f t="shared" si="726"/>
        <v>140.23746144420502</v>
      </c>
      <c r="AY1020" s="655">
        <f t="shared" si="717"/>
        <v>1645.5294549276641</v>
      </c>
      <c r="AZ1020" s="655">
        <f t="shared" si="727"/>
        <v>100</v>
      </c>
      <c r="BA1020" s="655">
        <f t="shared" si="718"/>
        <v>1645.5294549276641</v>
      </c>
      <c r="BB1020" s="655">
        <f t="shared" si="724"/>
        <v>106.81169026815307</v>
      </c>
      <c r="BC1020" s="655">
        <f t="shared" si="724"/>
        <v>100</v>
      </c>
    </row>
    <row r="1021" spans="1:55" ht="12" customHeight="1">
      <c r="A1021" s="36"/>
      <c r="B1021" s="36"/>
      <c r="C1021" s="36"/>
      <c r="D1021" s="36"/>
      <c r="E1021" s="36"/>
      <c r="F1021" s="36"/>
      <c r="G1021" s="36"/>
      <c r="H1021" s="380"/>
      <c r="I1021" s="172">
        <v>911</v>
      </c>
      <c r="J1021" s="122">
        <v>3231</v>
      </c>
      <c r="K1021" s="123" t="s">
        <v>601</v>
      </c>
      <c r="L1021" s="322">
        <v>13832</v>
      </c>
      <c r="M1021" s="322">
        <f>13832/7.5345</f>
        <v>1835.8218859911074</v>
      </c>
      <c r="N1021" s="346">
        <v>14591</v>
      </c>
      <c r="O1021" s="346">
        <f>N1021/7.5345</f>
        <v>1936.5584975778086</v>
      </c>
      <c r="P1021" s="301">
        <v>3600</v>
      </c>
      <c r="Q1021" s="301">
        <v>3600</v>
      </c>
      <c r="R1021" s="458">
        <v>3471</v>
      </c>
      <c r="S1021" s="301"/>
      <c r="T1021" s="301"/>
      <c r="U1021" s="301"/>
      <c r="V1021" s="480">
        <v>4020</v>
      </c>
      <c r="W1021" s="480">
        <v>4020</v>
      </c>
      <c r="X1021" s="548">
        <v>4600.1000000000004</v>
      </c>
      <c r="Y1021" s="548"/>
      <c r="Z1021" s="541" t="b">
        <f t="shared" si="719"/>
        <v>0</v>
      </c>
      <c r="AA1021" s="533"/>
      <c r="AB1021" s="534">
        <v>3700</v>
      </c>
      <c r="AC1021" s="534">
        <v>3700</v>
      </c>
      <c r="AD1021" s="524">
        <f>O1021/M1021*100</f>
        <v>105.48727588201272</v>
      </c>
      <c r="AE1021" s="524">
        <f t="shared" si="754"/>
        <v>185.89678568980881</v>
      </c>
      <c r="AF1021" s="524">
        <f t="shared" si="754"/>
        <v>100</v>
      </c>
      <c r="AG1021" s="524">
        <f>AB1021/Q1021*100</f>
        <v>102.77777777777777</v>
      </c>
      <c r="AH1021" s="533"/>
      <c r="AI1021" s="548">
        <v>4600.1000000000004</v>
      </c>
      <c r="AJ1021" s="516">
        <f>W1021/R1021*100</f>
        <v>115.81676750216077</v>
      </c>
      <c r="AK1021" s="516">
        <f>AT1021/W1021*100</f>
        <v>111.94029850746267</v>
      </c>
      <c r="AL1021" s="516">
        <f>X1021/AT1021*100</f>
        <v>102.22444444444446</v>
      </c>
      <c r="AM1021" s="301"/>
      <c r="AO1021" t="b">
        <f t="shared" si="720"/>
        <v>0</v>
      </c>
      <c r="AQ1021" s="458">
        <v>3149.99</v>
      </c>
      <c r="AS1021" s="458"/>
      <c r="AT1021" s="618">
        <v>4500</v>
      </c>
      <c r="AU1021" s="480">
        <v>4500</v>
      </c>
      <c r="AV1021" s="641">
        <v>4600.1000000000004</v>
      </c>
      <c r="AW1021" s="641">
        <v>4600.1000000000004</v>
      </c>
      <c r="AX1021" s="655">
        <f t="shared" si="726"/>
        <v>129.6456352636128</v>
      </c>
      <c r="AY1021" s="655">
        <f t="shared" si="717"/>
        <v>70.943788871284312</v>
      </c>
      <c r="AZ1021" s="655">
        <f t="shared" si="727"/>
        <v>100</v>
      </c>
      <c r="BA1021" s="655">
        <f t="shared" si="718"/>
        <v>70.943788871284312</v>
      </c>
      <c r="BB1021" s="655">
        <f t="shared" si="724"/>
        <v>102.22444444444446</v>
      </c>
      <c r="BC1021" s="655">
        <f t="shared" si="724"/>
        <v>100</v>
      </c>
    </row>
    <row r="1022" spans="1:55" ht="12" customHeight="1">
      <c r="A1022" s="36"/>
      <c r="B1022" s="36"/>
      <c r="C1022" s="36"/>
      <c r="D1022" s="36"/>
      <c r="E1022" s="36"/>
      <c r="F1022" s="36"/>
      <c r="G1022" s="36"/>
      <c r="H1022" s="204">
        <v>39</v>
      </c>
      <c r="I1022" s="132">
        <v>911</v>
      </c>
      <c r="J1022" s="241">
        <v>3232</v>
      </c>
      <c r="K1022" s="40" t="s">
        <v>411</v>
      </c>
      <c r="L1022" s="309">
        <v>78000</v>
      </c>
      <c r="M1022" s="309">
        <f>78000/7.5345</f>
        <v>10352.379056340831</v>
      </c>
      <c r="N1022" s="339">
        <v>213696</v>
      </c>
      <c r="O1022" s="346">
        <f t="shared" ref="O1022:O1029" si="755">N1022/7.5345</f>
        <v>28362.333266971928</v>
      </c>
      <c r="P1022" s="294">
        <v>12000</v>
      </c>
      <c r="Q1022" s="269">
        <v>4200</v>
      </c>
      <c r="R1022" s="443">
        <v>5158</v>
      </c>
      <c r="S1022" s="294"/>
      <c r="T1022" s="294"/>
      <c r="U1022" s="294"/>
      <c r="V1022" s="478">
        <v>6680</v>
      </c>
      <c r="W1022" s="478">
        <v>6680</v>
      </c>
      <c r="X1022" s="544">
        <v>7900.2</v>
      </c>
      <c r="Y1022" s="544"/>
      <c r="Z1022" s="541" t="b">
        <f t="shared" si="719"/>
        <v>0</v>
      </c>
      <c r="AA1022" s="527"/>
      <c r="AB1022" s="528">
        <v>12000</v>
      </c>
      <c r="AC1022" s="528">
        <v>12000</v>
      </c>
      <c r="AD1022" s="524">
        <f>O1022/M1022*100</f>
        <v>273.96923076923076</v>
      </c>
      <c r="AE1022" s="524">
        <f t="shared" si="754"/>
        <v>42.309636118598384</v>
      </c>
      <c r="AF1022" s="524">
        <f t="shared" si="754"/>
        <v>35</v>
      </c>
      <c r="AG1022" s="524">
        <f>AB1022/Q1022*100</f>
        <v>285.71428571428572</v>
      </c>
      <c r="AH1022" s="527"/>
      <c r="AI1022" s="544">
        <v>7900.2</v>
      </c>
      <c r="AJ1022" s="516">
        <f>W1022/R1022*100</f>
        <v>129.50756107018225</v>
      </c>
      <c r="AK1022" s="516">
        <f>AT1022/W1022*100</f>
        <v>116.76646706586826</v>
      </c>
      <c r="AL1022" s="516">
        <f>X1022/AT1022*100</f>
        <v>101.28461538461538</v>
      </c>
      <c r="AM1022" s="294"/>
      <c r="AO1022" t="b">
        <f t="shared" si="720"/>
        <v>0</v>
      </c>
      <c r="AQ1022" s="443">
        <v>6297.5</v>
      </c>
      <c r="AS1022" s="443"/>
      <c r="AT1022" s="617">
        <v>7800</v>
      </c>
      <c r="AU1022" s="478">
        <v>7800</v>
      </c>
      <c r="AV1022" s="638">
        <v>7900.2</v>
      </c>
      <c r="AW1022" s="638">
        <v>7900.2</v>
      </c>
      <c r="AX1022" s="655">
        <f t="shared" si="726"/>
        <v>151.22140364482357</v>
      </c>
      <c r="AY1022" s="655">
        <f t="shared" si="717"/>
        <v>1331.4670035164384</v>
      </c>
      <c r="AZ1022" s="655">
        <f t="shared" si="727"/>
        <v>100</v>
      </c>
      <c r="BA1022" s="655">
        <f t="shared" si="718"/>
        <v>1331.4670035164384</v>
      </c>
      <c r="BB1022" s="655">
        <f t="shared" si="724"/>
        <v>101.28461538461538</v>
      </c>
      <c r="BC1022" s="655">
        <f t="shared" si="724"/>
        <v>100</v>
      </c>
    </row>
    <row r="1023" spans="1:55" ht="12" customHeight="1">
      <c r="A1023" s="36"/>
      <c r="B1023" s="36"/>
      <c r="C1023" s="36"/>
      <c r="D1023" s="36"/>
      <c r="E1023" s="36"/>
      <c r="F1023" s="36"/>
      <c r="G1023" s="36"/>
      <c r="H1023" s="204"/>
      <c r="I1023" s="132">
        <v>911</v>
      </c>
      <c r="J1023" s="241">
        <v>3232</v>
      </c>
      <c r="K1023" s="40" t="s">
        <v>715</v>
      </c>
      <c r="L1023" s="309"/>
      <c r="M1023" s="309"/>
      <c r="N1023" s="339">
        <v>0</v>
      </c>
      <c r="O1023" s="346">
        <f t="shared" si="755"/>
        <v>0</v>
      </c>
      <c r="P1023" s="294"/>
      <c r="Q1023" s="294"/>
      <c r="R1023" s="443"/>
      <c r="S1023" s="294"/>
      <c r="T1023" s="294"/>
      <c r="U1023" s="294"/>
      <c r="V1023" s="478"/>
      <c r="W1023" s="478"/>
      <c r="X1023" s="544"/>
      <c r="Y1023" s="544"/>
      <c r="Z1023" s="541" t="b">
        <f t="shared" si="719"/>
        <v>0</v>
      </c>
      <c r="AA1023" s="527"/>
      <c r="AB1023" s="528"/>
      <c r="AC1023" s="528"/>
      <c r="AD1023" s="524"/>
      <c r="AE1023" s="524"/>
      <c r="AF1023" s="524"/>
      <c r="AG1023" s="524"/>
      <c r="AH1023" s="527"/>
      <c r="AI1023" s="544"/>
      <c r="AJ1023" s="516"/>
      <c r="AK1023" s="516"/>
      <c r="AL1023" s="516"/>
      <c r="AM1023" s="294"/>
      <c r="AO1023" t="b">
        <f t="shared" si="720"/>
        <v>0</v>
      </c>
      <c r="AQ1023" s="443"/>
      <c r="AS1023" s="443"/>
      <c r="AT1023" s="617"/>
      <c r="AU1023" s="478"/>
      <c r="AV1023" s="638"/>
      <c r="AW1023" s="638"/>
      <c r="AX1023" s="655" t="str">
        <f t="shared" si="726"/>
        <v/>
      </c>
      <c r="AY1023" s="655" t="str">
        <f t="shared" ref="AY1023:AY1086" si="756">IF(AND(ISNUMBER(AT1023), ISNUMBER(AQ1028), AQ1028&lt;&gt;0), (AT1023/AQ1028)*100, "")</f>
        <v/>
      </c>
      <c r="AZ1023" s="655" t="str">
        <f t="shared" si="727"/>
        <v/>
      </c>
      <c r="BA1023" s="655" t="str">
        <f t="shared" ref="BA1023:BA1086" si="757">IF(AND(ISNUMBER(AU1023), ISNUMBER(AQ1028), AQ1028&lt;&gt;0), (AU1023/AQ1028)*100, "")</f>
        <v/>
      </c>
      <c r="BB1023" s="655" t="str">
        <f t="shared" si="724"/>
        <v/>
      </c>
      <c r="BC1023" s="655" t="str">
        <f t="shared" si="724"/>
        <v/>
      </c>
    </row>
    <row r="1024" spans="1:55" ht="12" customHeight="1">
      <c r="A1024" s="36"/>
      <c r="B1024" s="36"/>
      <c r="C1024" s="36"/>
      <c r="D1024" s="36"/>
      <c r="E1024" s="36"/>
      <c r="F1024" s="36"/>
      <c r="G1024" s="36"/>
      <c r="H1024" s="204"/>
      <c r="I1024" s="132">
        <v>911</v>
      </c>
      <c r="J1024" s="241">
        <v>3233</v>
      </c>
      <c r="K1024" s="40" t="s">
        <v>602</v>
      </c>
      <c r="L1024" s="309">
        <v>0</v>
      </c>
      <c r="M1024" s="309">
        <v>0</v>
      </c>
      <c r="N1024" s="339">
        <v>0</v>
      </c>
      <c r="O1024" s="346">
        <f t="shared" si="755"/>
        <v>0</v>
      </c>
      <c r="P1024" s="294">
        <v>900</v>
      </c>
      <c r="Q1024" s="269">
        <v>1000</v>
      </c>
      <c r="R1024" s="443">
        <v>0</v>
      </c>
      <c r="S1024" s="294"/>
      <c r="T1024" s="294"/>
      <c r="U1024" s="294"/>
      <c r="V1024" s="478">
        <v>1230</v>
      </c>
      <c r="W1024" s="478">
        <v>1230</v>
      </c>
      <c r="X1024" s="544">
        <v>1350.2</v>
      </c>
      <c r="Y1024" s="544"/>
      <c r="Z1024" s="541" t="b">
        <f t="shared" ref="Z1024:Z1087" si="758">__xlfn.ISFORMULA(R1024)</f>
        <v>0</v>
      </c>
      <c r="AA1024" s="527"/>
      <c r="AB1024" s="528">
        <v>1000</v>
      </c>
      <c r="AC1024" s="528">
        <v>1000</v>
      </c>
      <c r="AD1024" s="524"/>
      <c r="AE1024" s="524"/>
      <c r="AF1024" s="524"/>
      <c r="AG1024" s="524"/>
      <c r="AH1024" s="527"/>
      <c r="AI1024" s="544">
        <v>1350.2</v>
      </c>
      <c r="AJ1024" s="516"/>
      <c r="AK1024" s="516">
        <f>AT1024/W1024*100</f>
        <v>105.6910569105691</v>
      </c>
      <c r="AL1024" s="516">
        <f>X1024/AT1024*100</f>
        <v>103.86153846153847</v>
      </c>
      <c r="AM1024" s="294"/>
      <c r="AO1024" t="b">
        <f t="shared" ref="AO1024:AO1087" si="759">__xlfn.ISFORMULA(AT1024)</f>
        <v>0</v>
      </c>
      <c r="AQ1024" s="443"/>
      <c r="AS1024" s="443"/>
      <c r="AT1024" s="617">
        <v>1300</v>
      </c>
      <c r="AU1024" s="478">
        <v>1300</v>
      </c>
      <c r="AV1024" s="638">
        <v>1350.2</v>
      </c>
      <c r="AW1024" s="638">
        <v>1350.2</v>
      </c>
      <c r="AX1024" s="655" t="str">
        <f t="shared" si="726"/>
        <v/>
      </c>
      <c r="AY1024" s="655">
        <f t="shared" si="756"/>
        <v>9.4952264574990011</v>
      </c>
      <c r="AZ1024" s="655">
        <f t="shared" si="727"/>
        <v>100</v>
      </c>
      <c r="BA1024" s="655">
        <f t="shared" si="757"/>
        <v>9.4952264574990011</v>
      </c>
      <c r="BB1024" s="655">
        <f t="shared" si="724"/>
        <v>103.86153846153847</v>
      </c>
      <c r="BC1024" s="655">
        <f t="shared" si="724"/>
        <v>100</v>
      </c>
    </row>
    <row r="1025" spans="1:55" s="198" customFormat="1" ht="12" customHeight="1">
      <c r="A1025" s="36"/>
      <c r="B1025" s="36"/>
      <c r="C1025" s="36"/>
      <c r="D1025" s="36"/>
      <c r="E1025" s="36"/>
      <c r="F1025" s="36"/>
      <c r="G1025" s="36"/>
      <c r="H1025" s="204"/>
      <c r="I1025" s="132">
        <v>911</v>
      </c>
      <c r="J1025" s="241">
        <v>3234</v>
      </c>
      <c r="K1025" s="40" t="s">
        <v>117</v>
      </c>
      <c r="L1025" s="309">
        <v>9855</v>
      </c>
      <c r="M1025" s="309">
        <f>9855/7.5345</f>
        <v>1307.9832769261398</v>
      </c>
      <c r="N1025" s="339">
        <v>11660</v>
      </c>
      <c r="O1025" s="346">
        <f t="shared" si="755"/>
        <v>1547.5479461145396</v>
      </c>
      <c r="P1025" s="294">
        <v>2500</v>
      </c>
      <c r="Q1025" s="294">
        <v>2500</v>
      </c>
      <c r="R1025" s="443">
        <v>1688</v>
      </c>
      <c r="S1025" s="294"/>
      <c r="T1025" s="294"/>
      <c r="U1025" s="294"/>
      <c r="V1025" s="478">
        <v>4520</v>
      </c>
      <c r="W1025" s="478">
        <v>4520</v>
      </c>
      <c r="X1025" s="544">
        <v>3600.2</v>
      </c>
      <c r="Y1025" s="544"/>
      <c r="Z1025" s="541" t="b">
        <f t="shared" si="758"/>
        <v>0</v>
      </c>
      <c r="AA1025" s="527"/>
      <c r="AB1025" s="528">
        <v>2500</v>
      </c>
      <c r="AC1025" s="528">
        <v>2500</v>
      </c>
      <c r="AD1025" s="524">
        <f>O1025/M1025*100</f>
        <v>118.31557584982242</v>
      </c>
      <c r="AE1025" s="524">
        <f>P1025/O1025*100</f>
        <v>161.54588336192111</v>
      </c>
      <c r="AF1025" s="524">
        <f>Q1025/P1025*100</f>
        <v>100</v>
      </c>
      <c r="AG1025" s="524">
        <f>AB1025/Q1025*100</f>
        <v>100</v>
      </c>
      <c r="AH1025" s="527"/>
      <c r="AI1025" s="544">
        <v>3600.2</v>
      </c>
      <c r="AJ1025" s="516">
        <f>W1025/R1025*100</f>
        <v>267.7725118483412</v>
      </c>
      <c r="AK1025" s="516">
        <f>AT1025/W1025*100</f>
        <v>77.43362831858407</v>
      </c>
      <c r="AL1025" s="516">
        <f>X1025/AT1025*100</f>
        <v>102.86285714285714</v>
      </c>
      <c r="AM1025" s="294"/>
      <c r="AO1025" t="b">
        <f t="shared" si="759"/>
        <v>0</v>
      </c>
      <c r="AQ1025" s="443">
        <v>2016.98</v>
      </c>
      <c r="AS1025" s="443"/>
      <c r="AT1025" s="617">
        <v>3500</v>
      </c>
      <c r="AU1025" s="478">
        <v>3500</v>
      </c>
      <c r="AV1025" s="638">
        <v>3600.2</v>
      </c>
      <c r="AW1025" s="638">
        <v>3600.2</v>
      </c>
      <c r="AX1025" s="655">
        <f t="shared" si="726"/>
        <v>207.34597156398104</v>
      </c>
      <c r="AY1025" s="655" t="str">
        <f t="shared" si="756"/>
        <v/>
      </c>
      <c r="AZ1025" s="655">
        <f t="shared" si="727"/>
        <v>100</v>
      </c>
      <c r="BA1025" s="655" t="str">
        <f t="shared" si="757"/>
        <v/>
      </c>
      <c r="BB1025" s="655">
        <f t="shared" si="724"/>
        <v>102.86285714285714</v>
      </c>
      <c r="BC1025" s="655">
        <f t="shared" si="724"/>
        <v>100</v>
      </c>
    </row>
    <row r="1026" spans="1:55" s="198" customFormat="1" ht="12" customHeight="1">
      <c r="A1026" s="66"/>
      <c r="B1026" s="66"/>
      <c r="C1026" s="66"/>
      <c r="D1026" s="66"/>
      <c r="E1026" s="66"/>
      <c r="F1026" s="66"/>
      <c r="G1026" s="66"/>
      <c r="H1026" s="407" t="s">
        <v>461</v>
      </c>
      <c r="I1026" s="132">
        <v>911</v>
      </c>
      <c r="J1026" s="40">
        <v>3236</v>
      </c>
      <c r="K1026" s="71" t="s">
        <v>462</v>
      </c>
      <c r="L1026" s="309">
        <v>36242</v>
      </c>
      <c r="M1026" s="309">
        <f>36242/7.5345</f>
        <v>4810.1400225628768</v>
      </c>
      <c r="N1026" s="339">
        <v>38422</v>
      </c>
      <c r="O1026" s="346">
        <f t="shared" si="755"/>
        <v>5099.475744906762</v>
      </c>
      <c r="P1026" s="294">
        <v>6000</v>
      </c>
      <c r="Q1026" s="294">
        <v>6000</v>
      </c>
      <c r="R1026" s="443">
        <v>6390</v>
      </c>
      <c r="S1026" s="294"/>
      <c r="T1026" s="294"/>
      <c r="U1026" s="294"/>
      <c r="V1026" s="478">
        <v>6900</v>
      </c>
      <c r="W1026" s="478">
        <v>6900</v>
      </c>
      <c r="X1026" s="544">
        <v>8200.1</v>
      </c>
      <c r="Y1026" s="544"/>
      <c r="Z1026" s="541" t="b">
        <f t="shared" si="758"/>
        <v>0</v>
      </c>
      <c r="AA1026" s="527"/>
      <c r="AB1026" s="528">
        <v>6000</v>
      </c>
      <c r="AC1026" s="528">
        <v>6000</v>
      </c>
      <c r="AD1026" s="524">
        <f>O1026/M1026*100</f>
        <v>106.01512057833453</v>
      </c>
      <c r="AE1026" s="524">
        <f>P1026/O1026*100</f>
        <v>117.65915360991099</v>
      </c>
      <c r="AF1026" s="524">
        <f>Q1026/P1026*100</f>
        <v>100</v>
      </c>
      <c r="AG1026" s="524">
        <f>AB1026/Q1026*100</f>
        <v>100</v>
      </c>
      <c r="AH1026" s="527"/>
      <c r="AI1026" s="544">
        <v>8200.1</v>
      </c>
      <c r="AJ1026" s="516">
        <f>W1026/R1026*100</f>
        <v>107.98122065727699</v>
      </c>
      <c r="AK1026" s="516">
        <f>AT1026/W1026*100</f>
        <v>116.81159420289855</v>
      </c>
      <c r="AL1026" s="516">
        <f>X1026/AT1026*100</f>
        <v>101.73821339950373</v>
      </c>
      <c r="AM1026" s="294"/>
      <c r="AO1026" t="b">
        <f t="shared" si="759"/>
        <v>0</v>
      </c>
      <c r="AQ1026" s="443">
        <v>6343.05</v>
      </c>
      <c r="AS1026" s="443"/>
      <c r="AT1026" s="617">
        <v>8060</v>
      </c>
      <c r="AU1026" s="478">
        <v>8060</v>
      </c>
      <c r="AV1026" s="638">
        <v>8200.1</v>
      </c>
      <c r="AW1026" s="638">
        <v>8200.1</v>
      </c>
      <c r="AX1026" s="655">
        <f t="shared" si="726"/>
        <v>126.13458528951486</v>
      </c>
      <c r="AY1026" s="655" t="str">
        <f t="shared" si="756"/>
        <v/>
      </c>
      <c r="AZ1026" s="655">
        <f t="shared" si="727"/>
        <v>100</v>
      </c>
      <c r="BA1026" s="655" t="str">
        <f t="shared" si="757"/>
        <v/>
      </c>
      <c r="BB1026" s="655">
        <f t="shared" si="724"/>
        <v>101.73821339950373</v>
      </c>
      <c r="BC1026" s="655">
        <f t="shared" si="724"/>
        <v>100</v>
      </c>
    </row>
    <row r="1027" spans="1:55" s="198" customFormat="1" ht="12" customHeight="1">
      <c r="A1027" s="66"/>
      <c r="B1027" s="66"/>
      <c r="C1027" s="66"/>
      <c r="D1027" s="66"/>
      <c r="E1027" s="66"/>
      <c r="F1027" s="66"/>
      <c r="G1027" s="66"/>
      <c r="H1027" s="407"/>
      <c r="I1027" s="132"/>
      <c r="J1027" s="40">
        <v>3237</v>
      </c>
      <c r="K1027" s="71" t="s">
        <v>120</v>
      </c>
      <c r="L1027" s="324">
        <v>650</v>
      </c>
      <c r="M1027" s="324">
        <f>650/7.5345</f>
        <v>86.269825469506927</v>
      </c>
      <c r="N1027" s="348">
        <v>1125</v>
      </c>
      <c r="O1027" s="346">
        <f t="shared" si="755"/>
        <v>149.31315946645429</v>
      </c>
      <c r="P1027" s="303"/>
      <c r="Q1027" s="303"/>
      <c r="R1027" s="460">
        <v>362</v>
      </c>
      <c r="S1027" s="303"/>
      <c r="T1027" s="303"/>
      <c r="U1027" s="303"/>
      <c r="V1027" s="484"/>
      <c r="W1027" s="484"/>
      <c r="X1027" s="554"/>
      <c r="Y1027" s="554"/>
      <c r="Z1027" s="541" t="b">
        <f t="shared" si="758"/>
        <v>0</v>
      </c>
      <c r="AA1027" s="555"/>
      <c r="AB1027" s="556"/>
      <c r="AC1027" s="556"/>
      <c r="AD1027" s="524">
        <f>O1027/M1027*100</f>
        <v>173.07692307692309</v>
      </c>
      <c r="AE1027" s="524"/>
      <c r="AF1027" s="524"/>
      <c r="AG1027" s="524"/>
      <c r="AH1027" s="555"/>
      <c r="AI1027" s="554"/>
      <c r="AJ1027" s="516">
        <f>W1027/R1027*100</f>
        <v>0</v>
      </c>
      <c r="AK1027" s="516"/>
      <c r="AL1027" s="516"/>
      <c r="AM1027" s="303"/>
      <c r="AO1027" t="b">
        <f t="shared" si="759"/>
        <v>0</v>
      </c>
      <c r="AQ1027" s="460">
        <v>585.82000000000005</v>
      </c>
      <c r="AS1027" s="460"/>
      <c r="AT1027" s="619"/>
      <c r="AU1027" s="484"/>
      <c r="AV1027" s="646"/>
      <c r="AW1027" s="646"/>
      <c r="AX1027" s="655" t="str">
        <f t="shared" si="726"/>
        <v/>
      </c>
      <c r="AY1027" s="655" t="str">
        <f t="shared" si="756"/>
        <v/>
      </c>
      <c r="AZ1027" s="655" t="str">
        <f t="shared" si="727"/>
        <v/>
      </c>
      <c r="BA1027" s="655" t="str">
        <f t="shared" si="757"/>
        <v/>
      </c>
      <c r="BB1027" s="655" t="str">
        <f t="shared" si="724"/>
        <v/>
      </c>
      <c r="BC1027" s="655" t="str">
        <f t="shared" si="724"/>
        <v/>
      </c>
    </row>
    <row r="1028" spans="1:55" s="198" customFormat="1" ht="12" customHeight="1">
      <c r="A1028" s="66"/>
      <c r="B1028" s="66"/>
      <c r="C1028" s="66"/>
      <c r="D1028" s="66"/>
      <c r="E1028" s="66"/>
      <c r="F1028" s="66"/>
      <c r="G1028" s="66"/>
      <c r="H1028" s="407"/>
      <c r="I1028" s="132">
        <v>911</v>
      </c>
      <c r="J1028" s="40">
        <v>3238</v>
      </c>
      <c r="K1028" s="71" t="s">
        <v>121</v>
      </c>
      <c r="L1028" s="324">
        <v>17499</v>
      </c>
      <c r="M1028" s="324">
        <f>17499/7.5345</f>
        <v>2322.5164244475413</v>
      </c>
      <c r="N1028" s="348">
        <v>11313</v>
      </c>
      <c r="O1028" s="346">
        <f t="shared" si="755"/>
        <v>1501.4931315946644</v>
      </c>
      <c r="P1028" s="303">
        <v>2100</v>
      </c>
      <c r="Q1028" s="372">
        <v>3400</v>
      </c>
      <c r="R1028" s="460">
        <v>3360</v>
      </c>
      <c r="S1028" s="303"/>
      <c r="T1028" s="303"/>
      <c r="U1028" s="303"/>
      <c r="V1028" s="484">
        <v>4530</v>
      </c>
      <c r="W1028" s="484">
        <v>4529.92</v>
      </c>
      <c r="X1028" s="554">
        <v>5900</v>
      </c>
      <c r="Y1028" s="554"/>
      <c r="Z1028" s="541" t="b">
        <f t="shared" si="758"/>
        <v>0</v>
      </c>
      <c r="AA1028" s="555"/>
      <c r="AB1028" s="556">
        <v>2200</v>
      </c>
      <c r="AC1028" s="556">
        <v>2200</v>
      </c>
      <c r="AD1028" s="524">
        <f>O1028/M1028*100</f>
        <v>64.64940853763072</v>
      </c>
      <c r="AE1028" s="524">
        <f>P1028/O1028*100</f>
        <v>139.86077963404932</v>
      </c>
      <c r="AF1028" s="524">
        <f>Q1028/P1028*100</f>
        <v>161.9047619047619</v>
      </c>
      <c r="AG1028" s="524">
        <f>AB1028/Q1028*100</f>
        <v>64.705882352941174</v>
      </c>
      <c r="AH1028" s="555"/>
      <c r="AI1028" s="554">
        <v>5900</v>
      </c>
      <c r="AJ1028" s="516">
        <f>W1028/R1028*100</f>
        <v>134.81904761904761</v>
      </c>
      <c r="AK1028" s="516">
        <f>AT1028/W1028*100</f>
        <v>100.00176603560327</v>
      </c>
      <c r="AL1028" s="516">
        <f>X1028/AT1028*100</f>
        <v>130.24282560706402</v>
      </c>
      <c r="AM1028" s="303"/>
      <c r="AO1028" t="b">
        <f t="shared" si="759"/>
        <v>0</v>
      </c>
      <c r="AQ1028" s="460">
        <v>3922.9</v>
      </c>
      <c r="AS1028" s="460"/>
      <c r="AT1028" s="619">
        <v>4530</v>
      </c>
      <c r="AU1028" s="484">
        <v>4530</v>
      </c>
      <c r="AV1028" s="646">
        <v>5900</v>
      </c>
      <c r="AW1028" s="646">
        <v>5900</v>
      </c>
      <c r="AX1028" s="655">
        <f t="shared" si="726"/>
        <v>134.82142857142858</v>
      </c>
      <c r="AY1028" s="655" t="str">
        <f t="shared" si="756"/>
        <v/>
      </c>
      <c r="AZ1028" s="655">
        <f t="shared" si="727"/>
        <v>100</v>
      </c>
      <c r="BA1028" s="655" t="str">
        <f t="shared" si="757"/>
        <v/>
      </c>
      <c r="BB1028" s="655">
        <f t="shared" si="724"/>
        <v>130.24282560706402</v>
      </c>
      <c r="BC1028" s="655">
        <f t="shared" si="724"/>
        <v>100</v>
      </c>
    </row>
    <row r="1029" spans="1:55" s="198" customFormat="1" ht="12" customHeight="1">
      <c r="A1029" s="66"/>
      <c r="B1029" s="66"/>
      <c r="C1029" s="66"/>
      <c r="D1029" s="66"/>
      <c r="E1029" s="66"/>
      <c r="F1029" s="66"/>
      <c r="G1029" s="66"/>
      <c r="H1029" s="407"/>
      <c r="I1029" s="132">
        <v>911</v>
      </c>
      <c r="J1029" s="40">
        <v>3239</v>
      </c>
      <c r="K1029" s="71" t="s">
        <v>122</v>
      </c>
      <c r="L1029" s="324">
        <v>11459</v>
      </c>
      <c r="M1029" s="324">
        <f>11459/7.5345</f>
        <v>1520.8706616231998</v>
      </c>
      <c r="N1029" s="348">
        <v>9254</v>
      </c>
      <c r="O1029" s="346">
        <f t="shared" si="755"/>
        <v>1228.2168690689493</v>
      </c>
      <c r="P1029" s="303">
        <v>2000</v>
      </c>
      <c r="Q1029" s="303">
        <v>2000</v>
      </c>
      <c r="R1029" s="460">
        <v>3238</v>
      </c>
      <c r="S1029" s="303"/>
      <c r="T1029" s="303"/>
      <c r="U1029" s="303"/>
      <c r="V1029" s="484">
        <v>2540</v>
      </c>
      <c r="W1029" s="484">
        <v>2540</v>
      </c>
      <c r="X1029" s="554">
        <v>3900</v>
      </c>
      <c r="Y1029" s="554"/>
      <c r="Z1029" s="541" t="b">
        <f t="shared" si="758"/>
        <v>0</v>
      </c>
      <c r="AA1029" s="555"/>
      <c r="AB1029" s="556">
        <v>2300</v>
      </c>
      <c r="AC1029" s="556">
        <v>2300</v>
      </c>
      <c r="AD1029" s="524">
        <f>O1029/M1029*100</f>
        <v>80.757483200977404</v>
      </c>
      <c r="AE1029" s="524">
        <f>P1029/O1029*100</f>
        <v>162.83769180894748</v>
      </c>
      <c r="AF1029" s="524">
        <f>Q1029/P1029*100</f>
        <v>100</v>
      </c>
      <c r="AG1029" s="524">
        <f>AB1029/Q1029*100</f>
        <v>114.99999999999999</v>
      </c>
      <c r="AH1029" s="555"/>
      <c r="AI1029" s="554">
        <v>3900</v>
      </c>
      <c r="AJ1029" s="516">
        <f>W1029/R1029*100</f>
        <v>78.44348363187153</v>
      </c>
      <c r="AK1029" s="516">
        <f>AT1029/W1029*100</f>
        <v>137.79527559055117</v>
      </c>
      <c r="AL1029" s="516">
        <f>X1029/AT1029*100</f>
        <v>111.42857142857143</v>
      </c>
      <c r="AM1029" s="303"/>
      <c r="AO1029" t="b">
        <f t="shared" si="759"/>
        <v>0</v>
      </c>
      <c r="AQ1029" s="460">
        <v>13691.09</v>
      </c>
      <c r="AS1029" s="460"/>
      <c r="AT1029" s="619">
        <v>3500</v>
      </c>
      <c r="AU1029" s="484">
        <v>3500</v>
      </c>
      <c r="AV1029" s="646">
        <v>3900</v>
      </c>
      <c r="AW1029" s="646">
        <v>3900</v>
      </c>
      <c r="AX1029" s="655">
        <f t="shared" si="726"/>
        <v>108.09141445336627</v>
      </c>
      <c r="AY1029" s="655" t="str">
        <f t="shared" si="756"/>
        <v/>
      </c>
      <c r="AZ1029" s="655">
        <f t="shared" si="727"/>
        <v>100</v>
      </c>
      <c r="BA1029" s="655" t="str">
        <f t="shared" si="757"/>
        <v/>
      </c>
      <c r="BB1029" s="655">
        <f t="shared" si="724"/>
        <v>111.42857142857143</v>
      </c>
      <c r="BC1029" s="655">
        <f t="shared" si="724"/>
        <v>100</v>
      </c>
    </row>
    <row r="1030" spans="1:55" s="198" customFormat="1" ht="12" customHeight="1">
      <c r="A1030" s="66"/>
      <c r="B1030" s="66"/>
      <c r="C1030" s="66"/>
      <c r="D1030" s="66"/>
      <c r="E1030" s="66"/>
      <c r="F1030" s="66"/>
      <c r="G1030" s="66"/>
      <c r="H1030" s="407"/>
      <c r="I1030" s="132"/>
      <c r="J1030" s="40"/>
      <c r="K1030" s="71"/>
      <c r="L1030" s="324"/>
      <c r="M1030" s="324"/>
      <c r="N1030" s="348"/>
      <c r="O1030" s="348"/>
      <c r="P1030" s="303"/>
      <c r="Q1030" s="303"/>
      <c r="R1030" s="460"/>
      <c r="S1030" s="303"/>
      <c r="T1030" s="303"/>
      <c r="U1030" s="303"/>
      <c r="V1030" s="484"/>
      <c r="W1030" s="484"/>
      <c r="X1030" s="554"/>
      <c r="Y1030" s="554"/>
      <c r="Z1030" s="541" t="b">
        <f t="shared" si="758"/>
        <v>0</v>
      </c>
      <c r="AA1030" s="555"/>
      <c r="AB1030" s="556"/>
      <c r="AC1030" s="556"/>
      <c r="AD1030" s="524"/>
      <c r="AE1030" s="524"/>
      <c r="AF1030" s="524"/>
      <c r="AG1030" s="524"/>
      <c r="AH1030" s="555"/>
      <c r="AI1030" s="554"/>
      <c r="AJ1030" s="516"/>
      <c r="AK1030" s="516"/>
      <c r="AL1030" s="516"/>
      <c r="AM1030" s="303"/>
      <c r="AO1030" t="b">
        <f t="shared" si="759"/>
        <v>0</v>
      </c>
      <c r="AQ1030" s="460"/>
      <c r="AS1030" s="460"/>
      <c r="AT1030" s="619"/>
      <c r="AU1030" s="484"/>
      <c r="AV1030" s="646"/>
      <c r="AW1030" s="646"/>
      <c r="AX1030" s="655" t="str">
        <f t="shared" si="726"/>
        <v/>
      </c>
      <c r="AY1030" s="655" t="str">
        <f t="shared" si="756"/>
        <v/>
      </c>
      <c r="AZ1030" s="655" t="str">
        <f t="shared" si="727"/>
        <v/>
      </c>
      <c r="BA1030" s="655" t="str">
        <f t="shared" si="757"/>
        <v/>
      </c>
      <c r="BB1030" s="655" t="str">
        <f t="shared" ref="BB1030:BC1093" si="760">IF(AND(ISNUMBER(AV1030), ISNUMBER(AU1030), AU1030&lt;&gt;0), (AV1030/AU1030)*100, "")</f>
        <v/>
      </c>
      <c r="BC1030" s="655" t="str">
        <f t="shared" si="760"/>
        <v/>
      </c>
    </row>
    <row r="1031" spans="1:55" s="198" customFormat="1" ht="12" customHeight="1">
      <c r="A1031" s="165"/>
      <c r="B1031" s="165"/>
      <c r="C1031" s="165"/>
      <c r="D1031" s="165"/>
      <c r="E1031" s="165"/>
      <c r="F1031" s="165"/>
      <c r="G1031" s="165"/>
      <c r="H1031" s="408"/>
      <c r="I1031" s="157"/>
      <c r="J1031" s="116">
        <v>324</v>
      </c>
      <c r="K1031" s="116" t="s">
        <v>519</v>
      </c>
      <c r="L1031" s="320">
        <f t="shared" ref="L1031:AC1031" si="761">L1032</f>
        <v>0</v>
      </c>
      <c r="M1031" s="320">
        <f t="shared" si="761"/>
        <v>0</v>
      </c>
      <c r="N1031" s="344">
        <f t="shared" si="761"/>
        <v>0</v>
      </c>
      <c r="O1031" s="344">
        <f t="shared" si="761"/>
        <v>0</v>
      </c>
      <c r="P1031" s="299">
        <f t="shared" si="761"/>
        <v>0</v>
      </c>
      <c r="Q1031" s="299">
        <f t="shared" si="761"/>
        <v>0</v>
      </c>
      <c r="R1031" s="447">
        <f t="shared" si="761"/>
        <v>0</v>
      </c>
      <c r="S1031" s="299">
        <f t="shared" si="761"/>
        <v>0</v>
      </c>
      <c r="T1031" s="299"/>
      <c r="U1031" s="299"/>
      <c r="V1031" s="477">
        <f t="shared" si="761"/>
        <v>0</v>
      </c>
      <c r="W1031" s="477">
        <f t="shared" si="761"/>
        <v>0</v>
      </c>
      <c r="X1031" s="542">
        <f t="shared" si="761"/>
        <v>0</v>
      </c>
      <c r="Y1031" s="542">
        <f t="shared" si="761"/>
        <v>0</v>
      </c>
      <c r="Z1031" s="541" t="b">
        <f t="shared" si="758"/>
        <v>1</v>
      </c>
      <c r="AA1031" s="542"/>
      <c r="AB1031" s="543">
        <f t="shared" si="761"/>
        <v>0</v>
      </c>
      <c r="AC1031" s="543">
        <f t="shared" si="761"/>
        <v>0</v>
      </c>
      <c r="AD1031" s="524"/>
      <c r="AE1031" s="524"/>
      <c r="AF1031" s="524"/>
      <c r="AG1031" s="524"/>
      <c r="AH1031" s="542"/>
      <c r="AI1031" s="542">
        <v>0</v>
      </c>
      <c r="AJ1031" s="516"/>
      <c r="AK1031" s="516"/>
      <c r="AL1031" s="516"/>
      <c r="AM1031" s="299"/>
      <c r="AO1031" t="b">
        <f t="shared" si="759"/>
        <v>1</v>
      </c>
      <c r="AP1031" s="503">
        <f>AP1032</f>
        <v>0</v>
      </c>
      <c r="AQ1031" s="447">
        <v>0</v>
      </c>
      <c r="AR1031" s="503">
        <f>AR1032</f>
        <v>0</v>
      </c>
      <c r="AS1031" s="447"/>
      <c r="AT1031" s="611">
        <f>AT1032</f>
        <v>0</v>
      </c>
      <c r="AU1031" s="477">
        <f>AU1032</f>
        <v>0</v>
      </c>
      <c r="AV1031" s="643">
        <v>0</v>
      </c>
      <c r="AW1031" s="643">
        <v>0</v>
      </c>
      <c r="AX1031" s="655" t="str">
        <f t="shared" si="726"/>
        <v/>
      </c>
      <c r="AY1031" s="655">
        <f t="shared" si="756"/>
        <v>0</v>
      </c>
      <c r="AZ1031" s="655" t="str">
        <f t="shared" si="727"/>
        <v/>
      </c>
      <c r="BA1031" s="655">
        <f t="shared" si="757"/>
        <v>0</v>
      </c>
      <c r="BB1031" s="655" t="str">
        <f t="shared" si="760"/>
        <v/>
      </c>
      <c r="BC1031" s="655" t="str">
        <f t="shared" si="760"/>
        <v/>
      </c>
    </row>
    <row r="1032" spans="1:55" s="198" customFormat="1" ht="12" customHeight="1">
      <c r="A1032" s="66"/>
      <c r="B1032" s="66"/>
      <c r="C1032" s="66"/>
      <c r="D1032" s="66"/>
      <c r="E1032" s="66"/>
      <c r="F1032" s="66"/>
      <c r="G1032" s="66"/>
      <c r="H1032" s="407"/>
      <c r="I1032" s="132"/>
      <c r="J1032" s="40">
        <v>3241</v>
      </c>
      <c r="K1032" s="71" t="s">
        <v>663</v>
      </c>
      <c r="L1032" s="324"/>
      <c r="M1032" s="324"/>
      <c r="N1032" s="348"/>
      <c r="O1032" s="348"/>
      <c r="P1032" s="303"/>
      <c r="Q1032" s="303"/>
      <c r="R1032" s="460"/>
      <c r="S1032" s="303"/>
      <c r="T1032" s="303"/>
      <c r="U1032" s="303"/>
      <c r="V1032" s="484"/>
      <c r="W1032" s="484"/>
      <c r="X1032" s="554"/>
      <c r="Y1032" s="554"/>
      <c r="Z1032" s="541" t="b">
        <f t="shared" si="758"/>
        <v>0</v>
      </c>
      <c r="AA1032" s="555"/>
      <c r="AB1032" s="556"/>
      <c r="AC1032" s="556"/>
      <c r="AD1032" s="524"/>
      <c r="AE1032" s="524"/>
      <c r="AF1032" s="524"/>
      <c r="AG1032" s="524"/>
      <c r="AH1032" s="555"/>
      <c r="AI1032" s="554"/>
      <c r="AJ1032" s="516"/>
      <c r="AK1032" s="516"/>
      <c r="AL1032" s="516"/>
      <c r="AM1032" s="303"/>
      <c r="AO1032" t="b">
        <f t="shared" si="759"/>
        <v>0</v>
      </c>
      <c r="AQ1032" s="460"/>
      <c r="AS1032" s="460"/>
      <c r="AT1032" s="619"/>
      <c r="AU1032" s="484"/>
      <c r="AV1032" s="646"/>
      <c r="AW1032" s="646"/>
      <c r="AX1032" s="655" t="str">
        <f t="shared" si="726"/>
        <v/>
      </c>
      <c r="AY1032" s="655" t="str">
        <f t="shared" si="756"/>
        <v/>
      </c>
      <c r="AZ1032" s="655" t="str">
        <f t="shared" si="727"/>
        <v/>
      </c>
      <c r="BA1032" s="655" t="str">
        <f t="shared" si="757"/>
        <v/>
      </c>
      <c r="BB1032" s="655" t="str">
        <f t="shared" si="760"/>
        <v/>
      </c>
      <c r="BC1032" s="655" t="str">
        <f t="shared" si="760"/>
        <v/>
      </c>
    </row>
    <row r="1033" spans="1:55" ht="12" customHeight="1">
      <c r="A1033" s="66"/>
      <c r="B1033" s="66"/>
      <c r="C1033" s="66"/>
      <c r="D1033" s="66"/>
      <c r="E1033" s="66"/>
      <c r="F1033" s="66"/>
      <c r="G1033" s="66"/>
      <c r="H1033" s="407"/>
      <c r="I1033" s="132"/>
      <c r="J1033" s="40"/>
      <c r="K1033" s="71"/>
      <c r="L1033" s="324"/>
      <c r="M1033" s="324"/>
      <c r="N1033" s="348"/>
      <c r="O1033" s="348"/>
      <c r="P1033" s="303"/>
      <c r="Q1033" s="303"/>
      <c r="R1033" s="460"/>
      <c r="S1033" s="303"/>
      <c r="T1033" s="303"/>
      <c r="U1033" s="303"/>
      <c r="V1033" s="484"/>
      <c r="W1033" s="484"/>
      <c r="X1033" s="554"/>
      <c r="Y1033" s="554"/>
      <c r="Z1033" s="541" t="b">
        <f t="shared" si="758"/>
        <v>0</v>
      </c>
      <c r="AA1033" s="555"/>
      <c r="AB1033" s="556"/>
      <c r="AC1033" s="556"/>
      <c r="AD1033" s="524"/>
      <c r="AE1033" s="524"/>
      <c r="AF1033" s="524"/>
      <c r="AG1033" s="524"/>
      <c r="AH1033" s="555"/>
      <c r="AI1033" s="554"/>
      <c r="AJ1033" s="516"/>
      <c r="AK1033" s="516"/>
      <c r="AL1033" s="516"/>
      <c r="AM1033" s="303"/>
      <c r="AO1033" t="b">
        <f t="shared" si="759"/>
        <v>0</v>
      </c>
      <c r="AQ1033" s="460"/>
      <c r="AS1033" s="460"/>
      <c r="AT1033" s="619"/>
      <c r="AU1033" s="484"/>
      <c r="AV1033" s="646"/>
      <c r="AW1033" s="646"/>
      <c r="AX1033" s="655" t="str">
        <f t="shared" si="726"/>
        <v/>
      </c>
      <c r="AY1033" s="655" t="str">
        <f t="shared" si="756"/>
        <v/>
      </c>
      <c r="AZ1033" s="655" t="str">
        <f t="shared" si="727"/>
        <v/>
      </c>
      <c r="BA1033" s="655" t="str">
        <f t="shared" si="757"/>
        <v/>
      </c>
      <c r="BB1033" s="655" t="str">
        <f t="shared" si="760"/>
        <v/>
      </c>
      <c r="BC1033" s="655" t="str">
        <f t="shared" si="760"/>
        <v/>
      </c>
    </row>
    <row r="1034" spans="1:55" ht="12" customHeight="1">
      <c r="A1034" s="20"/>
      <c r="B1034" s="20"/>
      <c r="C1034" s="20"/>
      <c r="D1034" s="20"/>
      <c r="E1034" s="20"/>
      <c r="F1034" s="20"/>
      <c r="G1034" s="20"/>
      <c r="H1034" s="375"/>
      <c r="I1034" s="22"/>
      <c r="J1034" s="21"/>
      <c r="K1034" s="19"/>
      <c r="L1034" s="313">
        <v>1</v>
      </c>
      <c r="M1034" s="313">
        <v>2</v>
      </c>
      <c r="N1034" s="335">
        <v>3</v>
      </c>
      <c r="O1034" s="335">
        <v>4</v>
      </c>
      <c r="P1034" s="290">
        <v>5</v>
      </c>
      <c r="Q1034" s="290">
        <v>6</v>
      </c>
      <c r="R1034" s="439"/>
      <c r="S1034" s="290"/>
      <c r="T1034" s="290"/>
      <c r="U1034" s="290"/>
      <c r="V1034" s="474">
        <v>5</v>
      </c>
      <c r="W1034" s="474"/>
      <c r="X1034" s="539"/>
      <c r="Y1034" s="539"/>
      <c r="Z1034" s="541" t="b">
        <f t="shared" si="758"/>
        <v>0</v>
      </c>
      <c r="AA1034" s="514"/>
      <c r="AB1034" s="515">
        <v>7</v>
      </c>
      <c r="AC1034" s="515">
        <v>8</v>
      </c>
      <c r="AD1034" s="515">
        <v>9</v>
      </c>
      <c r="AE1034" s="515">
        <v>10</v>
      </c>
      <c r="AF1034" s="515">
        <v>11</v>
      </c>
      <c r="AG1034" s="515">
        <v>12</v>
      </c>
      <c r="AH1034" s="514"/>
      <c r="AI1034" s="539"/>
      <c r="AJ1034" s="516"/>
      <c r="AK1034" s="516"/>
      <c r="AL1034" s="516"/>
      <c r="AM1034" s="290"/>
      <c r="AO1034" t="b">
        <f t="shared" si="759"/>
        <v>0</v>
      </c>
      <c r="AQ1034" s="439"/>
      <c r="AS1034" s="439"/>
      <c r="AT1034" s="616"/>
      <c r="AU1034" s="474"/>
      <c r="AV1034" s="632"/>
      <c r="AW1034" s="632"/>
      <c r="AX1034" s="655" t="str">
        <f t="shared" si="726"/>
        <v/>
      </c>
      <c r="AY1034" s="655" t="str">
        <f t="shared" si="756"/>
        <v/>
      </c>
      <c r="AZ1034" s="655" t="str">
        <f t="shared" si="727"/>
        <v/>
      </c>
      <c r="BA1034" s="655" t="str">
        <f t="shared" si="757"/>
        <v/>
      </c>
      <c r="BB1034" s="655" t="str">
        <f t="shared" si="760"/>
        <v/>
      </c>
      <c r="BC1034" s="655" t="str">
        <f t="shared" si="760"/>
        <v/>
      </c>
    </row>
    <row r="1035" spans="1:55" ht="12" customHeight="1">
      <c r="A1035" s="56"/>
      <c r="B1035" s="56"/>
      <c r="C1035" s="56"/>
      <c r="D1035" s="56"/>
      <c r="E1035" s="56"/>
      <c r="F1035" s="56"/>
      <c r="G1035" s="56"/>
      <c r="H1035" s="406"/>
      <c r="I1035" s="193"/>
      <c r="J1035" s="189">
        <v>329</v>
      </c>
      <c r="K1035" s="190" t="s">
        <v>603</v>
      </c>
      <c r="L1035" s="325">
        <f t="shared" ref="L1035:S1035" si="762">L1036+L1037+L1038+L1039+L1040</f>
        <v>10997</v>
      </c>
      <c r="M1035" s="325">
        <f t="shared" si="762"/>
        <v>1459.5527241356426</v>
      </c>
      <c r="N1035" s="349">
        <f t="shared" si="762"/>
        <v>14426</v>
      </c>
      <c r="O1035" s="349">
        <f t="shared" si="762"/>
        <v>1914.6592341893952</v>
      </c>
      <c r="P1035" s="304">
        <f t="shared" si="762"/>
        <v>4500</v>
      </c>
      <c r="Q1035" s="304">
        <f t="shared" si="762"/>
        <v>6000</v>
      </c>
      <c r="R1035" s="448">
        <f t="shared" si="762"/>
        <v>4256</v>
      </c>
      <c r="S1035" s="304">
        <f t="shared" si="762"/>
        <v>0</v>
      </c>
      <c r="T1035" s="304"/>
      <c r="U1035" s="304"/>
      <c r="V1035" s="485">
        <f>V1036+V1037+V1038+V1039+V1040</f>
        <v>8770</v>
      </c>
      <c r="W1035" s="485">
        <f>W1036+W1037+W1038+W1039+W1040</f>
        <v>8770.25</v>
      </c>
      <c r="X1035" s="557">
        <f>X1036+X1037+X1038+X1039+X1040</f>
        <v>9800.2999999999993</v>
      </c>
      <c r="Y1035" s="557">
        <f>Y1036+Y1037+Y1038+Y1039+Y1040</f>
        <v>0</v>
      </c>
      <c r="Z1035" s="541" t="b">
        <f t="shared" si="758"/>
        <v>1</v>
      </c>
      <c r="AA1035" s="557"/>
      <c r="AB1035" s="558">
        <f>AB1036+AB1037+AB1038+AB1039+AB1040</f>
        <v>4700</v>
      </c>
      <c r="AC1035" s="558">
        <f>AC1036+AC1037+AC1038+AC1039+AC1040</f>
        <v>4700</v>
      </c>
      <c r="AD1035" s="524">
        <f>O1035/M1035*100</f>
        <v>131.18123124488497</v>
      </c>
      <c r="AE1035" s="524">
        <f t="shared" ref="AE1035:AF1037" si="763">P1035/O1035*100</f>
        <v>235.02876750311938</v>
      </c>
      <c r="AF1035" s="524">
        <f t="shared" si="763"/>
        <v>133.33333333333331</v>
      </c>
      <c r="AG1035" s="524">
        <f>AB1035/Q1035*100</f>
        <v>78.333333333333329</v>
      </c>
      <c r="AH1035" s="557"/>
      <c r="AI1035" s="557">
        <v>9800.2999999999993</v>
      </c>
      <c r="AJ1035" s="516">
        <f>W1035/R1035*100</f>
        <v>206.06790413533832</v>
      </c>
      <c r="AK1035" s="516">
        <f>AT1035/W1035*100</f>
        <v>107.75063424645819</v>
      </c>
      <c r="AL1035" s="516">
        <f>X1035/AT1035*100</f>
        <v>103.70687830687831</v>
      </c>
      <c r="AM1035" s="304"/>
      <c r="AO1035" t="b">
        <f t="shared" si="759"/>
        <v>1</v>
      </c>
      <c r="AP1035" s="496">
        <f>AP1036+AP1037+AP1038+AP1039+AP1040</f>
        <v>0</v>
      </c>
      <c r="AQ1035" s="448">
        <v>4243.93</v>
      </c>
      <c r="AR1035" s="496">
        <f>AR1036+AR1037+AR1038+AR1039+AR1040</f>
        <v>0</v>
      </c>
      <c r="AS1035" s="448"/>
      <c r="AT1035" s="610">
        <f>AT1036+AT1037+AT1038+AT1039+AT1040</f>
        <v>9450</v>
      </c>
      <c r="AU1035" s="485">
        <f>AU1036+AU1037+AU1038+AU1039+AU1040</f>
        <v>9450</v>
      </c>
      <c r="AV1035" s="647">
        <v>9800.2999999999993</v>
      </c>
      <c r="AW1035" s="647">
        <v>9800.2999999999993</v>
      </c>
      <c r="AX1035" s="655">
        <f t="shared" ref="AX1035:AX1098" si="764">IF(AND(ISNUMBER(AT1035), ISNUMBER(R1035), R1035&lt;&gt;0), (AT1035/R1035)*100, "")</f>
        <v>222.03947368421052</v>
      </c>
      <c r="AY1035" s="655" t="str">
        <f t="shared" si="756"/>
        <v/>
      </c>
      <c r="AZ1035" s="655">
        <f t="shared" ref="AZ1035:AZ1098" si="765">IF(AND(ISNUMBER(AU1035), ISNUMBER(AT1035), AT1035&lt;&gt;0), (AU1035/AT1035)*100, "")</f>
        <v>100</v>
      </c>
      <c r="BA1035" s="655" t="str">
        <f t="shared" si="757"/>
        <v/>
      </c>
      <c r="BB1035" s="655">
        <f t="shared" si="760"/>
        <v>103.70687830687831</v>
      </c>
      <c r="BC1035" s="655">
        <f t="shared" si="760"/>
        <v>100</v>
      </c>
    </row>
    <row r="1036" spans="1:55" ht="12" customHeight="1">
      <c r="A1036" s="36"/>
      <c r="B1036" s="36"/>
      <c r="C1036" s="36"/>
      <c r="D1036" s="36"/>
      <c r="E1036" s="36"/>
      <c r="F1036" s="36"/>
      <c r="G1036" s="36"/>
      <c r="H1036" s="380"/>
      <c r="I1036" s="172">
        <v>911</v>
      </c>
      <c r="J1036" s="122">
        <v>3292</v>
      </c>
      <c r="K1036" s="123" t="s">
        <v>125</v>
      </c>
      <c r="L1036" s="322">
        <v>9039</v>
      </c>
      <c r="M1036" s="322">
        <f>9039/7.5345</f>
        <v>1199.6814652598048</v>
      </c>
      <c r="N1036" s="346">
        <v>11071</v>
      </c>
      <c r="O1036" s="346">
        <f>N1036/7.5345</f>
        <v>1469.3742119583248</v>
      </c>
      <c r="P1036" s="301">
        <v>2700</v>
      </c>
      <c r="Q1036" s="301">
        <v>2700</v>
      </c>
      <c r="R1036" s="458">
        <v>1450</v>
      </c>
      <c r="S1036" s="301"/>
      <c r="T1036" s="301"/>
      <c r="U1036" s="301"/>
      <c r="V1036" s="480">
        <v>3120</v>
      </c>
      <c r="W1036" s="480">
        <v>3120</v>
      </c>
      <c r="X1036" s="548">
        <v>3200</v>
      </c>
      <c r="Y1036" s="548"/>
      <c r="Z1036" s="541" t="b">
        <f t="shared" si="758"/>
        <v>0</v>
      </c>
      <c r="AA1036" s="533"/>
      <c r="AB1036" s="534">
        <v>2800</v>
      </c>
      <c r="AC1036" s="534">
        <v>2800</v>
      </c>
      <c r="AD1036" s="524">
        <f>O1036/M1036*100</f>
        <v>122.48036287199911</v>
      </c>
      <c r="AE1036" s="524">
        <f t="shared" si="763"/>
        <v>183.75169361394637</v>
      </c>
      <c r="AF1036" s="524">
        <f t="shared" si="763"/>
        <v>100</v>
      </c>
      <c r="AG1036" s="524">
        <f>AB1036/Q1036*100</f>
        <v>103.7037037037037</v>
      </c>
      <c r="AH1036" s="533"/>
      <c r="AI1036" s="548">
        <v>3200</v>
      </c>
      <c r="AJ1036" s="516">
        <f>W1036/R1036*100</f>
        <v>215.17241379310343</v>
      </c>
      <c r="AK1036" s="516">
        <f>AT1036/W1036*100</f>
        <v>99.358974358974365</v>
      </c>
      <c r="AL1036" s="516">
        <f>X1036/AT1036*100</f>
        <v>103.2258064516129</v>
      </c>
      <c r="AM1036" s="301"/>
      <c r="AO1036" t="b">
        <f t="shared" si="759"/>
        <v>0</v>
      </c>
      <c r="AQ1036" s="458">
        <v>2213.86</v>
      </c>
      <c r="AS1036" s="458"/>
      <c r="AT1036" s="618">
        <v>3100</v>
      </c>
      <c r="AU1036" s="480">
        <v>3100</v>
      </c>
      <c r="AV1036" s="641">
        <v>3200</v>
      </c>
      <c r="AW1036" s="641">
        <v>3200</v>
      </c>
      <c r="AX1036" s="655">
        <f t="shared" si="764"/>
        <v>213.79310344827584</v>
      </c>
      <c r="AY1036" s="655" t="str">
        <f t="shared" si="756"/>
        <v/>
      </c>
      <c r="AZ1036" s="655">
        <f t="shared" si="765"/>
        <v>100</v>
      </c>
      <c r="BA1036" s="655" t="str">
        <f t="shared" si="757"/>
        <v/>
      </c>
      <c r="BB1036" s="655">
        <f t="shared" si="760"/>
        <v>103.2258064516129</v>
      </c>
      <c r="BC1036" s="655">
        <f t="shared" si="760"/>
        <v>100</v>
      </c>
    </row>
    <row r="1037" spans="1:55" ht="12" customHeight="1">
      <c r="A1037" s="36"/>
      <c r="B1037" s="36"/>
      <c r="C1037" s="36"/>
      <c r="D1037" s="36"/>
      <c r="E1037" s="36"/>
      <c r="F1037" s="36"/>
      <c r="G1037" s="36"/>
      <c r="H1037" s="204"/>
      <c r="I1037" s="132">
        <v>911</v>
      </c>
      <c r="J1037" s="241">
        <v>3293</v>
      </c>
      <c r="K1037" s="40" t="s">
        <v>126</v>
      </c>
      <c r="L1037" s="309">
        <v>1958</v>
      </c>
      <c r="M1037" s="309">
        <f>1958/7.5345</f>
        <v>259.87125887583778</v>
      </c>
      <c r="N1037" s="339">
        <v>1438</v>
      </c>
      <c r="O1037" s="346">
        <f>N1037/7.5345</f>
        <v>190.85539850023224</v>
      </c>
      <c r="P1037" s="294">
        <v>500</v>
      </c>
      <c r="Q1037" s="269">
        <v>2000</v>
      </c>
      <c r="R1037" s="443">
        <v>2680</v>
      </c>
      <c r="S1037" s="294"/>
      <c r="T1037" s="294"/>
      <c r="U1037" s="294"/>
      <c r="V1037" s="478">
        <v>4200</v>
      </c>
      <c r="W1037" s="478">
        <v>4200</v>
      </c>
      <c r="X1037" s="544">
        <v>4900</v>
      </c>
      <c r="Y1037" s="544"/>
      <c r="Z1037" s="541" t="b">
        <f t="shared" si="758"/>
        <v>0</v>
      </c>
      <c r="AA1037" s="527"/>
      <c r="AB1037" s="528">
        <v>500</v>
      </c>
      <c r="AC1037" s="528">
        <v>500</v>
      </c>
      <c r="AD1037" s="524">
        <f>O1037/M1037*100</f>
        <v>73.442288049029628</v>
      </c>
      <c r="AE1037" s="524">
        <f t="shared" si="763"/>
        <v>261.97844228094579</v>
      </c>
      <c r="AF1037" s="524">
        <f t="shared" si="763"/>
        <v>400</v>
      </c>
      <c r="AG1037" s="524">
        <f>AB1037/Q1037*100</f>
        <v>25</v>
      </c>
      <c r="AH1037" s="527"/>
      <c r="AI1037" s="544">
        <v>4900</v>
      </c>
      <c r="AJ1037" s="516">
        <f>W1037/R1037*100</f>
        <v>156.71641791044777</v>
      </c>
      <c r="AK1037" s="516">
        <f>AT1037/W1037*100</f>
        <v>116.66666666666667</v>
      </c>
      <c r="AL1037" s="516">
        <f>X1037/AT1037*100</f>
        <v>100</v>
      </c>
      <c r="AM1037" s="294"/>
      <c r="AO1037" t="b">
        <f t="shared" si="759"/>
        <v>0</v>
      </c>
      <c r="AQ1037" s="443">
        <v>2030.07</v>
      </c>
      <c r="AS1037" s="443"/>
      <c r="AT1037" s="617">
        <v>4900</v>
      </c>
      <c r="AU1037" s="478">
        <v>4900</v>
      </c>
      <c r="AV1037" s="638">
        <v>4900</v>
      </c>
      <c r="AW1037" s="638">
        <v>4900</v>
      </c>
      <c r="AX1037" s="655">
        <f t="shared" si="764"/>
        <v>182.8358208955224</v>
      </c>
      <c r="AY1037" s="655">
        <f t="shared" si="756"/>
        <v>669.0881284649206</v>
      </c>
      <c r="AZ1037" s="655">
        <f t="shared" si="765"/>
        <v>100</v>
      </c>
      <c r="BA1037" s="655">
        <f t="shared" si="757"/>
        <v>669.0881284649206</v>
      </c>
      <c r="BB1037" s="655">
        <f t="shared" si="760"/>
        <v>100</v>
      </c>
      <c r="BC1037" s="655">
        <f t="shared" si="760"/>
        <v>100</v>
      </c>
    </row>
    <row r="1038" spans="1:55" ht="12" customHeight="1">
      <c r="A1038" s="36"/>
      <c r="B1038" s="36"/>
      <c r="C1038" s="36"/>
      <c r="D1038" s="36"/>
      <c r="E1038" s="36"/>
      <c r="F1038" s="36"/>
      <c r="G1038" s="36"/>
      <c r="H1038" s="204"/>
      <c r="I1038" s="132">
        <v>911</v>
      </c>
      <c r="J1038" s="241">
        <v>3294</v>
      </c>
      <c r="K1038" s="40" t="s">
        <v>127</v>
      </c>
      <c r="L1038" s="309">
        <v>0</v>
      </c>
      <c r="M1038" s="309">
        <v>0</v>
      </c>
      <c r="N1038" s="339">
        <v>0</v>
      </c>
      <c r="O1038" s="346">
        <f>N1038/7.5345</f>
        <v>0</v>
      </c>
      <c r="P1038" s="294">
        <v>200</v>
      </c>
      <c r="Q1038" s="294">
        <v>200</v>
      </c>
      <c r="R1038" s="443">
        <v>0</v>
      </c>
      <c r="S1038" s="294"/>
      <c r="T1038" s="294"/>
      <c r="U1038" s="294"/>
      <c r="V1038" s="478">
        <v>300</v>
      </c>
      <c r="W1038" s="478">
        <v>300</v>
      </c>
      <c r="X1038" s="544">
        <v>300</v>
      </c>
      <c r="Y1038" s="544"/>
      <c r="Z1038" s="541" t="b">
        <f t="shared" si="758"/>
        <v>0</v>
      </c>
      <c r="AA1038" s="527"/>
      <c r="AB1038" s="528">
        <v>200</v>
      </c>
      <c r="AC1038" s="528">
        <v>200</v>
      </c>
      <c r="AD1038" s="524"/>
      <c r="AE1038" s="524"/>
      <c r="AF1038" s="524"/>
      <c r="AG1038" s="524"/>
      <c r="AH1038" s="527"/>
      <c r="AI1038" s="544">
        <v>300</v>
      </c>
      <c r="AJ1038" s="516"/>
      <c r="AK1038" s="516">
        <f>AT1038/W1038*100</f>
        <v>100</v>
      </c>
      <c r="AL1038" s="516">
        <f>X1038/AT1038*100</f>
        <v>100</v>
      </c>
      <c r="AM1038" s="294"/>
      <c r="AO1038" t="b">
        <f t="shared" si="759"/>
        <v>0</v>
      </c>
      <c r="AQ1038" s="443"/>
      <c r="AS1038" s="443"/>
      <c r="AT1038" s="617">
        <v>300</v>
      </c>
      <c r="AU1038" s="478">
        <v>300</v>
      </c>
      <c r="AV1038" s="638">
        <v>300</v>
      </c>
      <c r="AW1038" s="638">
        <v>300</v>
      </c>
      <c r="AX1038" s="655" t="str">
        <f t="shared" si="764"/>
        <v/>
      </c>
      <c r="AY1038" s="655">
        <f t="shared" si="756"/>
        <v>40.964579293770655</v>
      </c>
      <c r="AZ1038" s="655">
        <f t="shared" si="765"/>
        <v>100</v>
      </c>
      <c r="BA1038" s="655">
        <f t="shared" si="757"/>
        <v>40.964579293770655</v>
      </c>
      <c r="BB1038" s="655">
        <f t="shared" si="760"/>
        <v>100</v>
      </c>
      <c r="BC1038" s="655">
        <f t="shared" si="760"/>
        <v>100</v>
      </c>
    </row>
    <row r="1039" spans="1:55" ht="12" customHeight="1">
      <c r="A1039" s="36"/>
      <c r="B1039" s="36"/>
      <c r="C1039" s="36"/>
      <c r="D1039" s="36"/>
      <c r="E1039" s="36"/>
      <c r="F1039" s="36"/>
      <c r="G1039" s="36"/>
      <c r="H1039" s="204"/>
      <c r="I1039" s="132"/>
      <c r="J1039" s="241">
        <v>3295</v>
      </c>
      <c r="K1039" s="40" t="s">
        <v>445</v>
      </c>
      <c r="L1039" s="309"/>
      <c r="M1039" s="309"/>
      <c r="N1039" s="339">
        <v>0</v>
      </c>
      <c r="O1039" s="346">
        <f>N1039/7.5345</f>
        <v>0</v>
      </c>
      <c r="P1039" s="294"/>
      <c r="Q1039" s="294"/>
      <c r="R1039" s="443">
        <v>0</v>
      </c>
      <c r="S1039" s="294"/>
      <c r="T1039" s="294"/>
      <c r="U1039" s="294"/>
      <c r="V1039" s="478"/>
      <c r="W1039" s="478"/>
      <c r="X1039" s="544"/>
      <c r="Y1039" s="544"/>
      <c r="Z1039" s="541" t="b">
        <f t="shared" si="758"/>
        <v>0</v>
      </c>
      <c r="AA1039" s="527"/>
      <c r="AB1039" s="528"/>
      <c r="AC1039" s="528"/>
      <c r="AD1039" s="524"/>
      <c r="AE1039" s="524"/>
      <c r="AF1039" s="524"/>
      <c r="AG1039" s="524"/>
      <c r="AH1039" s="527"/>
      <c r="AI1039" s="544"/>
      <c r="AJ1039" s="516"/>
      <c r="AK1039" s="516"/>
      <c r="AL1039" s="516"/>
      <c r="AM1039" s="294"/>
      <c r="AO1039" t="b">
        <f t="shared" si="759"/>
        <v>0</v>
      </c>
      <c r="AQ1039" s="443"/>
      <c r="AS1039" s="443"/>
      <c r="AT1039" s="617"/>
      <c r="AU1039" s="478"/>
      <c r="AV1039" s="638"/>
      <c r="AW1039" s="638"/>
      <c r="AX1039" s="655" t="str">
        <f t="shared" si="764"/>
        <v/>
      </c>
      <c r="AY1039" s="655" t="str">
        <f t="shared" si="756"/>
        <v/>
      </c>
      <c r="AZ1039" s="655" t="str">
        <f t="shared" si="765"/>
        <v/>
      </c>
      <c r="BA1039" s="655" t="str">
        <f t="shared" si="757"/>
        <v/>
      </c>
      <c r="BB1039" s="655" t="str">
        <f t="shared" si="760"/>
        <v/>
      </c>
      <c r="BC1039" s="655" t="str">
        <f t="shared" si="760"/>
        <v/>
      </c>
    </row>
    <row r="1040" spans="1:55" ht="12" customHeight="1">
      <c r="A1040" s="36"/>
      <c r="B1040" s="36"/>
      <c r="C1040" s="36"/>
      <c r="D1040" s="36"/>
      <c r="E1040" s="36"/>
      <c r="F1040" s="36"/>
      <c r="G1040" s="36"/>
      <c r="H1040" s="204"/>
      <c r="I1040" s="132">
        <v>911</v>
      </c>
      <c r="J1040" s="241">
        <v>3299</v>
      </c>
      <c r="K1040" s="40" t="s">
        <v>539</v>
      </c>
      <c r="L1040" s="309">
        <v>0</v>
      </c>
      <c r="M1040" s="309">
        <v>0</v>
      </c>
      <c r="N1040" s="339">
        <v>1917</v>
      </c>
      <c r="O1040" s="346">
        <f>N1040/7.5345</f>
        <v>254.42962373083813</v>
      </c>
      <c r="P1040" s="294">
        <v>1100</v>
      </c>
      <c r="Q1040" s="294">
        <v>1100</v>
      </c>
      <c r="R1040" s="443">
        <v>126</v>
      </c>
      <c r="S1040" s="294"/>
      <c r="T1040" s="294"/>
      <c r="U1040" s="294"/>
      <c r="V1040" s="478">
        <v>1150</v>
      </c>
      <c r="W1040" s="478">
        <v>1150.25</v>
      </c>
      <c r="X1040" s="544">
        <v>1400.3</v>
      </c>
      <c r="Y1040" s="544"/>
      <c r="Z1040" s="541" t="b">
        <f t="shared" si="758"/>
        <v>0</v>
      </c>
      <c r="AA1040" s="527"/>
      <c r="AB1040" s="528">
        <v>1200</v>
      </c>
      <c r="AC1040" s="528">
        <v>1200</v>
      </c>
      <c r="AD1040" s="524"/>
      <c r="AE1040" s="524"/>
      <c r="AF1040" s="524"/>
      <c r="AG1040" s="524"/>
      <c r="AH1040" s="527"/>
      <c r="AI1040" s="544">
        <v>1400.3</v>
      </c>
      <c r="AJ1040" s="516">
        <f>W1040/R1040*100</f>
        <v>912.89682539682553</v>
      </c>
      <c r="AK1040" s="516">
        <f>AT1040/W1040*100</f>
        <v>99.978265594435982</v>
      </c>
      <c r="AL1040" s="516">
        <f>X1040/AT1040*100</f>
        <v>121.76521739130435</v>
      </c>
      <c r="AM1040" s="294"/>
      <c r="AO1040" t="b">
        <f t="shared" si="759"/>
        <v>0</v>
      </c>
      <c r="AQ1040" s="443"/>
      <c r="AS1040" s="443"/>
      <c r="AT1040" s="617">
        <v>1150</v>
      </c>
      <c r="AU1040" s="478">
        <v>1150</v>
      </c>
      <c r="AV1040" s="638">
        <v>1400.3</v>
      </c>
      <c r="AW1040" s="638">
        <v>1400.3</v>
      </c>
      <c r="AX1040" s="655">
        <f t="shared" si="764"/>
        <v>912.69841269841265</v>
      </c>
      <c r="AY1040" s="655" t="str">
        <f t="shared" si="756"/>
        <v/>
      </c>
      <c r="AZ1040" s="655">
        <f t="shared" si="765"/>
        <v>100</v>
      </c>
      <c r="BA1040" s="655" t="str">
        <f t="shared" si="757"/>
        <v/>
      </c>
      <c r="BB1040" s="655">
        <f t="shared" si="760"/>
        <v>121.76521739130435</v>
      </c>
      <c r="BC1040" s="655">
        <f t="shared" si="760"/>
        <v>100</v>
      </c>
    </row>
    <row r="1041" spans="1:55" ht="12" customHeight="1">
      <c r="A1041" s="36"/>
      <c r="B1041" s="36"/>
      <c r="C1041" s="36"/>
      <c r="D1041" s="36"/>
      <c r="E1041" s="36"/>
      <c r="F1041" s="36"/>
      <c r="G1041" s="36"/>
      <c r="H1041" s="204"/>
      <c r="I1041" s="132"/>
      <c r="J1041" s="241"/>
      <c r="K1041" s="40"/>
      <c r="L1041" s="324"/>
      <c r="M1041" s="324"/>
      <c r="N1041" s="348"/>
      <c r="O1041" s="348"/>
      <c r="P1041" s="303"/>
      <c r="Q1041" s="303"/>
      <c r="R1041" s="460"/>
      <c r="S1041" s="303"/>
      <c r="T1041" s="303"/>
      <c r="U1041" s="303"/>
      <c r="V1041" s="484"/>
      <c r="W1041" s="484"/>
      <c r="X1041" s="554"/>
      <c r="Y1041" s="554"/>
      <c r="Z1041" s="541" t="b">
        <f t="shared" si="758"/>
        <v>0</v>
      </c>
      <c r="AA1041" s="555"/>
      <c r="AB1041" s="556"/>
      <c r="AC1041" s="556"/>
      <c r="AD1041" s="524"/>
      <c r="AE1041" s="524"/>
      <c r="AF1041" s="524"/>
      <c r="AG1041" s="524"/>
      <c r="AH1041" s="555"/>
      <c r="AI1041" s="554"/>
      <c r="AJ1041" s="516"/>
      <c r="AK1041" s="516"/>
      <c r="AL1041" s="516"/>
      <c r="AM1041" s="303"/>
      <c r="AO1041" t="b">
        <f t="shared" si="759"/>
        <v>0</v>
      </c>
      <c r="AQ1041" s="460"/>
      <c r="AS1041" s="460"/>
      <c r="AT1041" s="619"/>
      <c r="AU1041" s="484"/>
      <c r="AV1041" s="646"/>
      <c r="AW1041" s="646"/>
      <c r="AX1041" s="655" t="str">
        <f t="shared" si="764"/>
        <v/>
      </c>
      <c r="AY1041" s="655" t="str">
        <f t="shared" si="756"/>
        <v/>
      </c>
      <c r="AZ1041" s="655" t="str">
        <f t="shared" si="765"/>
        <v/>
      </c>
      <c r="BA1041" s="655" t="str">
        <f t="shared" si="757"/>
        <v/>
      </c>
      <c r="BB1041" s="655" t="str">
        <f t="shared" si="760"/>
        <v/>
      </c>
      <c r="BC1041" s="655" t="str">
        <f t="shared" si="760"/>
        <v/>
      </c>
    </row>
    <row r="1042" spans="1:55" ht="12" customHeight="1">
      <c r="A1042" s="355"/>
      <c r="B1042" s="355"/>
      <c r="C1042" s="355"/>
      <c r="D1042" s="355"/>
      <c r="E1042" s="355"/>
      <c r="F1042" s="355"/>
      <c r="G1042" s="355"/>
      <c r="H1042" s="379"/>
      <c r="I1042" s="359"/>
      <c r="J1042" s="356">
        <v>34</v>
      </c>
      <c r="K1042" s="358" t="s">
        <v>128</v>
      </c>
      <c r="L1042" s="315">
        <f t="shared" ref="L1042:AC1043" si="766">L1043</f>
        <v>4303</v>
      </c>
      <c r="M1042" s="315">
        <f t="shared" si="766"/>
        <v>571.10624460813585</v>
      </c>
      <c r="N1042" s="337">
        <f t="shared" si="766"/>
        <v>4491</v>
      </c>
      <c r="O1042" s="337">
        <f t="shared" si="766"/>
        <v>596.05813259008562</v>
      </c>
      <c r="P1042" s="292">
        <f t="shared" si="766"/>
        <v>1100</v>
      </c>
      <c r="Q1042" s="292">
        <f t="shared" si="766"/>
        <v>1200</v>
      </c>
      <c r="R1042" s="441">
        <f t="shared" si="766"/>
        <v>699</v>
      </c>
      <c r="S1042" s="292">
        <f t="shared" si="766"/>
        <v>0</v>
      </c>
      <c r="T1042" s="292"/>
      <c r="U1042" s="292"/>
      <c r="V1042" s="469">
        <f t="shared" si="766"/>
        <v>1930</v>
      </c>
      <c r="W1042" s="469">
        <f t="shared" si="766"/>
        <v>1930</v>
      </c>
      <c r="X1042" s="522">
        <f t="shared" si="766"/>
        <v>1400</v>
      </c>
      <c r="Y1042" s="522">
        <f t="shared" si="766"/>
        <v>0</v>
      </c>
      <c r="Z1042" s="541" t="b">
        <f t="shared" si="758"/>
        <v>1</v>
      </c>
      <c r="AA1042" s="522"/>
      <c r="AB1042" s="523">
        <f t="shared" si="766"/>
        <v>1200</v>
      </c>
      <c r="AC1042" s="523">
        <f t="shared" si="766"/>
        <v>1200</v>
      </c>
      <c r="AD1042" s="524">
        <f>O1042/M1042*100</f>
        <v>104.36904485242854</v>
      </c>
      <c r="AE1042" s="524">
        <f t="shared" ref="AE1042:AF1044" si="767">P1042/O1042*100</f>
        <v>184.54575818303275</v>
      </c>
      <c r="AF1042" s="524">
        <f t="shared" si="767"/>
        <v>109.09090909090908</v>
      </c>
      <c r="AG1042" s="524">
        <f>AB1042/Q1042*100</f>
        <v>100</v>
      </c>
      <c r="AH1042" s="522"/>
      <c r="AI1042" s="522">
        <v>1400</v>
      </c>
      <c r="AJ1042" s="516">
        <f>W1042/R1042*100</f>
        <v>276.10872675250357</v>
      </c>
      <c r="AK1042" s="516">
        <f>AT1042/W1042*100</f>
        <v>62.176165803108809</v>
      </c>
      <c r="AL1042" s="516">
        <f>X1042/AT1042*100</f>
        <v>116.66666666666667</v>
      </c>
      <c r="AM1042" s="292"/>
      <c r="AO1042" t="b">
        <f t="shared" si="759"/>
        <v>1</v>
      </c>
      <c r="AP1042" s="440">
        <f>AP1043</f>
        <v>0</v>
      </c>
      <c r="AQ1042" s="441">
        <v>732.34</v>
      </c>
      <c r="AR1042" s="440">
        <f>AR1043</f>
        <v>0</v>
      </c>
      <c r="AS1042" s="441"/>
      <c r="AT1042" s="612">
        <f>AT1043</f>
        <v>1200</v>
      </c>
      <c r="AU1042" s="469">
        <f>AU1043</f>
        <v>1200</v>
      </c>
      <c r="AV1042" s="636">
        <v>1400</v>
      </c>
      <c r="AW1042" s="636">
        <v>1400</v>
      </c>
      <c r="AX1042" s="655">
        <f t="shared" si="764"/>
        <v>171.67381974248929</v>
      </c>
      <c r="AY1042" s="655" t="str">
        <f t="shared" si="756"/>
        <v/>
      </c>
      <c r="AZ1042" s="655">
        <f t="shared" si="765"/>
        <v>100</v>
      </c>
      <c r="BA1042" s="655" t="str">
        <f t="shared" si="757"/>
        <v/>
      </c>
      <c r="BB1042" s="655">
        <f t="shared" si="760"/>
        <v>116.66666666666667</v>
      </c>
      <c r="BC1042" s="655">
        <f t="shared" si="760"/>
        <v>100</v>
      </c>
    </row>
    <row r="1043" spans="1:55" s="198" customFormat="1" ht="12" customHeight="1">
      <c r="A1043" s="56"/>
      <c r="B1043" s="137"/>
      <c r="C1043" s="137"/>
      <c r="D1043" s="137"/>
      <c r="E1043" s="137"/>
      <c r="F1043" s="137"/>
      <c r="G1043" s="137"/>
      <c r="H1043" s="387"/>
      <c r="I1043" s="176"/>
      <c r="J1043" s="116">
        <v>343</v>
      </c>
      <c r="K1043" s="60" t="s">
        <v>221</v>
      </c>
      <c r="L1043" s="315">
        <f t="shared" si="766"/>
        <v>4303</v>
      </c>
      <c r="M1043" s="315">
        <f t="shared" si="766"/>
        <v>571.10624460813585</v>
      </c>
      <c r="N1043" s="337">
        <f t="shared" si="766"/>
        <v>4491</v>
      </c>
      <c r="O1043" s="337">
        <f t="shared" si="766"/>
        <v>596.05813259008562</v>
      </c>
      <c r="P1043" s="292">
        <f t="shared" si="766"/>
        <v>1100</v>
      </c>
      <c r="Q1043" s="292">
        <f t="shared" si="766"/>
        <v>1200</v>
      </c>
      <c r="R1043" s="441">
        <f t="shared" si="766"/>
        <v>699</v>
      </c>
      <c r="S1043" s="292">
        <f t="shared" si="766"/>
        <v>0</v>
      </c>
      <c r="T1043" s="292"/>
      <c r="U1043" s="292"/>
      <c r="V1043" s="469">
        <f t="shared" si="766"/>
        <v>1930</v>
      </c>
      <c r="W1043" s="469">
        <f t="shared" si="766"/>
        <v>1930</v>
      </c>
      <c r="X1043" s="522">
        <f t="shared" si="766"/>
        <v>1400</v>
      </c>
      <c r="Y1043" s="522">
        <f t="shared" si="766"/>
        <v>0</v>
      </c>
      <c r="Z1043" s="541" t="b">
        <f t="shared" si="758"/>
        <v>1</v>
      </c>
      <c r="AA1043" s="522"/>
      <c r="AB1043" s="523">
        <f t="shared" si="766"/>
        <v>1200</v>
      </c>
      <c r="AC1043" s="523">
        <f t="shared" si="766"/>
        <v>1200</v>
      </c>
      <c r="AD1043" s="524">
        <f>O1043/M1043*100</f>
        <v>104.36904485242854</v>
      </c>
      <c r="AE1043" s="524">
        <f t="shared" si="767"/>
        <v>184.54575818303275</v>
      </c>
      <c r="AF1043" s="524">
        <f t="shared" si="767"/>
        <v>109.09090909090908</v>
      </c>
      <c r="AG1043" s="524">
        <f>AB1043/Q1043*100</f>
        <v>100</v>
      </c>
      <c r="AH1043" s="522"/>
      <c r="AI1043" s="522">
        <v>1400</v>
      </c>
      <c r="AJ1043" s="516">
        <f>W1043/R1043*100</f>
        <v>276.10872675250357</v>
      </c>
      <c r="AK1043" s="516">
        <f>AT1043/W1043*100</f>
        <v>62.176165803108809</v>
      </c>
      <c r="AL1043" s="516">
        <f>X1043/AT1043*100</f>
        <v>116.66666666666667</v>
      </c>
      <c r="AM1043" s="292"/>
      <c r="AO1043" t="b">
        <f t="shared" si="759"/>
        <v>1</v>
      </c>
      <c r="AP1043" s="440">
        <f>AP1044</f>
        <v>0</v>
      </c>
      <c r="AQ1043" s="441">
        <v>732.34</v>
      </c>
      <c r="AR1043" s="440">
        <f>AR1044</f>
        <v>0</v>
      </c>
      <c r="AS1043" s="441"/>
      <c r="AT1043" s="612">
        <f>AT1044</f>
        <v>1200</v>
      </c>
      <c r="AU1043" s="469">
        <f>AU1044</f>
        <v>1200</v>
      </c>
      <c r="AV1043" s="636">
        <v>1400</v>
      </c>
      <c r="AW1043" s="636">
        <v>1400</v>
      </c>
      <c r="AX1043" s="655">
        <f t="shared" si="764"/>
        <v>171.67381974248929</v>
      </c>
      <c r="AY1043" s="655">
        <f t="shared" si="756"/>
        <v>5.496282223099592</v>
      </c>
      <c r="AZ1043" s="655">
        <f t="shared" si="765"/>
        <v>100</v>
      </c>
      <c r="BA1043" s="655">
        <f t="shared" si="757"/>
        <v>5.496282223099592</v>
      </c>
      <c r="BB1043" s="655">
        <f t="shared" si="760"/>
        <v>116.66666666666667</v>
      </c>
      <c r="BC1043" s="655">
        <f t="shared" si="760"/>
        <v>100</v>
      </c>
    </row>
    <row r="1044" spans="1:55" ht="12" customHeight="1">
      <c r="A1044" s="36"/>
      <c r="B1044" s="36"/>
      <c r="C1044" s="36"/>
      <c r="D1044" s="36"/>
      <c r="E1044" s="36"/>
      <c r="F1044" s="36"/>
      <c r="G1044" s="36"/>
      <c r="H1044" s="204"/>
      <c r="I1044" s="132">
        <v>911</v>
      </c>
      <c r="J1044" s="71">
        <v>3431</v>
      </c>
      <c r="K1044" s="40" t="s">
        <v>529</v>
      </c>
      <c r="L1044" s="309">
        <v>4303</v>
      </c>
      <c r="M1044" s="309">
        <f>4303/7.5345</f>
        <v>571.10624460813585</v>
      </c>
      <c r="N1044" s="339">
        <v>4491</v>
      </c>
      <c r="O1044" s="339">
        <f>N1044/7.5345</f>
        <v>596.05813259008562</v>
      </c>
      <c r="P1044" s="294">
        <v>1100</v>
      </c>
      <c r="Q1044" s="269">
        <v>1200</v>
      </c>
      <c r="R1044" s="443">
        <v>699</v>
      </c>
      <c r="S1044" s="294"/>
      <c r="T1044" s="294"/>
      <c r="U1044" s="294"/>
      <c r="V1044" s="478">
        <v>1930</v>
      </c>
      <c r="W1044" s="478">
        <v>1930</v>
      </c>
      <c r="X1044" s="544">
        <v>1400</v>
      </c>
      <c r="Y1044" s="544"/>
      <c r="Z1044" s="541" t="b">
        <f t="shared" si="758"/>
        <v>0</v>
      </c>
      <c r="AA1044" s="527"/>
      <c r="AB1044" s="528">
        <v>1200</v>
      </c>
      <c r="AC1044" s="528">
        <v>1200</v>
      </c>
      <c r="AD1044" s="524">
        <f>O1044/M1044*100</f>
        <v>104.36904485242854</v>
      </c>
      <c r="AE1044" s="524">
        <f t="shared" si="767"/>
        <v>184.54575818303275</v>
      </c>
      <c r="AF1044" s="524">
        <f t="shared" si="767"/>
        <v>109.09090909090908</v>
      </c>
      <c r="AG1044" s="524">
        <f>AB1044/Q1044*100</f>
        <v>100</v>
      </c>
      <c r="AH1044" s="527"/>
      <c r="AI1044" s="544">
        <v>1400</v>
      </c>
      <c r="AJ1044" s="516">
        <f>W1044/R1044*100</f>
        <v>276.10872675250357</v>
      </c>
      <c r="AK1044" s="516">
        <f>AT1044/W1044*100</f>
        <v>62.176165803108809</v>
      </c>
      <c r="AL1044" s="516">
        <f>X1044/AT1044*100</f>
        <v>116.66666666666667</v>
      </c>
      <c r="AM1044" s="294"/>
      <c r="AO1044" t="b">
        <f t="shared" si="759"/>
        <v>0</v>
      </c>
      <c r="AQ1044" s="443">
        <v>732.34</v>
      </c>
      <c r="AS1044" s="443"/>
      <c r="AT1044" s="617">
        <v>1200</v>
      </c>
      <c r="AU1044" s="478">
        <v>1200</v>
      </c>
      <c r="AV1044" s="638">
        <v>1400</v>
      </c>
      <c r="AW1044" s="638">
        <v>1400</v>
      </c>
      <c r="AX1044" s="655">
        <f t="shared" si="764"/>
        <v>171.67381974248929</v>
      </c>
      <c r="AY1044" s="655">
        <f t="shared" si="756"/>
        <v>5.496282223099592</v>
      </c>
      <c r="AZ1044" s="655">
        <f t="shared" si="765"/>
        <v>100</v>
      </c>
      <c r="BA1044" s="655">
        <f t="shared" si="757"/>
        <v>5.496282223099592</v>
      </c>
      <c r="BB1044" s="655">
        <f t="shared" si="760"/>
        <v>116.66666666666667</v>
      </c>
      <c r="BC1044" s="655">
        <f t="shared" si="760"/>
        <v>100</v>
      </c>
    </row>
    <row r="1045" spans="1:55" ht="12" customHeight="1">
      <c r="A1045" s="20"/>
      <c r="B1045" s="20"/>
      <c r="C1045" s="20"/>
      <c r="D1045" s="20"/>
      <c r="E1045" s="20"/>
      <c r="F1045" s="20"/>
      <c r="G1045" s="20"/>
      <c r="H1045" s="375"/>
      <c r="I1045" s="22"/>
      <c r="J1045" s="21"/>
      <c r="K1045" s="19"/>
      <c r="L1045" s="313"/>
      <c r="M1045" s="313"/>
      <c r="N1045" s="335"/>
      <c r="O1045" s="335"/>
      <c r="P1045" s="290"/>
      <c r="Q1045" s="290"/>
      <c r="R1045" s="457"/>
      <c r="S1045" s="300"/>
      <c r="T1045" s="300"/>
      <c r="U1045" s="300"/>
      <c r="V1045" s="474"/>
      <c r="W1045" s="474"/>
      <c r="X1045" s="539"/>
      <c r="Y1045" s="539"/>
      <c r="Z1045" s="541" t="b">
        <f t="shared" si="758"/>
        <v>0</v>
      </c>
      <c r="AA1045" s="546"/>
      <c r="AB1045" s="515"/>
      <c r="AC1045" s="515"/>
      <c r="AD1045" s="524"/>
      <c r="AE1045" s="524"/>
      <c r="AF1045" s="524"/>
      <c r="AG1045" s="524"/>
      <c r="AH1045" s="546"/>
      <c r="AI1045" s="539"/>
      <c r="AJ1045" s="516"/>
      <c r="AK1045" s="516"/>
      <c r="AL1045" s="516"/>
      <c r="AM1045" s="300"/>
      <c r="AO1045" t="b">
        <f t="shared" si="759"/>
        <v>0</v>
      </c>
      <c r="AQ1045" s="457"/>
      <c r="AS1045" s="457"/>
      <c r="AT1045" s="616"/>
      <c r="AU1045" s="474"/>
      <c r="AV1045" s="632"/>
      <c r="AW1045" s="632"/>
      <c r="AX1045" s="655" t="str">
        <f t="shared" si="764"/>
        <v/>
      </c>
      <c r="AY1045" s="655" t="str">
        <f t="shared" si="756"/>
        <v/>
      </c>
      <c r="AZ1045" s="655" t="str">
        <f t="shared" si="765"/>
        <v/>
      </c>
      <c r="BA1045" s="655" t="str">
        <f t="shared" si="757"/>
        <v/>
      </c>
      <c r="BB1045" s="655" t="str">
        <f t="shared" si="760"/>
        <v/>
      </c>
      <c r="BC1045" s="655" t="str">
        <f t="shared" si="760"/>
        <v/>
      </c>
    </row>
    <row r="1046" spans="1:55" ht="12" customHeight="1">
      <c r="A1046" s="250" t="s">
        <v>486</v>
      </c>
      <c r="B1046" s="251"/>
      <c r="C1046" s="251"/>
      <c r="D1046" s="251"/>
      <c r="E1046" s="251"/>
      <c r="F1046" s="251"/>
      <c r="G1046" s="251"/>
      <c r="H1046" s="388"/>
      <c r="I1046" s="167" t="s">
        <v>412</v>
      </c>
      <c r="J1046" s="145"/>
      <c r="K1046" s="45"/>
      <c r="L1046" s="320">
        <f t="shared" ref="L1046:S1046" si="768">L1048</f>
        <v>27582</v>
      </c>
      <c r="M1046" s="320">
        <f t="shared" si="768"/>
        <v>3660.7605016922157</v>
      </c>
      <c r="N1046" s="344">
        <f t="shared" si="768"/>
        <v>23065</v>
      </c>
      <c r="O1046" s="344">
        <f t="shared" si="768"/>
        <v>3061.2515760833498</v>
      </c>
      <c r="P1046" s="299">
        <f t="shared" si="768"/>
        <v>5900</v>
      </c>
      <c r="Q1046" s="299">
        <f t="shared" si="768"/>
        <v>6000</v>
      </c>
      <c r="R1046" s="447">
        <f t="shared" si="768"/>
        <v>3982</v>
      </c>
      <c r="S1046" s="299">
        <f t="shared" si="768"/>
        <v>0</v>
      </c>
      <c r="T1046" s="299"/>
      <c r="U1046" s="299"/>
      <c r="V1046" s="477">
        <f>V1048</f>
        <v>8380</v>
      </c>
      <c r="W1046" s="477">
        <f>W1048</f>
        <v>8380</v>
      </c>
      <c r="X1046" s="542">
        <f>X1048</f>
        <v>10500</v>
      </c>
      <c r="Y1046" s="542">
        <f>Y1048</f>
        <v>0</v>
      </c>
      <c r="Z1046" s="541" t="b">
        <f t="shared" si="758"/>
        <v>1</v>
      </c>
      <c r="AA1046" s="542"/>
      <c r="AB1046" s="543">
        <f>AB1048</f>
        <v>6000</v>
      </c>
      <c r="AC1046" s="543">
        <f>AC1048</f>
        <v>6000</v>
      </c>
      <c r="AD1046" s="524">
        <f>O1046/M1046*100</f>
        <v>83.62337756507867</v>
      </c>
      <c r="AE1046" s="524">
        <f>P1046/O1046*100</f>
        <v>192.73162800780403</v>
      </c>
      <c r="AF1046" s="524">
        <f>Q1046/P1046*100</f>
        <v>101.69491525423729</v>
      </c>
      <c r="AG1046" s="524">
        <f>AB1046/Q1046*100</f>
        <v>100</v>
      </c>
      <c r="AH1046" s="542"/>
      <c r="AI1046" s="542">
        <v>10500</v>
      </c>
      <c r="AJ1046" s="516">
        <f>W1046/R1046*100</f>
        <v>210.44701155198391</v>
      </c>
      <c r="AK1046" s="516">
        <f>AT1046/W1046*100</f>
        <v>112.17183770883055</v>
      </c>
      <c r="AL1046" s="516">
        <f>X1046/AT1046*100</f>
        <v>111.70212765957446</v>
      </c>
      <c r="AM1046" s="299"/>
      <c r="AO1046" t="b">
        <f t="shared" si="759"/>
        <v>1</v>
      </c>
      <c r="AP1046" s="503">
        <f>AP1048</f>
        <v>0</v>
      </c>
      <c r="AQ1046" s="447">
        <v>21832.94</v>
      </c>
      <c r="AR1046" s="503">
        <f>AR1048</f>
        <v>0</v>
      </c>
      <c r="AS1046" s="447"/>
      <c r="AT1046" s="611">
        <f>AT1048</f>
        <v>9400</v>
      </c>
      <c r="AU1046" s="477">
        <f>AU1048</f>
        <v>9400</v>
      </c>
      <c r="AV1046" s="643">
        <v>10500</v>
      </c>
      <c r="AW1046" s="643">
        <v>10500</v>
      </c>
      <c r="AX1046" s="655">
        <f t="shared" si="764"/>
        <v>236.06228026117529</v>
      </c>
      <c r="AY1046" s="655" t="str">
        <f t="shared" si="756"/>
        <v/>
      </c>
      <c r="AZ1046" s="655">
        <f t="shared" si="765"/>
        <v>100</v>
      </c>
      <c r="BA1046" s="655" t="str">
        <f t="shared" si="757"/>
        <v/>
      </c>
      <c r="BB1046" s="655">
        <f t="shared" si="760"/>
        <v>111.70212765957446</v>
      </c>
      <c r="BC1046" s="655">
        <f t="shared" si="760"/>
        <v>100</v>
      </c>
    </row>
    <row r="1047" spans="1:55" ht="12" customHeight="1">
      <c r="A1047" s="20"/>
      <c r="B1047" s="20"/>
      <c r="C1047" s="20"/>
      <c r="D1047" s="20"/>
      <c r="E1047" s="20"/>
      <c r="F1047" s="20"/>
      <c r="G1047" s="20"/>
      <c r="H1047" s="375"/>
      <c r="I1047" s="22"/>
      <c r="J1047" s="21"/>
      <c r="K1047" s="94"/>
      <c r="L1047" s="313"/>
      <c r="M1047" s="313"/>
      <c r="N1047" s="335"/>
      <c r="O1047" s="335"/>
      <c r="P1047" s="290"/>
      <c r="Q1047" s="290"/>
      <c r="R1047" s="439"/>
      <c r="S1047" s="290"/>
      <c r="T1047" s="290"/>
      <c r="U1047" s="290"/>
      <c r="V1047" s="474"/>
      <c r="W1047" s="474"/>
      <c r="X1047" s="539"/>
      <c r="Y1047" s="539"/>
      <c r="Z1047" s="541" t="b">
        <f t="shared" si="758"/>
        <v>0</v>
      </c>
      <c r="AA1047" s="514"/>
      <c r="AB1047" s="515"/>
      <c r="AC1047" s="515"/>
      <c r="AD1047" s="524"/>
      <c r="AE1047" s="524"/>
      <c r="AF1047" s="524"/>
      <c r="AG1047" s="524"/>
      <c r="AH1047" s="514"/>
      <c r="AI1047" s="539"/>
      <c r="AJ1047" s="516"/>
      <c r="AK1047" s="516"/>
      <c r="AL1047" s="516"/>
      <c r="AM1047" s="290"/>
      <c r="AO1047" t="b">
        <f t="shared" si="759"/>
        <v>0</v>
      </c>
      <c r="AQ1047" s="439"/>
      <c r="AS1047" s="439"/>
      <c r="AT1047" s="616"/>
      <c r="AU1047" s="474"/>
      <c r="AV1047" s="632"/>
      <c r="AW1047" s="632"/>
      <c r="AX1047" s="655" t="str">
        <f t="shared" si="764"/>
        <v/>
      </c>
      <c r="AY1047" s="655" t="str">
        <f t="shared" si="756"/>
        <v/>
      </c>
      <c r="AZ1047" s="655" t="str">
        <f t="shared" si="765"/>
        <v/>
      </c>
      <c r="BA1047" s="655" t="str">
        <f t="shared" si="757"/>
        <v/>
      </c>
      <c r="BB1047" s="655" t="str">
        <f t="shared" si="760"/>
        <v/>
      </c>
      <c r="BC1047" s="655" t="str">
        <f t="shared" si="760"/>
        <v/>
      </c>
    </row>
    <row r="1048" spans="1:55" ht="12" customHeight="1">
      <c r="A1048" s="52"/>
      <c r="B1048" s="52"/>
      <c r="C1048" s="52"/>
      <c r="D1048" s="52"/>
      <c r="E1048" s="52"/>
      <c r="F1048" s="52"/>
      <c r="G1048" s="52"/>
      <c r="H1048" s="384"/>
      <c r="I1048" s="156"/>
      <c r="J1048" s="94">
        <v>3</v>
      </c>
      <c r="K1048" s="21" t="s">
        <v>94</v>
      </c>
      <c r="L1048" s="315">
        <f t="shared" ref="L1048:S1049" si="769">L1049</f>
        <v>27582</v>
      </c>
      <c r="M1048" s="315">
        <f t="shared" si="769"/>
        <v>3660.7605016922157</v>
      </c>
      <c r="N1048" s="337">
        <f t="shared" si="769"/>
        <v>23065</v>
      </c>
      <c r="O1048" s="337">
        <f t="shared" si="769"/>
        <v>3061.2515760833498</v>
      </c>
      <c r="P1048" s="292">
        <f t="shared" si="769"/>
        <v>5900</v>
      </c>
      <c r="Q1048" s="292">
        <f t="shared" si="769"/>
        <v>6000</v>
      </c>
      <c r="R1048" s="441">
        <f t="shared" si="769"/>
        <v>3982</v>
      </c>
      <c r="S1048" s="292">
        <f t="shared" si="769"/>
        <v>0</v>
      </c>
      <c r="T1048" s="292"/>
      <c r="U1048" s="292"/>
      <c r="V1048" s="469">
        <f t="shared" ref="V1048:Y1049" si="770">V1049</f>
        <v>8380</v>
      </c>
      <c r="W1048" s="469">
        <f t="shared" si="770"/>
        <v>8380</v>
      </c>
      <c r="X1048" s="522">
        <f t="shared" si="770"/>
        <v>10500</v>
      </c>
      <c r="Y1048" s="522">
        <f t="shared" si="770"/>
        <v>0</v>
      </c>
      <c r="Z1048" s="541" t="b">
        <f t="shared" si="758"/>
        <v>1</v>
      </c>
      <c r="AA1048" s="522"/>
      <c r="AB1048" s="523">
        <f>AB1049</f>
        <v>6000</v>
      </c>
      <c r="AC1048" s="523">
        <f>AC1049</f>
        <v>6000</v>
      </c>
      <c r="AD1048" s="524">
        <f>O1048/M1048*100</f>
        <v>83.62337756507867</v>
      </c>
      <c r="AE1048" s="524">
        <f t="shared" ref="AE1048:AF1050" si="771">P1048/O1048*100</f>
        <v>192.73162800780403</v>
      </c>
      <c r="AF1048" s="524">
        <f t="shared" si="771"/>
        <v>101.69491525423729</v>
      </c>
      <c r="AG1048" s="524">
        <f>AB1048/Q1048*100</f>
        <v>100</v>
      </c>
      <c r="AH1048" s="522"/>
      <c r="AI1048" s="522">
        <v>10500</v>
      </c>
      <c r="AJ1048" s="516">
        <f>W1048/R1048*100</f>
        <v>210.44701155198391</v>
      </c>
      <c r="AK1048" s="516">
        <f>AT1048/W1048*100</f>
        <v>112.17183770883055</v>
      </c>
      <c r="AL1048" s="516">
        <f>X1048/AT1048*100</f>
        <v>111.70212765957446</v>
      </c>
      <c r="AM1048" s="292"/>
      <c r="AO1048" t="b">
        <f t="shared" si="759"/>
        <v>1</v>
      </c>
      <c r="AP1048" s="440">
        <f>AP1049</f>
        <v>0</v>
      </c>
      <c r="AQ1048" s="441">
        <v>21832.94</v>
      </c>
      <c r="AR1048" s="440">
        <f>AR1049</f>
        <v>0</v>
      </c>
      <c r="AS1048" s="441"/>
      <c r="AT1048" s="612">
        <f>AT1049</f>
        <v>9400</v>
      </c>
      <c r="AU1048" s="469">
        <f>AU1049</f>
        <v>9400</v>
      </c>
      <c r="AV1048" s="636">
        <v>10500</v>
      </c>
      <c r="AW1048" s="636">
        <v>10500</v>
      </c>
      <c r="AX1048" s="655">
        <f t="shared" si="764"/>
        <v>236.06228026117529</v>
      </c>
      <c r="AY1048" s="655" t="str">
        <f t="shared" si="756"/>
        <v/>
      </c>
      <c r="AZ1048" s="655">
        <f t="shared" si="765"/>
        <v>100</v>
      </c>
      <c r="BA1048" s="655" t="str">
        <f t="shared" si="757"/>
        <v/>
      </c>
      <c r="BB1048" s="655">
        <f t="shared" si="760"/>
        <v>111.70212765957446</v>
      </c>
      <c r="BC1048" s="655">
        <f t="shared" si="760"/>
        <v>100</v>
      </c>
    </row>
    <row r="1049" spans="1:55" ht="12" customHeight="1">
      <c r="A1049" s="355"/>
      <c r="B1049" s="355"/>
      <c r="C1049" s="355"/>
      <c r="D1049" s="355"/>
      <c r="E1049" s="355"/>
      <c r="F1049" s="355"/>
      <c r="G1049" s="355"/>
      <c r="H1049" s="379"/>
      <c r="I1049" s="359"/>
      <c r="J1049" s="356">
        <v>38</v>
      </c>
      <c r="K1049" s="358" t="s">
        <v>144</v>
      </c>
      <c r="L1049" s="315">
        <f t="shared" si="769"/>
        <v>27582</v>
      </c>
      <c r="M1049" s="315">
        <f t="shared" si="769"/>
        <v>3660.7605016922157</v>
      </c>
      <c r="N1049" s="337">
        <f t="shared" si="769"/>
        <v>23065</v>
      </c>
      <c r="O1049" s="337">
        <f t="shared" si="769"/>
        <v>3061.2515760833498</v>
      </c>
      <c r="P1049" s="292">
        <f t="shared" si="769"/>
        <v>5900</v>
      </c>
      <c r="Q1049" s="292">
        <f t="shared" si="769"/>
        <v>6000</v>
      </c>
      <c r="R1049" s="441">
        <f t="shared" si="769"/>
        <v>3982</v>
      </c>
      <c r="S1049" s="292">
        <f t="shared" si="769"/>
        <v>0</v>
      </c>
      <c r="T1049" s="292"/>
      <c r="U1049" s="292"/>
      <c r="V1049" s="469">
        <f t="shared" si="770"/>
        <v>8380</v>
      </c>
      <c r="W1049" s="469">
        <f t="shared" si="770"/>
        <v>8380</v>
      </c>
      <c r="X1049" s="522">
        <f t="shared" si="770"/>
        <v>10500</v>
      </c>
      <c r="Y1049" s="522">
        <f t="shared" si="770"/>
        <v>0</v>
      </c>
      <c r="Z1049" s="541" t="b">
        <f t="shared" si="758"/>
        <v>1</v>
      </c>
      <c r="AA1049" s="522"/>
      <c r="AB1049" s="523">
        <f>AB1050</f>
        <v>6000</v>
      </c>
      <c r="AC1049" s="523">
        <f>AC1050</f>
        <v>6000</v>
      </c>
      <c r="AD1049" s="524">
        <f>O1049/M1049*100</f>
        <v>83.62337756507867</v>
      </c>
      <c r="AE1049" s="524">
        <f t="shared" si="771"/>
        <v>192.73162800780403</v>
      </c>
      <c r="AF1049" s="524">
        <f t="shared" si="771"/>
        <v>101.69491525423729</v>
      </c>
      <c r="AG1049" s="524">
        <f>AB1049/Q1049*100</f>
        <v>100</v>
      </c>
      <c r="AH1049" s="522"/>
      <c r="AI1049" s="522">
        <v>10500</v>
      </c>
      <c r="AJ1049" s="516">
        <f>W1049/R1049*100</f>
        <v>210.44701155198391</v>
      </c>
      <c r="AK1049" s="516">
        <f>AT1049/W1049*100</f>
        <v>112.17183770883055</v>
      </c>
      <c r="AL1049" s="516">
        <f>X1049/AT1049*100</f>
        <v>111.70212765957446</v>
      </c>
      <c r="AM1049" s="292"/>
      <c r="AO1049" t="b">
        <f t="shared" si="759"/>
        <v>1</v>
      </c>
      <c r="AP1049" s="440">
        <f>AP1050</f>
        <v>0</v>
      </c>
      <c r="AQ1049" s="441">
        <v>21832.94</v>
      </c>
      <c r="AR1049" s="440">
        <f>AR1050</f>
        <v>0</v>
      </c>
      <c r="AS1049" s="441"/>
      <c r="AT1049" s="612">
        <f>AT1050</f>
        <v>9400</v>
      </c>
      <c r="AU1049" s="469">
        <f>AU1050</f>
        <v>9400</v>
      </c>
      <c r="AV1049" s="636">
        <v>10500</v>
      </c>
      <c r="AW1049" s="636">
        <v>10500</v>
      </c>
      <c r="AX1049" s="655">
        <f t="shared" si="764"/>
        <v>236.06228026117529</v>
      </c>
      <c r="AY1049" s="655">
        <f t="shared" si="756"/>
        <v>70.228496632020608</v>
      </c>
      <c r="AZ1049" s="655">
        <f t="shared" si="765"/>
        <v>100</v>
      </c>
      <c r="BA1049" s="655">
        <f t="shared" si="757"/>
        <v>70.228496632020608</v>
      </c>
      <c r="BB1049" s="655">
        <f t="shared" si="760"/>
        <v>111.70212765957446</v>
      </c>
      <c r="BC1049" s="655">
        <f t="shared" si="760"/>
        <v>100</v>
      </c>
    </row>
    <row r="1050" spans="1:55" ht="12" customHeight="1">
      <c r="A1050" s="56"/>
      <c r="B1050" s="56"/>
      <c r="C1050" s="56"/>
      <c r="D1050" s="56"/>
      <c r="E1050" s="56"/>
      <c r="F1050" s="56"/>
      <c r="G1050" s="56"/>
      <c r="H1050" s="377"/>
      <c r="I1050" s="157"/>
      <c r="J1050" s="116">
        <v>381</v>
      </c>
      <c r="K1050" s="60" t="s">
        <v>236</v>
      </c>
      <c r="L1050" s="315">
        <f t="shared" ref="L1050:S1050" si="772">L1051+L1052</f>
        <v>27582</v>
      </c>
      <c r="M1050" s="315">
        <f t="shared" si="772"/>
        <v>3660.7605016922157</v>
      </c>
      <c r="N1050" s="337">
        <f t="shared" si="772"/>
        <v>23065</v>
      </c>
      <c r="O1050" s="337">
        <f t="shared" si="772"/>
        <v>3061.2515760833498</v>
      </c>
      <c r="P1050" s="292">
        <f t="shared" si="772"/>
        <v>5900</v>
      </c>
      <c r="Q1050" s="292">
        <f t="shared" si="772"/>
        <v>6000</v>
      </c>
      <c r="R1050" s="441">
        <f t="shared" si="772"/>
        <v>3982</v>
      </c>
      <c r="S1050" s="292">
        <f t="shared" si="772"/>
        <v>0</v>
      </c>
      <c r="T1050" s="292"/>
      <c r="U1050" s="292"/>
      <c r="V1050" s="469">
        <f>V1051+V1052</f>
        <v>8380</v>
      </c>
      <c r="W1050" s="469">
        <f>W1051+W1052</f>
        <v>8380</v>
      </c>
      <c r="X1050" s="522">
        <f>X1051+X1052</f>
        <v>10500</v>
      </c>
      <c r="Y1050" s="522">
        <f>Y1051+Y1052</f>
        <v>0</v>
      </c>
      <c r="Z1050" s="541" t="b">
        <f t="shared" si="758"/>
        <v>1</v>
      </c>
      <c r="AA1050" s="522"/>
      <c r="AB1050" s="523">
        <f>AB1051+AB1052</f>
        <v>6000</v>
      </c>
      <c r="AC1050" s="523">
        <f>AC1051+AC1052</f>
        <v>6000</v>
      </c>
      <c r="AD1050" s="524">
        <f>O1050/M1050*100</f>
        <v>83.62337756507867</v>
      </c>
      <c r="AE1050" s="524">
        <f t="shared" si="771"/>
        <v>192.73162800780403</v>
      </c>
      <c r="AF1050" s="524">
        <f t="shared" si="771"/>
        <v>101.69491525423729</v>
      </c>
      <c r="AG1050" s="524">
        <f>AB1050/Q1050*100</f>
        <v>100</v>
      </c>
      <c r="AH1050" s="522"/>
      <c r="AI1050" s="522">
        <v>10500</v>
      </c>
      <c r="AJ1050" s="516">
        <f>W1050/R1050*100</f>
        <v>210.44701155198391</v>
      </c>
      <c r="AK1050" s="516">
        <f>AT1050/W1050*100</f>
        <v>112.17183770883055</v>
      </c>
      <c r="AL1050" s="516">
        <f>X1050/AT1050*100</f>
        <v>111.70212765957446</v>
      </c>
      <c r="AM1050" s="292"/>
      <c r="AO1050" t="b">
        <f t="shared" si="759"/>
        <v>1</v>
      </c>
      <c r="AP1050" s="440">
        <f>AP1051+AP1052</f>
        <v>0</v>
      </c>
      <c r="AQ1050" s="441">
        <v>21832.94</v>
      </c>
      <c r="AR1050" s="440">
        <f>AR1051+AR1052</f>
        <v>0</v>
      </c>
      <c r="AS1050" s="441"/>
      <c r="AT1050" s="612">
        <f>AT1051+AT1052</f>
        <v>9400</v>
      </c>
      <c r="AU1050" s="469">
        <f>AU1051+AU1052</f>
        <v>9400</v>
      </c>
      <c r="AV1050" s="636">
        <v>10500</v>
      </c>
      <c r="AW1050" s="636">
        <v>10500</v>
      </c>
      <c r="AX1050" s="655">
        <f t="shared" si="764"/>
        <v>236.06228026117529</v>
      </c>
      <c r="AY1050" s="655" t="str">
        <f t="shared" si="756"/>
        <v/>
      </c>
      <c r="AZ1050" s="655">
        <f t="shared" si="765"/>
        <v>100</v>
      </c>
      <c r="BA1050" s="655" t="str">
        <f t="shared" si="757"/>
        <v/>
      </c>
      <c r="BB1050" s="655">
        <f t="shared" si="760"/>
        <v>111.70212765957446</v>
      </c>
      <c r="BC1050" s="655">
        <f t="shared" si="760"/>
        <v>100</v>
      </c>
    </row>
    <row r="1051" spans="1:55" ht="12" customHeight="1">
      <c r="A1051" s="36"/>
      <c r="B1051" s="36"/>
      <c r="C1051" s="36"/>
      <c r="D1051" s="36"/>
      <c r="E1051" s="36"/>
      <c r="F1051" s="36"/>
      <c r="G1051" s="36"/>
      <c r="H1051" s="204"/>
      <c r="I1051" s="132"/>
      <c r="J1051" s="71">
        <v>3811</v>
      </c>
      <c r="K1051" s="40" t="s">
        <v>145</v>
      </c>
      <c r="L1051" s="309"/>
      <c r="M1051" s="309"/>
      <c r="N1051" s="339"/>
      <c r="O1051" s="339"/>
      <c r="P1051" s="294"/>
      <c r="Q1051" s="294"/>
      <c r="R1051" s="443"/>
      <c r="S1051" s="294"/>
      <c r="T1051" s="294"/>
      <c r="U1051" s="294"/>
      <c r="V1051" s="478"/>
      <c r="W1051" s="478"/>
      <c r="X1051" s="544"/>
      <c r="Y1051" s="544"/>
      <c r="Z1051" s="541" t="b">
        <f t="shared" si="758"/>
        <v>0</v>
      </c>
      <c r="AA1051" s="527"/>
      <c r="AB1051" s="528"/>
      <c r="AC1051" s="528"/>
      <c r="AD1051" s="524"/>
      <c r="AE1051" s="524"/>
      <c r="AF1051" s="524"/>
      <c r="AG1051" s="524"/>
      <c r="AH1051" s="527"/>
      <c r="AI1051" s="544"/>
      <c r="AJ1051" s="516"/>
      <c r="AK1051" s="516"/>
      <c r="AL1051" s="516"/>
      <c r="AM1051" s="294"/>
      <c r="AO1051" t="b">
        <f t="shared" si="759"/>
        <v>0</v>
      </c>
      <c r="AQ1051" s="443"/>
      <c r="AS1051" s="443"/>
      <c r="AT1051" s="617"/>
      <c r="AU1051" s="478"/>
      <c r="AV1051" s="638"/>
      <c r="AW1051" s="638"/>
      <c r="AX1051" s="655" t="str">
        <f t="shared" si="764"/>
        <v/>
      </c>
      <c r="AY1051" s="655" t="str">
        <f t="shared" si="756"/>
        <v/>
      </c>
      <c r="AZ1051" s="655" t="str">
        <f t="shared" si="765"/>
        <v/>
      </c>
      <c r="BA1051" s="655" t="str">
        <f t="shared" si="757"/>
        <v/>
      </c>
      <c r="BB1051" s="655" t="str">
        <f t="shared" si="760"/>
        <v/>
      </c>
      <c r="BC1051" s="655" t="str">
        <f t="shared" si="760"/>
        <v/>
      </c>
    </row>
    <row r="1052" spans="1:55" ht="12" customHeight="1">
      <c r="A1052" s="36"/>
      <c r="B1052" s="36"/>
      <c r="C1052" s="36"/>
      <c r="D1052" s="36"/>
      <c r="E1052" s="36"/>
      <c r="F1052" s="36"/>
      <c r="G1052" s="36"/>
      <c r="H1052" s="204">
        <v>42</v>
      </c>
      <c r="I1052" s="132">
        <v>911</v>
      </c>
      <c r="J1052" s="71">
        <v>3812</v>
      </c>
      <c r="K1052" s="40" t="s">
        <v>413</v>
      </c>
      <c r="L1052" s="309">
        <v>27582</v>
      </c>
      <c r="M1052" s="309">
        <f>27582/7.5345</f>
        <v>3660.7605016922157</v>
      </c>
      <c r="N1052" s="339">
        <v>23065</v>
      </c>
      <c r="O1052" s="339">
        <f>N1052/7.5345</f>
        <v>3061.2515760833498</v>
      </c>
      <c r="P1052" s="294">
        <v>5900</v>
      </c>
      <c r="Q1052" s="269">
        <v>6000</v>
      </c>
      <c r="R1052" s="443">
        <v>3982</v>
      </c>
      <c r="S1052" s="294"/>
      <c r="T1052" s="294"/>
      <c r="U1052" s="294"/>
      <c r="V1052" s="478">
        <v>8380</v>
      </c>
      <c r="W1052" s="478">
        <v>8380</v>
      </c>
      <c r="X1052" s="544">
        <v>10500</v>
      </c>
      <c r="Y1052" s="544"/>
      <c r="Z1052" s="541" t="b">
        <f t="shared" si="758"/>
        <v>0</v>
      </c>
      <c r="AA1052" s="527"/>
      <c r="AB1052" s="528">
        <v>6000</v>
      </c>
      <c r="AC1052" s="528">
        <v>6000</v>
      </c>
      <c r="AD1052" s="524">
        <f>O1052/M1052*100</f>
        <v>83.62337756507867</v>
      </c>
      <c r="AE1052" s="524">
        <f>P1052/O1052*100</f>
        <v>192.73162800780403</v>
      </c>
      <c r="AF1052" s="524">
        <f>Q1052/P1052*100</f>
        <v>101.69491525423729</v>
      </c>
      <c r="AG1052" s="524">
        <f>AB1052/Q1052*100</f>
        <v>100</v>
      </c>
      <c r="AH1052" s="527"/>
      <c r="AI1052" s="544">
        <v>10500</v>
      </c>
      <c r="AJ1052" s="516">
        <f>W1052/R1052*100</f>
        <v>210.44701155198391</v>
      </c>
      <c r="AK1052" s="516">
        <f>AT1052/W1052*100</f>
        <v>112.17183770883055</v>
      </c>
      <c r="AL1052" s="516">
        <f>X1052/AT1052*100</f>
        <v>111.70212765957446</v>
      </c>
      <c r="AM1052" s="294"/>
      <c r="AO1052" t="b">
        <f t="shared" si="759"/>
        <v>0</v>
      </c>
      <c r="AQ1052" s="443">
        <v>21832.94</v>
      </c>
      <c r="AS1052" s="443"/>
      <c r="AT1052" s="617">
        <v>9400</v>
      </c>
      <c r="AU1052" s="478">
        <v>9400</v>
      </c>
      <c r="AV1052" s="638">
        <v>10500</v>
      </c>
      <c r="AW1052" s="638">
        <v>10500</v>
      </c>
      <c r="AX1052" s="655">
        <f t="shared" si="764"/>
        <v>236.06228026117529</v>
      </c>
      <c r="AY1052" s="655">
        <f t="shared" si="756"/>
        <v>70.228496632020608</v>
      </c>
      <c r="AZ1052" s="655">
        <f t="shared" si="765"/>
        <v>100</v>
      </c>
      <c r="BA1052" s="655">
        <f t="shared" si="757"/>
        <v>70.228496632020608</v>
      </c>
      <c r="BB1052" s="655">
        <f t="shared" si="760"/>
        <v>111.70212765957446</v>
      </c>
      <c r="BC1052" s="655">
        <f t="shared" si="760"/>
        <v>100</v>
      </c>
    </row>
    <row r="1053" spans="1:55" ht="12" customHeight="1">
      <c r="A1053" s="36"/>
      <c r="B1053" s="36"/>
      <c r="C1053" s="36"/>
      <c r="D1053" s="36"/>
      <c r="E1053" s="36"/>
      <c r="F1053" s="36"/>
      <c r="G1053" s="36"/>
      <c r="H1053" s="204"/>
      <c r="I1053" s="132"/>
      <c r="J1053" s="71"/>
      <c r="K1053" s="40"/>
      <c r="L1053" s="309"/>
      <c r="M1053" s="309"/>
      <c r="N1053" s="339"/>
      <c r="O1053" s="339"/>
      <c r="P1053" s="294"/>
      <c r="Q1053" s="294"/>
      <c r="R1053" s="443"/>
      <c r="S1053" s="294"/>
      <c r="T1053" s="294"/>
      <c r="U1053" s="294"/>
      <c r="V1053" s="478"/>
      <c r="W1053" s="478"/>
      <c r="X1053" s="544"/>
      <c r="Y1053" s="544"/>
      <c r="Z1053" s="541" t="b">
        <f t="shared" si="758"/>
        <v>0</v>
      </c>
      <c r="AA1053" s="527"/>
      <c r="AB1053" s="528"/>
      <c r="AC1053" s="528"/>
      <c r="AD1053" s="524"/>
      <c r="AE1053" s="524"/>
      <c r="AF1053" s="524"/>
      <c r="AG1053" s="524"/>
      <c r="AH1053" s="527"/>
      <c r="AI1053" s="544"/>
      <c r="AJ1053" s="516"/>
      <c r="AK1053" s="516"/>
      <c r="AL1053" s="516"/>
      <c r="AM1053" s="294"/>
      <c r="AO1053" t="b">
        <f t="shared" si="759"/>
        <v>0</v>
      </c>
      <c r="AQ1053" s="443"/>
      <c r="AS1053" s="443"/>
      <c r="AT1053" s="617"/>
      <c r="AU1053" s="478"/>
      <c r="AV1053" s="638"/>
      <c r="AW1053" s="638"/>
      <c r="AX1053" s="655" t="str">
        <f t="shared" si="764"/>
        <v/>
      </c>
      <c r="AY1053" s="655" t="str">
        <f t="shared" si="756"/>
        <v/>
      </c>
      <c r="AZ1053" s="655" t="str">
        <f t="shared" si="765"/>
        <v/>
      </c>
      <c r="BA1053" s="655" t="str">
        <f t="shared" si="757"/>
        <v/>
      </c>
      <c r="BB1053" s="655" t="str">
        <f t="shared" si="760"/>
        <v/>
      </c>
      <c r="BC1053" s="655" t="str">
        <f t="shared" si="760"/>
        <v/>
      </c>
    </row>
    <row r="1054" spans="1:55" ht="12" customHeight="1">
      <c r="A1054" s="212" t="s">
        <v>481</v>
      </c>
      <c r="B1054" s="130"/>
      <c r="C1054" s="130"/>
      <c r="D1054" s="130"/>
      <c r="E1054" s="130"/>
      <c r="F1054" s="130"/>
      <c r="G1054" s="130"/>
      <c r="H1054" s="383"/>
      <c r="I1054" s="170" t="s">
        <v>414</v>
      </c>
      <c r="J1054" s="171"/>
      <c r="K1054" s="111"/>
      <c r="L1054" s="315">
        <f t="shared" ref="L1054:S1054" si="773">L1056</f>
        <v>44348</v>
      </c>
      <c r="M1054" s="315">
        <f t="shared" si="773"/>
        <v>5885.9911075718355</v>
      </c>
      <c r="N1054" s="337">
        <f t="shared" si="773"/>
        <v>96414</v>
      </c>
      <c r="O1054" s="337">
        <f t="shared" si="773"/>
        <v>12796.336850487756</v>
      </c>
      <c r="P1054" s="292">
        <f t="shared" si="773"/>
        <v>8600</v>
      </c>
      <c r="Q1054" s="292">
        <f t="shared" si="773"/>
        <v>12700</v>
      </c>
      <c r="R1054" s="441">
        <f t="shared" si="773"/>
        <v>25088</v>
      </c>
      <c r="S1054" s="292">
        <f t="shared" si="773"/>
        <v>0</v>
      </c>
      <c r="T1054" s="292"/>
      <c r="U1054" s="292"/>
      <c r="V1054" s="469">
        <f>V1056</f>
        <v>23320</v>
      </c>
      <c r="W1054" s="469">
        <f>W1056</f>
        <v>17000</v>
      </c>
      <c r="X1054" s="522">
        <f>X1056</f>
        <v>16500.3</v>
      </c>
      <c r="Y1054" s="522">
        <f>Y1056</f>
        <v>0</v>
      </c>
      <c r="Z1054" s="541" t="b">
        <f t="shared" si="758"/>
        <v>1</v>
      </c>
      <c r="AA1054" s="522"/>
      <c r="AB1054" s="523">
        <f>AB1056</f>
        <v>8500</v>
      </c>
      <c r="AC1054" s="523">
        <f>AC1056</f>
        <v>8500</v>
      </c>
      <c r="AD1054" s="524">
        <f>O1054/M1054*100</f>
        <v>217.40326508523498</v>
      </c>
      <c r="AE1054" s="524">
        <f>P1054/O1054*100</f>
        <v>67.206733461945362</v>
      </c>
      <c r="AF1054" s="524">
        <f>Q1054/P1054*100</f>
        <v>147.67441860465115</v>
      </c>
      <c r="AG1054" s="524">
        <f>AB1054/Q1054*100</f>
        <v>66.929133858267718</v>
      </c>
      <c r="AH1054" s="522"/>
      <c r="AI1054" s="522">
        <v>16500.3</v>
      </c>
      <c r="AJ1054" s="516">
        <f>W1054/R1054*100</f>
        <v>67.761479591836732</v>
      </c>
      <c r="AK1054" s="516">
        <f>AT1054/W1054*100</f>
        <v>85.294117647058826</v>
      </c>
      <c r="AL1054" s="516">
        <f>X1054/AT1054*100</f>
        <v>113.79517241379308</v>
      </c>
      <c r="AM1054" s="292"/>
      <c r="AO1054" t="b">
        <f t="shared" si="759"/>
        <v>1</v>
      </c>
      <c r="AP1054" s="440">
        <f>AP1056</f>
        <v>0</v>
      </c>
      <c r="AQ1054" s="441">
        <v>13384.88</v>
      </c>
      <c r="AR1054" s="440">
        <f>AR1056</f>
        <v>0</v>
      </c>
      <c r="AS1054" s="441"/>
      <c r="AT1054" s="612">
        <f>AT1056</f>
        <v>14500</v>
      </c>
      <c r="AU1054" s="469">
        <f>AU1056</f>
        <v>14500</v>
      </c>
      <c r="AV1054" s="636">
        <v>16500.3</v>
      </c>
      <c r="AW1054" s="636">
        <v>16500.3</v>
      </c>
      <c r="AX1054" s="655">
        <f t="shared" si="764"/>
        <v>57.796556122448983</v>
      </c>
      <c r="AY1054" s="655">
        <f t="shared" si="756"/>
        <v>1394.3916605762201</v>
      </c>
      <c r="AZ1054" s="655">
        <f t="shared" si="765"/>
        <v>100</v>
      </c>
      <c r="BA1054" s="655">
        <f t="shared" si="757"/>
        <v>1394.3916605762201</v>
      </c>
      <c r="BB1054" s="655">
        <f t="shared" si="760"/>
        <v>113.79517241379308</v>
      </c>
      <c r="BC1054" s="655">
        <f t="shared" si="760"/>
        <v>100</v>
      </c>
    </row>
    <row r="1055" spans="1:55" ht="12" customHeight="1">
      <c r="A1055" s="36"/>
      <c r="B1055" s="36"/>
      <c r="C1055" s="36"/>
      <c r="D1055" s="36"/>
      <c r="E1055" s="36"/>
      <c r="F1055" s="36"/>
      <c r="G1055" s="36"/>
      <c r="H1055" s="204"/>
      <c r="I1055" s="132"/>
      <c r="J1055" s="71"/>
      <c r="K1055" s="40"/>
      <c r="L1055" s="326"/>
      <c r="M1055" s="326"/>
      <c r="N1055" s="350"/>
      <c r="O1055" s="350"/>
      <c r="P1055" s="305"/>
      <c r="Q1055" s="305"/>
      <c r="R1055" s="461"/>
      <c r="S1055" s="305"/>
      <c r="T1055" s="305"/>
      <c r="U1055" s="305"/>
      <c r="V1055" s="486"/>
      <c r="W1055" s="486"/>
      <c r="X1055" s="559"/>
      <c r="Y1055" s="559"/>
      <c r="Z1055" s="541" t="b">
        <f t="shared" si="758"/>
        <v>0</v>
      </c>
      <c r="AA1055" s="560"/>
      <c r="AB1055" s="561"/>
      <c r="AC1055" s="561"/>
      <c r="AD1055" s="524"/>
      <c r="AE1055" s="524"/>
      <c r="AF1055" s="524"/>
      <c r="AG1055" s="524"/>
      <c r="AH1055" s="560"/>
      <c r="AI1055" s="559"/>
      <c r="AJ1055" s="516"/>
      <c r="AK1055" s="516"/>
      <c r="AL1055" s="516"/>
      <c r="AM1055" s="305"/>
      <c r="AO1055" t="b">
        <f t="shared" si="759"/>
        <v>0</v>
      </c>
      <c r="AQ1055" s="461"/>
      <c r="AS1055" s="461"/>
      <c r="AT1055" s="616"/>
      <c r="AU1055" s="486"/>
      <c r="AV1055" s="648"/>
      <c r="AW1055" s="648"/>
      <c r="AX1055" s="655" t="str">
        <f t="shared" si="764"/>
        <v/>
      </c>
      <c r="AY1055" s="655" t="str">
        <f t="shared" si="756"/>
        <v/>
      </c>
      <c r="AZ1055" s="655" t="str">
        <f t="shared" si="765"/>
        <v/>
      </c>
      <c r="BA1055" s="655" t="str">
        <f t="shared" si="757"/>
        <v/>
      </c>
      <c r="BB1055" s="655" t="str">
        <f t="shared" si="760"/>
        <v/>
      </c>
      <c r="BC1055" s="655" t="str">
        <f t="shared" si="760"/>
        <v/>
      </c>
    </row>
    <row r="1056" spans="1:55" ht="12" customHeight="1">
      <c r="A1056" s="52"/>
      <c r="B1056" s="52"/>
      <c r="C1056" s="52"/>
      <c r="D1056" s="52"/>
      <c r="E1056" s="52"/>
      <c r="F1056" s="52"/>
      <c r="G1056" s="52"/>
      <c r="H1056" s="384"/>
      <c r="I1056" s="156"/>
      <c r="J1056" s="94">
        <v>4</v>
      </c>
      <c r="K1056" s="21" t="s">
        <v>337</v>
      </c>
      <c r="L1056" s="315">
        <f t="shared" ref="L1056:AC1057" si="774">L1057</f>
        <v>44348</v>
      </c>
      <c r="M1056" s="315">
        <f t="shared" si="774"/>
        <v>5885.9911075718355</v>
      </c>
      <c r="N1056" s="337">
        <f t="shared" si="774"/>
        <v>96414</v>
      </c>
      <c r="O1056" s="337">
        <f t="shared" si="774"/>
        <v>12796.336850487756</v>
      </c>
      <c r="P1056" s="292">
        <f t="shared" si="774"/>
        <v>8600</v>
      </c>
      <c r="Q1056" s="292">
        <f t="shared" si="774"/>
        <v>12700</v>
      </c>
      <c r="R1056" s="441">
        <f t="shared" si="774"/>
        <v>25088</v>
      </c>
      <c r="S1056" s="292">
        <f t="shared" si="774"/>
        <v>0</v>
      </c>
      <c r="T1056" s="292"/>
      <c r="U1056" s="292"/>
      <c r="V1056" s="469">
        <f t="shared" si="774"/>
        <v>23320</v>
      </c>
      <c r="W1056" s="469">
        <f t="shared" si="774"/>
        <v>17000</v>
      </c>
      <c r="X1056" s="522">
        <f t="shared" si="774"/>
        <v>16500.3</v>
      </c>
      <c r="Y1056" s="522">
        <f t="shared" si="774"/>
        <v>0</v>
      </c>
      <c r="Z1056" s="541" t="b">
        <f t="shared" si="758"/>
        <v>1</v>
      </c>
      <c r="AA1056" s="522"/>
      <c r="AB1056" s="523">
        <f t="shared" si="774"/>
        <v>8500</v>
      </c>
      <c r="AC1056" s="523">
        <f t="shared" si="774"/>
        <v>8500</v>
      </c>
      <c r="AD1056" s="524">
        <f>O1056/M1056*100</f>
        <v>217.40326508523498</v>
      </c>
      <c r="AE1056" s="524">
        <f t="shared" ref="AE1056:AF1058" si="775">P1056/O1056*100</f>
        <v>67.206733461945362</v>
      </c>
      <c r="AF1056" s="524">
        <f t="shared" si="775"/>
        <v>147.67441860465115</v>
      </c>
      <c r="AG1056" s="524">
        <f>AB1056/Q1056*100</f>
        <v>66.929133858267718</v>
      </c>
      <c r="AH1056" s="522"/>
      <c r="AI1056" s="522">
        <v>16500.3</v>
      </c>
      <c r="AJ1056" s="516">
        <f>W1056/R1056*100</f>
        <v>67.761479591836732</v>
      </c>
      <c r="AK1056" s="516">
        <f>AT1056/W1056*100</f>
        <v>85.294117647058826</v>
      </c>
      <c r="AL1056" s="516">
        <f>X1056/AT1056*100</f>
        <v>113.79517241379308</v>
      </c>
      <c r="AM1056" s="292"/>
      <c r="AO1056" t="b">
        <f t="shared" si="759"/>
        <v>1</v>
      </c>
      <c r="AP1056" s="440">
        <f>AP1057</f>
        <v>0</v>
      </c>
      <c r="AQ1056" s="441">
        <v>13384.88</v>
      </c>
      <c r="AR1056" s="440">
        <f>AR1057</f>
        <v>0</v>
      </c>
      <c r="AS1056" s="441"/>
      <c r="AT1056" s="612">
        <f>AT1057</f>
        <v>14500</v>
      </c>
      <c r="AU1056" s="469">
        <f>AU1057</f>
        <v>14500</v>
      </c>
      <c r="AV1056" s="636">
        <v>16500.3</v>
      </c>
      <c r="AW1056" s="636">
        <v>16500.3</v>
      </c>
      <c r="AX1056" s="655">
        <f t="shared" si="764"/>
        <v>57.796556122448983</v>
      </c>
      <c r="AY1056" s="655" t="str">
        <f t="shared" si="756"/>
        <v/>
      </c>
      <c r="AZ1056" s="655">
        <f t="shared" si="765"/>
        <v>100</v>
      </c>
      <c r="BA1056" s="655" t="str">
        <f t="shared" si="757"/>
        <v/>
      </c>
      <c r="BB1056" s="655">
        <f t="shared" si="760"/>
        <v>113.79517241379308</v>
      </c>
      <c r="BC1056" s="655">
        <f t="shared" si="760"/>
        <v>100</v>
      </c>
    </row>
    <row r="1057" spans="1:55" ht="12" customHeight="1">
      <c r="A1057" s="355"/>
      <c r="B1057" s="355"/>
      <c r="C1057" s="355"/>
      <c r="D1057" s="355"/>
      <c r="E1057" s="355"/>
      <c r="F1057" s="355"/>
      <c r="G1057" s="355"/>
      <c r="H1057" s="379"/>
      <c r="I1057" s="359"/>
      <c r="J1057" s="356">
        <v>42</v>
      </c>
      <c r="K1057" s="358" t="s">
        <v>325</v>
      </c>
      <c r="L1057" s="315">
        <f t="shared" si="774"/>
        <v>44348</v>
      </c>
      <c r="M1057" s="315">
        <f t="shared" si="774"/>
        <v>5885.9911075718355</v>
      </c>
      <c r="N1057" s="337">
        <f t="shared" si="774"/>
        <v>96414</v>
      </c>
      <c r="O1057" s="337">
        <f t="shared" si="774"/>
        <v>12796.336850487756</v>
      </c>
      <c r="P1057" s="292">
        <f t="shared" si="774"/>
        <v>8600</v>
      </c>
      <c r="Q1057" s="292">
        <f t="shared" si="774"/>
        <v>12700</v>
      </c>
      <c r="R1057" s="441">
        <f t="shared" si="774"/>
        <v>25088</v>
      </c>
      <c r="S1057" s="292">
        <f t="shared" si="774"/>
        <v>0</v>
      </c>
      <c r="T1057" s="292"/>
      <c r="U1057" s="292"/>
      <c r="V1057" s="469">
        <f t="shared" si="774"/>
        <v>23320</v>
      </c>
      <c r="W1057" s="469">
        <f t="shared" si="774"/>
        <v>17000</v>
      </c>
      <c r="X1057" s="522">
        <f t="shared" si="774"/>
        <v>16500.3</v>
      </c>
      <c r="Y1057" s="522">
        <f t="shared" si="774"/>
        <v>0</v>
      </c>
      <c r="Z1057" s="541" t="b">
        <f t="shared" si="758"/>
        <v>1</v>
      </c>
      <c r="AA1057" s="522"/>
      <c r="AB1057" s="523">
        <f t="shared" si="774"/>
        <v>8500</v>
      </c>
      <c r="AC1057" s="523">
        <f t="shared" si="774"/>
        <v>8500</v>
      </c>
      <c r="AD1057" s="524">
        <f>O1057/M1057*100</f>
        <v>217.40326508523498</v>
      </c>
      <c r="AE1057" s="524">
        <f t="shared" si="775"/>
        <v>67.206733461945362</v>
      </c>
      <c r="AF1057" s="524">
        <f t="shared" si="775"/>
        <v>147.67441860465115</v>
      </c>
      <c r="AG1057" s="524">
        <f>AB1057/Q1057*100</f>
        <v>66.929133858267718</v>
      </c>
      <c r="AH1057" s="522"/>
      <c r="AI1057" s="522">
        <v>16500.3</v>
      </c>
      <c r="AJ1057" s="516">
        <f>W1057/R1057*100</f>
        <v>67.761479591836732</v>
      </c>
      <c r="AK1057" s="516">
        <f>AT1057/W1057*100</f>
        <v>85.294117647058826</v>
      </c>
      <c r="AL1057" s="516">
        <f>X1057/AT1057*100</f>
        <v>113.79517241379308</v>
      </c>
      <c r="AM1057" s="292"/>
      <c r="AO1057" t="b">
        <f t="shared" si="759"/>
        <v>1</v>
      </c>
      <c r="AP1057" s="440">
        <f>AP1058</f>
        <v>0</v>
      </c>
      <c r="AQ1057" s="441">
        <v>13384.88</v>
      </c>
      <c r="AR1057" s="440">
        <f>AR1058</f>
        <v>0</v>
      </c>
      <c r="AS1057" s="441"/>
      <c r="AT1057" s="612">
        <f>AT1058</f>
        <v>14500</v>
      </c>
      <c r="AU1057" s="469">
        <f>AU1058</f>
        <v>14500</v>
      </c>
      <c r="AV1057" s="636">
        <v>16500.3</v>
      </c>
      <c r="AW1057" s="636">
        <v>16500.3</v>
      </c>
      <c r="AX1057" s="655">
        <f t="shared" si="764"/>
        <v>57.796556122448983</v>
      </c>
      <c r="AY1057" s="655">
        <f t="shared" si="756"/>
        <v>12.084801636732196</v>
      </c>
      <c r="AZ1057" s="655">
        <f t="shared" si="765"/>
        <v>100</v>
      </c>
      <c r="BA1057" s="655">
        <f t="shared" si="757"/>
        <v>12.084801636732196</v>
      </c>
      <c r="BB1057" s="655">
        <f t="shared" si="760"/>
        <v>113.79517241379308</v>
      </c>
      <c r="BC1057" s="655">
        <f t="shared" si="760"/>
        <v>100</v>
      </c>
    </row>
    <row r="1058" spans="1:55" ht="12" customHeight="1">
      <c r="A1058" s="56"/>
      <c r="B1058" s="56"/>
      <c r="C1058" s="56"/>
      <c r="D1058" s="56"/>
      <c r="E1058" s="56"/>
      <c r="F1058" s="56"/>
      <c r="G1058" s="56"/>
      <c r="H1058" s="377"/>
      <c r="I1058" s="157"/>
      <c r="J1058" s="116">
        <v>422</v>
      </c>
      <c r="K1058" s="60" t="s">
        <v>215</v>
      </c>
      <c r="L1058" s="315">
        <f t="shared" ref="L1058:S1058" si="776">L1059+L1060</f>
        <v>44348</v>
      </c>
      <c r="M1058" s="315">
        <f t="shared" si="776"/>
        <v>5885.9911075718355</v>
      </c>
      <c r="N1058" s="337">
        <f t="shared" si="776"/>
        <v>96414</v>
      </c>
      <c r="O1058" s="337">
        <f t="shared" si="776"/>
        <v>12796.336850487756</v>
      </c>
      <c r="P1058" s="292">
        <f t="shared" si="776"/>
        <v>8600</v>
      </c>
      <c r="Q1058" s="292">
        <f t="shared" si="776"/>
        <v>12700</v>
      </c>
      <c r="R1058" s="441">
        <f t="shared" si="776"/>
        <v>25088</v>
      </c>
      <c r="S1058" s="292">
        <f t="shared" si="776"/>
        <v>0</v>
      </c>
      <c r="T1058" s="292"/>
      <c r="U1058" s="292"/>
      <c r="V1058" s="469">
        <f>V1059+V1060</f>
        <v>23320</v>
      </c>
      <c r="W1058" s="469">
        <f>W1059+W1060</f>
        <v>17000</v>
      </c>
      <c r="X1058" s="522">
        <f>X1059+X1060</f>
        <v>16500.3</v>
      </c>
      <c r="Y1058" s="522">
        <f>Y1059+Y1060</f>
        <v>0</v>
      </c>
      <c r="Z1058" s="541" t="b">
        <f t="shared" si="758"/>
        <v>1</v>
      </c>
      <c r="AA1058" s="522"/>
      <c r="AB1058" s="523">
        <f>AB1059+AB1060</f>
        <v>8500</v>
      </c>
      <c r="AC1058" s="523">
        <f>AC1059+AC1060</f>
        <v>8500</v>
      </c>
      <c r="AD1058" s="524">
        <f>O1058/M1058*100</f>
        <v>217.40326508523498</v>
      </c>
      <c r="AE1058" s="524">
        <f t="shared" si="775"/>
        <v>67.206733461945362</v>
      </c>
      <c r="AF1058" s="524">
        <f t="shared" si="775"/>
        <v>147.67441860465115</v>
      </c>
      <c r="AG1058" s="524">
        <f>AB1058/Q1058*100</f>
        <v>66.929133858267718</v>
      </c>
      <c r="AH1058" s="522"/>
      <c r="AI1058" s="522">
        <v>16500.3</v>
      </c>
      <c r="AJ1058" s="516">
        <f>W1058/R1058*100</f>
        <v>67.761479591836732</v>
      </c>
      <c r="AK1058" s="516">
        <f>AT1058/W1058*100</f>
        <v>85.294117647058826</v>
      </c>
      <c r="AL1058" s="516">
        <f>X1058/AT1058*100</f>
        <v>113.79517241379308</v>
      </c>
      <c r="AM1058" s="292"/>
      <c r="AO1058" t="b">
        <f t="shared" si="759"/>
        <v>1</v>
      </c>
      <c r="AP1058" s="440">
        <f>AP1059+AP1060</f>
        <v>0</v>
      </c>
      <c r="AQ1058" s="441">
        <v>13384.88</v>
      </c>
      <c r="AR1058" s="440">
        <f>AR1059+AR1060</f>
        <v>0</v>
      </c>
      <c r="AS1058" s="441"/>
      <c r="AT1058" s="612">
        <f>AT1059+AT1060</f>
        <v>14500</v>
      </c>
      <c r="AU1058" s="469">
        <f>AU1059+AU1060</f>
        <v>14500</v>
      </c>
      <c r="AV1058" s="636">
        <v>16500.3</v>
      </c>
      <c r="AW1058" s="636">
        <v>16500.3</v>
      </c>
      <c r="AX1058" s="655">
        <f t="shared" si="764"/>
        <v>57.796556122448983</v>
      </c>
      <c r="AY1058" s="655" t="str">
        <f t="shared" si="756"/>
        <v/>
      </c>
      <c r="AZ1058" s="655">
        <f t="shared" si="765"/>
        <v>100</v>
      </c>
      <c r="BA1058" s="655" t="str">
        <f t="shared" si="757"/>
        <v/>
      </c>
      <c r="BB1058" s="655">
        <f t="shared" si="760"/>
        <v>113.79517241379308</v>
      </c>
      <c r="BC1058" s="655">
        <f t="shared" si="760"/>
        <v>100</v>
      </c>
    </row>
    <row r="1059" spans="1:55" ht="12" customHeight="1">
      <c r="A1059" s="36"/>
      <c r="B1059" s="36"/>
      <c r="C1059" s="36"/>
      <c r="D1059" s="36"/>
      <c r="E1059" s="36"/>
      <c r="F1059" s="36"/>
      <c r="G1059" s="36"/>
      <c r="H1059" s="204"/>
      <c r="I1059" s="132"/>
      <c r="J1059" s="71">
        <v>4221</v>
      </c>
      <c r="K1059" s="40" t="s">
        <v>159</v>
      </c>
      <c r="L1059" s="309">
        <v>5040</v>
      </c>
      <c r="M1059" s="309">
        <f>5040/7.5345</f>
        <v>668.92295440971532</v>
      </c>
      <c r="N1059" s="339"/>
      <c r="O1059" s="339"/>
      <c r="P1059" s="294"/>
      <c r="Q1059" s="294"/>
      <c r="R1059" s="443">
        <v>1448</v>
      </c>
      <c r="S1059" s="294"/>
      <c r="T1059" s="294"/>
      <c r="U1059" s="294"/>
      <c r="V1059" s="478"/>
      <c r="W1059" s="478"/>
      <c r="X1059" s="544"/>
      <c r="Y1059" s="544"/>
      <c r="Z1059" s="541" t="b">
        <f t="shared" si="758"/>
        <v>0</v>
      </c>
      <c r="AA1059" s="527"/>
      <c r="AB1059" s="528"/>
      <c r="AC1059" s="528"/>
      <c r="AD1059" s="524">
        <f>O1059/M1059*100</f>
        <v>0</v>
      </c>
      <c r="AE1059" s="524"/>
      <c r="AF1059" s="524"/>
      <c r="AG1059" s="524"/>
      <c r="AH1059" s="527"/>
      <c r="AI1059" s="544"/>
      <c r="AJ1059" s="516">
        <f>W1059/R1059*100</f>
        <v>0</v>
      </c>
      <c r="AK1059" s="516"/>
      <c r="AL1059" s="516"/>
      <c r="AM1059" s="294"/>
      <c r="AO1059" t="b">
        <f t="shared" si="759"/>
        <v>0</v>
      </c>
      <c r="AQ1059" s="443">
        <v>1039.8800000000001</v>
      </c>
      <c r="AS1059" s="443"/>
      <c r="AT1059" s="617"/>
      <c r="AU1059" s="478"/>
      <c r="AV1059" s="638"/>
      <c r="AW1059" s="638"/>
      <c r="AX1059" s="655" t="str">
        <f t="shared" si="764"/>
        <v/>
      </c>
      <c r="AY1059" s="655" t="str">
        <f t="shared" si="756"/>
        <v/>
      </c>
      <c r="AZ1059" s="655" t="str">
        <f t="shared" si="765"/>
        <v/>
      </c>
      <c r="BA1059" s="655" t="str">
        <f t="shared" si="757"/>
        <v/>
      </c>
      <c r="BB1059" s="655" t="str">
        <f t="shared" si="760"/>
        <v/>
      </c>
      <c r="BC1059" s="655" t="str">
        <f t="shared" si="760"/>
        <v/>
      </c>
    </row>
    <row r="1060" spans="1:55" ht="12" customHeight="1">
      <c r="A1060" s="36"/>
      <c r="B1060" s="36"/>
      <c r="C1060" s="36"/>
      <c r="D1060" s="36"/>
      <c r="E1060" s="36"/>
      <c r="F1060" s="36"/>
      <c r="G1060" s="36"/>
      <c r="H1060" s="204" t="s">
        <v>415</v>
      </c>
      <c r="I1060" s="132">
        <v>911</v>
      </c>
      <c r="J1060" s="71">
        <v>4227</v>
      </c>
      <c r="K1060" s="40" t="s">
        <v>217</v>
      </c>
      <c r="L1060" s="309">
        <v>39308</v>
      </c>
      <c r="M1060" s="309">
        <f>39308/7.5345</f>
        <v>5217.0681531621203</v>
      </c>
      <c r="N1060" s="339">
        <v>96414</v>
      </c>
      <c r="O1060" s="339">
        <f>N1060/7.5345</f>
        <v>12796.336850487756</v>
      </c>
      <c r="P1060" s="294">
        <v>8600</v>
      </c>
      <c r="Q1060" s="269">
        <v>12700</v>
      </c>
      <c r="R1060" s="443">
        <v>23640</v>
      </c>
      <c r="S1060" s="294"/>
      <c r="T1060" s="294"/>
      <c r="U1060" s="294"/>
      <c r="V1060" s="478">
        <v>23320</v>
      </c>
      <c r="W1060" s="478">
        <v>17000</v>
      </c>
      <c r="X1060" s="544">
        <v>16500.3</v>
      </c>
      <c r="Y1060" s="544"/>
      <c r="Z1060" s="541" t="b">
        <f t="shared" si="758"/>
        <v>0</v>
      </c>
      <c r="AA1060" s="527"/>
      <c r="AB1060" s="528">
        <v>8500</v>
      </c>
      <c r="AC1060" s="528">
        <v>8500</v>
      </c>
      <c r="AD1060" s="524">
        <f>O1060/M1060*100</f>
        <v>245.27831484685052</v>
      </c>
      <c r="AE1060" s="524">
        <f>P1060/O1060*100</f>
        <v>67.206733461945362</v>
      </c>
      <c r="AF1060" s="524">
        <f>Q1060/P1060*100</f>
        <v>147.67441860465115</v>
      </c>
      <c r="AG1060" s="524">
        <f>AB1060/Q1060*100</f>
        <v>66.929133858267718</v>
      </c>
      <c r="AH1060" s="527"/>
      <c r="AI1060" s="544">
        <v>16500.3</v>
      </c>
      <c r="AJ1060" s="516">
        <f>W1060/R1060*100</f>
        <v>71.912013536379021</v>
      </c>
      <c r="AK1060" s="516">
        <f>AT1060/W1060*100</f>
        <v>85.294117647058826</v>
      </c>
      <c r="AL1060" s="516">
        <f>X1060/AT1060*100</f>
        <v>113.79517241379308</v>
      </c>
      <c r="AM1060" s="294"/>
      <c r="AO1060" t="b">
        <f t="shared" si="759"/>
        <v>0</v>
      </c>
      <c r="AQ1060" s="443">
        <v>12345</v>
      </c>
      <c r="AS1060" s="443"/>
      <c r="AT1060" s="617">
        <v>14500</v>
      </c>
      <c r="AU1060" s="478">
        <v>14500</v>
      </c>
      <c r="AV1060" s="638">
        <v>16500.3</v>
      </c>
      <c r="AW1060" s="638">
        <v>16500.3</v>
      </c>
      <c r="AX1060" s="655">
        <f t="shared" si="764"/>
        <v>61.336717428087987</v>
      </c>
      <c r="AY1060" s="655">
        <f t="shared" si="756"/>
        <v>15.625</v>
      </c>
      <c r="AZ1060" s="655">
        <f t="shared" si="765"/>
        <v>100</v>
      </c>
      <c r="BA1060" s="655">
        <f t="shared" si="757"/>
        <v>15.625</v>
      </c>
      <c r="BB1060" s="655">
        <f t="shared" si="760"/>
        <v>113.79517241379308</v>
      </c>
      <c r="BC1060" s="655">
        <f t="shared" si="760"/>
        <v>100</v>
      </c>
    </row>
    <row r="1061" spans="1:55" ht="12" customHeight="1">
      <c r="A1061" s="20"/>
      <c r="B1061" s="20"/>
      <c r="C1061" s="20"/>
      <c r="D1061" s="20"/>
      <c r="E1061" s="20"/>
      <c r="F1061" s="20"/>
      <c r="G1061" s="20"/>
      <c r="H1061" s="375"/>
      <c r="I1061" s="22"/>
      <c r="J1061" s="21"/>
      <c r="K1061" s="94"/>
      <c r="L1061" s="313"/>
      <c r="M1061" s="313"/>
      <c r="N1061" s="335"/>
      <c r="O1061" s="335"/>
      <c r="P1061" s="290"/>
      <c r="Q1061" s="290"/>
      <c r="R1061" s="439"/>
      <c r="S1061" s="290"/>
      <c r="T1061" s="290"/>
      <c r="U1061" s="290"/>
      <c r="V1061" s="474"/>
      <c r="W1061" s="474"/>
      <c r="X1061" s="539"/>
      <c r="Y1061" s="539"/>
      <c r="Z1061" s="541" t="b">
        <f t="shared" si="758"/>
        <v>0</v>
      </c>
      <c r="AA1061" s="514"/>
      <c r="AB1061" s="515"/>
      <c r="AC1061" s="515"/>
      <c r="AD1061" s="524"/>
      <c r="AE1061" s="524"/>
      <c r="AF1061" s="524"/>
      <c r="AG1061" s="524"/>
      <c r="AH1061" s="514"/>
      <c r="AI1061" s="539"/>
      <c r="AJ1061" s="516"/>
      <c r="AK1061" s="516"/>
      <c r="AL1061" s="516"/>
      <c r="AM1061" s="290"/>
      <c r="AO1061" t="b">
        <f t="shared" si="759"/>
        <v>0</v>
      </c>
      <c r="AQ1061" s="439"/>
      <c r="AS1061" s="439"/>
      <c r="AT1061" s="616"/>
      <c r="AU1061" s="474"/>
      <c r="AV1061" s="632"/>
      <c r="AW1061" s="632"/>
      <c r="AX1061" s="655" t="str">
        <f t="shared" si="764"/>
        <v/>
      </c>
      <c r="AY1061" s="655" t="str">
        <f t="shared" si="756"/>
        <v/>
      </c>
      <c r="AZ1061" s="655" t="str">
        <f t="shared" si="765"/>
        <v/>
      </c>
      <c r="BA1061" s="655" t="str">
        <f t="shared" si="757"/>
        <v/>
      </c>
      <c r="BB1061" s="655" t="str">
        <f t="shared" si="760"/>
        <v/>
      </c>
      <c r="BC1061" s="655" t="str">
        <f t="shared" si="760"/>
        <v/>
      </c>
    </row>
    <row r="1062" spans="1:55" ht="12" customHeight="1">
      <c r="A1062" s="221"/>
      <c r="B1062" s="222"/>
      <c r="C1062" s="222"/>
      <c r="D1062" s="222"/>
      <c r="E1062" s="222"/>
      <c r="F1062" s="222"/>
      <c r="G1062" s="223"/>
      <c r="H1062" s="409" t="s">
        <v>549</v>
      </c>
      <c r="I1062" s="232"/>
      <c r="J1062" s="233" t="s">
        <v>416</v>
      </c>
      <c r="K1062" s="97"/>
      <c r="L1062" s="315">
        <f t="shared" ref="L1062:S1062" si="777">L1064</f>
        <v>548432</v>
      </c>
      <c r="M1062" s="315">
        <f t="shared" si="777"/>
        <v>72789.435264450178</v>
      </c>
      <c r="N1062" s="337">
        <f t="shared" si="777"/>
        <v>539018</v>
      </c>
      <c r="O1062" s="337">
        <f t="shared" si="777"/>
        <v>71539.98274603489</v>
      </c>
      <c r="P1062" s="292">
        <f t="shared" si="777"/>
        <v>88300</v>
      </c>
      <c r="Q1062" s="292">
        <f t="shared" si="777"/>
        <v>90100</v>
      </c>
      <c r="R1062" s="441">
        <f t="shared" si="777"/>
        <v>76157</v>
      </c>
      <c r="S1062" s="292">
        <f t="shared" si="777"/>
        <v>0</v>
      </c>
      <c r="T1062" s="292"/>
      <c r="U1062" s="292"/>
      <c r="V1062" s="469">
        <f>V1064</f>
        <v>96810</v>
      </c>
      <c r="W1062" s="469">
        <f>W1064</f>
        <v>121500</v>
      </c>
      <c r="X1062" s="522">
        <f>X1064</f>
        <v>132200</v>
      </c>
      <c r="Y1062" s="522">
        <f>Y1064</f>
        <v>0</v>
      </c>
      <c r="Z1062" s="541" t="b">
        <f t="shared" si="758"/>
        <v>1</v>
      </c>
      <c r="AA1062" s="522"/>
      <c r="AB1062" s="523">
        <f>AB1064</f>
        <v>120700</v>
      </c>
      <c r="AC1062" s="523">
        <f>AC1064</f>
        <v>120700</v>
      </c>
      <c r="AD1062" s="524">
        <f>O1062/M1062*100</f>
        <v>98.283469965282848</v>
      </c>
      <c r="AE1062" s="524">
        <f>P1062/O1062*100</f>
        <v>123.42748294120052</v>
      </c>
      <c r="AF1062" s="524">
        <f>Q1062/P1062*100</f>
        <v>102.03850509626274</v>
      </c>
      <c r="AG1062" s="524">
        <f>AB1062/Q1062*100</f>
        <v>133.96226415094338</v>
      </c>
      <c r="AH1062" s="522"/>
      <c r="AI1062" s="522">
        <v>132200</v>
      </c>
      <c r="AJ1062" s="516">
        <f>W1062/R1062*100</f>
        <v>159.53884738106805</v>
      </c>
      <c r="AK1062" s="516">
        <f>AT1062/W1062*100</f>
        <v>100.57613168724279</v>
      </c>
      <c r="AL1062" s="516">
        <f>X1062/AT1062*100</f>
        <v>108.18330605564648</v>
      </c>
      <c r="AM1062" s="292"/>
      <c r="AO1062" t="b">
        <f t="shared" si="759"/>
        <v>1</v>
      </c>
      <c r="AP1062" s="440">
        <f>AP1064</f>
        <v>0</v>
      </c>
      <c r="AQ1062" s="441">
        <v>119985.42</v>
      </c>
      <c r="AR1062" s="440">
        <f>AR1064</f>
        <v>59436</v>
      </c>
      <c r="AS1062" s="441"/>
      <c r="AT1062" s="612">
        <f>AT1064</f>
        <v>122200</v>
      </c>
      <c r="AU1062" s="469">
        <f>AU1064</f>
        <v>122200</v>
      </c>
      <c r="AV1062" s="636">
        <v>132200</v>
      </c>
      <c r="AW1062" s="636">
        <v>132200</v>
      </c>
      <c r="AX1062" s="655">
        <f t="shared" si="764"/>
        <v>160.45800123429231</v>
      </c>
      <c r="AY1062" s="655">
        <f t="shared" si="756"/>
        <v>131.68103448275863</v>
      </c>
      <c r="AZ1062" s="655">
        <f t="shared" si="765"/>
        <v>100</v>
      </c>
      <c r="BA1062" s="655">
        <f t="shared" si="757"/>
        <v>131.68103448275863</v>
      </c>
      <c r="BB1062" s="655">
        <f t="shared" si="760"/>
        <v>108.18330605564648</v>
      </c>
      <c r="BC1062" s="655">
        <f t="shared" si="760"/>
        <v>100</v>
      </c>
    </row>
    <row r="1063" spans="1:55" ht="12" customHeight="1">
      <c r="A1063" s="229"/>
      <c r="B1063" s="230"/>
      <c r="C1063" s="230"/>
      <c r="D1063" s="230"/>
      <c r="E1063" s="230"/>
      <c r="F1063" s="230"/>
      <c r="G1063" s="231"/>
      <c r="H1063" s="235" t="s">
        <v>502</v>
      </c>
      <c r="I1063" s="228"/>
      <c r="J1063" s="234"/>
      <c r="K1063" s="236" t="s">
        <v>503</v>
      </c>
      <c r="L1063" s="320"/>
      <c r="M1063" s="320"/>
      <c r="N1063" s="344"/>
      <c r="O1063" s="344"/>
      <c r="P1063" s="299"/>
      <c r="Q1063" s="299"/>
      <c r="R1063" s="447"/>
      <c r="S1063" s="299"/>
      <c r="T1063" s="299"/>
      <c r="U1063" s="299"/>
      <c r="V1063" s="490"/>
      <c r="W1063" s="490"/>
      <c r="X1063" s="568"/>
      <c r="Y1063" s="568"/>
      <c r="Z1063" s="541" t="b">
        <f t="shared" si="758"/>
        <v>0</v>
      </c>
      <c r="AA1063" s="542"/>
      <c r="AB1063" s="543"/>
      <c r="AC1063" s="543"/>
      <c r="AD1063" s="524"/>
      <c r="AE1063" s="524"/>
      <c r="AF1063" s="524"/>
      <c r="AG1063" s="524"/>
      <c r="AH1063" s="542"/>
      <c r="AI1063" s="568"/>
      <c r="AJ1063" s="516"/>
      <c r="AK1063" s="516"/>
      <c r="AL1063" s="516"/>
      <c r="AM1063" s="299"/>
      <c r="AO1063" t="b">
        <f t="shared" si="759"/>
        <v>0</v>
      </c>
      <c r="AQ1063" s="447"/>
      <c r="AS1063" s="447"/>
      <c r="AT1063" s="621"/>
      <c r="AU1063" s="490"/>
      <c r="AV1063" s="643"/>
      <c r="AW1063" s="643"/>
      <c r="AX1063" s="655" t="str">
        <f t="shared" si="764"/>
        <v/>
      </c>
      <c r="AY1063" s="655" t="str">
        <f t="shared" si="756"/>
        <v/>
      </c>
      <c r="AZ1063" s="655" t="str">
        <f t="shared" si="765"/>
        <v/>
      </c>
      <c r="BA1063" s="655" t="str">
        <f t="shared" si="757"/>
        <v/>
      </c>
      <c r="BB1063" s="655" t="str">
        <f t="shared" si="760"/>
        <v/>
      </c>
      <c r="BC1063" s="655" t="str">
        <f t="shared" si="760"/>
        <v/>
      </c>
    </row>
    <row r="1064" spans="1:55" ht="12" customHeight="1">
      <c r="A1064" s="239" t="s">
        <v>504</v>
      </c>
      <c r="B1064" s="237"/>
      <c r="C1064" s="237"/>
      <c r="D1064" s="237"/>
      <c r="E1064" s="237"/>
      <c r="F1064" s="237"/>
      <c r="G1064" s="238"/>
      <c r="H1064" s="390"/>
      <c r="I1064" s="173" t="s">
        <v>505</v>
      </c>
      <c r="J1064" s="174"/>
      <c r="K1064" s="107"/>
      <c r="L1064" s="315">
        <f t="shared" ref="L1064:S1064" si="778">L1065+L1109</f>
        <v>548432</v>
      </c>
      <c r="M1064" s="315">
        <f t="shared" si="778"/>
        <v>72789.435264450178</v>
      </c>
      <c r="N1064" s="337">
        <f t="shared" si="778"/>
        <v>539018</v>
      </c>
      <c r="O1064" s="337">
        <f t="shared" si="778"/>
        <v>71539.98274603489</v>
      </c>
      <c r="P1064" s="292">
        <f t="shared" si="778"/>
        <v>88300</v>
      </c>
      <c r="Q1064" s="292">
        <f t="shared" si="778"/>
        <v>90100</v>
      </c>
      <c r="R1064" s="441">
        <f t="shared" si="778"/>
        <v>76157</v>
      </c>
      <c r="S1064" s="292">
        <f t="shared" si="778"/>
        <v>0</v>
      </c>
      <c r="T1064" s="292"/>
      <c r="U1064" s="292"/>
      <c r="V1064" s="469">
        <f>V1065+V1109</f>
        <v>96810</v>
      </c>
      <c r="W1064" s="469">
        <f>W1065+W1109</f>
        <v>121500</v>
      </c>
      <c r="X1064" s="522">
        <f>X1065+X1109</f>
        <v>132200</v>
      </c>
      <c r="Y1064" s="522">
        <f>Y1065+Y1109</f>
        <v>0</v>
      </c>
      <c r="Z1064" s="541" t="b">
        <f t="shared" si="758"/>
        <v>1</v>
      </c>
      <c r="AA1064" s="522"/>
      <c r="AB1064" s="523">
        <f>AB1065+AB1109</f>
        <v>120700</v>
      </c>
      <c r="AC1064" s="523">
        <f>AC1065+AC1109</f>
        <v>120700</v>
      </c>
      <c r="AD1064" s="524">
        <f>O1064/M1064*100</f>
        <v>98.283469965282848</v>
      </c>
      <c r="AE1064" s="524">
        <f>P1064/O1064*100</f>
        <v>123.42748294120052</v>
      </c>
      <c r="AF1064" s="524">
        <f>Q1064/P1064*100</f>
        <v>102.03850509626274</v>
      </c>
      <c r="AG1064" s="524">
        <f>AB1064/Q1064*100</f>
        <v>133.96226415094338</v>
      </c>
      <c r="AH1064" s="522"/>
      <c r="AI1064" s="522">
        <v>132200</v>
      </c>
      <c r="AJ1064" s="516">
        <f>W1064/R1064*100</f>
        <v>159.53884738106805</v>
      </c>
      <c r="AK1064" s="516">
        <f>AT1064/W1064*100</f>
        <v>100.57613168724279</v>
      </c>
      <c r="AL1064" s="516">
        <f>X1064/AT1064*100</f>
        <v>108.18330605564648</v>
      </c>
      <c r="AM1064" s="292"/>
      <c r="AO1064" t="b">
        <f t="shared" si="759"/>
        <v>1</v>
      </c>
      <c r="AP1064" s="440">
        <f>AP1065+AP1109</f>
        <v>0</v>
      </c>
      <c r="AQ1064" s="441">
        <v>119985.42</v>
      </c>
      <c r="AR1064" s="440">
        <f>AR1065+AR1109</f>
        <v>59436</v>
      </c>
      <c r="AS1064" s="441"/>
      <c r="AT1064" s="612">
        <f>AT1065+AT1109</f>
        <v>122200</v>
      </c>
      <c r="AU1064" s="469">
        <f>AU1065+AU1109</f>
        <v>122200</v>
      </c>
      <c r="AV1064" s="636">
        <v>132200</v>
      </c>
      <c r="AW1064" s="636">
        <v>132200</v>
      </c>
      <c r="AX1064" s="655">
        <f t="shared" si="764"/>
        <v>160.45800123429231</v>
      </c>
      <c r="AY1064" s="655">
        <f t="shared" si="756"/>
        <v>177.67825985809003</v>
      </c>
      <c r="AZ1064" s="655">
        <f t="shared" si="765"/>
        <v>100</v>
      </c>
      <c r="BA1064" s="655">
        <f t="shared" si="757"/>
        <v>177.67825985809003</v>
      </c>
      <c r="BB1064" s="655">
        <f t="shared" si="760"/>
        <v>108.18330605564648</v>
      </c>
      <c r="BC1064" s="655">
        <f t="shared" si="760"/>
        <v>100</v>
      </c>
    </row>
    <row r="1065" spans="1:55" ht="12" customHeight="1">
      <c r="A1065" s="212" t="s">
        <v>474</v>
      </c>
      <c r="B1065" s="130"/>
      <c r="C1065" s="130"/>
      <c r="D1065" s="130"/>
      <c r="E1065" s="130"/>
      <c r="F1065" s="130"/>
      <c r="G1065" s="130"/>
      <c r="H1065" s="383"/>
      <c r="I1065" s="170" t="s">
        <v>417</v>
      </c>
      <c r="J1065" s="171"/>
      <c r="K1065" s="111"/>
      <c r="L1065" s="315">
        <f t="shared" ref="L1065:S1065" si="779">L1067</f>
        <v>474243</v>
      </c>
      <c r="M1065" s="315">
        <f t="shared" si="779"/>
        <v>62942.862830977494</v>
      </c>
      <c r="N1065" s="337">
        <f t="shared" si="779"/>
        <v>446604</v>
      </c>
      <c r="O1065" s="337">
        <f t="shared" si="779"/>
        <v>59274.537129205644</v>
      </c>
      <c r="P1065" s="292">
        <f t="shared" si="779"/>
        <v>74800</v>
      </c>
      <c r="Q1065" s="292">
        <f t="shared" si="779"/>
        <v>76600</v>
      </c>
      <c r="R1065" s="441">
        <f t="shared" si="779"/>
        <v>65942</v>
      </c>
      <c r="S1065" s="292">
        <f t="shared" si="779"/>
        <v>0</v>
      </c>
      <c r="T1065" s="292"/>
      <c r="U1065" s="292"/>
      <c r="V1065" s="469">
        <f>V1067</f>
        <v>83310</v>
      </c>
      <c r="W1065" s="469">
        <f>W1067</f>
        <v>97000</v>
      </c>
      <c r="X1065" s="522">
        <f>X1067</f>
        <v>116200</v>
      </c>
      <c r="Y1065" s="522">
        <f>Y1067</f>
        <v>0</v>
      </c>
      <c r="Z1065" s="541" t="b">
        <f t="shared" si="758"/>
        <v>1</v>
      </c>
      <c r="AA1065" s="522"/>
      <c r="AB1065" s="523">
        <f>AB1067</f>
        <v>106700</v>
      </c>
      <c r="AC1065" s="523">
        <f>AC1067</f>
        <v>106700</v>
      </c>
      <c r="AD1065" s="524">
        <f>O1065/M1065*100</f>
        <v>94.171975126675562</v>
      </c>
      <c r="AE1065" s="524">
        <f>P1065/O1065*100</f>
        <v>126.19246580863586</v>
      </c>
      <c r="AF1065" s="524">
        <f>Q1065/P1065*100</f>
        <v>102.40641711229948</v>
      </c>
      <c r="AG1065" s="524">
        <f>AB1065/Q1065*100</f>
        <v>139.29503916449087</v>
      </c>
      <c r="AH1065" s="522"/>
      <c r="AI1065" s="522">
        <v>116200</v>
      </c>
      <c r="AJ1065" s="516">
        <f>W1065/R1065*100</f>
        <v>147.09896575778714</v>
      </c>
      <c r="AK1065" s="516">
        <f>AT1065/W1065*100</f>
        <v>110.51546391752578</v>
      </c>
      <c r="AL1065" s="516">
        <f>X1065/AT1065*100</f>
        <v>108.39552238805969</v>
      </c>
      <c r="AM1065" s="292"/>
      <c r="AO1065" t="b">
        <f t="shared" si="759"/>
        <v>1</v>
      </c>
      <c r="AP1065" s="440">
        <f>AP1067</f>
        <v>0</v>
      </c>
      <c r="AQ1065" s="441">
        <v>92800</v>
      </c>
      <c r="AR1065" s="440">
        <f>AR1067</f>
        <v>59436</v>
      </c>
      <c r="AS1065" s="441"/>
      <c r="AT1065" s="612">
        <f>AT1067</f>
        <v>107200</v>
      </c>
      <c r="AU1065" s="469">
        <f>AU1067</f>
        <v>107200</v>
      </c>
      <c r="AV1065" s="636">
        <v>116200</v>
      </c>
      <c r="AW1065" s="636">
        <v>116200</v>
      </c>
      <c r="AX1065" s="655">
        <f t="shared" si="764"/>
        <v>162.56710442510084</v>
      </c>
      <c r="AY1065" s="655" t="str">
        <f t="shared" si="756"/>
        <v/>
      </c>
      <c r="AZ1065" s="655">
        <f t="shared" si="765"/>
        <v>100</v>
      </c>
      <c r="BA1065" s="655" t="str">
        <f t="shared" si="757"/>
        <v/>
      </c>
      <c r="BB1065" s="655">
        <f t="shared" si="760"/>
        <v>108.39552238805969</v>
      </c>
      <c r="BC1065" s="655">
        <f t="shared" si="760"/>
        <v>100</v>
      </c>
    </row>
    <row r="1066" spans="1:55" ht="12" customHeight="1">
      <c r="A1066" s="20"/>
      <c r="B1066" s="20"/>
      <c r="C1066" s="20"/>
      <c r="D1066" s="20"/>
      <c r="E1066" s="20"/>
      <c r="F1066" s="20"/>
      <c r="G1066" s="20"/>
      <c r="H1066" s="375"/>
      <c r="I1066" s="22"/>
      <c r="J1066" s="21"/>
      <c r="K1066" s="19"/>
      <c r="L1066" s="313"/>
      <c r="M1066" s="313"/>
      <c r="N1066" s="335"/>
      <c r="O1066" s="335"/>
      <c r="P1066" s="290"/>
      <c r="Q1066" s="290"/>
      <c r="R1066" s="439"/>
      <c r="S1066" s="290"/>
      <c r="T1066" s="290"/>
      <c r="U1066" s="290"/>
      <c r="V1066" s="474"/>
      <c r="W1066" s="474"/>
      <c r="X1066" s="539"/>
      <c r="Y1066" s="539"/>
      <c r="Z1066" s="541" t="b">
        <f t="shared" si="758"/>
        <v>0</v>
      </c>
      <c r="AA1066" s="514"/>
      <c r="AB1066" s="515"/>
      <c r="AC1066" s="515"/>
      <c r="AD1066" s="524"/>
      <c r="AE1066" s="524"/>
      <c r="AF1066" s="524"/>
      <c r="AG1066" s="524"/>
      <c r="AH1066" s="514"/>
      <c r="AI1066" s="539"/>
      <c r="AJ1066" s="516"/>
      <c r="AK1066" s="516"/>
      <c r="AL1066" s="516"/>
      <c r="AM1066" s="290"/>
      <c r="AO1066" t="b">
        <f t="shared" si="759"/>
        <v>0</v>
      </c>
      <c r="AQ1066" s="439"/>
      <c r="AS1066" s="439"/>
      <c r="AT1066" s="616"/>
      <c r="AU1066" s="474"/>
      <c r="AV1066" s="632"/>
      <c r="AW1066" s="632"/>
      <c r="AX1066" s="655" t="str">
        <f t="shared" si="764"/>
        <v/>
      </c>
      <c r="AY1066" s="655" t="str">
        <f t="shared" si="756"/>
        <v/>
      </c>
      <c r="AZ1066" s="655" t="str">
        <f t="shared" si="765"/>
        <v/>
      </c>
      <c r="BA1066" s="655" t="str">
        <f t="shared" si="757"/>
        <v/>
      </c>
      <c r="BB1066" s="655" t="str">
        <f t="shared" si="760"/>
        <v/>
      </c>
      <c r="BC1066" s="655" t="str">
        <f t="shared" si="760"/>
        <v/>
      </c>
    </row>
    <row r="1067" spans="1:55" ht="12" customHeight="1">
      <c r="A1067" s="52"/>
      <c r="B1067" s="52"/>
      <c r="C1067" s="52"/>
      <c r="D1067" s="52"/>
      <c r="E1067" s="52"/>
      <c r="F1067" s="52"/>
      <c r="G1067" s="52"/>
      <c r="H1067" s="384"/>
      <c r="I1067" s="156"/>
      <c r="J1067" s="94">
        <v>3</v>
      </c>
      <c r="K1067" s="21" t="s">
        <v>94</v>
      </c>
      <c r="L1067" s="315">
        <f t="shared" ref="L1067:S1067" si="780">L1069+L1081+L1105</f>
        <v>474243</v>
      </c>
      <c r="M1067" s="315">
        <f t="shared" si="780"/>
        <v>62942.862830977494</v>
      </c>
      <c r="N1067" s="337">
        <f t="shared" si="780"/>
        <v>446604</v>
      </c>
      <c r="O1067" s="337">
        <f t="shared" si="780"/>
        <v>59274.537129205644</v>
      </c>
      <c r="P1067" s="292">
        <f t="shared" si="780"/>
        <v>74800</v>
      </c>
      <c r="Q1067" s="292">
        <f t="shared" si="780"/>
        <v>76600</v>
      </c>
      <c r="R1067" s="441">
        <f t="shared" si="780"/>
        <v>65942</v>
      </c>
      <c r="S1067" s="292">
        <f t="shared" si="780"/>
        <v>0</v>
      </c>
      <c r="T1067" s="292"/>
      <c r="U1067" s="292"/>
      <c r="V1067" s="469">
        <f>V1069+V1081+V1105</f>
        <v>83310</v>
      </c>
      <c r="W1067" s="469">
        <f>W1069+W1081+W1105</f>
        <v>97000</v>
      </c>
      <c r="X1067" s="522">
        <f>X1069+X1081+X1105</f>
        <v>116200</v>
      </c>
      <c r="Y1067" s="522">
        <f>Y1069+Y1081+Y1105</f>
        <v>0</v>
      </c>
      <c r="Z1067" s="541" t="b">
        <f t="shared" si="758"/>
        <v>1</v>
      </c>
      <c r="AA1067" s="522"/>
      <c r="AB1067" s="523">
        <f>AB1069+AB1081+AB1105</f>
        <v>106700</v>
      </c>
      <c r="AC1067" s="523">
        <f>AC1069+AC1081+AC1105</f>
        <v>106700</v>
      </c>
      <c r="AD1067" s="524">
        <f>O1067/M1067*100</f>
        <v>94.171975126675562</v>
      </c>
      <c r="AE1067" s="524">
        <f>P1067/O1067*100</f>
        <v>126.19246580863586</v>
      </c>
      <c r="AF1067" s="524">
        <f>Q1067/P1067*100</f>
        <v>102.40641711229948</v>
      </c>
      <c r="AG1067" s="524">
        <f>AB1067/Q1067*100</f>
        <v>139.29503916449087</v>
      </c>
      <c r="AH1067" s="522"/>
      <c r="AI1067" s="522">
        <v>116200</v>
      </c>
      <c r="AJ1067" s="516">
        <f>W1067/R1067*100</f>
        <v>147.09896575778714</v>
      </c>
      <c r="AK1067" s="516">
        <f>AT1067/W1067*100</f>
        <v>110.51546391752578</v>
      </c>
      <c r="AL1067" s="516">
        <f>X1067/AT1067*100</f>
        <v>108.39552238805969</v>
      </c>
      <c r="AM1067" s="292"/>
      <c r="AO1067" t="b">
        <f t="shared" si="759"/>
        <v>1</v>
      </c>
      <c r="AP1067" s="440">
        <f>AP1069+AP1081+AP1105</f>
        <v>0</v>
      </c>
      <c r="AQ1067" s="441">
        <v>92800</v>
      </c>
      <c r="AR1067" s="440">
        <f>AR1069+AR1081+AR1105</f>
        <v>59436</v>
      </c>
      <c r="AS1067" s="441"/>
      <c r="AT1067" s="612">
        <f>AT1069+AT1081+AT1105</f>
        <v>107200</v>
      </c>
      <c r="AU1067" s="469">
        <f>AU1069+AU1081+AU1105</f>
        <v>107200</v>
      </c>
      <c r="AV1067" s="636">
        <v>116200</v>
      </c>
      <c r="AW1067" s="636">
        <v>116200</v>
      </c>
      <c r="AX1067" s="655">
        <f t="shared" si="764"/>
        <v>162.56710442510084</v>
      </c>
      <c r="AY1067" s="655">
        <f t="shared" si="756"/>
        <v>189.37252685132844</v>
      </c>
      <c r="AZ1067" s="655">
        <f t="shared" si="765"/>
        <v>100</v>
      </c>
      <c r="BA1067" s="655">
        <f t="shared" si="757"/>
        <v>189.37252685132844</v>
      </c>
      <c r="BB1067" s="655">
        <f t="shared" si="760"/>
        <v>108.39552238805969</v>
      </c>
      <c r="BC1067" s="655">
        <f t="shared" si="760"/>
        <v>100</v>
      </c>
    </row>
    <row r="1068" spans="1:55" ht="12" customHeight="1">
      <c r="A1068" s="20"/>
      <c r="B1068" s="20"/>
      <c r="C1068" s="20"/>
      <c r="D1068" s="20"/>
      <c r="E1068" s="20"/>
      <c r="F1068" s="20"/>
      <c r="G1068" s="20"/>
      <c r="H1068" s="375"/>
      <c r="I1068" s="22"/>
      <c r="J1068" s="21"/>
      <c r="K1068" s="19"/>
      <c r="L1068" s="313">
        <v>1</v>
      </c>
      <c r="M1068" s="313">
        <v>2</v>
      </c>
      <c r="N1068" s="335">
        <v>3</v>
      </c>
      <c r="O1068" s="335">
        <v>4</v>
      </c>
      <c r="P1068" s="290">
        <v>5</v>
      </c>
      <c r="Q1068" s="290">
        <v>6</v>
      </c>
      <c r="R1068" s="439"/>
      <c r="S1068" s="290"/>
      <c r="T1068" s="290"/>
      <c r="U1068" s="290"/>
      <c r="V1068" s="474">
        <v>5</v>
      </c>
      <c r="W1068" s="474"/>
      <c r="X1068" s="539"/>
      <c r="Y1068" s="539"/>
      <c r="Z1068" s="541" t="b">
        <f t="shared" si="758"/>
        <v>0</v>
      </c>
      <c r="AA1068" s="514"/>
      <c r="AB1068" s="515">
        <v>7</v>
      </c>
      <c r="AC1068" s="515">
        <v>8</v>
      </c>
      <c r="AD1068" s="515">
        <v>9</v>
      </c>
      <c r="AE1068" s="515">
        <v>10</v>
      </c>
      <c r="AF1068" s="515">
        <v>11</v>
      </c>
      <c r="AG1068" s="515">
        <v>12</v>
      </c>
      <c r="AH1068" s="514"/>
      <c r="AI1068" s="539"/>
      <c r="AJ1068" s="516"/>
      <c r="AK1068" s="516"/>
      <c r="AL1068" s="516"/>
      <c r="AM1068" s="290"/>
      <c r="AO1068" t="b">
        <f t="shared" si="759"/>
        <v>0</v>
      </c>
      <c r="AQ1068" s="439"/>
      <c r="AS1068" s="439"/>
      <c r="AT1068" s="616"/>
      <c r="AU1068" s="474"/>
      <c r="AV1068" s="632"/>
      <c r="AW1068" s="632"/>
      <c r="AX1068" s="655" t="str">
        <f t="shared" si="764"/>
        <v/>
      </c>
      <c r="AY1068" s="655" t="str">
        <f t="shared" si="756"/>
        <v/>
      </c>
      <c r="AZ1068" s="655" t="str">
        <f t="shared" si="765"/>
        <v/>
      </c>
      <c r="BA1068" s="655" t="str">
        <f t="shared" si="757"/>
        <v/>
      </c>
      <c r="BB1068" s="655" t="str">
        <f t="shared" si="760"/>
        <v/>
      </c>
      <c r="BC1068" s="655" t="str">
        <f t="shared" si="760"/>
        <v/>
      </c>
    </row>
    <row r="1069" spans="1:55" ht="12" customHeight="1">
      <c r="A1069" s="355"/>
      <c r="B1069" s="355"/>
      <c r="C1069" s="355"/>
      <c r="D1069" s="355"/>
      <c r="E1069" s="355"/>
      <c r="F1069" s="355"/>
      <c r="G1069" s="355"/>
      <c r="H1069" s="379"/>
      <c r="I1069" s="359"/>
      <c r="J1069" s="356">
        <v>31</v>
      </c>
      <c r="K1069" s="358" t="s">
        <v>95</v>
      </c>
      <c r="L1069" s="315">
        <f t="shared" ref="L1069:S1069" si="781">L1071+L1074+L1077</f>
        <v>410814</v>
      </c>
      <c r="M1069" s="315">
        <f t="shared" si="781"/>
        <v>54524.387816046183</v>
      </c>
      <c r="N1069" s="337">
        <f t="shared" si="781"/>
        <v>372275</v>
      </c>
      <c r="O1069" s="337">
        <f t="shared" si="781"/>
        <v>49409.383502554905</v>
      </c>
      <c r="P1069" s="292">
        <f t="shared" si="781"/>
        <v>55700</v>
      </c>
      <c r="Q1069" s="292">
        <f t="shared" si="781"/>
        <v>56700</v>
      </c>
      <c r="R1069" s="441">
        <f t="shared" si="781"/>
        <v>56528</v>
      </c>
      <c r="S1069" s="292">
        <f t="shared" si="781"/>
        <v>0</v>
      </c>
      <c r="T1069" s="292"/>
      <c r="U1069" s="292"/>
      <c r="V1069" s="469">
        <f>V1071+V1074+V1077</f>
        <v>62460</v>
      </c>
      <c r="W1069" s="469">
        <f>W1071+W1074+W1077</f>
        <v>68500</v>
      </c>
      <c r="X1069" s="522">
        <f>X1071+X1074+X1077</f>
        <v>85400</v>
      </c>
      <c r="Y1069" s="522">
        <f>Y1071+Y1074+Y1077</f>
        <v>0</v>
      </c>
      <c r="Z1069" s="541" t="b">
        <f t="shared" si="758"/>
        <v>1</v>
      </c>
      <c r="AA1069" s="522"/>
      <c r="AB1069" s="523">
        <f>AB1071+AB1074+AB1077</f>
        <v>56900</v>
      </c>
      <c r="AC1069" s="523">
        <f>AC1071+AC1074+AC1077</f>
        <v>56900</v>
      </c>
      <c r="AD1069" s="524">
        <f>O1069/M1069*100</f>
        <v>90.618868879833698</v>
      </c>
      <c r="AE1069" s="524">
        <f>P1069/O1069*100</f>
        <v>112.73162312806394</v>
      </c>
      <c r="AF1069" s="524">
        <f>Q1069/P1069*100</f>
        <v>101.79533213644525</v>
      </c>
      <c r="AG1069" s="524">
        <f>AB1069/Q1069*100</f>
        <v>100.35273368606703</v>
      </c>
      <c r="AH1069" s="522"/>
      <c r="AI1069" s="522">
        <v>85400</v>
      </c>
      <c r="AJ1069" s="516">
        <f>W1069/R1069*100</f>
        <v>121.17888480045286</v>
      </c>
      <c r="AK1069" s="516">
        <f>AT1069/W1069*100</f>
        <v>115.47445255474453</v>
      </c>
      <c r="AL1069" s="516">
        <f>X1069/AT1069*100</f>
        <v>107.9646017699115</v>
      </c>
      <c r="AM1069" s="292"/>
      <c r="AO1069" t="b">
        <f t="shared" si="759"/>
        <v>1</v>
      </c>
      <c r="AP1069" s="440">
        <f>AP1071+AP1074+AP1077</f>
        <v>0</v>
      </c>
      <c r="AQ1069" s="441">
        <v>68776</v>
      </c>
      <c r="AR1069" s="440">
        <f>AR1071+AR1074+AR1077</f>
        <v>59436</v>
      </c>
      <c r="AS1069" s="441"/>
      <c r="AT1069" s="612">
        <f>AT1071+AT1074+AT1077</f>
        <v>79100</v>
      </c>
      <c r="AU1069" s="469">
        <f>AU1071+AU1074+AU1077</f>
        <v>79100</v>
      </c>
      <c r="AV1069" s="636">
        <v>85400</v>
      </c>
      <c r="AW1069" s="636">
        <v>85400</v>
      </c>
      <c r="AX1069" s="655">
        <f t="shared" si="764"/>
        <v>139.93065383526749</v>
      </c>
      <c r="AY1069" s="655">
        <f t="shared" si="756"/>
        <v>2797.029702970297</v>
      </c>
      <c r="AZ1069" s="655">
        <f t="shared" si="765"/>
        <v>100</v>
      </c>
      <c r="BA1069" s="655">
        <f t="shared" si="757"/>
        <v>2797.029702970297</v>
      </c>
      <c r="BB1069" s="655">
        <f t="shared" si="760"/>
        <v>107.9646017699115</v>
      </c>
      <c r="BC1069" s="655">
        <f t="shared" si="760"/>
        <v>100</v>
      </c>
    </row>
    <row r="1070" spans="1:55" ht="12" customHeight="1">
      <c r="A1070" s="52"/>
      <c r="B1070" s="52"/>
      <c r="C1070" s="52"/>
      <c r="D1070" s="52"/>
      <c r="E1070" s="52"/>
      <c r="F1070" s="52"/>
      <c r="G1070" s="52"/>
      <c r="H1070" s="384"/>
      <c r="I1070" s="156"/>
      <c r="J1070" s="94"/>
      <c r="K1070" s="21"/>
      <c r="L1070" s="315"/>
      <c r="M1070" s="315"/>
      <c r="N1070" s="337"/>
      <c r="O1070" s="337"/>
      <c r="P1070" s="292"/>
      <c r="Q1070" s="292"/>
      <c r="R1070" s="441"/>
      <c r="S1070" s="292"/>
      <c r="T1070" s="292"/>
      <c r="U1070" s="292"/>
      <c r="V1070" s="476"/>
      <c r="W1070" s="476"/>
      <c r="X1070" s="541"/>
      <c r="Y1070" s="541"/>
      <c r="Z1070" s="541" t="b">
        <f t="shared" si="758"/>
        <v>0</v>
      </c>
      <c r="AA1070" s="522"/>
      <c r="AB1070" s="523"/>
      <c r="AC1070" s="523"/>
      <c r="AD1070" s="524"/>
      <c r="AE1070" s="524"/>
      <c r="AF1070" s="524"/>
      <c r="AG1070" s="524"/>
      <c r="AH1070" s="522"/>
      <c r="AI1070" s="541"/>
      <c r="AJ1070" s="516"/>
      <c r="AK1070" s="516"/>
      <c r="AL1070" s="516"/>
      <c r="AM1070" s="292"/>
      <c r="AO1070" t="b">
        <f t="shared" si="759"/>
        <v>0</v>
      </c>
      <c r="AQ1070" s="441"/>
      <c r="AS1070" s="441"/>
      <c r="AT1070" s="616"/>
      <c r="AU1070" s="476"/>
      <c r="AV1070" s="636"/>
      <c r="AW1070" s="636"/>
      <c r="AX1070" s="655" t="str">
        <f t="shared" si="764"/>
        <v/>
      </c>
      <c r="AY1070" s="655" t="str">
        <f t="shared" si="756"/>
        <v/>
      </c>
      <c r="AZ1070" s="655" t="str">
        <f t="shared" si="765"/>
        <v/>
      </c>
      <c r="BA1070" s="655" t="str">
        <f t="shared" si="757"/>
        <v/>
      </c>
      <c r="BB1070" s="655" t="str">
        <f t="shared" si="760"/>
        <v/>
      </c>
      <c r="BC1070" s="655" t="str">
        <f t="shared" si="760"/>
        <v/>
      </c>
    </row>
    <row r="1071" spans="1:55" ht="12" customHeight="1">
      <c r="A1071" s="56"/>
      <c r="B1071" s="56"/>
      <c r="C1071" s="56"/>
      <c r="D1071" s="56"/>
      <c r="E1071" s="56"/>
      <c r="F1071" s="56"/>
      <c r="G1071" s="56"/>
      <c r="H1071" s="377"/>
      <c r="I1071" s="157"/>
      <c r="J1071" s="116">
        <v>311</v>
      </c>
      <c r="K1071" s="60" t="s">
        <v>178</v>
      </c>
      <c r="L1071" s="315">
        <f t="shared" ref="L1071:AC1071" si="782">L1072</f>
        <v>350055</v>
      </c>
      <c r="M1071" s="315">
        <f t="shared" si="782"/>
        <v>46460.28269958192</v>
      </c>
      <c r="N1071" s="337">
        <f t="shared" si="782"/>
        <v>315687</v>
      </c>
      <c r="O1071" s="337">
        <f t="shared" si="782"/>
        <v>41898.865219988053</v>
      </c>
      <c r="P1071" s="292">
        <f t="shared" si="782"/>
        <v>47100</v>
      </c>
      <c r="Q1071" s="292">
        <f t="shared" si="782"/>
        <v>47500</v>
      </c>
      <c r="R1071" s="441">
        <f t="shared" si="782"/>
        <v>47408</v>
      </c>
      <c r="S1071" s="292">
        <f t="shared" si="782"/>
        <v>0</v>
      </c>
      <c r="T1071" s="292"/>
      <c r="U1071" s="292"/>
      <c r="V1071" s="469">
        <f t="shared" si="782"/>
        <v>52500</v>
      </c>
      <c r="W1071" s="469">
        <f t="shared" si="782"/>
        <v>57000</v>
      </c>
      <c r="X1071" s="522">
        <f t="shared" si="782"/>
        <v>69000</v>
      </c>
      <c r="Y1071" s="522">
        <f t="shared" si="782"/>
        <v>0</v>
      </c>
      <c r="Z1071" s="541" t="b">
        <f t="shared" si="758"/>
        <v>1</v>
      </c>
      <c r="AA1071" s="522"/>
      <c r="AB1071" s="523">
        <f t="shared" si="782"/>
        <v>48000</v>
      </c>
      <c r="AC1071" s="523">
        <f t="shared" si="782"/>
        <v>48000</v>
      </c>
      <c r="AD1071" s="524">
        <f>O1071/M1071*100</f>
        <v>90.182114239190994</v>
      </c>
      <c r="AE1071" s="524">
        <f>P1071/O1071*100</f>
        <v>112.41354569557822</v>
      </c>
      <c r="AF1071" s="524">
        <f>Q1071/P1071*100</f>
        <v>100.84925690021231</v>
      </c>
      <c r="AG1071" s="524">
        <f>AB1071/Q1071*100</f>
        <v>101.05263157894737</v>
      </c>
      <c r="AH1071" s="522"/>
      <c r="AI1071" s="522">
        <v>69000</v>
      </c>
      <c r="AJ1071" s="516">
        <f>W1071/R1071*100</f>
        <v>120.23287208909889</v>
      </c>
      <c r="AK1071" s="516">
        <f>AT1071/W1071*100</f>
        <v>112.28070175438596</v>
      </c>
      <c r="AL1071" s="516">
        <f>X1071/AT1071*100</f>
        <v>107.8125</v>
      </c>
      <c r="AM1071" s="292"/>
      <c r="AO1071" t="b">
        <f t="shared" si="759"/>
        <v>1</v>
      </c>
      <c r="AP1071" s="440">
        <f>AP1072</f>
        <v>0</v>
      </c>
      <c r="AQ1071" s="441">
        <v>56608</v>
      </c>
      <c r="AR1071" s="440">
        <f>AR1072</f>
        <v>56608</v>
      </c>
      <c r="AS1071" s="441"/>
      <c r="AT1071" s="612">
        <f>AT1072</f>
        <v>64000</v>
      </c>
      <c r="AU1071" s="469">
        <f>AU1072</f>
        <v>64000</v>
      </c>
      <c r="AV1071" s="636">
        <v>69000</v>
      </c>
      <c r="AW1071" s="636">
        <v>69000</v>
      </c>
      <c r="AX1071" s="655">
        <f t="shared" si="764"/>
        <v>134.99831252109348</v>
      </c>
      <c r="AY1071" s="655" t="str">
        <f t="shared" si="756"/>
        <v/>
      </c>
      <c r="AZ1071" s="655">
        <f t="shared" si="765"/>
        <v>100</v>
      </c>
      <c r="BA1071" s="655" t="str">
        <f t="shared" si="757"/>
        <v/>
      </c>
      <c r="BB1071" s="655">
        <f t="shared" si="760"/>
        <v>107.8125</v>
      </c>
      <c r="BC1071" s="655">
        <f t="shared" si="760"/>
        <v>100</v>
      </c>
    </row>
    <row r="1072" spans="1:55" ht="12" customHeight="1">
      <c r="A1072" s="36"/>
      <c r="B1072" s="36"/>
      <c r="C1072" s="36"/>
      <c r="D1072" s="36"/>
      <c r="E1072" s="36"/>
      <c r="F1072" s="36"/>
      <c r="G1072" s="36"/>
      <c r="H1072" s="204">
        <v>46</v>
      </c>
      <c r="I1072" s="132">
        <v>820</v>
      </c>
      <c r="J1072" s="71">
        <v>3111</v>
      </c>
      <c r="K1072" s="40" t="s">
        <v>97</v>
      </c>
      <c r="L1072" s="309">
        <v>350055</v>
      </c>
      <c r="M1072" s="309">
        <f>350055/7.5345</f>
        <v>46460.28269958192</v>
      </c>
      <c r="N1072" s="339">
        <v>315687</v>
      </c>
      <c r="O1072" s="339">
        <f>N1072/7.5345</f>
        <v>41898.865219988053</v>
      </c>
      <c r="P1072" s="294">
        <v>47100</v>
      </c>
      <c r="Q1072" s="269">
        <v>47500</v>
      </c>
      <c r="R1072" s="443">
        <v>47408</v>
      </c>
      <c r="S1072" s="294"/>
      <c r="T1072" s="294"/>
      <c r="U1072" s="294"/>
      <c r="V1072" s="478">
        <v>52500</v>
      </c>
      <c r="W1072" s="478">
        <v>57000</v>
      </c>
      <c r="X1072" s="544">
        <v>69000</v>
      </c>
      <c r="Y1072" s="544"/>
      <c r="Z1072" s="541" t="b">
        <f t="shared" si="758"/>
        <v>0</v>
      </c>
      <c r="AA1072" s="527"/>
      <c r="AB1072" s="528">
        <v>48000</v>
      </c>
      <c r="AC1072" s="528">
        <v>48000</v>
      </c>
      <c r="AD1072" s="524">
        <f>O1072/M1072*100</f>
        <v>90.182114239190994</v>
      </c>
      <c r="AE1072" s="524">
        <f>P1072/O1072*100</f>
        <v>112.41354569557822</v>
      </c>
      <c r="AF1072" s="524">
        <f>Q1072/P1072*100</f>
        <v>100.84925690021231</v>
      </c>
      <c r="AG1072" s="524">
        <f>AB1072/Q1072*100</f>
        <v>101.05263157894737</v>
      </c>
      <c r="AH1072" s="527"/>
      <c r="AI1072" s="544">
        <v>69000</v>
      </c>
      <c r="AJ1072" s="516">
        <f>W1072/R1072*100</f>
        <v>120.23287208909889</v>
      </c>
      <c r="AK1072" s="516">
        <f>AT1072/W1072*100</f>
        <v>112.28070175438596</v>
      </c>
      <c r="AL1072" s="516">
        <f>X1072/AT1072*100</f>
        <v>107.8125</v>
      </c>
      <c r="AM1072" s="294"/>
      <c r="AO1072" t="b">
        <f t="shared" si="759"/>
        <v>0</v>
      </c>
      <c r="AQ1072" s="443">
        <v>56608</v>
      </c>
      <c r="AR1072">
        <v>56608</v>
      </c>
      <c r="AS1072" s="443"/>
      <c r="AT1072" s="617">
        <v>64000</v>
      </c>
      <c r="AU1072" s="478">
        <v>64000</v>
      </c>
      <c r="AV1072" s="638">
        <v>69000</v>
      </c>
      <c r="AW1072" s="638">
        <v>69000</v>
      </c>
      <c r="AX1072" s="655">
        <f t="shared" si="764"/>
        <v>134.99831252109348</v>
      </c>
      <c r="AY1072" s="655">
        <f t="shared" si="756"/>
        <v>685.22483940042832</v>
      </c>
      <c r="AZ1072" s="655">
        <f t="shared" si="765"/>
        <v>100</v>
      </c>
      <c r="BA1072" s="655">
        <f t="shared" si="757"/>
        <v>685.22483940042832</v>
      </c>
      <c r="BB1072" s="655">
        <f t="shared" si="760"/>
        <v>107.8125</v>
      </c>
      <c r="BC1072" s="655">
        <f t="shared" si="760"/>
        <v>100</v>
      </c>
    </row>
    <row r="1073" spans="1:55" ht="12" customHeight="1">
      <c r="A1073" s="36"/>
      <c r="B1073" s="36"/>
      <c r="C1073" s="36"/>
      <c r="D1073" s="36"/>
      <c r="E1073" s="36"/>
      <c r="F1073" s="36"/>
      <c r="G1073" s="36"/>
      <c r="H1073" s="204"/>
      <c r="I1073" s="132"/>
      <c r="J1073" s="71"/>
      <c r="K1073" s="40"/>
      <c r="L1073" s="313"/>
      <c r="M1073" s="313"/>
      <c r="N1073" s="335"/>
      <c r="O1073" s="335"/>
      <c r="P1073" s="290"/>
      <c r="Q1073" s="290"/>
      <c r="R1073" s="439"/>
      <c r="S1073" s="290"/>
      <c r="T1073" s="290"/>
      <c r="U1073" s="290"/>
      <c r="V1073" s="474"/>
      <c r="W1073" s="474"/>
      <c r="X1073" s="539"/>
      <c r="Y1073" s="539"/>
      <c r="Z1073" s="541" t="b">
        <f t="shared" si="758"/>
        <v>0</v>
      </c>
      <c r="AA1073" s="514"/>
      <c r="AB1073" s="515"/>
      <c r="AC1073" s="515"/>
      <c r="AD1073" s="524"/>
      <c r="AE1073" s="524"/>
      <c r="AF1073" s="524"/>
      <c r="AG1073" s="524"/>
      <c r="AH1073" s="514"/>
      <c r="AI1073" s="539"/>
      <c r="AJ1073" s="516"/>
      <c r="AK1073" s="516"/>
      <c r="AL1073" s="516"/>
      <c r="AM1073" s="290"/>
      <c r="AO1073" t="b">
        <f t="shared" si="759"/>
        <v>0</v>
      </c>
      <c r="AQ1073" s="439"/>
      <c r="AS1073" s="439"/>
      <c r="AT1073" s="616"/>
      <c r="AU1073" s="474"/>
      <c r="AV1073" s="632"/>
      <c r="AW1073" s="632"/>
      <c r="AX1073" s="655" t="str">
        <f t="shared" si="764"/>
        <v/>
      </c>
      <c r="AY1073" s="655" t="str">
        <f t="shared" si="756"/>
        <v/>
      </c>
      <c r="AZ1073" s="655" t="str">
        <f t="shared" si="765"/>
        <v/>
      </c>
      <c r="BA1073" s="655" t="str">
        <f t="shared" si="757"/>
        <v/>
      </c>
      <c r="BB1073" s="655" t="str">
        <f t="shared" si="760"/>
        <v/>
      </c>
      <c r="BC1073" s="655" t="str">
        <f t="shared" si="760"/>
        <v/>
      </c>
    </row>
    <row r="1074" spans="1:55" ht="12" customHeight="1">
      <c r="A1074" s="56"/>
      <c r="B1074" s="56"/>
      <c r="C1074" s="56"/>
      <c r="D1074" s="56"/>
      <c r="E1074" s="56"/>
      <c r="F1074" s="56"/>
      <c r="G1074" s="56"/>
      <c r="H1074" s="377"/>
      <c r="I1074" s="157"/>
      <c r="J1074" s="116">
        <v>312</v>
      </c>
      <c r="K1074" s="60" t="s">
        <v>180</v>
      </c>
      <c r="L1074" s="315">
        <f t="shared" ref="L1074:AC1074" si="783">L1075</f>
        <v>3000</v>
      </c>
      <c r="M1074" s="315">
        <f t="shared" si="783"/>
        <v>398.16842524387812</v>
      </c>
      <c r="N1074" s="337">
        <f t="shared" si="783"/>
        <v>4500</v>
      </c>
      <c r="O1074" s="337">
        <f t="shared" si="783"/>
        <v>597.25263786581718</v>
      </c>
      <c r="P1074" s="292">
        <f t="shared" si="783"/>
        <v>800</v>
      </c>
      <c r="Q1074" s="292">
        <f t="shared" si="783"/>
        <v>1300</v>
      </c>
      <c r="R1074" s="441">
        <f t="shared" si="783"/>
        <v>1298</v>
      </c>
      <c r="S1074" s="292">
        <f t="shared" si="783"/>
        <v>0</v>
      </c>
      <c r="T1074" s="292"/>
      <c r="U1074" s="292"/>
      <c r="V1074" s="469">
        <f t="shared" si="783"/>
        <v>1300</v>
      </c>
      <c r="W1074" s="469">
        <f t="shared" si="783"/>
        <v>2100</v>
      </c>
      <c r="X1074" s="522">
        <f t="shared" si="783"/>
        <v>5000</v>
      </c>
      <c r="Y1074" s="522">
        <f t="shared" si="783"/>
        <v>0</v>
      </c>
      <c r="Z1074" s="541" t="b">
        <f t="shared" si="758"/>
        <v>1</v>
      </c>
      <c r="AA1074" s="522"/>
      <c r="AB1074" s="523">
        <f t="shared" si="783"/>
        <v>900</v>
      </c>
      <c r="AC1074" s="523">
        <f t="shared" si="783"/>
        <v>900</v>
      </c>
      <c r="AD1074" s="524">
        <f>O1074/M1074*100</f>
        <v>150</v>
      </c>
      <c r="AE1074" s="524">
        <f>P1074/O1074*100</f>
        <v>133.94666666666669</v>
      </c>
      <c r="AF1074" s="524">
        <f>Q1074/P1074*100</f>
        <v>162.5</v>
      </c>
      <c r="AG1074" s="524">
        <f>AB1074/Q1074*100</f>
        <v>69.230769230769226</v>
      </c>
      <c r="AH1074" s="522"/>
      <c r="AI1074" s="522">
        <v>5000</v>
      </c>
      <c r="AJ1074" s="516">
        <f>W1074/R1074*100</f>
        <v>161.78736517719571</v>
      </c>
      <c r="AK1074" s="516">
        <f>AT1074/W1074*100</f>
        <v>214.28571428571428</v>
      </c>
      <c r="AL1074" s="516">
        <f>X1074/AT1074*100</f>
        <v>111.11111111111111</v>
      </c>
      <c r="AM1074" s="292"/>
      <c r="AO1074" t="b">
        <f t="shared" si="759"/>
        <v>1</v>
      </c>
      <c r="AP1074" s="440">
        <f>AP1075</f>
        <v>0</v>
      </c>
      <c r="AQ1074" s="441">
        <v>2828</v>
      </c>
      <c r="AR1074" s="440">
        <f>AR1075</f>
        <v>2828</v>
      </c>
      <c r="AS1074" s="441"/>
      <c r="AT1074" s="612">
        <f>AT1075</f>
        <v>4500</v>
      </c>
      <c r="AU1074" s="469">
        <f>AU1075</f>
        <v>4500</v>
      </c>
      <c r="AV1074" s="636">
        <v>5000</v>
      </c>
      <c r="AW1074" s="636">
        <v>5000</v>
      </c>
      <c r="AX1074" s="655">
        <f t="shared" si="764"/>
        <v>346.68721109399075</v>
      </c>
      <c r="AY1074" s="655" t="str">
        <f t="shared" si="756"/>
        <v/>
      </c>
      <c r="AZ1074" s="655">
        <f t="shared" si="765"/>
        <v>100</v>
      </c>
      <c r="BA1074" s="655" t="str">
        <f t="shared" si="757"/>
        <v/>
      </c>
      <c r="BB1074" s="655">
        <f t="shared" si="760"/>
        <v>111.11111111111111</v>
      </c>
      <c r="BC1074" s="655">
        <f t="shared" si="760"/>
        <v>100</v>
      </c>
    </row>
    <row r="1075" spans="1:55" ht="12" customHeight="1">
      <c r="A1075" s="36"/>
      <c r="B1075" s="36"/>
      <c r="C1075" s="36"/>
      <c r="D1075" s="36"/>
      <c r="E1075" s="36"/>
      <c r="F1075" s="36"/>
      <c r="G1075" s="36"/>
      <c r="H1075" s="204">
        <v>47</v>
      </c>
      <c r="I1075" s="132">
        <v>820</v>
      </c>
      <c r="J1075" s="71">
        <v>3121</v>
      </c>
      <c r="K1075" s="40" t="s">
        <v>99</v>
      </c>
      <c r="L1075" s="309">
        <v>3000</v>
      </c>
      <c r="M1075" s="309">
        <f>3000/7.5345</f>
        <v>398.16842524387812</v>
      </c>
      <c r="N1075" s="339">
        <v>4500</v>
      </c>
      <c r="O1075" s="339">
        <f>N1075/7.5345</f>
        <v>597.25263786581718</v>
      </c>
      <c r="P1075" s="294">
        <v>800</v>
      </c>
      <c r="Q1075" s="269">
        <v>1300</v>
      </c>
      <c r="R1075" s="443">
        <v>1298</v>
      </c>
      <c r="S1075" s="294"/>
      <c r="T1075" s="294"/>
      <c r="U1075" s="294"/>
      <c r="V1075" s="478">
        <v>1300</v>
      </c>
      <c r="W1075" s="478">
        <v>2100</v>
      </c>
      <c r="X1075" s="544">
        <v>5000</v>
      </c>
      <c r="Y1075" s="544"/>
      <c r="Z1075" s="541" t="b">
        <f t="shared" si="758"/>
        <v>0</v>
      </c>
      <c r="AA1075" s="527"/>
      <c r="AB1075" s="528">
        <v>900</v>
      </c>
      <c r="AC1075" s="528">
        <v>900</v>
      </c>
      <c r="AD1075" s="524">
        <f>O1075/M1075*100</f>
        <v>150</v>
      </c>
      <c r="AE1075" s="524">
        <f>P1075/O1075*100</f>
        <v>133.94666666666669</v>
      </c>
      <c r="AF1075" s="524">
        <f>Q1075/P1075*100</f>
        <v>162.5</v>
      </c>
      <c r="AG1075" s="524">
        <f>AB1075/Q1075*100</f>
        <v>69.230769230769226</v>
      </c>
      <c r="AH1075" s="527"/>
      <c r="AI1075" s="544">
        <v>5000</v>
      </c>
      <c r="AJ1075" s="516">
        <f>W1075/R1075*100</f>
        <v>161.78736517719571</v>
      </c>
      <c r="AK1075" s="516">
        <f>AT1075/W1075*100</f>
        <v>214.28571428571428</v>
      </c>
      <c r="AL1075" s="516">
        <f>X1075/AT1075*100</f>
        <v>111.11111111111111</v>
      </c>
      <c r="AM1075" s="294"/>
      <c r="AO1075" t="b">
        <f t="shared" si="759"/>
        <v>0</v>
      </c>
      <c r="AQ1075" s="443">
        <v>2828</v>
      </c>
      <c r="AR1075">
        <v>2828</v>
      </c>
      <c r="AS1075" s="443"/>
      <c r="AT1075" s="617">
        <v>4500</v>
      </c>
      <c r="AU1075" s="478">
        <v>4500</v>
      </c>
      <c r="AV1075" s="638">
        <v>5000</v>
      </c>
      <c r="AW1075" s="638">
        <v>5000</v>
      </c>
      <c r="AX1075" s="655">
        <f t="shared" si="764"/>
        <v>346.68721109399075</v>
      </c>
      <c r="AY1075" s="655" t="str">
        <f t="shared" si="756"/>
        <v/>
      </c>
      <c r="AZ1075" s="655">
        <f t="shared" si="765"/>
        <v>100</v>
      </c>
      <c r="BA1075" s="655" t="str">
        <f t="shared" si="757"/>
        <v/>
      </c>
      <c r="BB1075" s="655">
        <f t="shared" si="760"/>
        <v>111.11111111111111</v>
      </c>
      <c r="BC1075" s="655">
        <f t="shared" si="760"/>
        <v>100</v>
      </c>
    </row>
    <row r="1076" spans="1:55" ht="12" customHeight="1">
      <c r="A1076" s="36"/>
      <c r="B1076" s="36"/>
      <c r="C1076" s="36"/>
      <c r="D1076" s="36"/>
      <c r="E1076" s="36"/>
      <c r="F1076" s="36"/>
      <c r="G1076" s="36"/>
      <c r="H1076" s="204"/>
      <c r="I1076" s="132"/>
      <c r="J1076" s="71"/>
      <c r="K1076" s="40"/>
      <c r="L1076" s="316"/>
      <c r="M1076" s="316"/>
      <c r="N1076" s="338"/>
      <c r="O1076" s="338"/>
      <c r="P1076" s="293"/>
      <c r="Q1076" s="293"/>
      <c r="R1076" s="442"/>
      <c r="S1076" s="293"/>
      <c r="T1076" s="293"/>
      <c r="U1076" s="293"/>
      <c r="V1076" s="475"/>
      <c r="W1076" s="475"/>
      <c r="X1076" s="540"/>
      <c r="Y1076" s="540"/>
      <c r="Z1076" s="541" t="b">
        <f t="shared" si="758"/>
        <v>0</v>
      </c>
      <c r="AA1076" s="525"/>
      <c r="AB1076" s="526"/>
      <c r="AC1076" s="526"/>
      <c r="AD1076" s="524"/>
      <c r="AE1076" s="524"/>
      <c r="AF1076" s="524"/>
      <c r="AG1076" s="524"/>
      <c r="AH1076" s="525"/>
      <c r="AI1076" s="540"/>
      <c r="AJ1076" s="516"/>
      <c r="AK1076" s="516"/>
      <c r="AL1076" s="516"/>
      <c r="AM1076" s="293"/>
      <c r="AO1076" t="b">
        <f t="shared" si="759"/>
        <v>0</v>
      </c>
      <c r="AQ1076" s="442"/>
      <c r="AS1076" s="442"/>
      <c r="AT1076" s="617"/>
      <c r="AU1076" s="475"/>
      <c r="AV1076" s="637"/>
      <c r="AW1076" s="637"/>
      <c r="AX1076" s="655" t="str">
        <f t="shared" si="764"/>
        <v/>
      </c>
      <c r="AY1076" s="655" t="str">
        <f t="shared" si="756"/>
        <v/>
      </c>
      <c r="AZ1076" s="655" t="str">
        <f t="shared" si="765"/>
        <v/>
      </c>
      <c r="BA1076" s="655" t="str">
        <f t="shared" si="757"/>
        <v/>
      </c>
      <c r="BB1076" s="655" t="str">
        <f t="shared" si="760"/>
        <v/>
      </c>
      <c r="BC1076" s="655" t="str">
        <f t="shared" si="760"/>
        <v/>
      </c>
    </row>
    <row r="1077" spans="1:55" ht="12" customHeight="1">
      <c r="A1077" s="56"/>
      <c r="B1077" s="56"/>
      <c r="C1077" s="56"/>
      <c r="D1077" s="56"/>
      <c r="E1077" s="56"/>
      <c r="F1077" s="56"/>
      <c r="G1077" s="56"/>
      <c r="H1077" s="377"/>
      <c r="I1077" s="157"/>
      <c r="J1077" s="116">
        <v>313</v>
      </c>
      <c r="K1077" s="60" t="s">
        <v>181</v>
      </c>
      <c r="L1077" s="315">
        <f t="shared" ref="L1077:S1077" si="784">L1078+L1079</f>
        <v>57759</v>
      </c>
      <c r="M1077" s="315">
        <f t="shared" si="784"/>
        <v>7665.9366912203859</v>
      </c>
      <c r="N1077" s="337">
        <f t="shared" si="784"/>
        <v>52088</v>
      </c>
      <c r="O1077" s="337">
        <f t="shared" si="784"/>
        <v>6913.2656447010413</v>
      </c>
      <c r="P1077" s="292">
        <f t="shared" si="784"/>
        <v>7800</v>
      </c>
      <c r="Q1077" s="292">
        <f t="shared" si="784"/>
        <v>7900</v>
      </c>
      <c r="R1077" s="441">
        <f t="shared" si="784"/>
        <v>7822</v>
      </c>
      <c r="S1077" s="292">
        <f t="shared" si="784"/>
        <v>0</v>
      </c>
      <c r="T1077" s="292"/>
      <c r="U1077" s="292"/>
      <c r="V1077" s="469">
        <f>V1078+V1079</f>
        <v>8660</v>
      </c>
      <c r="W1077" s="469">
        <f>W1078+W1079</f>
        <v>9400</v>
      </c>
      <c r="X1077" s="522">
        <f>X1078+X1079</f>
        <v>11400</v>
      </c>
      <c r="Y1077" s="522">
        <f>Y1078+Y1079</f>
        <v>0</v>
      </c>
      <c r="Z1077" s="541" t="b">
        <f t="shared" si="758"/>
        <v>1</v>
      </c>
      <c r="AA1077" s="522"/>
      <c r="AB1077" s="523">
        <f>AB1078+AB1079</f>
        <v>8000</v>
      </c>
      <c r="AC1077" s="523">
        <f>AC1078+AC1079</f>
        <v>8000</v>
      </c>
      <c r="AD1077" s="524">
        <f>O1077/M1077*100</f>
        <v>90.181616717740951</v>
      </c>
      <c r="AE1077" s="524">
        <f>P1077/O1077*100</f>
        <v>112.82656273997851</v>
      </c>
      <c r="AF1077" s="524">
        <f>Q1077/P1077*100</f>
        <v>101.28205128205127</v>
      </c>
      <c r="AG1077" s="524">
        <f>AB1077/Q1077*100</f>
        <v>101.26582278481013</v>
      </c>
      <c r="AH1077" s="522"/>
      <c r="AI1077" s="522">
        <v>11400</v>
      </c>
      <c r="AJ1077" s="516">
        <f>W1077/R1077*100</f>
        <v>120.17386857581181</v>
      </c>
      <c r="AK1077" s="516">
        <f>AT1077/W1077*100</f>
        <v>112.7659574468085</v>
      </c>
      <c r="AL1077" s="516">
        <f>X1077/AT1077*100</f>
        <v>107.54716981132076</v>
      </c>
      <c r="AM1077" s="292"/>
      <c r="AO1077" t="b">
        <f t="shared" si="759"/>
        <v>1</v>
      </c>
      <c r="AP1077" s="440">
        <f>AP1078+AP1079</f>
        <v>0</v>
      </c>
      <c r="AQ1077" s="441">
        <v>9340</v>
      </c>
      <c r="AR1077" s="440">
        <f>AR1078+AR1079</f>
        <v>0</v>
      </c>
      <c r="AS1077" s="441"/>
      <c r="AT1077" s="612">
        <f>AT1078+AT1079</f>
        <v>10600</v>
      </c>
      <c r="AU1077" s="469">
        <f>AU1078+AU1079</f>
        <v>10600</v>
      </c>
      <c r="AV1077" s="636">
        <v>11400</v>
      </c>
      <c r="AW1077" s="636">
        <v>11400</v>
      </c>
      <c r="AX1077" s="655">
        <f t="shared" si="764"/>
        <v>135.51521350038354</v>
      </c>
      <c r="AY1077" s="655" t="str">
        <f t="shared" si="756"/>
        <v/>
      </c>
      <c r="AZ1077" s="655">
        <f t="shared" si="765"/>
        <v>100</v>
      </c>
      <c r="BA1077" s="655" t="str">
        <f t="shared" si="757"/>
        <v/>
      </c>
      <c r="BB1077" s="655">
        <f t="shared" si="760"/>
        <v>107.54716981132076</v>
      </c>
      <c r="BC1077" s="655">
        <f t="shared" si="760"/>
        <v>100</v>
      </c>
    </row>
    <row r="1078" spans="1:55" ht="12" customHeight="1">
      <c r="A1078" s="36"/>
      <c r="B1078" s="36"/>
      <c r="C1078" s="36"/>
      <c r="D1078" s="36"/>
      <c r="E1078" s="36"/>
      <c r="F1078" s="36"/>
      <c r="G1078" s="36"/>
      <c r="H1078" s="204">
        <v>49</v>
      </c>
      <c r="I1078" s="132">
        <v>820</v>
      </c>
      <c r="J1078" s="71">
        <v>3132</v>
      </c>
      <c r="K1078" s="40" t="s">
        <v>182</v>
      </c>
      <c r="L1078" s="309">
        <v>57759</v>
      </c>
      <c r="M1078" s="309">
        <f>57759/7.5345</f>
        <v>7665.9366912203859</v>
      </c>
      <c r="N1078" s="339">
        <v>52088</v>
      </c>
      <c r="O1078" s="339">
        <f>N1078/7.5345</f>
        <v>6913.2656447010413</v>
      </c>
      <c r="P1078" s="294">
        <v>7800</v>
      </c>
      <c r="Q1078" s="269">
        <v>7900</v>
      </c>
      <c r="R1078" s="443">
        <v>7822</v>
      </c>
      <c r="S1078" s="294"/>
      <c r="T1078" s="294"/>
      <c r="U1078" s="294"/>
      <c r="V1078" s="478">
        <v>8660</v>
      </c>
      <c r="W1078" s="478">
        <v>9400</v>
      </c>
      <c r="X1078" s="544">
        <v>11400</v>
      </c>
      <c r="Y1078" s="544"/>
      <c r="Z1078" s="541" t="b">
        <f t="shared" si="758"/>
        <v>0</v>
      </c>
      <c r="AA1078" s="527"/>
      <c r="AB1078" s="528">
        <v>8000</v>
      </c>
      <c r="AC1078" s="528">
        <v>8000</v>
      </c>
      <c r="AD1078" s="524">
        <f>O1078/M1078*100</f>
        <v>90.181616717740951</v>
      </c>
      <c r="AE1078" s="524">
        <f>P1078/O1078*100</f>
        <v>112.82656273997851</v>
      </c>
      <c r="AF1078" s="524">
        <f>Q1078/P1078*100</f>
        <v>101.28205128205127</v>
      </c>
      <c r="AG1078" s="524">
        <f>AB1078/Q1078*100</f>
        <v>101.26582278481013</v>
      </c>
      <c r="AH1078" s="527"/>
      <c r="AI1078" s="544">
        <v>11400</v>
      </c>
      <c r="AJ1078" s="516">
        <f>W1078/R1078*100</f>
        <v>120.17386857581181</v>
      </c>
      <c r="AK1078" s="516">
        <f>AT1078/W1078*100</f>
        <v>112.7659574468085</v>
      </c>
      <c r="AL1078" s="516">
        <f>X1078/AT1078*100</f>
        <v>107.54716981132076</v>
      </c>
      <c r="AM1078" s="294"/>
      <c r="AO1078" t="b">
        <f t="shared" si="759"/>
        <v>0</v>
      </c>
      <c r="AQ1078" s="443">
        <v>9340</v>
      </c>
      <c r="AS1078" s="443"/>
      <c r="AT1078" s="617">
        <v>10600</v>
      </c>
      <c r="AU1078" s="478">
        <v>10600</v>
      </c>
      <c r="AV1078" s="638">
        <v>11400</v>
      </c>
      <c r="AW1078" s="638">
        <v>11400</v>
      </c>
      <c r="AX1078" s="655">
        <f t="shared" si="764"/>
        <v>135.51521350038354</v>
      </c>
      <c r="AY1078" s="655">
        <f t="shared" si="756"/>
        <v>2058.2524271844663</v>
      </c>
      <c r="AZ1078" s="655">
        <f t="shared" si="765"/>
        <v>100</v>
      </c>
      <c r="BA1078" s="655">
        <f t="shared" si="757"/>
        <v>2058.2524271844663</v>
      </c>
      <c r="BB1078" s="655">
        <f t="shared" si="760"/>
        <v>107.54716981132076</v>
      </c>
      <c r="BC1078" s="655">
        <f t="shared" si="760"/>
        <v>100</v>
      </c>
    </row>
    <row r="1079" spans="1:55" ht="12" customHeight="1">
      <c r="A1079" s="36"/>
      <c r="B1079" s="36"/>
      <c r="C1079" s="36"/>
      <c r="D1079" s="36"/>
      <c r="E1079" s="36"/>
      <c r="F1079" s="36"/>
      <c r="G1079" s="36"/>
      <c r="H1079" s="204">
        <v>50</v>
      </c>
      <c r="I1079" s="132">
        <v>820</v>
      </c>
      <c r="J1079" s="71">
        <v>3133</v>
      </c>
      <c r="K1079" s="40" t="s">
        <v>403</v>
      </c>
      <c r="L1079" s="309">
        <v>0</v>
      </c>
      <c r="M1079" s="309">
        <v>0</v>
      </c>
      <c r="N1079" s="339">
        <v>0</v>
      </c>
      <c r="O1079" s="339">
        <f>N1079/7.5345</f>
        <v>0</v>
      </c>
      <c r="P1079" s="294">
        <v>0</v>
      </c>
      <c r="Q1079" s="294">
        <v>0</v>
      </c>
      <c r="R1079" s="443">
        <v>0</v>
      </c>
      <c r="S1079" s="294"/>
      <c r="T1079" s="294"/>
      <c r="U1079" s="294"/>
      <c r="V1079" s="478">
        <v>0</v>
      </c>
      <c r="W1079" s="478"/>
      <c r="X1079" s="544"/>
      <c r="Y1079" s="544"/>
      <c r="Z1079" s="541" t="b">
        <f t="shared" si="758"/>
        <v>0</v>
      </c>
      <c r="AA1079" s="527"/>
      <c r="AB1079" s="528">
        <v>0</v>
      </c>
      <c r="AC1079" s="528">
        <v>0</v>
      </c>
      <c r="AD1079" s="524"/>
      <c r="AE1079" s="524"/>
      <c r="AF1079" s="524"/>
      <c r="AG1079" s="524"/>
      <c r="AH1079" s="527"/>
      <c r="AI1079" s="544"/>
      <c r="AJ1079" s="516"/>
      <c r="AK1079" s="516"/>
      <c r="AL1079" s="516"/>
      <c r="AM1079" s="294"/>
      <c r="AO1079" t="b">
        <f t="shared" si="759"/>
        <v>0</v>
      </c>
      <c r="AQ1079" s="443"/>
      <c r="AS1079" s="443"/>
      <c r="AT1079" s="617"/>
      <c r="AU1079" s="478"/>
      <c r="AV1079" s="638"/>
      <c r="AW1079" s="638"/>
      <c r="AX1079" s="655" t="str">
        <f t="shared" si="764"/>
        <v/>
      </c>
      <c r="AY1079" s="655" t="str">
        <f t="shared" si="756"/>
        <v/>
      </c>
      <c r="AZ1079" s="655" t="str">
        <f t="shared" si="765"/>
        <v/>
      </c>
      <c r="BA1079" s="655" t="str">
        <f t="shared" si="757"/>
        <v/>
      </c>
      <c r="BB1079" s="655" t="str">
        <f t="shared" si="760"/>
        <v/>
      </c>
      <c r="BC1079" s="655" t="str">
        <f t="shared" si="760"/>
        <v/>
      </c>
    </row>
    <row r="1080" spans="1:55" ht="12" customHeight="1">
      <c r="A1080" s="36"/>
      <c r="B1080" s="36"/>
      <c r="C1080" s="36"/>
      <c r="D1080" s="36"/>
      <c r="E1080" s="36"/>
      <c r="F1080" s="36"/>
      <c r="G1080" s="36"/>
      <c r="H1080" s="204"/>
      <c r="I1080" s="132"/>
      <c r="J1080" s="71"/>
      <c r="K1080" s="40"/>
      <c r="L1080" s="309"/>
      <c r="M1080" s="309"/>
      <c r="N1080" s="339"/>
      <c r="O1080" s="339"/>
      <c r="P1080" s="294"/>
      <c r="Q1080" s="294"/>
      <c r="R1080" s="443"/>
      <c r="S1080" s="294"/>
      <c r="T1080" s="294"/>
      <c r="U1080" s="294"/>
      <c r="V1080" s="478"/>
      <c r="W1080" s="478"/>
      <c r="X1080" s="544"/>
      <c r="Y1080" s="544"/>
      <c r="Z1080" s="541" t="b">
        <f t="shared" si="758"/>
        <v>0</v>
      </c>
      <c r="AA1080" s="527"/>
      <c r="AB1080" s="528"/>
      <c r="AC1080" s="528"/>
      <c r="AD1080" s="524"/>
      <c r="AE1080" s="524"/>
      <c r="AF1080" s="524"/>
      <c r="AG1080" s="524"/>
      <c r="AH1080" s="527"/>
      <c r="AI1080" s="544"/>
      <c r="AJ1080" s="516"/>
      <c r="AK1080" s="516"/>
      <c r="AL1080" s="516"/>
      <c r="AM1080" s="294"/>
      <c r="AO1080" t="b">
        <f t="shared" si="759"/>
        <v>0</v>
      </c>
      <c r="AQ1080" s="443"/>
      <c r="AS1080" s="443"/>
      <c r="AT1080" s="617"/>
      <c r="AU1080" s="478"/>
      <c r="AV1080" s="638"/>
      <c r="AW1080" s="638"/>
      <c r="AX1080" s="655" t="str">
        <f t="shared" si="764"/>
        <v/>
      </c>
      <c r="AY1080" s="655" t="str">
        <f t="shared" si="756"/>
        <v/>
      </c>
      <c r="AZ1080" s="655" t="str">
        <f t="shared" si="765"/>
        <v/>
      </c>
      <c r="BA1080" s="655" t="str">
        <f t="shared" si="757"/>
        <v/>
      </c>
      <c r="BB1080" s="655" t="str">
        <f t="shared" si="760"/>
        <v/>
      </c>
      <c r="BC1080" s="655" t="str">
        <f t="shared" si="760"/>
        <v/>
      </c>
    </row>
    <row r="1081" spans="1:55" ht="12" customHeight="1">
      <c r="A1081" s="355"/>
      <c r="B1081" s="355"/>
      <c r="C1081" s="355"/>
      <c r="D1081" s="355"/>
      <c r="E1081" s="355"/>
      <c r="F1081" s="355"/>
      <c r="G1081" s="355"/>
      <c r="H1081" s="379"/>
      <c r="I1081" s="359"/>
      <c r="J1081" s="356">
        <v>32</v>
      </c>
      <c r="K1081" s="358" t="s">
        <v>103</v>
      </c>
      <c r="L1081" s="315">
        <f t="shared" ref="L1081:S1081" si="785">L1083+L1087+L1093+L1101</f>
        <v>60239</v>
      </c>
      <c r="M1081" s="315">
        <f t="shared" si="785"/>
        <v>7995.0892560886587</v>
      </c>
      <c r="N1081" s="337">
        <f t="shared" si="785"/>
        <v>71003</v>
      </c>
      <c r="O1081" s="337">
        <f t="shared" si="785"/>
        <v>9423.7175658636916</v>
      </c>
      <c r="P1081" s="292">
        <f t="shared" si="785"/>
        <v>18600</v>
      </c>
      <c r="Q1081" s="292">
        <f t="shared" si="785"/>
        <v>19300</v>
      </c>
      <c r="R1081" s="441">
        <f t="shared" si="785"/>
        <v>8937</v>
      </c>
      <c r="S1081" s="292">
        <f t="shared" si="785"/>
        <v>0</v>
      </c>
      <c r="T1081" s="292"/>
      <c r="U1081" s="292"/>
      <c r="V1081" s="469">
        <f>V1083+V1087+V1093+V1101</f>
        <v>20200</v>
      </c>
      <c r="W1081" s="469">
        <f>W1083+W1087+W1093+W1101</f>
        <v>27800</v>
      </c>
      <c r="X1081" s="522">
        <f>X1083+X1087+X1093+X1101</f>
        <v>30000</v>
      </c>
      <c r="Y1081" s="522">
        <f>Y1083+Y1087+Y1093+Y1101</f>
        <v>0</v>
      </c>
      <c r="Z1081" s="541" t="b">
        <f t="shared" si="758"/>
        <v>1</v>
      </c>
      <c r="AA1081" s="522"/>
      <c r="AB1081" s="523">
        <f>AB1083+AB1087+AB1093+AB1101</f>
        <v>49300</v>
      </c>
      <c r="AC1081" s="523">
        <f>AC1083+AC1087+AC1093+AC1101</f>
        <v>49300</v>
      </c>
      <c r="AD1081" s="524">
        <f>O1081/M1081*100</f>
        <v>117.86882252361424</v>
      </c>
      <c r="AE1081" s="524">
        <f>P1081/O1081*100</f>
        <v>197.37433629564953</v>
      </c>
      <c r="AF1081" s="524">
        <f>Q1081/P1081*100</f>
        <v>103.76344086021506</v>
      </c>
      <c r="AG1081" s="524">
        <f>AB1081/Q1081*100</f>
        <v>255.44041450777203</v>
      </c>
      <c r="AH1081" s="522"/>
      <c r="AI1081" s="522">
        <v>30000</v>
      </c>
      <c r="AJ1081" s="516">
        <f>W1081/R1081*100</f>
        <v>311.0663533624259</v>
      </c>
      <c r="AK1081" s="516">
        <f>AT1081/W1081*100</f>
        <v>98.201438848920859</v>
      </c>
      <c r="AL1081" s="516">
        <f>X1081/AT1081*100</f>
        <v>109.8901098901099</v>
      </c>
      <c r="AM1081" s="292"/>
      <c r="AO1081" t="b">
        <f t="shared" si="759"/>
        <v>1</v>
      </c>
      <c r="AP1081" s="440">
        <f>AP1083+AP1087+AP1093+AP1101</f>
        <v>0</v>
      </c>
      <c r="AQ1081" s="441">
        <v>23521</v>
      </c>
      <c r="AR1081" s="440">
        <f>AR1083+AR1087+AR1093+AR1101</f>
        <v>0</v>
      </c>
      <c r="AS1081" s="441"/>
      <c r="AT1081" s="612">
        <f>AT1083+AT1087+AT1093+AT1101</f>
        <v>27300</v>
      </c>
      <c r="AU1081" s="469">
        <f>AU1083+AU1087+AU1093+AU1101</f>
        <v>27300</v>
      </c>
      <c r="AV1081" s="636">
        <v>30000</v>
      </c>
      <c r="AW1081" s="636">
        <v>30000</v>
      </c>
      <c r="AX1081" s="655">
        <f t="shared" si="764"/>
        <v>305.47163477677071</v>
      </c>
      <c r="AY1081" s="655" t="str">
        <f t="shared" si="756"/>
        <v/>
      </c>
      <c r="AZ1081" s="655">
        <f t="shared" si="765"/>
        <v>100</v>
      </c>
      <c r="BA1081" s="655" t="str">
        <f t="shared" si="757"/>
        <v/>
      </c>
      <c r="BB1081" s="655">
        <f t="shared" si="760"/>
        <v>109.8901098901099</v>
      </c>
      <c r="BC1081" s="655">
        <f t="shared" si="760"/>
        <v>100</v>
      </c>
    </row>
    <row r="1082" spans="1:55" ht="12" customHeight="1">
      <c r="A1082" s="52"/>
      <c r="B1082" s="52"/>
      <c r="C1082" s="52"/>
      <c r="D1082" s="52"/>
      <c r="E1082" s="52"/>
      <c r="F1082" s="52"/>
      <c r="G1082" s="52"/>
      <c r="H1082" s="384"/>
      <c r="I1082" s="156"/>
      <c r="J1082" s="94"/>
      <c r="K1082" s="21"/>
      <c r="L1082" s="315"/>
      <c r="M1082" s="315"/>
      <c r="N1082" s="337"/>
      <c r="O1082" s="337"/>
      <c r="P1082" s="292"/>
      <c r="Q1082" s="292"/>
      <c r="R1082" s="441"/>
      <c r="S1082" s="292"/>
      <c r="T1082" s="292"/>
      <c r="U1082" s="292"/>
      <c r="V1082" s="476"/>
      <c r="W1082" s="476"/>
      <c r="X1082" s="541"/>
      <c r="Y1082" s="541"/>
      <c r="Z1082" s="541" t="b">
        <f t="shared" si="758"/>
        <v>0</v>
      </c>
      <c r="AA1082" s="522"/>
      <c r="AB1082" s="523"/>
      <c r="AC1082" s="523"/>
      <c r="AD1082" s="524"/>
      <c r="AE1082" s="524"/>
      <c r="AF1082" s="524"/>
      <c r="AG1082" s="524"/>
      <c r="AH1082" s="522"/>
      <c r="AI1082" s="541"/>
      <c r="AJ1082" s="516"/>
      <c r="AK1082" s="516"/>
      <c r="AL1082" s="516"/>
      <c r="AM1082" s="292"/>
      <c r="AO1082" t="b">
        <f t="shared" si="759"/>
        <v>0</v>
      </c>
      <c r="AQ1082" s="441"/>
      <c r="AS1082" s="441"/>
      <c r="AT1082" s="616"/>
      <c r="AU1082" s="476"/>
      <c r="AV1082" s="636"/>
      <c r="AW1082" s="636"/>
      <c r="AX1082" s="655" t="str">
        <f t="shared" si="764"/>
        <v/>
      </c>
      <c r="AY1082" s="655" t="str">
        <f t="shared" si="756"/>
        <v/>
      </c>
      <c r="AZ1082" s="655" t="str">
        <f t="shared" si="765"/>
        <v/>
      </c>
      <c r="BA1082" s="655" t="str">
        <f t="shared" si="757"/>
        <v/>
      </c>
      <c r="BB1082" s="655" t="str">
        <f t="shared" si="760"/>
        <v/>
      </c>
      <c r="BC1082" s="655" t="str">
        <f t="shared" si="760"/>
        <v/>
      </c>
    </row>
    <row r="1083" spans="1:55" ht="12" customHeight="1">
      <c r="A1083" s="56"/>
      <c r="B1083" s="56"/>
      <c r="C1083" s="56"/>
      <c r="D1083" s="56"/>
      <c r="E1083" s="56"/>
      <c r="F1083" s="56"/>
      <c r="G1083" s="56"/>
      <c r="H1083" s="377"/>
      <c r="I1083" s="157"/>
      <c r="J1083" s="116">
        <v>321</v>
      </c>
      <c r="K1083" s="60" t="s">
        <v>418</v>
      </c>
      <c r="L1083" s="315">
        <f t="shared" ref="L1083:AC1083" si="786">L1084</f>
        <v>0</v>
      </c>
      <c r="M1083" s="315">
        <f t="shared" si="786"/>
        <v>0</v>
      </c>
      <c r="N1083" s="337">
        <f t="shared" si="786"/>
        <v>590</v>
      </c>
      <c r="O1083" s="337">
        <f t="shared" si="786"/>
        <v>78.306456964629362</v>
      </c>
      <c r="P1083" s="292">
        <f t="shared" si="786"/>
        <v>400</v>
      </c>
      <c r="Q1083" s="292">
        <f t="shared" si="786"/>
        <v>400</v>
      </c>
      <c r="R1083" s="441">
        <f t="shared" si="786"/>
        <v>0</v>
      </c>
      <c r="S1083" s="292">
        <f t="shared" si="786"/>
        <v>0</v>
      </c>
      <c r="T1083" s="292"/>
      <c r="U1083" s="292"/>
      <c r="V1083" s="469">
        <f t="shared" si="786"/>
        <v>400</v>
      </c>
      <c r="W1083" s="469">
        <f t="shared" si="786"/>
        <v>1000</v>
      </c>
      <c r="X1083" s="522">
        <f t="shared" si="786"/>
        <v>700</v>
      </c>
      <c r="Y1083" s="522">
        <f t="shared" si="786"/>
        <v>0</v>
      </c>
      <c r="Z1083" s="541" t="b">
        <f t="shared" si="758"/>
        <v>1</v>
      </c>
      <c r="AA1083" s="522"/>
      <c r="AB1083" s="523">
        <f t="shared" si="786"/>
        <v>400</v>
      </c>
      <c r="AC1083" s="523">
        <f t="shared" si="786"/>
        <v>400</v>
      </c>
      <c r="AD1083" s="524"/>
      <c r="AE1083" s="524"/>
      <c r="AF1083" s="524"/>
      <c r="AG1083" s="524"/>
      <c r="AH1083" s="522"/>
      <c r="AI1083" s="522">
        <v>700</v>
      </c>
      <c r="AJ1083" s="516"/>
      <c r="AK1083" s="516">
        <f>AT1083/W1083*100</f>
        <v>70</v>
      </c>
      <c r="AL1083" s="516">
        <f>X1083/AT1083*100</f>
        <v>100</v>
      </c>
      <c r="AM1083" s="292"/>
      <c r="AO1083" t="b">
        <f t="shared" si="759"/>
        <v>1</v>
      </c>
      <c r="AP1083" s="440">
        <f>AP1084</f>
        <v>0</v>
      </c>
      <c r="AQ1083" s="441">
        <v>515</v>
      </c>
      <c r="AR1083" s="440">
        <f>AR1084</f>
        <v>0</v>
      </c>
      <c r="AS1083" s="441"/>
      <c r="AT1083" s="612">
        <f>AT1084</f>
        <v>700</v>
      </c>
      <c r="AU1083" s="469">
        <f>AU1084</f>
        <v>700</v>
      </c>
      <c r="AV1083" s="636">
        <v>700</v>
      </c>
      <c r="AW1083" s="636">
        <v>700</v>
      </c>
      <c r="AX1083" s="655" t="str">
        <f t="shared" si="764"/>
        <v/>
      </c>
      <c r="AY1083" s="655">
        <f t="shared" si="756"/>
        <v>123.8938053097345</v>
      </c>
      <c r="AZ1083" s="655">
        <f t="shared" si="765"/>
        <v>100</v>
      </c>
      <c r="BA1083" s="655">
        <f t="shared" si="757"/>
        <v>123.8938053097345</v>
      </c>
      <c r="BB1083" s="655">
        <f t="shared" si="760"/>
        <v>100</v>
      </c>
      <c r="BC1083" s="655">
        <f t="shared" si="760"/>
        <v>100</v>
      </c>
    </row>
    <row r="1084" spans="1:55" s="198" customFormat="1" ht="12" customHeight="1">
      <c r="A1084" s="36"/>
      <c r="B1084" s="36"/>
      <c r="C1084" s="36"/>
      <c r="D1084" s="36"/>
      <c r="E1084" s="36"/>
      <c r="F1084" s="36"/>
      <c r="G1084" s="36"/>
      <c r="H1084" s="204">
        <v>51</v>
      </c>
      <c r="I1084" s="132">
        <v>820</v>
      </c>
      <c r="J1084" s="71">
        <v>3211</v>
      </c>
      <c r="K1084" s="40" t="s">
        <v>105</v>
      </c>
      <c r="L1084" s="309">
        <v>0</v>
      </c>
      <c r="M1084" s="309">
        <v>0</v>
      </c>
      <c r="N1084" s="339">
        <v>590</v>
      </c>
      <c r="O1084" s="339">
        <f>N1084/7.5345</f>
        <v>78.306456964629362</v>
      </c>
      <c r="P1084" s="294">
        <v>400</v>
      </c>
      <c r="Q1084" s="294">
        <v>400</v>
      </c>
      <c r="R1084" s="443">
        <v>0</v>
      </c>
      <c r="S1084" s="294"/>
      <c r="T1084" s="294"/>
      <c r="U1084" s="294"/>
      <c r="V1084" s="478">
        <v>400</v>
      </c>
      <c r="W1084" s="478">
        <v>1000</v>
      </c>
      <c r="X1084" s="544">
        <v>700</v>
      </c>
      <c r="Y1084" s="544"/>
      <c r="Z1084" s="541" t="b">
        <f t="shared" si="758"/>
        <v>0</v>
      </c>
      <c r="AA1084" s="527"/>
      <c r="AB1084" s="528">
        <v>400</v>
      </c>
      <c r="AC1084" s="528">
        <v>400</v>
      </c>
      <c r="AD1084" s="524"/>
      <c r="AE1084" s="524"/>
      <c r="AF1084" s="524"/>
      <c r="AG1084" s="524"/>
      <c r="AH1084" s="527"/>
      <c r="AI1084" s="544">
        <v>700</v>
      </c>
      <c r="AJ1084" s="516"/>
      <c r="AK1084" s="516">
        <f>AT1084/W1084*100</f>
        <v>70</v>
      </c>
      <c r="AL1084" s="516">
        <f>X1084/AT1084*100</f>
        <v>100</v>
      </c>
      <c r="AM1084" s="294"/>
      <c r="AO1084" t="b">
        <f t="shared" si="759"/>
        <v>0</v>
      </c>
      <c r="AQ1084" s="443"/>
      <c r="AS1084" s="443"/>
      <c r="AT1084" s="617">
        <v>700</v>
      </c>
      <c r="AU1084" s="478">
        <v>700</v>
      </c>
      <c r="AV1084" s="638">
        <v>700</v>
      </c>
      <c r="AW1084" s="638">
        <v>700</v>
      </c>
      <c r="AX1084" s="655" t="str">
        <f t="shared" si="764"/>
        <v/>
      </c>
      <c r="AY1084" s="655" t="str">
        <f t="shared" si="756"/>
        <v/>
      </c>
      <c r="AZ1084" s="655">
        <f t="shared" si="765"/>
        <v>100</v>
      </c>
      <c r="BA1084" s="655" t="str">
        <f t="shared" si="757"/>
        <v/>
      </c>
      <c r="BB1084" s="655">
        <f t="shared" si="760"/>
        <v>100</v>
      </c>
      <c r="BC1084" s="655">
        <f t="shared" si="760"/>
        <v>100</v>
      </c>
    </row>
    <row r="1085" spans="1:55" s="198" customFormat="1" ht="12" customHeight="1">
      <c r="A1085" s="66"/>
      <c r="B1085" s="66"/>
      <c r="C1085" s="66"/>
      <c r="D1085" s="66"/>
      <c r="E1085" s="66"/>
      <c r="F1085" s="66"/>
      <c r="G1085" s="66"/>
      <c r="H1085" s="407"/>
      <c r="I1085" s="91"/>
      <c r="J1085" s="40">
        <v>3213</v>
      </c>
      <c r="K1085" s="208" t="s">
        <v>107</v>
      </c>
      <c r="L1085" s="321"/>
      <c r="M1085" s="321"/>
      <c r="N1085" s="345"/>
      <c r="O1085" s="345"/>
      <c r="P1085" s="300"/>
      <c r="Q1085" s="300"/>
      <c r="R1085" s="457"/>
      <c r="S1085" s="300"/>
      <c r="T1085" s="300"/>
      <c r="U1085" s="300"/>
      <c r="V1085" s="479"/>
      <c r="W1085" s="479"/>
      <c r="X1085" s="545"/>
      <c r="Y1085" s="545"/>
      <c r="Z1085" s="541" t="b">
        <f t="shared" si="758"/>
        <v>0</v>
      </c>
      <c r="AA1085" s="546"/>
      <c r="AB1085" s="547"/>
      <c r="AC1085" s="547"/>
      <c r="AD1085" s="524"/>
      <c r="AE1085" s="524"/>
      <c r="AF1085" s="524"/>
      <c r="AG1085" s="524"/>
      <c r="AH1085" s="546"/>
      <c r="AI1085" s="545"/>
      <c r="AJ1085" s="516"/>
      <c r="AK1085" s="516"/>
      <c r="AL1085" s="516"/>
      <c r="AM1085" s="300"/>
      <c r="AO1085" t="b">
        <f t="shared" si="759"/>
        <v>0</v>
      </c>
      <c r="AQ1085" s="457">
        <v>515</v>
      </c>
      <c r="AS1085" s="457"/>
      <c r="AT1085" s="617"/>
      <c r="AU1085" s="479"/>
      <c r="AV1085" s="644"/>
      <c r="AW1085" s="644"/>
      <c r="AX1085" s="655" t="str">
        <f t="shared" si="764"/>
        <v/>
      </c>
      <c r="AY1085" s="655" t="str">
        <f t="shared" si="756"/>
        <v/>
      </c>
      <c r="AZ1085" s="655" t="str">
        <f t="shared" si="765"/>
        <v/>
      </c>
      <c r="BA1085" s="655" t="str">
        <f t="shared" si="757"/>
        <v/>
      </c>
      <c r="BB1085" s="655" t="str">
        <f t="shared" si="760"/>
        <v/>
      </c>
      <c r="BC1085" s="655" t="str">
        <f t="shared" si="760"/>
        <v/>
      </c>
    </row>
    <row r="1086" spans="1:55" ht="12" customHeight="1">
      <c r="A1086" s="66"/>
      <c r="B1086" s="66"/>
      <c r="C1086" s="66"/>
      <c r="D1086" s="66"/>
      <c r="E1086" s="66"/>
      <c r="F1086" s="66"/>
      <c r="G1086" s="66"/>
      <c r="H1086" s="407"/>
      <c r="I1086" s="91"/>
      <c r="J1086" s="40"/>
      <c r="K1086" s="208"/>
      <c r="L1086" s="323"/>
      <c r="M1086" s="323"/>
      <c r="N1086" s="347"/>
      <c r="O1086" s="347"/>
      <c r="P1086" s="302"/>
      <c r="Q1086" s="302"/>
      <c r="R1086" s="459"/>
      <c r="S1086" s="302"/>
      <c r="T1086" s="302"/>
      <c r="U1086" s="302"/>
      <c r="V1086" s="483"/>
      <c r="W1086" s="483"/>
      <c r="X1086" s="551"/>
      <c r="Y1086" s="551"/>
      <c r="Z1086" s="541" t="b">
        <f t="shared" si="758"/>
        <v>0</v>
      </c>
      <c r="AA1086" s="552"/>
      <c r="AB1086" s="553"/>
      <c r="AC1086" s="553"/>
      <c r="AD1086" s="524"/>
      <c r="AE1086" s="524"/>
      <c r="AF1086" s="524"/>
      <c r="AG1086" s="524"/>
      <c r="AH1086" s="552"/>
      <c r="AI1086" s="551"/>
      <c r="AJ1086" s="516"/>
      <c r="AK1086" s="516"/>
      <c r="AL1086" s="516"/>
      <c r="AM1086" s="302"/>
      <c r="AO1086" t="b">
        <f t="shared" si="759"/>
        <v>0</v>
      </c>
      <c r="AQ1086" s="459"/>
      <c r="AS1086" s="459"/>
      <c r="AT1086" s="619"/>
      <c r="AU1086" s="483"/>
      <c r="AV1086" s="645"/>
      <c r="AW1086" s="645"/>
      <c r="AX1086" s="655" t="str">
        <f t="shared" si="764"/>
        <v/>
      </c>
      <c r="AY1086" s="655" t="str">
        <f t="shared" si="756"/>
        <v/>
      </c>
      <c r="AZ1086" s="655" t="str">
        <f t="shared" si="765"/>
        <v/>
      </c>
      <c r="BA1086" s="655" t="str">
        <f t="shared" si="757"/>
        <v/>
      </c>
      <c r="BB1086" s="655" t="str">
        <f t="shared" si="760"/>
        <v/>
      </c>
      <c r="BC1086" s="655" t="str">
        <f t="shared" si="760"/>
        <v/>
      </c>
    </row>
    <row r="1087" spans="1:55" ht="12" customHeight="1">
      <c r="A1087" s="56"/>
      <c r="B1087" s="56"/>
      <c r="C1087" s="56"/>
      <c r="D1087" s="56"/>
      <c r="E1087" s="56"/>
      <c r="F1087" s="56"/>
      <c r="G1087" s="56"/>
      <c r="H1087" s="377"/>
      <c r="I1087" s="157"/>
      <c r="J1087" s="116">
        <v>322</v>
      </c>
      <c r="K1087" s="60" t="s">
        <v>313</v>
      </c>
      <c r="L1087" s="320">
        <f t="shared" ref="L1087:S1087" si="787">L1088+L1089+L1090+L1091</f>
        <v>1610</v>
      </c>
      <c r="M1087" s="320">
        <f t="shared" si="787"/>
        <v>213.68372154754792</v>
      </c>
      <c r="N1087" s="344">
        <f t="shared" si="787"/>
        <v>3261</v>
      </c>
      <c r="O1087" s="344">
        <f t="shared" si="787"/>
        <v>432.80907824009552</v>
      </c>
      <c r="P1087" s="299">
        <f t="shared" si="787"/>
        <v>1700</v>
      </c>
      <c r="Q1087" s="299">
        <f t="shared" si="787"/>
        <v>1700</v>
      </c>
      <c r="R1087" s="447">
        <f t="shared" si="787"/>
        <v>610</v>
      </c>
      <c r="S1087" s="299">
        <f t="shared" si="787"/>
        <v>0</v>
      </c>
      <c r="T1087" s="299"/>
      <c r="U1087" s="299"/>
      <c r="V1087" s="477">
        <f>V1088+V1089+V1090+V1091</f>
        <v>1800</v>
      </c>
      <c r="W1087" s="477">
        <f>W1088+W1089+W1090+W1091</f>
        <v>1800</v>
      </c>
      <c r="X1087" s="542">
        <f>X1088+X1089+X1090+X1091</f>
        <v>2200</v>
      </c>
      <c r="Y1087" s="542">
        <f>Y1088+Y1089+Y1090+Y1091</f>
        <v>0</v>
      </c>
      <c r="Z1087" s="541" t="b">
        <f t="shared" si="758"/>
        <v>1</v>
      </c>
      <c r="AA1087" s="542"/>
      <c r="AB1087" s="543">
        <f>AB1088+AB1089+AB1090+AB1091</f>
        <v>1700</v>
      </c>
      <c r="AC1087" s="543">
        <f>AC1088+AC1089+AC1090+AC1091</f>
        <v>1700</v>
      </c>
      <c r="AD1087" s="524">
        <f>O1087/M1087*100</f>
        <v>202.54658385093168</v>
      </c>
      <c r="AE1087" s="524">
        <f>P1087/O1087*100</f>
        <v>392.78288868445264</v>
      </c>
      <c r="AF1087" s="524">
        <f>Q1087/P1087*100</f>
        <v>100</v>
      </c>
      <c r="AG1087" s="524">
        <f>AB1087/Q1087*100</f>
        <v>100</v>
      </c>
      <c r="AH1087" s="542"/>
      <c r="AI1087" s="542">
        <v>2200</v>
      </c>
      <c r="AJ1087" s="516">
        <f>W1087/R1087*100</f>
        <v>295.08196721311475</v>
      </c>
      <c r="AK1087" s="516">
        <f>AT1087/W1087*100</f>
        <v>111.11111111111111</v>
      </c>
      <c r="AL1087" s="516">
        <f>X1087/AT1087*100</f>
        <v>110.00000000000001</v>
      </c>
      <c r="AM1087" s="299"/>
      <c r="AO1087" t="b">
        <f t="shared" si="759"/>
        <v>1</v>
      </c>
      <c r="AP1087" s="503">
        <f>AP1088+AP1089+AP1090+AP1091</f>
        <v>0</v>
      </c>
      <c r="AQ1087" s="447">
        <v>824</v>
      </c>
      <c r="AR1087" s="503">
        <f>AR1088+AR1089+AR1090+AR1091</f>
        <v>0</v>
      </c>
      <c r="AS1087" s="447"/>
      <c r="AT1087" s="611">
        <f>AT1088+AT1089+AT1090+AT1091</f>
        <v>2000</v>
      </c>
      <c r="AU1087" s="477">
        <f>AU1088+AU1089+AU1090+AU1091</f>
        <v>2000</v>
      </c>
      <c r="AV1087" s="643">
        <v>2200</v>
      </c>
      <c r="AW1087" s="643">
        <v>2200</v>
      </c>
      <c r="AX1087" s="655">
        <f t="shared" si="764"/>
        <v>327.86885245901641</v>
      </c>
      <c r="AY1087" s="655" t="str">
        <f t="shared" ref="AY1087:AY1118" si="788">IF(AND(ISNUMBER(AT1087), ISNUMBER(AQ1092), AQ1092&lt;&gt;0), (AT1087/AQ1092)*100, "")</f>
        <v/>
      </c>
      <c r="AZ1087" s="655">
        <f t="shared" si="765"/>
        <v>100</v>
      </c>
      <c r="BA1087" s="655" t="str">
        <f t="shared" ref="BA1087:BA1118" si="789">IF(AND(ISNUMBER(AU1087), ISNUMBER(AQ1092), AQ1092&lt;&gt;0), (AU1087/AQ1092)*100, "")</f>
        <v/>
      </c>
      <c r="BB1087" s="655">
        <f t="shared" si="760"/>
        <v>110.00000000000001</v>
      </c>
      <c r="BC1087" s="655">
        <f t="shared" si="760"/>
        <v>100</v>
      </c>
    </row>
    <row r="1088" spans="1:55" ht="12" customHeight="1">
      <c r="A1088" s="36"/>
      <c r="B1088" s="36"/>
      <c r="C1088" s="36"/>
      <c r="D1088" s="36"/>
      <c r="E1088" s="36"/>
      <c r="F1088" s="36"/>
      <c r="G1088" s="36"/>
      <c r="H1088" s="204">
        <v>53</v>
      </c>
      <c r="I1088" s="132">
        <v>820</v>
      </c>
      <c r="J1088" s="71">
        <v>3221</v>
      </c>
      <c r="K1088" s="40" t="s">
        <v>419</v>
      </c>
      <c r="L1088" s="309">
        <v>1154</v>
      </c>
      <c r="M1088" s="309">
        <f>1154/7.5345</f>
        <v>153.16212091047845</v>
      </c>
      <c r="N1088" s="339">
        <v>1736</v>
      </c>
      <c r="O1088" s="339">
        <f>N1088/7.5345</f>
        <v>230.40679540779081</v>
      </c>
      <c r="P1088" s="294">
        <v>400</v>
      </c>
      <c r="Q1088" s="294">
        <v>400</v>
      </c>
      <c r="R1088" s="443">
        <v>501</v>
      </c>
      <c r="S1088" s="294"/>
      <c r="T1088" s="294"/>
      <c r="U1088" s="294"/>
      <c r="V1088" s="478">
        <v>500</v>
      </c>
      <c r="W1088" s="478">
        <v>500</v>
      </c>
      <c r="X1088" s="544">
        <v>600</v>
      </c>
      <c r="Y1088" s="544"/>
      <c r="Z1088" s="541" t="b">
        <f t="shared" ref="Z1088:Z1151" si="790">__xlfn.ISFORMULA(R1088)</f>
        <v>0</v>
      </c>
      <c r="AA1088" s="527"/>
      <c r="AB1088" s="528">
        <v>400</v>
      </c>
      <c r="AC1088" s="528">
        <v>400</v>
      </c>
      <c r="AD1088" s="524">
        <f>O1088/M1088*100</f>
        <v>150.43327556325823</v>
      </c>
      <c r="AE1088" s="524">
        <f>P1088/O1088*100</f>
        <v>173.60599078341014</v>
      </c>
      <c r="AF1088" s="524">
        <f>Q1088/P1088*100</f>
        <v>100</v>
      </c>
      <c r="AG1088" s="524">
        <f>AB1088/Q1088*100</f>
        <v>100</v>
      </c>
      <c r="AH1088" s="527"/>
      <c r="AI1088" s="544">
        <v>600</v>
      </c>
      <c r="AJ1088" s="516">
        <f>W1088/R1088*100</f>
        <v>99.800399201596804</v>
      </c>
      <c r="AK1088" s="516">
        <f>AT1088/W1088*100</f>
        <v>120</v>
      </c>
      <c r="AL1088" s="516">
        <f>X1088/AT1088*100</f>
        <v>100</v>
      </c>
      <c r="AM1088" s="294"/>
      <c r="AO1088" t="b">
        <f t="shared" ref="AO1088:AO1151" si="791">__xlfn.ISFORMULA(AT1088)</f>
        <v>0</v>
      </c>
      <c r="AQ1088" s="443">
        <v>565</v>
      </c>
      <c r="AS1088" s="443"/>
      <c r="AT1088" s="617">
        <v>600</v>
      </c>
      <c r="AU1088" s="478">
        <v>600</v>
      </c>
      <c r="AV1088" s="638">
        <v>600</v>
      </c>
      <c r="AW1088" s="638">
        <v>600</v>
      </c>
      <c r="AX1088" s="655">
        <f t="shared" si="764"/>
        <v>119.76047904191616</v>
      </c>
      <c r="AY1088" s="655">
        <f t="shared" si="788"/>
        <v>3.5844435151442742</v>
      </c>
      <c r="AZ1088" s="655">
        <f t="shared" si="765"/>
        <v>100</v>
      </c>
      <c r="BA1088" s="655">
        <f t="shared" si="789"/>
        <v>3.5844435151442742</v>
      </c>
      <c r="BB1088" s="655">
        <f t="shared" si="760"/>
        <v>100</v>
      </c>
      <c r="BC1088" s="655">
        <f t="shared" si="760"/>
        <v>100</v>
      </c>
    </row>
    <row r="1089" spans="1:55" ht="12" customHeight="1">
      <c r="A1089" s="36"/>
      <c r="B1089" s="36"/>
      <c r="C1089" s="36"/>
      <c r="D1089" s="36"/>
      <c r="E1089" s="36"/>
      <c r="F1089" s="36"/>
      <c r="G1089" s="36"/>
      <c r="H1089" s="204" t="s">
        <v>533</v>
      </c>
      <c r="I1089" s="132">
        <v>820</v>
      </c>
      <c r="J1089" s="71">
        <v>3223</v>
      </c>
      <c r="K1089" s="40" t="s">
        <v>110</v>
      </c>
      <c r="L1089" s="309">
        <v>0</v>
      </c>
      <c r="M1089" s="309">
        <v>0</v>
      </c>
      <c r="N1089" s="339">
        <v>0</v>
      </c>
      <c r="O1089" s="339">
        <f>N1089/7.5345</f>
        <v>0</v>
      </c>
      <c r="P1089" s="294">
        <v>700</v>
      </c>
      <c r="Q1089" s="294">
        <v>700</v>
      </c>
      <c r="R1089" s="443">
        <v>0</v>
      </c>
      <c r="S1089" s="294"/>
      <c r="T1089" s="294"/>
      <c r="U1089" s="294"/>
      <c r="V1089" s="478">
        <v>700</v>
      </c>
      <c r="W1089" s="478">
        <v>700</v>
      </c>
      <c r="X1089" s="544">
        <v>800</v>
      </c>
      <c r="Y1089" s="544"/>
      <c r="Z1089" s="541" t="b">
        <f t="shared" si="790"/>
        <v>0</v>
      </c>
      <c r="AA1089" s="527"/>
      <c r="AB1089" s="528">
        <v>700</v>
      </c>
      <c r="AC1089" s="528">
        <v>700</v>
      </c>
      <c r="AD1089" s="524"/>
      <c r="AE1089" s="524"/>
      <c r="AF1089" s="524"/>
      <c r="AG1089" s="524"/>
      <c r="AH1089" s="527"/>
      <c r="AI1089" s="544">
        <v>800</v>
      </c>
      <c r="AJ1089" s="516"/>
      <c r="AK1089" s="516">
        <f>AT1089/W1089*100</f>
        <v>114.28571428571428</v>
      </c>
      <c r="AL1089" s="516">
        <f>X1089/AT1089*100</f>
        <v>100</v>
      </c>
      <c r="AM1089" s="294"/>
      <c r="AO1089" t="b">
        <f t="shared" si="791"/>
        <v>0</v>
      </c>
      <c r="AQ1089" s="443">
        <v>0</v>
      </c>
      <c r="AS1089" s="443"/>
      <c r="AT1089" s="617">
        <v>800</v>
      </c>
      <c r="AU1089" s="478">
        <v>800</v>
      </c>
      <c r="AV1089" s="638">
        <v>800</v>
      </c>
      <c r="AW1089" s="638">
        <v>800</v>
      </c>
      <c r="AX1089" s="655" t="str">
        <f t="shared" si="764"/>
        <v/>
      </c>
      <c r="AY1089" s="655">
        <f t="shared" si="788"/>
        <v>134.9072512647555</v>
      </c>
      <c r="AZ1089" s="655">
        <f t="shared" si="765"/>
        <v>100</v>
      </c>
      <c r="BA1089" s="655">
        <f t="shared" si="789"/>
        <v>134.9072512647555</v>
      </c>
      <c r="BB1089" s="655">
        <f t="shared" si="760"/>
        <v>100</v>
      </c>
      <c r="BC1089" s="655">
        <f t="shared" si="760"/>
        <v>100</v>
      </c>
    </row>
    <row r="1090" spans="1:55" ht="12" customHeight="1">
      <c r="A1090" s="36"/>
      <c r="B1090" s="36"/>
      <c r="C1090" s="36"/>
      <c r="D1090" s="36"/>
      <c r="E1090" s="36"/>
      <c r="F1090" s="36"/>
      <c r="G1090" s="36"/>
      <c r="H1090" s="204">
        <v>54</v>
      </c>
      <c r="I1090" s="132">
        <v>820</v>
      </c>
      <c r="J1090" s="71">
        <v>3224</v>
      </c>
      <c r="K1090" s="40" t="s">
        <v>534</v>
      </c>
      <c r="L1090" s="309">
        <v>456</v>
      </c>
      <c r="M1090" s="309">
        <f>456/7.5345</f>
        <v>60.521600637069476</v>
      </c>
      <c r="N1090" s="339">
        <v>0</v>
      </c>
      <c r="O1090" s="339">
        <f>N1090/7.5345</f>
        <v>0</v>
      </c>
      <c r="P1090" s="294">
        <v>300</v>
      </c>
      <c r="Q1090" s="294">
        <v>300</v>
      </c>
      <c r="R1090" s="443">
        <v>38</v>
      </c>
      <c r="S1090" s="294"/>
      <c r="T1090" s="294"/>
      <c r="U1090" s="294"/>
      <c r="V1090" s="478">
        <v>300</v>
      </c>
      <c r="W1090" s="478">
        <v>300</v>
      </c>
      <c r="X1090" s="544">
        <v>400</v>
      </c>
      <c r="Y1090" s="544"/>
      <c r="Z1090" s="541" t="b">
        <f t="shared" si="790"/>
        <v>0</v>
      </c>
      <c r="AA1090" s="527"/>
      <c r="AB1090" s="528">
        <v>300</v>
      </c>
      <c r="AC1090" s="528">
        <v>300</v>
      </c>
      <c r="AD1090" s="524">
        <f>O1090/M1090*100</f>
        <v>0</v>
      </c>
      <c r="AE1090" s="524"/>
      <c r="AF1090" s="524"/>
      <c r="AG1090" s="524"/>
      <c r="AH1090" s="527"/>
      <c r="AI1090" s="544">
        <v>400</v>
      </c>
      <c r="AJ1090" s="516">
        <f>W1090/R1090*100</f>
        <v>789.47368421052624</v>
      </c>
      <c r="AK1090" s="516">
        <f>AT1090/W1090*100</f>
        <v>100</v>
      </c>
      <c r="AL1090" s="516">
        <f>X1090/AT1090*100</f>
        <v>133.33333333333331</v>
      </c>
      <c r="AM1090" s="294"/>
      <c r="AO1090" t="b">
        <f t="shared" si="791"/>
        <v>0</v>
      </c>
      <c r="AQ1090" s="443">
        <v>115</v>
      </c>
      <c r="AS1090" s="443"/>
      <c r="AT1090" s="617">
        <v>300</v>
      </c>
      <c r="AU1090" s="478">
        <v>300</v>
      </c>
      <c r="AV1090" s="638">
        <v>400</v>
      </c>
      <c r="AW1090" s="638">
        <v>400</v>
      </c>
      <c r="AX1090" s="655">
        <f t="shared" si="764"/>
        <v>789.47368421052624</v>
      </c>
      <c r="AY1090" s="655">
        <f t="shared" si="788"/>
        <v>5.0942435048395316</v>
      </c>
      <c r="AZ1090" s="655">
        <f t="shared" si="765"/>
        <v>100</v>
      </c>
      <c r="BA1090" s="655">
        <f t="shared" si="789"/>
        <v>5.0942435048395316</v>
      </c>
      <c r="BB1090" s="655">
        <f t="shared" si="760"/>
        <v>133.33333333333331</v>
      </c>
      <c r="BC1090" s="655">
        <f t="shared" si="760"/>
        <v>100</v>
      </c>
    </row>
    <row r="1091" spans="1:55" ht="12" customHeight="1">
      <c r="A1091" s="36"/>
      <c r="B1091" s="36"/>
      <c r="C1091" s="36"/>
      <c r="D1091" s="36"/>
      <c r="E1091" s="36"/>
      <c r="F1091" s="36"/>
      <c r="G1091" s="36"/>
      <c r="H1091" s="204" t="s">
        <v>535</v>
      </c>
      <c r="I1091" s="132">
        <v>820</v>
      </c>
      <c r="J1091" s="71">
        <v>3225</v>
      </c>
      <c r="K1091" s="40" t="s">
        <v>190</v>
      </c>
      <c r="L1091" s="309">
        <v>0</v>
      </c>
      <c r="M1091" s="309">
        <v>0</v>
      </c>
      <c r="N1091" s="339">
        <v>1525</v>
      </c>
      <c r="O1091" s="339">
        <f>N1091/7.5345</f>
        <v>202.40228283230471</v>
      </c>
      <c r="P1091" s="294">
        <v>300</v>
      </c>
      <c r="Q1091" s="294">
        <v>300</v>
      </c>
      <c r="R1091" s="443">
        <v>71</v>
      </c>
      <c r="S1091" s="294"/>
      <c r="T1091" s="294"/>
      <c r="U1091" s="294"/>
      <c r="V1091" s="478">
        <v>300</v>
      </c>
      <c r="W1091" s="478">
        <v>300</v>
      </c>
      <c r="X1091" s="544">
        <v>400</v>
      </c>
      <c r="Y1091" s="544"/>
      <c r="Z1091" s="541" t="b">
        <f t="shared" si="790"/>
        <v>0</v>
      </c>
      <c r="AA1091" s="527"/>
      <c r="AB1091" s="528">
        <v>300</v>
      </c>
      <c r="AC1091" s="528">
        <v>300</v>
      </c>
      <c r="AD1091" s="524"/>
      <c r="AE1091" s="524">
        <f>P1091/O1091*100</f>
        <v>148.21967213114755</v>
      </c>
      <c r="AF1091" s="524">
        <f>Q1091/P1091*100</f>
        <v>100</v>
      </c>
      <c r="AG1091" s="524">
        <f>AB1091/Q1091*100</f>
        <v>100</v>
      </c>
      <c r="AH1091" s="527"/>
      <c r="AI1091" s="544">
        <v>400</v>
      </c>
      <c r="AJ1091" s="516">
        <f>W1091/R1091*100</f>
        <v>422.53521126760563</v>
      </c>
      <c r="AK1091" s="516">
        <f>AT1091/W1091*100</f>
        <v>100</v>
      </c>
      <c r="AL1091" s="516">
        <f>X1091/AT1091*100</f>
        <v>133.33333333333331</v>
      </c>
      <c r="AM1091" s="294"/>
      <c r="AO1091" t="b">
        <f t="shared" si="791"/>
        <v>0</v>
      </c>
      <c r="AQ1091" s="443">
        <v>144</v>
      </c>
      <c r="AS1091" s="443"/>
      <c r="AT1091" s="617">
        <v>300</v>
      </c>
      <c r="AU1091" s="478">
        <v>300</v>
      </c>
      <c r="AV1091" s="638">
        <v>400</v>
      </c>
      <c r="AW1091" s="638">
        <v>400</v>
      </c>
      <c r="AX1091" s="655">
        <f t="shared" si="764"/>
        <v>422.53521126760563</v>
      </c>
      <c r="AY1091" s="655">
        <f t="shared" si="788"/>
        <v>75.757575757575751</v>
      </c>
      <c r="AZ1091" s="655">
        <f t="shared" si="765"/>
        <v>100</v>
      </c>
      <c r="BA1091" s="655">
        <f t="shared" si="789"/>
        <v>75.757575757575751</v>
      </c>
      <c r="BB1091" s="655">
        <f t="shared" si="760"/>
        <v>133.33333333333331</v>
      </c>
      <c r="BC1091" s="655">
        <f t="shared" si="760"/>
        <v>100</v>
      </c>
    </row>
    <row r="1092" spans="1:55" ht="12" customHeight="1">
      <c r="A1092" s="25"/>
      <c r="B1092" s="25"/>
      <c r="C1092" s="25"/>
      <c r="D1092" s="25"/>
      <c r="E1092" s="25"/>
      <c r="F1092" s="25"/>
      <c r="G1092" s="25"/>
      <c r="H1092" s="389"/>
      <c r="I1092" s="30"/>
      <c r="J1092" s="29"/>
      <c r="K1092" s="29"/>
      <c r="L1092" s="313"/>
      <c r="M1092" s="313"/>
      <c r="N1092" s="335"/>
      <c r="O1092" s="335"/>
      <c r="P1092" s="290"/>
      <c r="Q1092" s="290"/>
      <c r="R1092" s="439"/>
      <c r="S1092" s="290"/>
      <c r="T1092" s="290"/>
      <c r="U1092" s="290"/>
      <c r="V1092" s="474"/>
      <c r="W1092" s="474"/>
      <c r="X1092" s="539"/>
      <c r="Y1092" s="539"/>
      <c r="Z1092" s="541" t="b">
        <f t="shared" si="790"/>
        <v>0</v>
      </c>
      <c r="AA1092" s="514"/>
      <c r="AB1092" s="515"/>
      <c r="AC1092" s="515"/>
      <c r="AD1092" s="524"/>
      <c r="AE1092" s="524"/>
      <c r="AF1092" s="524"/>
      <c r="AG1092" s="524"/>
      <c r="AH1092" s="514"/>
      <c r="AI1092" s="539"/>
      <c r="AJ1092" s="516"/>
      <c r="AK1092" s="516"/>
      <c r="AL1092" s="516"/>
      <c r="AM1092" s="290"/>
      <c r="AO1092" t="b">
        <f t="shared" si="791"/>
        <v>0</v>
      </c>
      <c r="AQ1092" s="439"/>
      <c r="AS1092" s="439"/>
      <c r="AT1092" s="616"/>
      <c r="AU1092" s="474"/>
      <c r="AV1092" s="632"/>
      <c r="AW1092" s="632"/>
      <c r="AX1092" s="655" t="str">
        <f t="shared" si="764"/>
        <v/>
      </c>
      <c r="AY1092" s="655" t="str">
        <f t="shared" si="788"/>
        <v/>
      </c>
      <c r="AZ1092" s="655" t="str">
        <f t="shared" si="765"/>
        <v/>
      </c>
      <c r="BA1092" s="655" t="str">
        <f t="shared" si="789"/>
        <v/>
      </c>
      <c r="BB1092" s="655" t="str">
        <f t="shared" si="760"/>
        <v/>
      </c>
      <c r="BC1092" s="655" t="str">
        <f t="shared" si="760"/>
        <v/>
      </c>
    </row>
    <row r="1093" spans="1:55" ht="12" customHeight="1">
      <c r="A1093" s="56"/>
      <c r="B1093" s="56"/>
      <c r="C1093" s="56"/>
      <c r="D1093" s="56"/>
      <c r="E1093" s="56"/>
      <c r="F1093" s="56"/>
      <c r="G1093" s="56"/>
      <c r="H1093" s="377"/>
      <c r="I1093" s="157"/>
      <c r="J1093" s="116">
        <v>323</v>
      </c>
      <c r="K1093" s="60" t="s">
        <v>191</v>
      </c>
      <c r="L1093" s="315">
        <f t="shared" ref="L1093:S1093" si="792">L1094+L1095+L1096+L1097+L1098+L1099</f>
        <v>54272</v>
      </c>
      <c r="M1093" s="315">
        <f t="shared" si="792"/>
        <v>7203.1322582785851</v>
      </c>
      <c r="N1093" s="337">
        <f t="shared" si="792"/>
        <v>57638</v>
      </c>
      <c r="O1093" s="337">
        <f t="shared" si="792"/>
        <v>7649.8772314022153</v>
      </c>
      <c r="P1093" s="292">
        <f t="shared" si="792"/>
        <v>11500</v>
      </c>
      <c r="Q1093" s="292">
        <f t="shared" si="792"/>
        <v>12200</v>
      </c>
      <c r="R1093" s="441">
        <f t="shared" si="792"/>
        <v>6101</v>
      </c>
      <c r="S1093" s="292">
        <f t="shared" si="792"/>
        <v>0</v>
      </c>
      <c r="T1093" s="292"/>
      <c r="U1093" s="292"/>
      <c r="V1093" s="469">
        <f>V1094+V1095+V1096+V1097+V1098+V1099</f>
        <v>12700</v>
      </c>
      <c r="W1093" s="469">
        <f>W1094+W1095+W1096+W1097+W1098+W1099</f>
        <v>17000</v>
      </c>
      <c r="X1093" s="522">
        <f>X1094+X1095+X1096+X1097+X1098+X1099</f>
        <v>17100</v>
      </c>
      <c r="Y1093" s="522">
        <f>Y1094+Y1095+Y1096+Y1097+Y1098+Y1099</f>
        <v>0</v>
      </c>
      <c r="Z1093" s="541" t="b">
        <f t="shared" si="790"/>
        <v>1</v>
      </c>
      <c r="AA1093" s="522"/>
      <c r="AB1093" s="523">
        <f>AB1094+AB1095+AB1096+AB1097+AB1098+AB1099</f>
        <v>12200</v>
      </c>
      <c r="AC1093" s="523">
        <f>AC1094+AC1095+AC1096+AC1097+AC1098+AC1099</f>
        <v>12200</v>
      </c>
      <c r="AD1093" s="524">
        <f t="shared" ref="AD1093:AD1099" si="793">O1093/M1093*100</f>
        <v>106.20209316037734</v>
      </c>
      <c r="AE1093" s="524">
        <f>P1093/O1093*100</f>
        <v>150.32920989624904</v>
      </c>
      <c r="AF1093" s="524">
        <f>Q1093/P1093*100</f>
        <v>106.08695652173914</v>
      </c>
      <c r="AG1093" s="524">
        <f>AB1093/Q1093*100</f>
        <v>100</v>
      </c>
      <c r="AH1093" s="522"/>
      <c r="AI1093" s="522">
        <v>17100</v>
      </c>
      <c r="AJ1093" s="516">
        <f t="shared" ref="AJ1093:AJ1099" si="794">W1093/R1093*100</f>
        <v>278.64284543517454</v>
      </c>
      <c r="AK1093" s="516">
        <f t="shared" ref="AK1093:AK1099" si="795">AT1093/W1093*100</f>
        <v>97.647058823529406</v>
      </c>
      <c r="AL1093" s="516">
        <f t="shared" ref="AL1093:AL1099" si="796">X1093/AT1093*100</f>
        <v>103.01204819277108</v>
      </c>
      <c r="AM1093" s="292"/>
      <c r="AO1093" t="b">
        <f t="shared" si="791"/>
        <v>1</v>
      </c>
      <c r="AP1093" s="440">
        <f>AP1094+AP1095+AP1096+AP1097+AP1098+AP1099</f>
        <v>0</v>
      </c>
      <c r="AQ1093" s="441">
        <v>16739</v>
      </c>
      <c r="AR1093" s="440">
        <f>AR1094+AR1095+AR1096+AR1097+AR1098+AR1099</f>
        <v>0</v>
      </c>
      <c r="AS1093" s="441"/>
      <c r="AT1093" s="612">
        <f>AT1094+AT1095+AT1096+AT1097+AT1098+AT1099</f>
        <v>16600</v>
      </c>
      <c r="AU1093" s="469">
        <f>AU1094+AU1095+AU1096+AU1097+AU1098+AU1099</f>
        <v>16600</v>
      </c>
      <c r="AV1093" s="636">
        <v>17100</v>
      </c>
      <c r="AW1093" s="636">
        <v>17100</v>
      </c>
      <c r="AX1093" s="655">
        <f t="shared" si="764"/>
        <v>272.08654318964108</v>
      </c>
      <c r="AY1093" s="655">
        <f t="shared" si="788"/>
        <v>1015.9118727050183</v>
      </c>
      <c r="AZ1093" s="655">
        <f t="shared" si="765"/>
        <v>100</v>
      </c>
      <c r="BA1093" s="655">
        <f t="shared" si="789"/>
        <v>1015.9118727050183</v>
      </c>
      <c r="BB1093" s="655">
        <f t="shared" si="760"/>
        <v>103.01204819277108</v>
      </c>
      <c r="BC1093" s="655">
        <f t="shared" si="760"/>
        <v>100</v>
      </c>
    </row>
    <row r="1094" spans="1:55" ht="12" customHeight="1">
      <c r="A1094" s="36"/>
      <c r="B1094" s="36"/>
      <c r="C1094" s="36"/>
      <c r="D1094" s="36"/>
      <c r="E1094" s="36"/>
      <c r="F1094" s="36"/>
      <c r="G1094" s="36"/>
      <c r="H1094" s="204">
        <v>57</v>
      </c>
      <c r="I1094" s="132">
        <v>820</v>
      </c>
      <c r="J1094" s="71">
        <v>3231</v>
      </c>
      <c r="K1094" s="40" t="s">
        <v>420</v>
      </c>
      <c r="L1094" s="309">
        <v>4510</v>
      </c>
      <c r="M1094" s="309">
        <f>4510/7.5345</f>
        <v>598.57986594996351</v>
      </c>
      <c r="N1094" s="339">
        <v>4142</v>
      </c>
      <c r="O1094" s="339">
        <f t="shared" ref="O1094:O1099" si="797">N1094/7.5345</f>
        <v>549.7378724533811</v>
      </c>
      <c r="P1094" s="294">
        <v>1000</v>
      </c>
      <c r="Q1094" s="294">
        <v>1000</v>
      </c>
      <c r="R1094" s="443">
        <v>668</v>
      </c>
      <c r="S1094" s="294"/>
      <c r="T1094" s="294"/>
      <c r="U1094" s="294"/>
      <c r="V1094" s="478">
        <v>1000</v>
      </c>
      <c r="W1094" s="478">
        <v>1000</v>
      </c>
      <c r="X1094" s="544">
        <v>1100</v>
      </c>
      <c r="Y1094" s="544"/>
      <c r="Z1094" s="541" t="b">
        <f t="shared" si="790"/>
        <v>0</v>
      </c>
      <c r="AA1094" s="527"/>
      <c r="AB1094" s="528">
        <v>1100</v>
      </c>
      <c r="AC1094" s="528">
        <v>1100</v>
      </c>
      <c r="AD1094" s="524">
        <f t="shared" si="793"/>
        <v>91.840354767184024</v>
      </c>
      <c r="AE1094" s="524">
        <f>P1094/O1094*100</f>
        <v>181.90487687107677</v>
      </c>
      <c r="AF1094" s="524">
        <f>Q1094/P1094*100</f>
        <v>100</v>
      </c>
      <c r="AG1094" s="524">
        <f>AB1094/Q1094*100</f>
        <v>110.00000000000001</v>
      </c>
      <c r="AH1094" s="527"/>
      <c r="AI1094" s="544">
        <v>1100</v>
      </c>
      <c r="AJ1094" s="516">
        <f t="shared" si="794"/>
        <v>149.70059880239521</v>
      </c>
      <c r="AK1094" s="516">
        <f t="shared" si="795"/>
        <v>110.00000000000001</v>
      </c>
      <c r="AL1094" s="516">
        <f t="shared" si="796"/>
        <v>100</v>
      </c>
      <c r="AM1094" s="294"/>
      <c r="AO1094" t="b">
        <f t="shared" si="791"/>
        <v>0</v>
      </c>
      <c r="AQ1094" s="443">
        <v>593</v>
      </c>
      <c r="AS1094" s="443"/>
      <c r="AT1094" s="617">
        <v>1100</v>
      </c>
      <c r="AU1094" s="478">
        <v>1100</v>
      </c>
      <c r="AV1094" s="638">
        <v>1100</v>
      </c>
      <c r="AW1094" s="638">
        <v>1100</v>
      </c>
      <c r="AX1094" s="655">
        <f t="shared" si="764"/>
        <v>164.67065868263472</v>
      </c>
      <c r="AY1094" s="655">
        <f t="shared" si="788"/>
        <v>42.356565267616482</v>
      </c>
      <c r="AZ1094" s="655">
        <f t="shared" si="765"/>
        <v>100</v>
      </c>
      <c r="BA1094" s="655">
        <f t="shared" si="789"/>
        <v>42.356565267616482</v>
      </c>
      <c r="BB1094" s="655">
        <f t="shared" ref="BB1094:BC1157" si="798">IF(AND(ISNUMBER(AV1094), ISNUMBER(AU1094), AU1094&lt;&gt;0), (AV1094/AU1094)*100, "")</f>
        <v>100</v>
      </c>
      <c r="BC1094" s="655">
        <f t="shared" si="798"/>
        <v>100</v>
      </c>
    </row>
    <row r="1095" spans="1:55" ht="12" customHeight="1">
      <c r="A1095" s="36"/>
      <c r="B1095" s="36"/>
      <c r="C1095" s="36"/>
      <c r="D1095" s="36"/>
      <c r="E1095" s="36"/>
      <c r="F1095" s="36"/>
      <c r="G1095" s="36"/>
      <c r="H1095" s="204">
        <v>58</v>
      </c>
      <c r="I1095" s="132">
        <v>820</v>
      </c>
      <c r="J1095" s="71">
        <v>3232</v>
      </c>
      <c r="K1095" s="40" t="s">
        <v>421</v>
      </c>
      <c r="L1095" s="309">
        <v>4903</v>
      </c>
      <c r="M1095" s="309">
        <f>4903/7.5345</f>
        <v>650.7399296569115</v>
      </c>
      <c r="N1095" s="339">
        <v>0</v>
      </c>
      <c r="O1095" s="339">
        <f t="shared" si="797"/>
        <v>0</v>
      </c>
      <c r="P1095" s="294">
        <v>500</v>
      </c>
      <c r="Q1095" s="294">
        <v>500</v>
      </c>
      <c r="R1095" s="443">
        <v>72</v>
      </c>
      <c r="S1095" s="294"/>
      <c r="T1095" s="294"/>
      <c r="U1095" s="294"/>
      <c r="V1095" s="478">
        <v>700</v>
      </c>
      <c r="W1095" s="478">
        <v>5000</v>
      </c>
      <c r="X1095" s="544">
        <v>4000</v>
      </c>
      <c r="Y1095" s="544"/>
      <c r="Z1095" s="541" t="b">
        <f t="shared" si="790"/>
        <v>0</v>
      </c>
      <c r="AA1095" s="527"/>
      <c r="AB1095" s="528">
        <v>600</v>
      </c>
      <c r="AC1095" s="528">
        <v>600</v>
      </c>
      <c r="AD1095" s="524">
        <f t="shared" si="793"/>
        <v>0</v>
      </c>
      <c r="AE1095" s="524"/>
      <c r="AF1095" s="524"/>
      <c r="AG1095" s="524"/>
      <c r="AH1095" s="527"/>
      <c r="AI1095" s="544">
        <v>4000</v>
      </c>
      <c r="AJ1095" s="516">
        <f t="shared" si="794"/>
        <v>6944.4444444444443</v>
      </c>
      <c r="AK1095" s="516">
        <f t="shared" si="795"/>
        <v>80</v>
      </c>
      <c r="AL1095" s="516">
        <f t="shared" si="796"/>
        <v>100</v>
      </c>
      <c r="AM1095" s="294"/>
      <c r="AO1095" t="b">
        <f t="shared" si="791"/>
        <v>0</v>
      </c>
      <c r="AQ1095" s="443">
        <v>5889</v>
      </c>
      <c r="AS1095" s="443"/>
      <c r="AT1095" s="617">
        <v>4000</v>
      </c>
      <c r="AU1095" s="478">
        <v>4000</v>
      </c>
      <c r="AV1095" s="638">
        <v>4000</v>
      </c>
      <c r="AW1095" s="638">
        <v>4000</v>
      </c>
      <c r="AX1095" s="655">
        <f t="shared" si="764"/>
        <v>5555.5555555555557</v>
      </c>
      <c r="AY1095" s="655" t="str">
        <f t="shared" si="788"/>
        <v/>
      </c>
      <c r="AZ1095" s="655">
        <f t="shared" si="765"/>
        <v>100</v>
      </c>
      <c r="BA1095" s="655" t="str">
        <f t="shared" si="789"/>
        <v/>
      </c>
      <c r="BB1095" s="655">
        <f t="shared" si="798"/>
        <v>100</v>
      </c>
      <c r="BC1095" s="655">
        <f t="shared" si="798"/>
        <v>100</v>
      </c>
    </row>
    <row r="1096" spans="1:55" ht="12" customHeight="1">
      <c r="A1096" s="36"/>
      <c r="B1096" s="36"/>
      <c r="C1096" s="36"/>
      <c r="D1096" s="36"/>
      <c r="E1096" s="36"/>
      <c r="F1096" s="36"/>
      <c r="G1096" s="36"/>
      <c r="H1096" s="204" t="s">
        <v>606</v>
      </c>
      <c r="I1096" s="132">
        <v>820</v>
      </c>
      <c r="J1096" s="71">
        <v>3234</v>
      </c>
      <c r="K1096" s="40" t="s">
        <v>117</v>
      </c>
      <c r="L1096" s="309">
        <v>2159</v>
      </c>
      <c r="M1096" s="309">
        <f>2159/7.5345</f>
        <v>286.54854336717761</v>
      </c>
      <c r="N1096" s="339">
        <v>4175</v>
      </c>
      <c r="O1096" s="339">
        <f t="shared" si="797"/>
        <v>554.11772513106371</v>
      </c>
      <c r="P1096" s="294">
        <v>300</v>
      </c>
      <c r="Q1096" s="294">
        <v>1000</v>
      </c>
      <c r="R1096" s="443">
        <v>839</v>
      </c>
      <c r="S1096" s="294"/>
      <c r="T1096" s="294"/>
      <c r="U1096" s="294"/>
      <c r="V1096" s="478">
        <v>1000</v>
      </c>
      <c r="W1096" s="478">
        <v>1000</v>
      </c>
      <c r="X1096" s="544">
        <v>1100</v>
      </c>
      <c r="Y1096" s="544"/>
      <c r="Z1096" s="541" t="b">
        <f t="shared" si="790"/>
        <v>0</v>
      </c>
      <c r="AA1096" s="527"/>
      <c r="AB1096" s="528">
        <v>300</v>
      </c>
      <c r="AC1096" s="528">
        <v>300</v>
      </c>
      <c r="AD1096" s="524">
        <f t="shared" si="793"/>
        <v>193.37656322371467</v>
      </c>
      <c r="AE1096" s="524">
        <f t="shared" ref="AE1096:AF1099" si="799">P1096/O1096*100</f>
        <v>54.140119760479045</v>
      </c>
      <c r="AF1096" s="524">
        <f t="shared" si="799"/>
        <v>333.33333333333337</v>
      </c>
      <c r="AG1096" s="524">
        <f>AB1096/Q1096*100</f>
        <v>30</v>
      </c>
      <c r="AH1096" s="527"/>
      <c r="AI1096" s="544">
        <v>1100</v>
      </c>
      <c r="AJ1096" s="516">
        <f t="shared" si="794"/>
        <v>119.18951132300357</v>
      </c>
      <c r="AK1096" s="516">
        <f t="shared" si="795"/>
        <v>110.00000000000001</v>
      </c>
      <c r="AL1096" s="516">
        <f t="shared" si="796"/>
        <v>100</v>
      </c>
      <c r="AM1096" s="294"/>
      <c r="AO1096" t="b">
        <f t="shared" si="791"/>
        <v>0</v>
      </c>
      <c r="AQ1096" s="443">
        <v>396</v>
      </c>
      <c r="AS1096" s="443"/>
      <c r="AT1096" s="617">
        <v>1100</v>
      </c>
      <c r="AU1096" s="478">
        <v>1100</v>
      </c>
      <c r="AV1096" s="638">
        <v>1100</v>
      </c>
      <c r="AW1096" s="638">
        <v>1100</v>
      </c>
      <c r="AX1096" s="655">
        <f t="shared" si="764"/>
        <v>131.10846245530394</v>
      </c>
      <c r="AY1096" s="655">
        <f t="shared" si="788"/>
        <v>20.209443321697592</v>
      </c>
      <c r="AZ1096" s="655">
        <f t="shared" si="765"/>
        <v>100</v>
      </c>
      <c r="BA1096" s="655">
        <f t="shared" si="789"/>
        <v>20.209443321697592</v>
      </c>
      <c r="BB1096" s="655">
        <f t="shared" si="798"/>
        <v>100</v>
      </c>
      <c r="BC1096" s="655">
        <f t="shared" si="798"/>
        <v>100</v>
      </c>
    </row>
    <row r="1097" spans="1:55" ht="12" customHeight="1">
      <c r="A1097" s="36"/>
      <c r="B1097" s="36"/>
      <c r="C1097" s="36"/>
      <c r="D1097" s="36"/>
      <c r="E1097" s="36"/>
      <c r="F1097" s="36"/>
      <c r="G1097" s="36"/>
      <c r="H1097" s="204">
        <v>61</v>
      </c>
      <c r="I1097" s="132">
        <v>820</v>
      </c>
      <c r="J1097" s="71">
        <v>3237</v>
      </c>
      <c r="K1097" s="40" t="s">
        <v>120</v>
      </c>
      <c r="L1097" s="309">
        <v>18376</v>
      </c>
      <c r="M1097" s="309">
        <f>18376/7.5345</f>
        <v>2438.9143274271682</v>
      </c>
      <c r="N1097" s="339">
        <v>31115</v>
      </c>
      <c r="O1097" s="339">
        <f t="shared" si="797"/>
        <v>4129.6701838210893</v>
      </c>
      <c r="P1097" s="294">
        <v>4000</v>
      </c>
      <c r="Q1097" s="294">
        <v>4000</v>
      </c>
      <c r="R1097" s="443">
        <v>2858</v>
      </c>
      <c r="S1097" s="294"/>
      <c r="T1097" s="294"/>
      <c r="U1097" s="294"/>
      <c r="V1097" s="478">
        <v>4000</v>
      </c>
      <c r="W1097" s="478">
        <v>4000</v>
      </c>
      <c r="X1097" s="544">
        <v>4200</v>
      </c>
      <c r="Y1097" s="544"/>
      <c r="Z1097" s="541" t="b">
        <f t="shared" si="790"/>
        <v>0</v>
      </c>
      <c r="AA1097" s="527"/>
      <c r="AB1097" s="528">
        <v>4100</v>
      </c>
      <c r="AC1097" s="528">
        <v>4100</v>
      </c>
      <c r="AD1097" s="524">
        <f t="shared" si="793"/>
        <v>169.32411841532434</v>
      </c>
      <c r="AE1097" s="524">
        <f t="shared" si="799"/>
        <v>96.86003535272377</v>
      </c>
      <c r="AF1097" s="524">
        <f t="shared" si="799"/>
        <v>100</v>
      </c>
      <c r="AG1097" s="524">
        <f>AB1097/Q1097*100</f>
        <v>102.49999999999999</v>
      </c>
      <c r="AH1097" s="527"/>
      <c r="AI1097" s="544">
        <v>4200</v>
      </c>
      <c r="AJ1097" s="516">
        <f t="shared" si="794"/>
        <v>139.95801259622112</v>
      </c>
      <c r="AK1097" s="516">
        <f t="shared" si="795"/>
        <v>105</v>
      </c>
      <c r="AL1097" s="516">
        <f t="shared" si="796"/>
        <v>100</v>
      </c>
      <c r="AM1097" s="294"/>
      <c r="AO1097" t="b">
        <f t="shared" si="791"/>
        <v>0</v>
      </c>
      <c r="AQ1097" s="443">
        <v>5630</v>
      </c>
      <c r="AS1097" s="443"/>
      <c r="AT1097" s="617">
        <v>4200</v>
      </c>
      <c r="AU1097" s="478">
        <v>4200</v>
      </c>
      <c r="AV1097" s="638">
        <v>4200</v>
      </c>
      <c r="AW1097" s="638">
        <v>4200</v>
      </c>
      <c r="AX1097" s="655">
        <f t="shared" si="764"/>
        <v>146.95591322603218</v>
      </c>
      <c r="AY1097" s="655">
        <f t="shared" si="788"/>
        <v>165.68047337278108</v>
      </c>
      <c r="AZ1097" s="655">
        <f t="shared" si="765"/>
        <v>100</v>
      </c>
      <c r="BA1097" s="655">
        <f t="shared" si="789"/>
        <v>165.68047337278108</v>
      </c>
      <c r="BB1097" s="655">
        <f t="shared" si="798"/>
        <v>100</v>
      </c>
      <c r="BC1097" s="655">
        <f t="shared" si="798"/>
        <v>100</v>
      </c>
    </row>
    <row r="1098" spans="1:55" ht="12" customHeight="1">
      <c r="A1098" s="36"/>
      <c r="B1098" s="36"/>
      <c r="C1098" s="36"/>
      <c r="D1098" s="36"/>
      <c r="E1098" s="36"/>
      <c r="F1098" s="36"/>
      <c r="G1098" s="36"/>
      <c r="H1098" s="204">
        <v>62</v>
      </c>
      <c r="I1098" s="132">
        <v>820</v>
      </c>
      <c r="J1098" s="71">
        <v>3238</v>
      </c>
      <c r="K1098" s="40" t="s">
        <v>121</v>
      </c>
      <c r="L1098" s="309">
        <v>1899</v>
      </c>
      <c r="M1098" s="309">
        <f>1899/7.5345</f>
        <v>252.04061317937487</v>
      </c>
      <c r="N1098" s="339">
        <v>2574</v>
      </c>
      <c r="O1098" s="339">
        <f t="shared" si="797"/>
        <v>341.62850885924746</v>
      </c>
      <c r="P1098" s="294">
        <v>1000</v>
      </c>
      <c r="Q1098" s="294">
        <v>1000</v>
      </c>
      <c r="R1098" s="443">
        <v>465</v>
      </c>
      <c r="S1098" s="294"/>
      <c r="T1098" s="294"/>
      <c r="U1098" s="294"/>
      <c r="V1098" s="478">
        <v>1000</v>
      </c>
      <c r="W1098" s="478">
        <v>1000</v>
      </c>
      <c r="X1098" s="544">
        <v>1200</v>
      </c>
      <c r="Y1098" s="544"/>
      <c r="Z1098" s="541" t="b">
        <f t="shared" si="790"/>
        <v>0</v>
      </c>
      <c r="AA1098" s="527"/>
      <c r="AB1098" s="528">
        <v>1200</v>
      </c>
      <c r="AC1098" s="528">
        <v>1200</v>
      </c>
      <c r="AD1098" s="524">
        <f t="shared" si="793"/>
        <v>135.54502369668248</v>
      </c>
      <c r="AE1098" s="524">
        <f t="shared" si="799"/>
        <v>292.71561771561773</v>
      </c>
      <c r="AF1098" s="524">
        <f t="shared" si="799"/>
        <v>100</v>
      </c>
      <c r="AG1098" s="524">
        <f>AB1098/Q1098*100</f>
        <v>120</v>
      </c>
      <c r="AH1098" s="527"/>
      <c r="AI1098" s="544">
        <v>1200</v>
      </c>
      <c r="AJ1098" s="516">
        <f t="shared" si="794"/>
        <v>215.05376344086019</v>
      </c>
      <c r="AK1098" s="516">
        <f t="shared" si="795"/>
        <v>120</v>
      </c>
      <c r="AL1098" s="516">
        <f t="shared" si="796"/>
        <v>100</v>
      </c>
      <c r="AM1098" s="294"/>
      <c r="AO1098" t="b">
        <f t="shared" si="791"/>
        <v>0</v>
      </c>
      <c r="AQ1098" s="443">
        <v>1634</v>
      </c>
      <c r="AS1098" s="443"/>
      <c r="AT1098" s="617">
        <v>1200</v>
      </c>
      <c r="AU1098" s="478">
        <v>1200</v>
      </c>
      <c r="AV1098" s="638">
        <v>1200</v>
      </c>
      <c r="AW1098" s="638">
        <v>1200</v>
      </c>
      <c r="AX1098" s="655">
        <f t="shared" si="764"/>
        <v>258.06451612903226</v>
      </c>
      <c r="AY1098" s="655">
        <f t="shared" si="788"/>
        <v>41.265474552957357</v>
      </c>
      <c r="AZ1098" s="655">
        <f t="shared" si="765"/>
        <v>100</v>
      </c>
      <c r="BA1098" s="655">
        <f t="shared" si="789"/>
        <v>41.265474552957357</v>
      </c>
      <c r="BB1098" s="655">
        <f t="shared" si="798"/>
        <v>100</v>
      </c>
      <c r="BC1098" s="655">
        <f t="shared" si="798"/>
        <v>100</v>
      </c>
    </row>
    <row r="1099" spans="1:55" ht="12" customHeight="1">
      <c r="A1099" s="36"/>
      <c r="B1099" s="36"/>
      <c r="C1099" s="36"/>
      <c r="D1099" s="36"/>
      <c r="E1099" s="36"/>
      <c r="F1099" s="36"/>
      <c r="G1099" s="36"/>
      <c r="H1099" s="204" t="s">
        <v>536</v>
      </c>
      <c r="I1099" s="118">
        <v>820</v>
      </c>
      <c r="J1099" s="71">
        <v>3239</v>
      </c>
      <c r="K1099" s="152" t="s">
        <v>537</v>
      </c>
      <c r="L1099" s="309">
        <v>22425</v>
      </c>
      <c r="M1099" s="309">
        <f>22425/7.5345</f>
        <v>2976.308978697989</v>
      </c>
      <c r="N1099" s="339">
        <v>15632</v>
      </c>
      <c r="O1099" s="339">
        <f t="shared" si="797"/>
        <v>2074.7229411374342</v>
      </c>
      <c r="P1099" s="294">
        <v>4700</v>
      </c>
      <c r="Q1099" s="294">
        <v>4700</v>
      </c>
      <c r="R1099" s="443">
        <v>1199</v>
      </c>
      <c r="S1099" s="294"/>
      <c r="T1099" s="294"/>
      <c r="U1099" s="294"/>
      <c r="V1099" s="478">
        <v>5000</v>
      </c>
      <c r="W1099" s="478">
        <v>5000</v>
      </c>
      <c r="X1099" s="544">
        <v>5500</v>
      </c>
      <c r="Y1099" s="544"/>
      <c r="Z1099" s="541" t="b">
        <f t="shared" si="790"/>
        <v>0</v>
      </c>
      <c r="AA1099" s="527"/>
      <c r="AB1099" s="528">
        <v>4900</v>
      </c>
      <c r="AC1099" s="528">
        <v>4900</v>
      </c>
      <c r="AD1099" s="524">
        <f t="shared" si="793"/>
        <v>69.707915273132656</v>
      </c>
      <c r="AE1099" s="524">
        <f t="shared" si="799"/>
        <v>226.53627175025593</v>
      </c>
      <c r="AF1099" s="524">
        <f t="shared" si="799"/>
        <v>100</v>
      </c>
      <c r="AG1099" s="524">
        <f>AB1099/Q1099*100</f>
        <v>104.25531914893618</v>
      </c>
      <c r="AH1099" s="527"/>
      <c r="AI1099" s="544">
        <v>5500</v>
      </c>
      <c r="AJ1099" s="516">
        <f t="shared" si="794"/>
        <v>417.01417848206842</v>
      </c>
      <c r="AK1099" s="516">
        <f t="shared" si="795"/>
        <v>100</v>
      </c>
      <c r="AL1099" s="516">
        <f t="shared" si="796"/>
        <v>110.00000000000001</v>
      </c>
      <c r="AM1099" s="294"/>
      <c r="AO1099" t="b">
        <f t="shared" si="791"/>
        <v>0</v>
      </c>
      <c r="AQ1099" s="443">
        <v>2597</v>
      </c>
      <c r="AS1099" s="443"/>
      <c r="AT1099" s="617">
        <v>5000</v>
      </c>
      <c r="AU1099" s="478">
        <v>5000</v>
      </c>
      <c r="AV1099" s="638">
        <v>5500</v>
      </c>
      <c r="AW1099" s="638">
        <v>5500</v>
      </c>
      <c r="AX1099" s="655">
        <f t="shared" ref="AX1099:AX1162" si="800">IF(AND(ISNUMBER(AT1099), ISNUMBER(R1099), R1099&lt;&gt;0), (AT1099/R1099)*100, "")</f>
        <v>417.01417848206842</v>
      </c>
      <c r="AY1099" s="655" t="str">
        <f t="shared" si="788"/>
        <v/>
      </c>
      <c r="AZ1099" s="655">
        <f t="shared" ref="AZ1099:AZ1162" si="801">IF(AND(ISNUMBER(AU1099), ISNUMBER(AT1099), AT1099&lt;&gt;0), (AU1099/AT1099)*100, "")</f>
        <v>100</v>
      </c>
      <c r="BA1099" s="655" t="str">
        <f t="shared" si="789"/>
        <v/>
      </c>
      <c r="BB1099" s="655">
        <f t="shared" si="798"/>
        <v>110.00000000000001</v>
      </c>
      <c r="BC1099" s="655">
        <f t="shared" si="798"/>
        <v>100</v>
      </c>
    </row>
    <row r="1100" spans="1:55" ht="12" customHeight="1">
      <c r="A1100" s="36"/>
      <c r="B1100" s="36"/>
      <c r="C1100" s="36"/>
      <c r="D1100" s="36"/>
      <c r="E1100" s="36"/>
      <c r="F1100" s="36"/>
      <c r="G1100" s="36"/>
      <c r="H1100" s="204"/>
      <c r="I1100" s="118"/>
      <c r="J1100" s="71"/>
      <c r="K1100" s="152"/>
      <c r="L1100" s="309"/>
      <c r="M1100" s="309"/>
      <c r="N1100" s="339"/>
      <c r="O1100" s="339"/>
      <c r="P1100" s="294"/>
      <c r="Q1100" s="294"/>
      <c r="R1100" s="443"/>
      <c r="S1100" s="294"/>
      <c r="T1100" s="294"/>
      <c r="U1100" s="294"/>
      <c r="V1100" s="478"/>
      <c r="W1100" s="478"/>
      <c r="X1100" s="544"/>
      <c r="Y1100" s="544"/>
      <c r="Z1100" s="541" t="b">
        <f t="shared" si="790"/>
        <v>0</v>
      </c>
      <c r="AA1100" s="527"/>
      <c r="AB1100" s="528"/>
      <c r="AC1100" s="528"/>
      <c r="AD1100" s="524"/>
      <c r="AE1100" s="524"/>
      <c r="AF1100" s="524"/>
      <c r="AG1100" s="524"/>
      <c r="AH1100" s="527"/>
      <c r="AI1100" s="544"/>
      <c r="AJ1100" s="516"/>
      <c r="AK1100" s="516"/>
      <c r="AL1100" s="516"/>
      <c r="AM1100" s="294"/>
      <c r="AO1100" t="b">
        <f t="shared" si="791"/>
        <v>0</v>
      </c>
      <c r="AQ1100" s="443"/>
      <c r="AS1100" s="443"/>
      <c r="AT1100" s="617"/>
      <c r="AU1100" s="478"/>
      <c r="AV1100" s="638"/>
      <c r="AW1100" s="638"/>
      <c r="AX1100" s="655" t="str">
        <f t="shared" si="800"/>
        <v/>
      </c>
      <c r="AY1100" s="655" t="str">
        <f t="shared" si="788"/>
        <v/>
      </c>
      <c r="AZ1100" s="655" t="str">
        <f t="shared" si="801"/>
        <v/>
      </c>
      <c r="BA1100" s="655" t="str">
        <f t="shared" si="789"/>
        <v/>
      </c>
      <c r="BB1100" s="655" t="str">
        <f t="shared" si="798"/>
        <v/>
      </c>
      <c r="BC1100" s="655" t="str">
        <f t="shared" si="798"/>
        <v/>
      </c>
    </row>
    <row r="1101" spans="1:55" ht="12" customHeight="1">
      <c r="A1101" s="56"/>
      <c r="B1101" s="56"/>
      <c r="C1101" s="56"/>
      <c r="D1101" s="56"/>
      <c r="E1101" s="56"/>
      <c r="F1101" s="56"/>
      <c r="G1101" s="56"/>
      <c r="H1101" s="377"/>
      <c r="I1101" s="157"/>
      <c r="J1101" s="116">
        <v>329</v>
      </c>
      <c r="K1101" s="60" t="s">
        <v>538</v>
      </c>
      <c r="L1101" s="315">
        <f t="shared" ref="L1101:S1101" si="802">L1102+L1103</f>
        <v>4357</v>
      </c>
      <c r="M1101" s="315">
        <f t="shared" si="802"/>
        <v>578.27327626252566</v>
      </c>
      <c r="N1101" s="337">
        <f t="shared" si="802"/>
        <v>9514</v>
      </c>
      <c r="O1101" s="337">
        <f t="shared" si="802"/>
        <v>1262.7247992567522</v>
      </c>
      <c r="P1101" s="292">
        <f t="shared" si="802"/>
        <v>5000</v>
      </c>
      <c r="Q1101" s="292">
        <f t="shared" si="802"/>
        <v>5000</v>
      </c>
      <c r="R1101" s="441">
        <f t="shared" si="802"/>
        <v>2226</v>
      </c>
      <c r="S1101" s="292">
        <f t="shared" si="802"/>
        <v>0</v>
      </c>
      <c r="T1101" s="292"/>
      <c r="U1101" s="292"/>
      <c r="V1101" s="469">
        <f>V1102+V1103</f>
        <v>5300</v>
      </c>
      <c r="W1101" s="469">
        <f>W1102+W1103</f>
        <v>8000</v>
      </c>
      <c r="X1101" s="522">
        <f>X1102+X1103</f>
        <v>10000</v>
      </c>
      <c r="Y1101" s="522">
        <f>Y1102+Y1103</f>
        <v>0</v>
      </c>
      <c r="Z1101" s="541" t="b">
        <f t="shared" si="790"/>
        <v>1</v>
      </c>
      <c r="AA1101" s="522"/>
      <c r="AB1101" s="523">
        <f>AB1102+AB1103</f>
        <v>35000</v>
      </c>
      <c r="AC1101" s="523">
        <f>AC1102+AC1103</f>
        <v>35000</v>
      </c>
      <c r="AD1101" s="524">
        <f>O1101/M1101*100</f>
        <v>218.36125774615564</v>
      </c>
      <c r="AE1101" s="524">
        <f>P1101/O1101*100</f>
        <v>395.96909817111629</v>
      </c>
      <c r="AF1101" s="524">
        <f>Q1101/P1101*100</f>
        <v>100</v>
      </c>
      <c r="AG1101" s="524">
        <f>AB1101/Q1101*100</f>
        <v>700</v>
      </c>
      <c r="AH1101" s="522"/>
      <c r="AI1101" s="522">
        <v>10000</v>
      </c>
      <c r="AJ1101" s="516">
        <f>W1101/R1101*100</f>
        <v>359.38903863432165</v>
      </c>
      <c r="AK1101" s="516">
        <f>AT1101/W1101*100</f>
        <v>100</v>
      </c>
      <c r="AL1101" s="516">
        <f>X1101/AT1101*100</f>
        <v>125</v>
      </c>
      <c r="AM1101" s="292"/>
      <c r="AO1101" t="b">
        <f t="shared" si="791"/>
        <v>1</v>
      </c>
      <c r="AP1101" s="440">
        <f>AP1102+AP1103</f>
        <v>0</v>
      </c>
      <c r="AQ1101" s="441">
        <v>5443</v>
      </c>
      <c r="AR1101" s="440">
        <f>AR1102+AR1103</f>
        <v>0</v>
      </c>
      <c r="AS1101" s="441"/>
      <c r="AT1101" s="612">
        <f>AT1102+AT1103</f>
        <v>8000</v>
      </c>
      <c r="AU1101" s="469">
        <f>AU1102+AU1103</f>
        <v>8000</v>
      </c>
      <c r="AV1101" s="636">
        <v>10000</v>
      </c>
      <c r="AW1101" s="636">
        <v>10000</v>
      </c>
      <c r="AX1101" s="655">
        <f t="shared" si="800"/>
        <v>359.38903863432165</v>
      </c>
      <c r="AY1101" s="655">
        <f t="shared" si="788"/>
        <v>1590.4572564612326</v>
      </c>
      <c r="AZ1101" s="655">
        <f t="shared" si="801"/>
        <v>100</v>
      </c>
      <c r="BA1101" s="655">
        <f t="shared" si="789"/>
        <v>1590.4572564612326</v>
      </c>
      <c r="BB1101" s="655">
        <f t="shared" si="798"/>
        <v>125</v>
      </c>
      <c r="BC1101" s="655">
        <f t="shared" si="798"/>
        <v>100</v>
      </c>
    </row>
    <row r="1102" spans="1:55" s="198" customFormat="1" ht="12" customHeight="1">
      <c r="A1102" s="36"/>
      <c r="B1102" s="36"/>
      <c r="C1102" s="36"/>
      <c r="D1102" s="36"/>
      <c r="E1102" s="36"/>
      <c r="F1102" s="36"/>
      <c r="G1102" s="36"/>
      <c r="H1102" s="204">
        <v>64</v>
      </c>
      <c r="I1102" s="132">
        <v>820</v>
      </c>
      <c r="J1102" s="71">
        <v>3299</v>
      </c>
      <c r="K1102" s="40" t="s">
        <v>539</v>
      </c>
      <c r="L1102" s="309">
        <v>4357</v>
      </c>
      <c r="M1102" s="309">
        <f>4357/7.5345</f>
        <v>578.27327626252566</v>
      </c>
      <c r="N1102" s="339">
        <v>3514</v>
      </c>
      <c r="O1102" s="339">
        <f>N1102/7.5345</f>
        <v>466.3879487689959</v>
      </c>
      <c r="P1102" s="294">
        <v>2700</v>
      </c>
      <c r="Q1102" s="294">
        <v>2700</v>
      </c>
      <c r="R1102" s="443">
        <v>653</v>
      </c>
      <c r="S1102" s="294"/>
      <c r="T1102" s="294"/>
      <c r="U1102" s="294"/>
      <c r="V1102" s="478">
        <v>3000</v>
      </c>
      <c r="W1102" s="478">
        <v>3000</v>
      </c>
      <c r="X1102" s="544">
        <v>5000</v>
      </c>
      <c r="Y1102" s="544"/>
      <c r="Z1102" s="541" t="b">
        <f t="shared" si="790"/>
        <v>0</v>
      </c>
      <c r="AA1102" s="527"/>
      <c r="AB1102" s="528">
        <v>20000</v>
      </c>
      <c r="AC1102" s="528">
        <v>20000</v>
      </c>
      <c r="AD1102" s="524">
        <f>O1102/M1102*100</f>
        <v>80.651824649988527</v>
      </c>
      <c r="AE1102" s="524">
        <f>P1102/O1102*100</f>
        <v>578.91718838930001</v>
      </c>
      <c r="AF1102" s="524">
        <f>Q1102/P1102*100</f>
        <v>100</v>
      </c>
      <c r="AG1102" s="524">
        <f>AB1102/Q1102*100</f>
        <v>740.74074074074076</v>
      </c>
      <c r="AH1102" s="527"/>
      <c r="AI1102" s="544">
        <v>5000</v>
      </c>
      <c r="AJ1102" s="516">
        <f>W1102/R1102*100</f>
        <v>459.4180704441041</v>
      </c>
      <c r="AK1102" s="516">
        <f>AT1102/W1102*100</f>
        <v>100</v>
      </c>
      <c r="AL1102" s="516">
        <f>X1102/AT1102*100</f>
        <v>166.66666666666669</v>
      </c>
      <c r="AM1102" s="294"/>
      <c r="AO1102" t="b">
        <f t="shared" si="791"/>
        <v>0</v>
      </c>
      <c r="AQ1102" s="443">
        <v>2535</v>
      </c>
      <c r="AS1102" s="443"/>
      <c r="AT1102" s="617">
        <v>3000</v>
      </c>
      <c r="AU1102" s="478">
        <v>3000</v>
      </c>
      <c r="AV1102" s="638">
        <v>5000</v>
      </c>
      <c r="AW1102" s="638">
        <v>5000</v>
      </c>
      <c r="AX1102" s="655">
        <f t="shared" si="800"/>
        <v>459.4180704441041</v>
      </c>
      <c r="AY1102" s="655">
        <f t="shared" si="788"/>
        <v>596.42147117296224</v>
      </c>
      <c r="AZ1102" s="655">
        <f t="shared" si="801"/>
        <v>100</v>
      </c>
      <c r="BA1102" s="655">
        <f t="shared" si="789"/>
        <v>596.42147117296224</v>
      </c>
      <c r="BB1102" s="655">
        <f t="shared" si="798"/>
        <v>166.66666666666669</v>
      </c>
      <c r="BC1102" s="655">
        <f t="shared" si="798"/>
        <v>100</v>
      </c>
    </row>
    <row r="1103" spans="1:55" ht="12" customHeight="1">
      <c r="A1103" s="66"/>
      <c r="B1103" s="66"/>
      <c r="C1103" s="66"/>
      <c r="D1103" s="66"/>
      <c r="E1103" s="66"/>
      <c r="F1103" s="66"/>
      <c r="G1103" s="66"/>
      <c r="H1103" s="204" t="s">
        <v>768</v>
      </c>
      <c r="I1103" s="132">
        <v>821</v>
      </c>
      <c r="J1103" s="40">
        <v>3299</v>
      </c>
      <c r="K1103" s="71" t="s">
        <v>767</v>
      </c>
      <c r="L1103" s="309">
        <v>0</v>
      </c>
      <c r="M1103" s="309">
        <v>0</v>
      </c>
      <c r="N1103" s="339">
        <v>6000</v>
      </c>
      <c r="O1103" s="339">
        <f>N1103/7.5345</f>
        <v>796.33685048775624</v>
      </c>
      <c r="P1103" s="294">
        <v>2300</v>
      </c>
      <c r="Q1103" s="294">
        <v>2300</v>
      </c>
      <c r="R1103" s="443">
        <v>1573</v>
      </c>
      <c r="S1103" s="294"/>
      <c r="T1103" s="294"/>
      <c r="U1103" s="294"/>
      <c r="V1103" s="478">
        <v>2300</v>
      </c>
      <c r="W1103" s="478">
        <v>5000</v>
      </c>
      <c r="X1103" s="544">
        <v>5000</v>
      </c>
      <c r="Y1103" s="544"/>
      <c r="Z1103" s="541" t="b">
        <f t="shared" si="790"/>
        <v>0</v>
      </c>
      <c r="AA1103" s="527"/>
      <c r="AB1103" s="530">
        <v>15000</v>
      </c>
      <c r="AC1103" s="530">
        <v>15000</v>
      </c>
      <c r="AD1103" s="524"/>
      <c r="AE1103" s="524"/>
      <c r="AF1103" s="524"/>
      <c r="AG1103" s="524"/>
      <c r="AH1103" s="527"/>
      <c r="AI1103" s="544">
        <v>5000</v>
      </c>
      <c r="AJ1103" s="516">
        <f>W1103/R1103*100</f>
        <v>317.86395422759057</v>
      </c>
      <c r="AK1103" s="516">
        <f>AT1103/W1103*100</f>
        <v>100</v>
      </c>
      <c r="AL1103" s="516">
        <f>X1103/AT1103*100</f>
        <v>100</v>
      </c>
      <c r="AM1103" s="294"/>
      <c r="AO1103" t="b">
        <f t="shared" si="791"/>
        <v>0</v>
      </c>
      <c r="AQ1103" s="443">
        <v>2908</v>
      </c>
      <c r="AS1103" s="443"/>
      <c r="AT1103" s="617">
        <v>5000</v>
      </c>
      <c r="AU1103" s="478">
        <v>5000</v>
      </c>
      <c r="AV1103" s="638">
        <v>5000</v>
      </c>
      <c r="AW1103" s="638">
        <v>5000</v>
      </c>
      <c r="AX1103" s="655">
        <f t="shared" si="800"/>
        <v>317.86395422759057</v>
      </c>
      <c r="AY1103" s="655" t="str">
        <f t="shared" si="788"/>
        <v/>
      </c>
      <c r="AZ1103" s="655">
        <f t="shared" si="801"/>
        <v>100</v>
      </c>
      <c r="BA1103" s="655" t="str">
        <f t="shared" si="789"/>
        <v/>
      </c>
      <c r="BB1103" s="655">
        <f t="shared" si="798"/>
        <v>100</v>
      </c>
      <c r="BC1103" s="655">
        <f t="shared" si="798"/>
        <v>100</v>
      </c>
    </row>
    <row r="1104" spans="1:55" ht="12" customHeight="1">
      <c r="A1104" s="20"/>
      <c r="B1104" s="20"/>
      <c r="C1104" s="20"/>
      <c r="D1104" s="20"/>
      <c r="E1104" s="20"/>
      <c r="F1104" s="20"/>
      <c r="G1104" s="20"/>
      <c r="H1104" s="375"/>
      <c r="I1104" s="22"/>
      <c r="J1104" s="21"/>
      <c r="K1104" s="19"/>
      <c r="L1104" s="313">
        <v>1</v>
      </c>
      <c r="M1104" s="313">
        <v>2</v>
      </c>
      <c r="N1104" s="335">
        <v>3</v>
      </c>
      <c r="O1104" s="335">
        <v>4</v>
      </c>
      <c r="P1104" s="290">
        <v>5</v>
      </c>
      <c r="Q1104" s="290">
        <v>6</v>
      </c>
      <c r="R1104" s="439"/>
      <c r="S1104" s="290"/>
      <c r="T1104" s="290"/>
      <c r="U1104" s="290"/>
      <c r="V1104" s="474">
        <v>5</v>
      </c>
      <c r="W1104" s="474"/>
      <c r="X1104" s="539"/>
      <c r="Y1104" s="539"/>
      <c r="Z1104" s="541" t="b">
        <f t="shared" si="790"/>
        <v>0</v>
      </c>
      <c r="AA1104" s="514"/>
      <c r="AB1104" s="515">
        <v>7</v>
      </c>
      <c r="AC1104" s="515">
        <v>8</v>
      </c>
      <c r="AD1104" s="515">
        <v>9</v>
      </c>
      <c r="AE1104" s="515">
        <v>10</v>
      </c>
      <c r="AF1104" s="515">
        <v>11</v>
      </c>
      <c r="AG1104" s="515">
        <v>12</v>
      </c>
      <c r="AH1104" s="514"/>
      <c r="AI1104" s="539"/>
      <c r="AJ1104" s="516"/>
      <c r="AK1104" s="516"/>
      <c r="AL1104" s="516"/>
      <c r="AM1104" s="290"/>
      <c r="AO1104" t="b">
        <f t="shared" si="791"/>
        <v>0</v>
      </c>
      <c r="AQ1104" s="439"/>
      <c r="AS1104" s="439"/>
      <c r="AT1104" s="616"/>
      <c r="AU1104" s="474"/>
      <c r="AV1104" s="632"/>
      <c r="AW1104" s="632"/>
      <c r="AX1104" s="655" t="str">
        <f t="shared" si="800"/>
        <v/>
      </c>
      <c r="AY1104" s="655" t="str">
        <f t="shared" si="788"/>
        <v/>
      </c>
      <c r="AZ1104" s="655" t="str">
        <f t="shared" si="801"/>
        <v/>
      </c>
      <c r="BA1104" s="655" t="str">
        <f t="shared" si="789"/>
        <v/>
      </c>
      <c r="BB1104" s="655" t="str">
        <f t="shared" si="798"/>
        <v/>
      </c>
      <c r="BC1104" s="655" t="str">
        <f t="shared" si="798"/>
        <v/>
      </c>
    </row>
    <row r="1105" spans="1:55" ht="12" customHeight="1">
      <c r="A1105" s="365"/>
      <c r="B1105" s="365"/>
      <c r="C1105" s="365"/>
      <c r="D1105" s="365"/>
      <c r="E1105" s="365"/>
      <c r="F1105" s="365"/>
      <c r="G1105" s="365"/>
      <c r="H1105" s="410"/>
      <c r="I1105" s="366"/>
      <c r="J1105" s="367">
        <v>34</v>
      </c>
      <c r="K1105" s="368" t="s">
        <v>128</v>
      </c>
      <c r="L1105" s="320">
        <f t="shared" ref="L1105:AC1106" si="803">L1106</f>
        <v>3190</v>
      </c>
      <c r="M1105" s="320">
        <f t="shared" si="803"/>
        <v>423.38575884265708</v>
      </c>
      <c r="N1105" s="344">
        <f t="shared" si="803"/>
        <v>3326</v>
      </c>
      <c r="O1105" s="344">
        <f t="shared" si="803"/>
        <v>441.43606078704624</v>
      </c>
      <c r="P1105" s="299">
        <f t="shared" si="803"/>
        <v>500</v>
      </c>
      <c r="Q1105" s="299">
        <f t="shared" si="803"/>
        <v>600</v>
      </c>
      <c r="R1105" s="447">
        <f t="shared" si="803"/>
        <v>477</v>
      </c>
      <c r="S1105" s="299">
        <f t="shared" si="803"/>
        <v>0</v>
      </c>
      <c r="T1105" s="299"/>
      <c r="U1105" s="299"/>
      <c r="V1105" s="477">
        <f t="shared" si="803"/>
        <v>650</v>
      </c>
      <c r="W1105" s="477">
        <f t="shared" si="803"/>
        <v>700</v>
      </c>
      <c r="X1105" s="542">
        <f t="shared" si="803"/>
        <v>800</v>
      </c>
      <c r="Y1105" s="542">
        <f t="shared" si="803"/>
        <v>0</v>
      </c>
      <c r="Z1105" s="541" t="b">
        <f t="shared" si="790"/>
        <v>1</v>
      </c>
      <c r="AA1105" s="542"/>
      <c r="AB1105" s="543">
        <f t="shared" si="803"/>
        <v>500</v>
      </c>
      <c r="AC1105" s="543">
        <f t="shared" si="803"/>
        <v>500</v>
      </c>
      <c r="AD1105" s="524">
        <f>O1105/M1105*100</f>
        <v>104.26332288401254</v>
      </c>
      <c r="AE1105" s="524">
        <f t="shared" ref="AE1105:AF1107" si="804">P1105/O1105*100</f>
        <v>113.26668671076368</v>
      </c>
      <c r="AF1105" s="524">
        <f t="shared" si="804"/>
        <v>120</v>
      </c>
      <c r="AG1105" s="524">
        <f>AB1105/Q1105*100</f>
        <v>83.333333333333343</v>
      </c>
      <c r="AH1105" s="542"/>
      <c r="AI1105" s="542">
        <v>800</v>
      </c>
      <c r="AJ1105" s="516">
        <f>W1105/R1105*100</f>
        <v>146.75052410901469</v>
      </c>
      <c r="AK1105" s="516">
        <f>AT1105/W1105*100</f>
        <v>114.28571428571428</v>
      </c>
      <c r="AL1105" s="516">
        <f>X1105/AT1105*100</f>
        <v>100</v>
      </c>
      <c r="AM1105" s="299"/>
      <c r="AO1105" t="b">
        <f t="shared" si="791"/>
        <v>1</v>
      </c>
      <c r="AP1105" s="503">
        <f>AP1106</f>
        <v>0</v>
      </c>
      <c r="AQ1105" s="447">
        <v>503</v>
      </c>
      <c r="AR1105" s="503">
        <f>AR1106</f>
        <v>0</v>
      </c>
      <c r="AS1105" s="447"/>
      <c r="AT1105" s="611">
        <f>AT1106</f>
        <v>800</v>
      </c>
      <c r="AU1105" s="477">
        <f>AU1106</f>
        <v>800</v>
      </c>
      <c r="AV1105" s="643">
        <v>800</v>
      </c>
      <c r="AW1105" s="643">
        <v>800</v>
      </c>
      <c r="AX1105" s="655">
        <f t="shared" si="800"/>
        <v>167.71488469601675</v>
      </c>
      <c r="AY1105" s="655" t="str">
        <f t="shared" si="788"/>
        <v/>
      </c>
      <c r="AZ1105" s="655">
        <f t="shared" si="801"/>
        <v>100</v>
      </c>
      <c r="BA1105" s="655" t="str">
        <f t="shared" si="789"/>
        <v/>
      </c>
      <c r="BB1105" s="655">
        <f t="shared" si="798"/>
        <v>100</v>
      </c>
      <c r="BC1105" s="655">
        <f t="shared" si="798"/>
        <v>100</v>
      </c>
    </row>
    <row r="1106" spans="1:55" ht="12" customHeight="1">
      <c r="A1106" s="56"/>
      <c r="B1106" s="56"/>
      <c r="C1106" s="56"/>
      <c r="D1106" s="56"/>
      <c r="E1106" s="56"/>
      <c r="F1106" s="56"/>
      <c r="G1106" s="56"/>
      <c r="H1106" s="377"/>
      <c r="I1106" s="157"/>
      <c r="J1106" s="116">
        <v>343</v>
      </c>
      <c r="K1106" s="60" t="s">
        <v>221</v>
      </c>
      <c r="L1106" s="315">
        <f t="shared" si="803"/>
        <v>3190</v>
      </c>
      <c r="M1106" s="315">
        <f t="shared" si="803"/>
        <v>423.38575884265708</v>
      </c>
      <c r="N1106" s="337">
        <f t="shared" si="803"/>
        <v>3326</v>
      </c>
      <c r="O1106" s="337">
        <f t="shared" si="803"/>
        <v>441.43606078704624</v>
      </c>
      <c r="P1106" s="292">
        <f t="shared" si="803"/>
        <v>500</v>
      </c>
      <c r="Q1106" s="292">
        <f t="shared" si="803"/>
        <v>600</v>
      </c>
      <c r="R1106" s="441">
        <f t="shared" si="803"/>
        <v>477</v>
      </c>
      <c r="S1106" s="292">
        <f t="shared" si="803"/>
        <v>0</v>
      </c>
      <c r="T1106" s="292"/>
      <c r="U1106" s="292"/>
      <c r="V1106" s="469">
        <f t="shared" si="803"/>
        <v>650</v>
      </c>
      <c r="W1106" s="469">
        <f t="shared" si="803"/>
        <v>700</v>
      </c>
      <c r="X1106" s="522">
        <f t="shared" si="803"/>
        <v>800</v>
      </c>
      <c r="Y1106" s="522">
        <f t="shared" si="803"/>
        <v>0</v>
      </c>
      <c r="Z1106" s="541" t="b">
        <f t="shared" si="790"/>
        <v>1</v>
      </c>
      <c r="AA1106" s="522"/>
      <c r="AB1106" s="523">
        <f t="shared" si="803"/>
        <v>500</v>
      </c>
      <c r="AC1106" s="523">
        <f t="shared" si="803"/>
        <v>500</v>
      </c>
      <c r="AD1106" s="524">
        <f>O1106/M1106*100</f>
        <v>104.26332288401254</v>
      </c>
      <c r="AE1106" s="524">
        <f t="shared" si="804"/>
        <v>113.26668671076368</v>
      </c>
      <c r="AF1106" s="524">
        <f t="shared" si="804"/>
        <v>120</v>
      </c>
      <c r="AG1106" s="524">
        <f>AB1106/Q1106*100</f>
        <v>83.333333333333343</v>
      </c>
      <c r="AH1106" s="522"/>
      <c r="AI1106" s="522">
        <v>800</v>
      </c>
      <c r="AJ1106" s="516">
        <f>W1106/R1106*100</f>
        <v>146.75052410901469</v>
      </c>
      <c r="AK1106" s="516">
        <f>AT1106/W1106*100</f>
        <v>114.28571428571428</v>
      </c>
      <c r="AL1106" s="516">
        <f>X1106/AT1106*100</f>
        <v>100</v>
      </c>
      <c r="AM1106" s="292"/>
      <c r="AO1106" t="b">
        <f t="shared" si="791"/>
        <v>1</v>
      </c>
      <c r="AP1106" s="440">
        <f>AP1107</f>
        <v>0</v>
      </c>
      <c r="AQ1106" s="441">
        <v>503</v>
      </c>
      <c r="AR1106" s="440">
        <f>AR1107</f>
        <v>0</v>
      </c>
      <c r="AS1106" s="441"/>
      <c r="AT1106" s="612">
        <f>AT1107</f>
        <v>800</v>
      </c>
      <c r="AU1106" s="469">
        <f>AU1107</f>
        <v>800</v>
      </c>
      <c r="AV1106" s="636">
        <v>800</v>
      </c>
      <c r="AW1106" s="636">
        <v>800</v>
      </c>
      <c r="AX1106" s="655">
        <f t="shared" si="800"/>
        <v>167.71488469601675</v>
      </c>
      <c r="AY1106" s="655">
        <f t="shared" si="788"/>
        <v>2.9427538732158633</v>
      </c>
      <c r="AZ1106" s="655">
        <f t="shared" si="801"/>
        <v>100</v>
      </c>
      <c r="BA1106" s="655">
        <f t="shared" si="789"/>
        <v>2.9427538732158633</v>
      </c>
      <c r="BB1106" s="655">
        <f t="shared" si="798"/>
        <v>100</v>
      </c>
      <c r="BC1106" s="655">
        <f t="shared" si="798"/>
        <v>100</v>
      </c>
    </row>
    <row r="1107" spans="1:55" ht="12" customHeight="1">
      <c r="A1107" s="36"/>
      <c r="B1107" s="36"/>
      <c r="C1107" s="36"/>
      <c r="D1107" s="36"/>
      <c r="E1107" s="36"/>
      <c r="F1107" s="36"/>
      <c r="G1107" s="36"/>
      <c r="H1107" s="204">
        <v>65</v>
      </c>
      <c r="I1107" s="132">
        <v>820</v>
      </c>
      <c r="J1107" s="71">
        <v>3431</v>
      </c>
      <c r="K1107" s="40" t="s">
        <v>422</v>
      </c>
      <c r="L1107" s="309">
        <v>3190</v>
      </c>
      <c r="M1107" s="309">
        <f>3190/7.5345</f>
        <v>423.38575884265708</v>
      </c>
      <c r="N1107" s="339">
        <v>3326</v>
      </c>
      <c r="O1107" s="339">
        <f>N1107/7.5345</f>
        <v>441.43606078704624</v>
      </c>
      <c r="P1107" s="294">
        <v>500</v>
      </c>
      <c r="Q1107" s="269">
        <v>600</v>
      </c>
      <c r="R1107" s="443">
        <v>477</v>
      </c>
      <c r="S1107" s="294"/>
      <c r="T1107" s="294"/>
      <c r="U1107" s="294"/>
      <c r="V1107" s="478">
        <v>650</v>
      </c>
      <c r="W1107" s="478">
        <v>700</v>
      </c>
      <c r="X1107" s="544">
        <v>800</v>
      </c>
      <c r="Y1107" s="544"/>
      <c r="Z1107" s="541" t="b">
        <f t="shared" si="790"/>
        <v>0</v>
      </c>
      <c r="AA1107" s="527"/>
      <c r="AB1107" s="528">
        <v>500</v>
      </c>
      <c r="AC1107" s="528">
        <v>500</v>
      </c>
      <c r="AD1107" s="524">
        <f>O1107/M1107*100</f>
        <v>104.26332288401254</v>
      </c>
      <c r="AE1107" s="524">
        <f t="shared" si="804"/>
        <v>113.26668671076368</v>
      </c>
      <c r="AF1107" s="524">
        <f t="shared" si="804"/>
        <v>120</v>
      </c>
      <c r="AG1107" s="524">
        <f>AB1107/Q1107*100</f>
        <v>83.333333333333343</v>
      </c>
      <c r="AH1107" s="527"/>
      <c r="AI1107" s="544">
        <v>800</v>
      </c>
      <c r="AJ1107" s="516">
        <f>W1107/R1107*100</f>
        <v>146.75052410901469</v>
      </c>
      <c r="AK1107" s="516">
        <f>AT1107/W1107*100</f>
        <v>114.28571428571428</v>
      </c>
      <c r="AL1107" s="516">
        <f>X1107/AT1107*100</f>
        <v>100</v>
      </c>
      <c r="AM1107" s="294"/>
      <c r="AO1107" t="b">
        <f t="shared" si="791"/>
        <v>0</v>
      </c>
      <c r="AQ1107" s="443">
        <v>503</v>
      </c>
      <c r="AS1107" s="443"/>
      <c r="AT1107" s="617">
        <v>800</v>
      </c>
      <c r="AU1107" s="478">
        <v>800</v>
      </c>
      <c r="AV1107" s="638">
        <v>800</v>
      </c>
      <c r="AW1107" s="638">
        <v>800</v>
      </c>
      <c r="AX1107" s="655">
        <f t="shared" si="800"/>
        <v>167.71488469601675</v>
      </c>
      <c r="AY1107" s="655">
        <f t="shared" si="788"/>
        <v>2.9427538732158633</v>
      </c>
      <c r="AZ1107" s="655">
        <f t="shared" si="801"/>
        <v>100</v>
      </c>
      <c r="BA1107" s="655">
        <f t="shared" si="789"/>
        <v>2.9427538732158633</v>
      </c>
      <c r="BB1107" s="655">
        <f t="shared" si="798"/>
        <v>100</v>
      </c>
      <c r="BC1107" s="655">
        <f t="shared" si="798"/>
        <v>100</v>
      </c>
    </row>
    <row r="1108" spans="1:55" ht="12" customHeight="1">
      <c r="A1108" s="25"/>
      <c r="B1108" s="25"/>
      <c r="C1108" s="25"/>
      <c r="D1108" s="25"/>
      <c r="E1108" s="25"/>
      <c r="F1108" s="25"/>
      <c r="G1108" s="25"/>
      <c r="H1108" s="389"/>
      <c r="I1108" s="30"/>
      <c r="J1108" s="29"/>
      <c r="K1108" s="29"/>
      <c r="L1108" s="313"/>
      <c r="M1108" s="313"/>
      <c r="N1108" s="335"/>
      <c r="O1108" s="335"/>
      <c r="P1108" s="290"/>
      <c r="Q1108" s="290"/>
      <c r="R1108" s="439"/>
      <c r="S1108" s="290"/>
      <c r="T1108" s="290"/>
      <c r="U1108" s="290"/>
      <c r="V1108" s="474"/>
      <c r="W1108" s="474"/>
      <c r="X1108" s="539"/>
      <c r="Y1108" s="539"/>
      <c r="Z1108" s="541" t="b">
        <f t="shared" si="790"/>
        <v>0</v>
      </c>
      <c r="AA1108" s="514"/>
      <c r="AB1108" s="515"/>
      <c r="AC1108" s="515"/>
      <c r="AD1108" s="524"/>
      <c r="AE1108" s="524"/>
      <c r="AF1108" s="524"/>
      <c r="AG1108" s="524"/>
      <c r="AH1108" s="514"/>
      <c r="AI1108" s="539"/>
      <c r="AJ1108" s="516"/>
      <c r="AK1108" s="516"/>
      <c r="AL1108" s="516"/>
      <c r="AM1108" s="290"/>
      <c r="AO1108" t="b">
        <f t="shared" si="791"/>
        <v>0</v>
      </c>
      <c r="AQ1108" s="439"/>
      <c r="AS1108" s="439"/>
      <c r="AT1108" s="616"/>
      <c r="AU1108" s="474"/>
      <c r="AV1108" s="632"/>
      <c r="AW1108" s="632"/>
      <c r="AX1108" s="655" t="str">
        <f t="shared" si="800"/>
        <v/>
      </c>
      <c r="AY1108" s="655" t="str">
        <f t="shared" si="788"/>
        <v/>
      </c>
      <c r="AZ1108" s="655" t="str">
        <f t="shared" si="801"/>
        <v/>
      </c>
      <c r="BA1108" s="655" t="str">
        <f t="shared" si="789"/>
        <v/>
      </c>
      <c r="BB1108" s="655" t="str">
        <f t="shared" si="798"/>
        <v/>
      </c>
      <c r="BC1108" s="655" t="str">
        <f t="shared" si="798"/>
        <v/>
      </c>
    </row>
    <row r="1109" spans="1:55" ht="12" customHeight="1">
      <c r="A1109" s="212" t="s">
        <v>483</v>
      </c>
      <c r="B1109" s="130"/>
      <c r="C1109" s="130"/>
      <c r="D1109" s="130"/>
      <c r="E1109" s="130"/>
      <c r="F1109" s="130"/>
      <c r="G1109" s="130"/>
      <c r="H1109" s="383"/>
      <c r="I1109" s="170" t="s">
        <v>423</v>
      </c>
      <c r="J1109" s="171"/>
      <c r="K1109" s="111"/>
      <c r="L1109" s="315">
        <f t="shared" ref="L1109:S1109" si="805">L1111</f>
        <v>74189</v>
      </c>
      <c r="M1109" s="315">
        <f t="shared" si="805"/>
        <v>9846.572433472691</v>
      </c>
      <c r="N1109" s="337">
        <f t="shared" si="805"/>
        <v>92414</v>
      </c>
      <c r="O1109" s="337">
        <f t="shared" si="805"/>
        <v>12265.445616829251</v>
      </c>
      <c r="P1109" s="292">
        <f t="shared" si="805"/>
        <v>13500</v>
      </c>
      <c r="Q1109" s="292">
        <f t="shared" si="805"/>
        <v>13500</v>
      </c>
      <c r="R1109" s="441">
        <f t="shared" si="805"/>
        <v>10215</v>
      </c>
      <c r="S1109" s="292">
        <f t="shared" si="805"/>
        <v>0</v>
      </c>
      <c r="T1109" s="292"/>
      <c r="U1109" s="292"/>
      <c r="V1109" s="469">
        <f>V1111</f>
        <v>13500</v>
      </c>
      <c r="W1109" s="469">
        <f>W1111</f>
        <v>24500</v>
      </c>
      <c r="X1109" s="522">
        <f>X1111</f>
        <v>16000</v>
      </c>
      <c r="Y1109" s="522">
        <f>Y1111</f>
        <v>0</v>
      </c>
      <c r="Z1109" s="541" t="b">
        <f t="shared" si="790"/>
        <v>1</v>
      </c>
      <c r="AA1109" s="522"/>
      <c r="AB1109" s="523">
        <f>AB1111</f>
        <v>14000</v>
      </c>
      <c r="AC1109" s="523">
        <f>AC1111</f>
        <v>14000</v>
      </c>
      <c r="AD1109" s="524">
        <f>O1109/M1109*100</f>
        <v>124.56563641510196</v>
      </c>
      <c r="AE1109" s="524">
        <f>P1109/O1109*100</f>
        <v>110.06530395827474</v>
      </c>
      <c r="AF1109" s="524">
        <f>Q1109/P1109*100</f>
        <v>100</v>
      </c>
      <c r="AG1109" s="524">
        <f>AB1109/Q1109*100</f>
        <v>103.7037037037037</v>
      </c>
      <c r="AH1109" s="522"/>
      <c r="AI1109" s="522">
        <v>16000</v>
      </c>
      <c r="AJ1109" s="516">
        <f>W1109/R1109*100</f>
        <v>239.84336759667158</v>
      </c>
      <c r="AK1109" s="516">
        <f>AT1109/W1109*100</f>
        <v>61.224489795918366</v>
      </c>
      <c r="AL1109" s="516">
        <f>X1109/AT1109*100</f>
        <v>106.66666666666667</v>
      </c>
      <c r="AM1109" s="292"/>
      <c r="AO1109" t="b">
        <f t="shared" si="791"/>
        <v>1</v>
      </c>
      <c r="AP1109" s="440">
        <f>AP1111</f>
        <v>0</v>
      </c>
      <c r="AQ1109" s="441">
        <v>27185.42</v>
      </c>
      <c r="AR1109" s="440">
        <f>AR1111</f>
        <v>0</v>
      </c>
      <c r="AS1109" s="441"/>
      <c r="AT1109" s="612">
        <f>AT1111</f>
        <v>15000</v>
      </c>
      <c r="AU1109" s="469">
        <f>AU1111</f>
        <v>15000</v>
      </c>
      <c r="AV1109" s="636">
        <v>16000</v>
      </c>
      <c r="AW1109" s="636">
        <v>16000</v>
      </c>
      <c r="AX1109" s="655">
        <f t="shared" si="800"/>
        <v>146.84287812041117</v>
      </c>
      <c r="AY1109" s="655">
        <f t="shared" si="788"/>
        <v>129.61852404250794</v>
      </c>
      <c r="AZ1109" s="655">
        <f t="shared" si="801"/>
        <v>100</v>
      </c>
      <c r="BA1109" s="655">
        <f t="shared" si="789"/>
        <v>129.61852404250794</v>
      </c>
      <c r="BB1109" s="655">
        <f t="shared" si="798"/>
        <v>106.66666666666667</v>
      </c>
      <c r="BC1109" s="655">
        <f t="shared" si="798"/>
        <v>100</v>
      </c>
    </row>
    <row r="1110" spans="1:55" ht="12" customHeight="1">
      <c r="A1110" s="25"/>
      <c r="B1110" s="25"/>
      <c r="C1110" s="25"/>
      <c r="D1110" s="25"/>
      <c r="E1110" s="25"/>
      <c r="F1110" s="25"/>
      <c r="G1110" s="25"/>
      <c r="H1110" s="389"/>
      <c r="I1110" s="114"/>
      <c r="J1110" s="94"/>
      <c r="K1110" s="26"/>
      <c r="L1110" s="317"/>
      <c r="M1110" s="317"/>
      <c r="N1110" s="341"/>
      <c r="O1110" s="341"/>
      <c r="P1110" s="296"/>
      <c r="Q1110" s="296"/>
      <c r="R1110" s="445"/>
      <c r="S1110" s="296"/>
      <c r="T1110" s="296"/>
      <c r="U1110" s="296"/>
      <c r="V1110" s="481"/>
      <c r="W1110" s="481"/>
      <c r="X1110" s="549"/>
      <c r="Y1110" s="549"/>
      <c r="Z1110" s="541" t="b">
        <f t="shared" si="790"/>
        <v>0</v>
      </c>
      <c r="AA1110" s="531"/>
      <c r="AB1110" s="532"/>
      <c r="AC1110" s="532"/>
      <c r="AD1110" s="524"/>
      <c r="AE1110" s="524"/>
      <c r="AF1110" s="524"/>
      <c r="AG1110" s="524"/>
      <c r="AH1110" s="531"/>
      <c r="AI1110" s="549"/>
      <c r="AJ1110" s="516"/>
      <c r="AK1110" s="516"/>
      <c r="AL1110" s="516"/>
      <c r="AM1110" s="296"/>
      <c r="AO1110" t="b">
        <f t="shared" si="791"/>
        <v>0</v>
      </c>
      <c r="AQ1110" s="445"/>
      <c r="AS1110" s="445"/>
      <c r="AT1110" s="616"/>
      <c r="AU1110" s="481"/>
      <c r="AV1110" s="640"/>
      <c r="AW1110" s="640"/>
      <c r="AX1110" s="655" t="str">
        <f t="shared" si="800"/>
        <v/>
      </c>
      <c r="AY1110" s="655" t="str">
        <f t="shared" si="788"/>
        <v/>
      </c>
      <c r="AZ1110" s="655" t="str">
        <f t="shared" si="801"/>
        <v/>
      </c>
      <c r="BA1110" s="655" t="str">
        <f t="shared" si="789"/>
        <v/>
      </c>
      <c r="BB1110" s="655" t="str">
        <f t="shared" si="798"/>
        <v/>
      </c>
      <c r="BC1110" s="655" t="str">
        <f t="shared" si="798"/>
        <v/>
      </c>
    </row>
    <row r="1111" spans="1:55" ht="12" customHeight="1">
      <c r="A1111" s="52"/>
      <c r="B1111" s="52"/>
      <c r="C1111" s="52"/>
      <c r="D1111" s="52"/>
      <c r="E1111" s="52"/>
      <c r="F1111" s="52"/>
      <c r="G1111" s="52"/>
      <c r="H1111" s="384"/>
      <c r="I1111" s="156"/>
      <c r="J1111" s="94">
        <v>4</v>
      </c>
      <c r="K1111" s="21" t="s">
        <v>213</v>
      </c>
      <c r="L1111" s="315">
        <f t="shared" ref="L1111:S1111" si="806">L1112+L1120</f>
        <v>74189</v>
      </c>
      <c r="M1111" s="315">
        <f t="shared" si="806"/>
        <v>9846.572433472691</v>
      </c>
      <c r="N1111" s="337">
        <f t="shared" si="806"/>
        <v>92414</v>
      </c>
      <c r="O1111" s="337">
        <f t="shared" si="806"/>
        <v>12265.445616829251</v>
      </c>
      <c r="P1111" s="292">
        <f t="shared" si="806"/>
        <v>13500</v>
      </c>
      <c r="Q1111" s="292">
        <f t="shared" si="806"/>
        <v>13500</v>
      </c>
      <c r="R1111" s="441">
        <f t="shared" si="806"/>
        <v>10215</v>
      </c>
      <c r="S1111" s="292">
        <f t="shared" si="806"/>
        <v>0</v>
      </c>
      <c r="T1111" s="292"/>
      <c r="U1111" s="292"/>
      <c r="V1111" s="469">
        <f>V1112+V1120</f>
        <v>13500</v>
      </c>
      <c r="W1111" s="469">
        <f>W1112+W1120</f>
        <v>24500</v>
      </c>
      <c r="X1111" s="522">
        <f>X1112+X1120</f>
        <v>16000</v>
      </c>
      <c r="Y1111" s="522">
        <f>Y1112+Y1120</f>
        <v>0</v>
      </c>
      <c r="Z1111" s="541" t="b">
        <f t="shared" si="790"/>
        <v>1</v>
      </c>
      <c r="AA1111" s="522"/>
      <c r="AB1111" s="523">
        <f>AB1112+AB1120</f>
        <v>14000</v>
      </c>
      <c r="AC1111" s="523">
        <f>AC1112+AC1120</f>
        <v>14000</v>
      </c>
      <c r="AD1111" s="524">
        <f>O1111/M1111*100</f>
        <v>124.56563641510196</v>
      </c>
      <c r="AE1111" s="524">
        <f>P1111/O1111*100</f>
        <v>110.06530395827474</v>
      </c>
      <c r="AF1111" s="524">
        <f>Q1111/P1111*100</f>
        <v>100</v>
      </c>
      <c r="AG1111" s="524">
        <f>AB1111/Q1111*100</f>
        <v>103.7037037037037</v>
      </c>
      <c r="AH1111" s="522"/>
      <c r="AI1111" s="522">
        <v>16000</v>
      </c>
      <c r="AJ1111" s="516">
        <f>W1111/R1111*100</f>
        <v>239.84336759667158</v>
      </c>
      <c r="AK1111" s="516">
        <f>AT1111/W1111*100</f>
        <v>61.224489795918366</v>
      </c>
      <c r="AL1111" s="516">
        <f>X1111/AT1111*100</f>
        <v>106.66666666666667</v>
      </c>
      <c r="AM1111" s="292"/>
      <c r="AO1111" t="b">
        <f t="shared" si="791"/>
        <v>1</v>
      </c>
      <c r="AP1111" s="440">
        <f>AP1112+AP1120</f>
        <v>0</v>
      </c>
      <c r="AQ1111" s="441">
        <v>27185.42</v>
      </c>
      <c r="AR1111" s="440">
        <f>AR1112+AR1120</f>
        <v>0</v>
      </c>
      <c r="AS1111" s="441"/>
      <c r="AT1111" s="612">
        <f>AT1112+AT1120</f>
        <v>15000</v>
      </c>
      <c r="AU1111" s="469">
        <f>AU1112+AU1120</f>
        <v>15000</v>
      </c>
      <c r="AV1111" s="636">
        <v>16000</v>
      </c>
      <c r="AW1111" s="636">
        <v>16000</v>
      </c>
      <c r="AX1111" s="655">
        <f t="shared" si="800"/>
        <v>146.84287812041117</v>
      </c>
      <c r="AY1111" s="655">
        <f t="shared" si="788"/>
        <v>158.02781289506953</v>
      </c>
      <c r="AZ1111" s="655">
        <f t="shared" si="801"/>
        <v>100</v>
      </c>
      <c r="BA1111" s="655">
        <f t="shared" si="789"/>
        <v>158.02781289506953</v>
      </c>
      <c r="BB1111" s="655">
        <f t="shared" si="798"/>
        <v>106.66666666666667</v>
      </c>
      <c r="BC1111" s="655">
        <f t="shared" si="798"/>
        <v>100</v>
      </c>
    </row>
    <row r="1112" spans="1:55" ht="12" customHeight="1">
      <c r="A1112" s="355"/>
      <c r="B1112" s="355"/>
      <c r="C1112" s="355"/>
      <c r="D1112" s="355"/>
      <c r="E1112" s="355"/>
      <c r="F1112" s="355"/>
      <c r="G1112" s="355"/>
      <c r="H1112" s="379"/>
      <c r="I1112" s="359"/>
      <c r="J1112" s="356">
        <v>42</v>
      </c>
      <c r="K1112" s="358" t="s">
        <v>424</v>
      </c>
      <c r="L1112" s="315">
        <f t="shared" ref="L1112:S1112" si="807">L1114+L1117</f>
        <v>74189</v>
      </c>
      <c r="M1112" s="315">
        <f t="shared" si="807"/>
        <v>9846.572433472691</v>
      </c>
      <c r="N1112" s="337">
        <f t="shared" si="807"/>
        <v>92414</v>
      </c>
      <c r="O1112" s="337">
        <f t="shared" si="807"/>
        <v>12265.445616829251</v>
      </c>
      <c r="P1112" s="292">
        <f t="shared" si="807"/>
        <v>13500</v>
      </c>
      <c r="Q1112" s="292">
        <f t="shared" si="807"/>
        <v>13500</v>
      </c>
      <c r="R1112" s="441">
        <f t="shared" si="807"/>
        <v>10215</v>
      </c>
      <c r="S1112" s="292">
        <f t="shared" si="807"/>
        <v>0</v>
      </c>
      <c r="T1112" s="292"/>
      <c r="U1112" s="292"/>
      <c r="V1112" s="469">
        <f>V1114+V1117</f>
        <v>13500</v>
      </c>
      <c r="W1112" s="469">
        <f>W1114+W1117</f>
        <v>24500</v>
      </c>
      <c r="X1112" s="522">
        <f>X1114+X1117</f>
        <v>16000</v>
      </c>
      <c r="Y1112" s="522">
        <f>Y1114+Y1117</f>
        <v>0</v>
      </c>
      <c r="Z1112" s="541" t="b">
        <f t="shared" si="790"/>
        <v>1</v>
      </c>
      <c r="AA1112" s="522"/>
      <c r="AB1112" s="523">
        <f>AB1114+AB1117</f>
        <v>14000</v>
      </c>
      <c r="AC1112" s="523">
        <f>AC1114+AC1117</f>
        <v>14000</v>
      </c>
      <c r="AD1112" s="524">
        <f>O1112/M1112*100</f>
        <v>124.56563641510196</v>
      </c>
      <c r="AE1112" s="524">
        <f>P1112/O1112*100</f>
        <v>110.06530395827474</v>
      </c>
      <c r="AF1112" s="524">
        <f>Q1112/P1112*100</f>
        <v>100</v>
      </c>
      <c r="AG1112" s="524">
        <f>AB1112/Q1112*100</f>
        <v>103.7037037037037</v>
      </c>
      <c r="AH1112" s="522"/>
      <c r="AI1112" s="522">
        <v>16000</v>
      </c>
      <c r="AJ1112" s="516">
        <f>W1112/R1112*100</f>
        <v>239.84336759667158</v>
      </c>
      <c r="AK1112" s="516">
        <f>AT1112/W1112*100</f>
        <v>61.224489795918366</v>
      </c>
      <c r="AL1112" s="516">
        <f>X1112/AT1112*100</f>
        <v>106.66666666666667</v>
      </c>
      <c r="AM1112" s="292"/>
      <c r="AO1112" t="b">
        <f t="shared" si="791"/>
        <v>1</v>
      </c>
      <c r="AP1112" s="440">
        <f>AP1114+AP1117</f>
        <v>0</v>
      </c>
      <c r="AQ1112" s="441">
        <v>27185.42</v>
      </c>
      <c r="AR1112" s="440">
        <f>AR1114+AR1117</f>
        <v>0</v>
      </c>
      <c r="AS1112" s="441"/>
      <c r="AT1112" s="612">
        <f>AT1114+AT1117</f>
        <v>15000</v>
      </c>
      <c r="AU1112" s="469">
        <f>AU1114+AU1117</f>
        <v>15000</v>
      </c>
      <c r="AV1112" s="636">
        <v>16000</v>
      </c>
      <c r="AW1112" s="636">
        <v>16000</v>
      </c>
      <c r="AX1112" s="655">
        <f t="shared" si="800"/>
        <v>146.84287812041117</v>
      </c>
      <c r="AY1112" s="655">
        <f t="shared" si="788"/>
        <v>1679.9381782750395</v>
      </c>
      <c r="AZ1112" s="655">
        <f t="shared" si="801"/>
        <v>100</v>
      </c>
      <c r="BA1112" s="655">
        <f t="shared" si="789"/>
        <v>1679.9381782750395</v>
      </c>
      <c r="BB1112" s="655">
        <f t="shared" si="798"/>
        <v>106.66666666666667</v>
      </c>
      <c r="BC1112" s="655">
        <f t="shared" si="798"/>
        <v>100</v>
      </c>
    </row>
    <row r="1113" spans="1:55" ht="12" customHeight="1">
      <c r="A1113" s="52"/>
      <c r="B1113" s="52"/>
      <c r="C1113" s="52"/>
      <c r="D1113" s="52"/>
      <c r="E1113" s="52"/>
      <c r="F1113" s="52"/>
      <c r="G1113" s="52"/>
      <c r="H1113" s="384"/>
      <c r="I1113" s="156"/>
      <c r="J1113" s="94"/>
      <c r="K1113" s="21"/>
      <c r="L1113" s="315"/>
      <c r="M1113" s="315"/>
      <c r="N1113" s="337"/>
      <c r="O1113" s="337"/>
      <c r="P1113" s="292"/>
      <c r="Q1113" s="292"/>
      <c r="R1113" s="441"/>
      <c r="S1113" s="292"/>
      <c r="T1113" s="292"/>
      <c r="U1113" s="292"/>
      <c r="V1113" s="476"/>
      <c r="W1113" s="476"/>
      <c r="X1113" s="541"/>
      <c r="Y1113" s="541"/>
      <c r="Z1113" s="541" t="b">
        <f t="shared" si="790"/>
        <v>0</v>
      </c>
      <c r="AA1113" s="522"/>
      <c r="AB1113" s="523"/>
      <c r="AC1113" s="523"/>
      <c r="AD1113" s="524"/>
      <c r="AE1113" s="524"/>
      <c r="AF1113" s="524"/>
      <c r="AG1113" s="524"/>
      <c r="AH1113" s="522"/>
      <c r="AI1113" s="541"/>
      <c r="AJ1113" s="516"/>
      <c r="AK1113" s="516"/>
      <c r="AL1113" s="516"/>
      <c r="AM1113" s="292"/>
      <c r="AO1113" t="b">
        <f t="shared" si="791"/>
        <v>0</v>
      </c>
      <c r="AQ1113" s="441"/>
      <c r="AS1113" s="441"/>
      <c r="AT1113" s="616"/>
      <c r="AU1113" s="476"/>
      <c r="AV1113" s="636"/>
      <c r="AW1113" s="636"/>
      <c r="AX1113" s="655" t="str">
        <f t="shared" si="800"/>
        <v/>
      </c>
      <c r="AY1113" s="655" t="str">
        <f t="shared" si="788"/>
        <v/>
      </c>
      <c r="AZ1113" s="655" t="str">
        <f t="shared" si="801"/>
        <v/>
      </c>
      <c r="BA1113" s="655" t="str">
        <f t="shared" si="789"/>
        <v/>
      </c>
      <c r="BB1113" s="655" t="str">
        <f t="shared" si="798"/>
        <v/>
      </c>
      <c r="BC1113" s="655" t="str">
        <f t="shared" si="798"/>
        <v/>
      </c>
    </row>
    <row r="1114" spans="1:55" ht="12" customHeight="1">
      <c r="A1114" s="165"/>
      <c r="B1114" s="165"/>
      <c r="C1114" s="165"/>
      <c r="D1114" s="165"/>
      <c r="E1114" s="165"/>
      <c r="F1114" s="165"/>
      <c r="G1114" s="165"/>
      <c r="H1114" s="395"/>
      <c r="I1114" s="157"/>
      <c r="J1114" s="116">
        <v>422</v>
      </c>
      <c r="K1114" s="60" t="s">
        <v>215</v>
      </c>
      <c r="L1114" s="315">
        <f t="shared" ref="L1114:AC1114" si="808">L1115</f>
        <v>0</v>
      </c>
      <c r="M1114" s="315">
        <f t="shared" si="808"/>
        <v>0</v>
      </c>
      <c r="N1114" s="337">
        <f t="shared" si="808"/>
        <v>21014</v>
      </c>
      <c r="O1114" s="337">
        <f t="shared" si="808"/>
        <v>2789.0370960249516</v>
      </c>
      <c r="P1114" s="292">
        <f t="shared" si="808"/>
        <v>2800</v>
      </c>
      <c r="Q1114" s="292">
        <f t="shared" si="808"/>
        <v>2800</v>
      </c>
      <c r="R1114" s="441">
        <f t="shared" si="808"/>
        <v>0</v>
      </c>
      <c r="S1114" s="292">
        <f t="shared" si="808"/>
        <v>0</v>
      </c>
      <c r="T1114" s="292"/>
      <c r="U1114" s="292"/>
      <c r="V1114" s="469">
        <f t="shared" si="808"/>
        <v>2500</v>
      </c>
      <c r="W1114" s="469">
        <f t="shared" si="808"/>
        <v>12500</v>
      </c>
      <c r="X1114" s="522">
        <f t="shared" si="808"/>
        <v>3000</v>
      </c>
      <c r="Y1114" s="522">
        <f t="shared" si="808"/>
        <v>0</v>
      </c>
      <c r="Z1114" s="541" t="b">
        <f t="shared" si="790"/>
        <v>1</v>
      </c>
      <c r="AA1114" s="522"/>
      <c r="AB1114" s="523">
        <f t="shared" si="808"/>
        <v>3000</v>
      </c>
      <c r="AC1114" s="523">
        <f t="shared" si="808"/>
        <v>3000</v>
      </c>
      <c r="AD1114" s="524"/>
      <c r="AE1114" s="524"/>
      <c r="AF1114" s="524"/>
      <c r="AG1114" s="524"/>
      <c r="AH1114" s="522"/>
      <c r="AI1114" s="522">
        <v>3000</v>
      </c>
      <c r="AJ1114" s="516"/>
      <c r="AK1114" s="516">
        <f>AT1114/W1114*100</f>
        <v>24</v>
      </c>
      <c r="AL1114" s="516">
        <f>X1114/AT1114*100</f>
        <v>100</v>
      </c>
      <c r="AM1114" s="292"/>
      <c r="AO1114" t="b">
        <f t="shared" si="791"/>
        <v>1</v>
      </c>
      <c r="AP1114" s="440">
        <f>AP1115</f>
        <v>0</v>
      </c>
      <c r="AQ1114" s="441">
        <v>11572.42</v>
      </c>
      <c r="AR1114" s="440">
        <f>AR1115</f>
        <v>0</v>
      </c>
      <c r="AS1114" s="441"/>
      <c r="AT1114" s="612">
        <f>AT1115</f>
        <v>3000</v>
      </c>
      <c r="AU1114" s="469">
        <f>AU1115</f>
        <v>3000</v>
      </c>
      <c r="AV1114" s="636">
        <v>3000</v>
      </c>
      <c r="AW1114" s="636">
        <v>3000</v>
      </c>
      <c r="AX1114" s="655" t="str">
        <f t="shared" si="800"/>
        <v/>
      </c>
      <c r="AY1114" s="655">
        <f t="shared" si="788"/>
        <v>19.214756933324793</v>
      </c>
      <c r="AZ1114" s="655">
        <f t="shared" si="801"/>
        <v>100</v>
      </c>
      <c r="BA1114" s="655">
        <f t="shared" si="789"/>
        <v>19.214756933324793</v>
      </c>
      <c r="BB1114" s="655">
        <f t="shared" si="798"/>
        <v>100</v>
      </c>
      <c r="BC1114" s="655">
        <f t="shared" si="798"/>
        <v>100</v>
      </c>
    </row>
    <row r="1115" spans="1:55" ht="12" customHeight="1">
      <c r="A1115" s="66"/>
      <c r="B1115" s="66"/>
      <c r="C1115" s="66"/>
      <c r="D1115" s="66"/>
      <c r="E1115" s="66"/>
      <c r="F1115" s="66"/>
      <c r="G1115" s="66"/>
      <c r="H1115" s="196" t="s">
        <v>547</v>
      </c>
      <c r="I1115" s="132">
        <v>820</v>
      </c>
      <c r="J1115" s="71">
        <v>4221</v>
      </c>
      <c r="K1115" s="40" t="s">
        <v>159</v>
      </c>
      <c r="L1115" s="309">
        <v>0</v>
      </c>
      <c r="M1115" s="309">
        <v>0</v>
      </c>
      <c r="N1115" s="339">
        <v>21014</v>
      </c>
      <c r="O1115" s="339">
        <f>N1115/7.5345</f>
        <v>2789.0370960249516</v>
      </c>
      <c r="P1115" s="294">
        <v>2800</v>
      </c>
      <c r="Q1115" s="294">
        <v>2800</v>
      </c>
      <c r="R1115" s="443">
        <v>0</v>
      </c>
      <c r="S1115" s="294"/>
      <c r="T1115" s="294"/>
      <c r="U1115" s="294"/>
      <c r="V1115" s="478">
        <v>2500</v>
      </c>
      <c r="W1115" s="478">
        <v>12500</v>
      </c>
      <c r="X1115" s="544">
        <v>3000</v>
      </c>
      <c r="Y1115" s="544"/>
      <c r="Z1115" s="541" t="b">
        <f t="shared" si="790"/>
        <v>0</v>
      </c>
      <c r="AA1115" s="527"/>
      <c r="AB1115" s="528">
        <v>3000</v>
      </c>
      <c r="AC1115" s="528">
        <v>3000</v>
      </c>
      <c r="AD1115" s="524"/>
      <c r="AE1115" s="524"/>
      <c r="AF1115" s="524"/>
      <c r="AG1115" s="524"/>
      <c r="AH1115" s="527"/>
      <c r="AI1115" s="544">
        <v>3000</v>
      </c>
      <c r="AJ1115" s="516"/>
      <c r="AK1115" s="516">
        <f>AT1115/W1115*100</f>
        <v>24</v>
      </c>
      <c r="AL1115" s="516">
        <f>X1115/AT1115*100</f>
        <v>100</v>
      </c>
      <c r="AM1115" s="294"/>
      <c r="AO1115" t="b">
        <f t="shared" si="791"/>
        <v>0</v>
      </c>
      <c r="AQ1115" s="443">
        <v>1187.53</v>
      </c>
      <c r="AS1115" s="443"/>
      <c r="AT1115" s="617">
        <v>3000</v>
      </c>
      <c r="AU1115" s="478">
        <v>3000</v>
      </c>
      <c r="AV1115" s="638">
        <v>3000</v>
      </c>
      <c r="AW1115" s="638">
        <v>3000</v>
      </c>
      <c r="AX1115" s="655" t="str">
        <f t="shared" si="800"/>
        <v/>
      </c>
      <c r="AY1115" s="655">
        <f t="shared" si="788"/>
        <v>19.214756933324793</v>
      </c>
      <c r="AZ1115" s="655">
        <f t="shared" si="801"/>
        <v>100</v>
      </c>
      <c r="BA1115" s="655">
        <f t="shared" si="789"/>
        <v>19.214756933324793</v>
      </c>
      <c r="BB1115" s="655">
        <f t="shared" si="798"/>
        <v>100</v>
      </c>
      <c r="BC1115" s="655">
        <f t="shared" si="798"/>
        <v>100</v>
      </c>
    </row>
    <row r="1116" spans="1:55" ht="12" customHeight="1">
      <c r="A1116" s="52"/>
      <c r="B1116" s="52"/>
      <c r="C1116" s="52"/>
      <c r="D1116" s="52"/>
      <c r="E1116" s="52"/>
      <c r="F1116" s="52"/>
      <c r="G1116" s="52"/>
      <c r="H1116" s="384"/>
      <c r="I1116" s="156"/>
      <c r="J1116" s="94"/>
      <c r="K1116" s="21"/>
      <c r="L1116" s="313"/>
      <c r="M1116" s="313"/>
      <c r="N1116" s="335"/>
      <c r="O1116" s="335"/>
      <c r="P1116" s="290"/>
      <c r="Q1116" s="290"/>
      <c r="R1116" s="439"/>
      <c r="S1116" s="290"/>
      <c r="T1116" s="290"/>
      <c r="U1116" s="290"/>
      <c r="V1116" s="474"/>
      <c r="W1116" s="474"/>
      <c r="X1116" s="539"/>
      <c r="Y1116" s="539"/>
      <c r="Z1116" s="541" t="b">
        <f t="shared" si="790"/>
        <v>0</v>
      </c>
      <c r="AA1116" s="514"/>
      <c r="AB1116" s="515"/>
      <c r="AC1116" s="515"/>
      <c r="AD1116" s="524"/>
      <c r="AE1116" s="524"/>
      <c r="AF1116" s="524"/>
      <c r="AG1116" s="524"/>
      <c r="AH1116" s="514"/>
      <c r="AI1116" s="539"/>
      <c r="AJ1116" s="516"/>
      <c r="AK1116" s="516"/>
      <c r="AL1116" s="516"/>
      <c r="AM1116" s="290"/>
      <c r="AO1116" t="b">
        <f t="shared" si="791"/>
        <v>0</v>
      </c>
      <c r="AQ1116" s="439">
        <v>9492</v>
      </c>
      <c r="AS1116" s="439"/>
      <c r="AT1116" s="616"/>
      <c r="AU1116" s="474"/>
      <c r="AV1116" s="632"/>
      <c r="AW1116" s="632"/>
      <c r="AX1116" s="655" t="str">
        <f t="shared" si="800"/>
        <v/>
      </c>
      <c r="AY1116" s="655" t="str">
        <f t="shared" si="788"/>
        <v/>
      </c>
      <c r="AZ1116" s="655" t="str">
        <f t="shared" si="801"/>
        <v/>
      </c>
      <c r="BA1116" s="655" t="str">
        <f t="shared" si="789"/>
        <v/>
      </c>
      <c r="BB1116" s="655" t="str">
        <f t="shared" si="798"/>
        <v/>
      </c>
      <c r="BC1116" s="655" t="str">
        <f t="shared" si="798"/>
        <v/>
      </c>
    </row>
    <row r="1117" spans="1:55" ht="12" customHeight="1">
      <c r="A1117" s="165"/>
      <c r="B1117" s="165"/>
      <c r="C1117" s="165"/>
      <c r="D1117" s="165"/>
      <c r="E1117" s="165"/>
      <c r="F1117" s="165"/>
      <c r="G1117" s="165"/>
      <c r="H1117" s="395"/>
      <c r="I1117" s="157"/>
      <c r="J1117" s="116">
        <v>424</v>
      </c>
      <c r="K1117" s="60" t="s">
        <v>425</v>
      </c>
      <c r="L1117" s="315">
        <f t="shared" ref="L1117:AC1117" si="809">L1118</f>
        <v>74189</v>
      </c>
      <c r="M1117" s="315">
        <f t="shared" si="809"/>
        <v>9846.572433472691</v>
      </c>
      <c r="N1117" s="337">
        <f t="shared" si="809"/>
        <v>71400</v>
      </c>
      <c r="O1117" s="337">
        <f t="shared" si="809"/>
        <v>9476.4085208042998</v>
      </c>
      <c r="P1117" s="292">
        <f t="shared" si="809"/>
        <v>10700</v>
      </c>
      <c r="Q1117" s="292">
        <f t="shared" si="809"/>
        <v>10700</v>
      </c>
      <c r="R1117" s="441">
        <f t="shared" si="809"/>
        <v>10215</v>
      </c>
      <c r="S1117" s="292">
        <f t="shared" si="809"/>
        <v>0</v>
      </c>
      <c r="T1117" s="292"/>
      <c r="U1117" s="292"/>
      <c r="V1117" s="469">
        <f t="shared" si="809"/>
        <v>11000</v>
      </c>
      <c r="W1117" s="469">
        <f t="shared" si="809"/>
        <v>12000</v>
      </c>
      <c r="X1117" s="522">
        <f t="shared" si="809"/>
        <v>13000</v>
      </c>
      <c r="Y1117" s="522">
        <f t="shared" si="809"/>
        <v>0</v>
      </c>
      <c r="Z1117" s="541" t="b">
        <f t="shared" si="790"/>
        <v>1</v>
      </c>
      <c r="AA1117" s="522"/>
      <c r="AB1117" s="523">
        <f t="shared" si="809"/>
        <v>11000</v>
      </c>
      <c r="AC1117" s="523">
        <f t="shared" si="809"/>
        <v>11000</v>
      </c>
      <c r="AD1117" s="524">
        <f>O1117/M1117*100</f>
        <v>96.24068258097563</v>
      </c>
      <c r="AE1117" s="524">
        <f>P1117/O1117*100</f>
        <v>112.91197478991597</v>
      </c>
      <c r="AF1117" s="524">
        <f>Q1117/P1117*100</f>
        <v>100</v>
      </c>
      <c r="AG1117" s="524">
        <f>AB1117/Q1117*100</f>
        <v>102.803738317757</v>
      </c>
      <c r="AH1117" s="522"/>
      <c r="AI1117" s="522">
        <v>13000</v>
      </c>
      <c r="AJ1117" s="516">
        <f>W1117/R1117*100</f>
        <v>117.47430249632893</v>
      </c>
      <c r="AK1117" s="516">
        <f>AT1117/W1117*100</f>
        <v>100</v>
      </c>
      <c r="AL1117" s="516">
        <f>X1117/AT1117*100</f>
        <v>108.33333333333333</v>
      </c>
      <c r="AM1117" s="292"/>
      <c r="AO1117" t="b">
        <f t="shared" si="791"/>
        <v>1</v>
      </c>
      <c r="AP1117" s="440">
        <f>AP1118</f>
        <v>0</v>
      </c>
      <c r="AQ1117" s="441">
        <v>892.89</v>
      </c>
      <c r="AR1117" s="440">
        <f>AR1118</f>
        <v>0</v>
      </c>
      <c r="AS1117" s="441"/>
      <c r="AT1117" s="612">
        <f>AT1118</f>
        <v>12000</v>
      </c>
      <c r="AU1117" s="469">
        <f>AU1118</f>
        <v>12000</v>
      </c>
      <c r="AV1117" s="636">
        <v>13000</v>
      </c>
      <c r="AW1117" s="636">
        <v>13000</v>
      </c>
      <c r="AX1117" s="655">
        <f t="shared" si="800"/>
        <v>117.47430249632893</v>
      </c>
      <c r="AY1117" s="655" t="str">
        <f t="shared" si="788"/>
        <v/>
      </c>
      <c r="AZ1117" s="655">
        <f t="shared" si="801"/>
        <v>100</v>
      </c>
      <c r="BA1117" s="655" t="str">
        <f t="shared" si="789"/>
        <v/>
      </c>
      <c r="BB1117" s="655">
        <f t="shared" si="798"/>
        <v>108.33333333333333</v>
      </c>
      <c r="BC1117" s="655">
        <f t="shared" si="798"/>
        <v>100</v>
      </c>
    </row>
    <row r="1118" spans="1:55" ht="12" customHeight="1">
      <c r="A1118" s="66"/>
      <c r="B1118" s="66"/>
      <c r="C1118" s="66"/>
      <c r="D1118" s="66"/>
      <c r="E1118" s="66"/>
      <c r="F1118" s="66"/>
      <c r="G1118" s="66"/>
      <c r="H1118" s="196" t="s">
        <v>426</v>
      </c>
      <c r="I1118" s="132">
        <v>820</v>
      </c>
      <c r="J1118" s="71">
        <v>4241</v>
      </c>
      <c r="K1118" s="40" t="s">
        <v>427</v>
      </c>
      <c r="L1118" s="309">
        <v>74189</v>
      </c>
      <c r="M1118" s="309">
        <f>74189/7.5345</f>
        <v>9846.572433472691</v>
      </c>
      <c r="N1118" s="339">
        <v>71400</v>
      </c>
      <c r="O1118" s="339">
        <f>N1118/7.5345</f>
        <v>9476.4085208042998</v>
      </c>
      <c r="P1118" s="294">
        <v>10700</v>
      </c>
      <c r="Q1118" s="294">
        <v>10700</v>
      </c>
      <c r="R1118" s="443">
        <v>10215</v>
      </c>
      <c r="S1118" s="294"/>
      <c r="T1118" s="294"/>
      <c r="U1118" s="294"/>
      <c r="V1118" s="478">
        <v>11000</v>
      </c>
      <c r="W1118" s="478">
        <v>12000</v>
      </c>
      <c r="X1118" s="544">
        <v>13000</v>
      </c>
      <c r="Y1118" s="544"/>
      <c r="Z1118" s="541" t="b">
        <f t="shared" si="790"/>
        <v>0</v>
      </c>
      <c r="AA1118" s="527"/>
      <c r="AB1118" s="528">
        <v>11000</v>
      </c>
      <c r="AC1118" s="528">
        <v>11000</v>
      </c>
      <c r="AD1118" s="524">
        <f>O1118/M1118*100</f>
        <v>96.24068258097563</v>
      </c>
      <c r="AE1118" s="524">
        <f>P1118/O1118*100</f>
        <v>112.91197478991597</v>
      </c>
      <c r="AF1118" s="524">
        <f>Q1118/P1118*100</f>
        <v>100</v>
      </c>
      <c r="AG1118" s="524">
        <f>AB1118/Q1118*100</f>
        <v>102.803738317757</v>
      </c>
      <c r="AH1118" s="527"/>
      <c r="AI1118" s="544">
        <v>13000</v>
      </c>
      <c r="AJ1118" s="516">
        <f>W1118/R1118*100</f>
        <v>117.47430249632893</v>
      </c>
      <c r="AK1118" s="516">
        <f>AT1118/W1118*100</f>
        <v>100</v>
      </c>
      <c r="AL1118" s="516">
        <f>X1118/AT1118*100</f>
        <v>108.33333333333333</v>
      </c>
      <c r="AM1118" s="294"/>
      <c r="AO1118" t="b">
        <f t="shared" si="791"/>
        <v>0</v>
      </c>
      <c r="AQ1118" s="443"/>
      <c r="AS1118" s="443"/>
      <c r="AT1118" s="617">
        <v>12000</v>
      </c>
      <c r="AU1118" s="478">
        <v>12000</v>
      </c>
      <c r="AV1118" s="638">
        <v>13000</v>
      </c>
      <c r="AW1118" s="638">
        <v>13000</v>
      </c>
      <c r="AX1118" s="655">
        <f t="shared" si="800"/>
        <v>117.47430249632893</v>
      </c>
      <c r="AY1118" s="655" t="str">
        <f t="shared" si="788"/>
        <v/>
      </c>
      <c r="AZ1118" s="655">
        <f t="shared" si="801"/>
        <v>100</v>
      </c>
      <c r="BA1118" s="655" t="str">
        <f t="shared" si="789"/>
        <v/>
      </c>
      <c r="BB1118" s="655">
        <f t="shared" si="798"/>
        <v>108.33333333333333</v>
      </c>
      <c r="BC1118" s="655">
        <f t="shared" si="798"/>
        <v>100</v>
      </c>
    </row>
    <row r="1119" spans="1:55" ht="12" customHeight="1">
      <c r="A1119" s="20"/>
      <c r="B1119" s="20"/>
      <c r="C1119" s="20"/>
      <c r="D1119" s="20"/>
      <c r="E1119" s="20"/>
      <c r="F1119" s="20"/>
      <c r="G1119" s="20"/>
      <c r="H1119" s="375"/>
      <c r="I1119" s="22"/>
      <c r="J1119" s="21"/>
      <c r="K1119" s="19"/>
      <c r="L1119" s="313"/>
      <c r="M1119" s="313"/>
      <c r="N1119" s="335"/>
      <c r="O1119" s="335"/>
      <c r="P1119" s="290"/>
      <c r="Q1119" s="290"/>
      <c r="R1119" s="439"/>
      <c r="S1119" s="290"/>
      <c r="T1119" s="290"/>
      <c r="U1119" s="290"/>
      <c r="V1119" s="474"/>
      <c r="W1119" s="474"/>
      <c r="X1119" s="539"/>
      <c r="Y1119" s="539"/>
      <c r="Z1119" s="541" t="b">
        <f t="shared" si="790"/>
        <v>0</v>
      </c>
      <c r="AA1119" s="514"/>
      <c r="AB1119" s="515"/>
      <c r="AC1119" s="515"/>
      <c r="AD1119" s="524"/>
      <c r="AE1119" s="524"/>
      <c r="AF1119" s="524"/>
      <c r="AG1119" s="524"/>
      <c r="AH1119" s="514"/>
      <c r="AI1119" s="539"/>
      <c r="AJ1119" s="516"/>
      <c r="AK1119" s="516"/>
      <c r="AL1119" s="516"/>
      <c r="AM1119" s="290"/>
      <c r="AO1119" t="b">
        <f t="shared" si="791"/>
        <v>0</v>
      </c>
      <c r="AQ1119" s="439">
        <v>15613</v>
      </c>
      <c r="AS1119" s="439"/>
      <c r="AT1119" s="616"/>
      <c r="AU1119" s="474"/>
      <c r="AV1119" s="632"/>
      <c r="AW1119" s="632"/>
      <c r="AX1119" s="655" t="str">
        <f t="shared" si="800"/>
        <v/>
      </c>
      <c r="AY1119" s="655" t="e">
        <f>IF(AND(ISNUMBER(AT1119), ISNUMBER(#REF!),#REF!&lt;&gt; 0), (AT1119/#REF!)*100, "")</f>
        <v>#REF!</v>
      </c>
      <c r="AZ1119" s="655" t="str">
        <f t="shared" si="801"/>
        <v/>
      </c>
      <c r="BA1119" s="655" t="e">
        <f>IF(AND(ISNUMBER(AU1119), ISNUMBER(#REF!),#REF!&lt;&gt; 0), (AU1119/#REF!)*100, "")</f>
        <v>#REF!</v>
      </c>
      <c r="BB1119" s="655" t="str">
        <f t="shared" si="798"/>
        <v/>
      </c>
      <c r="BC1119" s="655" t="str">
        <f t="shared" si="798"/>
        <v/>
      </c>
    </row>
    <row r="1120" spans="1:55" ht="12" customHeight="1">
      <c r="A1120" s="363"/>
      <c r="B1120" s="363"/>
      <c r="C1120" s="363"/>
      <c r="D1120" s="363"/>
      <c r="E1120" s="363"/>
      <c r="F1120" s="363"/>
      <c r="G1120" s="363"/>
      <c r="H1120" s="369"/>
      <c r="I1120" s="359"/>
      <c r="J1120" s="356">
        <v>45</v>
      </c>
      <c r="K1120" s="358" t="s">
        <v>428</v>
      </c>
      <c r="L1120" s="315">
        <f t="shared" ref="L1120:AC1121" si="810">L1121</f>
        <v>0</v>
      </c>
      <c r="M1120" s="315">
        <f t="shared" si="810"/>
        <v>0</v>
      </c>
      <c r="N1120" s="337">
        <f t="shared" si="810"/>
        <v>0</v>
      </c>
      <c r="O1120" s="337">
        <f t="shared" si="810"/>
        <v>0</v>
      </c>
      <c r="P1120" s="292">
        <f t="shared" si="810"/>
        <v>0</v>
      </c>
      <c r="Q1120" s="292">
        <f t="shared" si="810"/>
        <v>0</v>
      </c>
      <c r="R1120" s="441">
        <f t="shared" si="810"/>
        <v>0</v>
      </c>
      <c r="S1120" s="292">
        <f t="shared" si="810"/>
        <v>0</v>
      </c>
      <c r="T1120" s="292"/>
      <c r="U1120" s="292"/>
      <c r="V1120" s="469">
        <f t="shared" si="810"/>
        <v>0</v>
      </c>
      <c r="W1120" s="469">
        <f t="shared" si="810"/>
        <v>0</v>
      </c>
      <c r="X1120" s="522">
        <f t="shared" si="810"/>
        <v>0</v>
      </c>
      <c r="Y1120" s="522">
        <f t="shared" si="810"/>
        <v>0</v>
      </c>
      <c r="Z1120" s="541" t="b">
        <f t="shared" si="790"/>
        <v>1</v>
      </c>
      <c r="AA1120" s="522"/>
      <c r="AB1120" s="523">
        <f t="shared" si="810"/>
        <v>0</v>
      </c>
      <c r="AC1120" s="523">
        <f t="shared" si="810"/>
        <v>0</v>
      </c>
      <c r="AD1120" s="524"/>
      <c r="AE1120" s="524"/>
      <c r="AF1120" s="524"/>
      <c r="AG1120" s="524"/>
      <c r="AH1120" s="522"/>
      <c r="AI1120" s="522">
        <v>0</v>
      </c>
      <c r="AJ1120" s="516"/>
      <c r="AK1120" s="516"/>
      <c r="AL1120" s="516"/>
      <c r="AM1120" s="292"/>
      <c r="AO1120" t="b">
        <f t="shared" si="791"/>
        <v>1</v>
      </c>
      <c r="AP1120" s="440">
        <f>AP1121</f>
        <v>0</v>
      </c>
      <c r="AQ1120" s="441">
        <v>15613</v>
      </c>
      <c r="AR1120" s="440">
        <f>AR1121</f>
        <v>0</v>
      </c>
      <c r="AS1120" s="441"/>
      <c r="AT1120" s="612">
        <f>AT1121</f>
        <v>0</v>
      </c>
      <c r="AU1120" s="469">
        <f>AU1121</f>
        <v>0</v>
      </c>
      <c r="AV1120" s="636">
        <v>0</v>
      </c>
      <c r="AW1120" s="636">
        <v>0</v>
      </c>
      <c r="AX1120" s="655" t="str">
        <f t="shared" si="800"/>
        <v/>
      </c>
      <c r="AY1120" s="655" t="e">
        <f>IF(AND(ISNUMBER(AT1120), ISNUMBER(#REF!),#REF!&lt;&gt; 0), (AT1120/#REF!)*100, "")</f>
        <v>#REF!</v>
      </c>
      <c r="AZ1120" s="655" t="str">
        <f t="shared" si="801"/>
        <v/>
      </c>
      <c r="BA1120" s="655" t="e">
        <f>IF(AND(ISNUMBER(AU1120), ISNUMBER(#REF!),#REF!&lt;&gt; 0), (AU1120/#REF!)*100, "")</f>
        <v>#REF!</v>
      </c>
      <c r="BB1120" s="655" t="str">
        <f t="shared" si="798"/>
        <v/>
      </c>
      <c r="BC1120" s="655" t="str">
        <f t="shared" si="798"/>
        <v/>
      </c>
    </row>
    <row r="1121" spans="1:55" ht="12" customHeight="1">
      <c r="A1121" s="165"/>
      <c r="B1121" s="165"/>
      <c r="C1121" s="165"/>
      <c r="D1121" s="165"/>
      <c r="E1121" s="165"/>
      <c r="F1121" s="165"/>
      <c r="G1121" s="165"/>
      <c r="H1121" s="395"/>
      <c r="I1121" s="157"/>
      <c r="J1121" s="116">
        <v>451</v>
      </c>
      <c r="K1121" s="60" t="s">
        <v>429</v>
      </c>
      <c r="L1121" s="315">
        <f t="shared" si="810"/>
        <v>0</v>
      </c>
      <c r="M1121" s="315">
        <f t="shared" si="810"/>
        <v>0</v>
      </c>
      <c r="N1121" s="337">
        <f t="shared" si="810"/>
        <v>0</v>
      </c>
      <c r="O1121" s="337">
        <f t="shared" si="810"/>
        <v>0</v>
      </c>
      <c r="P1121" s="292">
        <f t="shared" si="810"/>
        <v>0</v>
      </c>
      <c r="Q1121" s="292">
        <f t="shared" si="810"/>
        <v>0</v>
      </c>
      <c r="R1121" s="441">
        <f t="shared" si="810"/>
        <v>0</v>
      </c>
      <c r="S1121" s="292">
        <f t="shared" si="810"/>
        <v>0</v>
      </c>
      <c r="T1121" s="292"/>
      <c r="U1121" s="292"/>
      <c r="V1121" s="469">
        <f t="shared" si="810"/>
        <v>0</v>
      </c>
      <c r="W1121" s="469">
        <f t="shared" si="810"/>
        <v>0</v>
      </c>
      <c r="X1121" s="522">
        <f t="shared" si="810"/>
        <v>0</v>
      </c>
      <c r="Y1121" s="522">
        <f t="shared" si="810"/>
        <v>0</v>
      </c>
      <c r="Z1121" s="541" t="b">
        <f t="shared" si="790"/>
        <v>1</v>
      </c>
      <c r="AA1121" s="522"/>
      <c r="AB1121" s="523">
        <f t="shared" si="810"/>
        <v>0</v>
      </c>
      <c r="AC1121" s="523">
        <f t="shared" si="810"/>
        <v>0</v>
      </c>
      <c r="AD1121" s="524"/>
      <c r="AE1121" s="524"/>
      <c r="AF1121" s="524"/>
      <c r="AG1121" s="524"/>
      <c r="AH1121" s="522"/>
      <c r="AI1121" s="522">
        <v>0</v>
      </c>
      <c r="AJ1121" s="516"/>
      <c r="AK1121" s="516"/>
      <c r="AL1121" s="516"/>
      <c r="AM1121" s="292"/>
      <c r="AO1121" t="b">
        <f t="shared" si="791"/>
        <v>1</v>
      </c>
      <c r="AP1121" s="440">
        <f>AP1122</f>
        <v>0</v>
      </c>
      <c r="AQ1121" s="441"/>
      <c r="AR1121" s="440">
        <f>AR1122</f>
        <v>0</v>
      </c>
      <c r="AS1121" s="441"/>
      <c r="AT1121" s="612">
        <f>AT1122</f>
        <v>0</v>
      </c>
      <c r="AU1121" s="469">
        <f>AU1122</f>
        <v>0</v>
      </c>
      <c r="AV1121" s="636">
        <v>0</v>
      </c>
      <c r="AW1121" s="636">
        <v>0</v>
      </c>
      <c r="AX1121" s="655" t="str">
        <f t="shared" si="800"/>
        <v/>
      </c>
      <c r="AY1121" s="655" t="e">
        <f>IF(AND(ISNUMBER(AT1121), ISNUMBER(#REF!),#REF!&lt;&gt; 0), (AT1121/#REF!)*100, "")</f>
        <v>#REF!</v>
      </c>
      <c r="AZ1121" s="655" t="str">
        <f t="shared" si="801"/>
        <v/>
      </c>
      <c r="BA1121" s="655" t="e">
        <f>IF(AND(ISNUMBER(AU1121), ISNUMBER(#REF!),#REF!&lt;&gt; 0), (AU1121/#REF!)*100, "")</f>
        <v>#REF!</v>
      </c>
      <c r="BB1121" s="655" t="str">
        <f t="shared" si="798"/>
        <v/>
      </c>
      <c r="BC1121" s="655" t="str">
        <f t="shared" si="798"/>
        <v/>
      </c>
    </row>
    <row r="1122" spans="1:55" ht="12" customHeight="1">
      <c r="A1122" s="66"/>
      <c r="B1122" s="66"/>
      <c r="C1122" s="66"/>
      <c r="D1122" s="66"/>
      <c r="E1122" s="66"/>
      <c r="F1122" s="66"/>
      <c r="G1122" s="66"/>
      <c r="H1122" s="196" t="s">
        <v>430</v>
      </c>
      <c r="I1122" s="132">
        <v>820</v>
      </c>
      <c r="J1122" s="71">
        <v>4511</v>
      </c>
      <c r="K1122" s="40" t="s">
        <v>431</v>
      </c>
      <c r="L1122" s="309">
        <v>0</v>
      </c>
      <c r="M1122" s="309">
        <v>0</v>
      </c>
      <c r="N1122" s="339">
        <v>0</v>
      </c>
      <c r="O1122" s="339">
        <v>0</v>
      </c>
      <c r="P1122" s="294">
        <v>0</v>
      </c>
      <c r="Q1122" s="294">
        <v>0</v>
      </c>
      <c r="R1122" s="443">
        <v>0</v>
      </c>
      <c r="S1122" s="294"/>
      <c r="T1122" s="294"/>
      <c r="U1122" s="294"/>
      <c r="V1122" s="478">
        <v>0</v>
      </c>
      <c r="W1122" s="478"/>
      <c r="X1122" s="544"/>
      <c r="Y1122" s="544"/>
      <c r="Z1122" s="541" t="b">
        <f t="shared" si="790"/>
        <v>0</v>
      </c>
      <c r="AA1122" s="527"/>
      <c r="AB1122" s="528">
        <v>0</v>
      </c>
      <c r="AC1122" s="528">
        <v>0</v>
      </c>
      <c r="AD1122" s="524"/>
      <c r="AE1122" s="524"/>
      <c r="AF1122" s="524"/>
      <c r="AG1122" s="524"/>
      <c r="AH1122" s="527"/>
      <c r="AI1122" s="544"/>
      <c r="AJ1122" s="516"/>
      <c r="AK1122" s="516"/>
      <c r="AL1122" s="516"/>
      <c r="AM1122" s="294"/>
      <c r="AO1122" t="b">
        <f t="shared" si="791"/>
        <v>0</v>
      </c>
      <c r="AQ1122" s="443">
        <v>0</v>
      </c>
      <c r="AS1122" s="443"/>
      <c r="AT1122" s="617"/>
      <c r="AU1122" s="478"/>
      <c r="AV1122" s="638"/>
      <c r="AW1122" s="638"/>
      <c r="AX1122" s="655" t="str">
        <f t="shared" si="800"/>
        <v/>
      </c>
      <c r="AY1122" s="655" t="e">
        <f>IF(AND(ISNUMBER(AT1122), ISNUMBER(#REF!),#REF!&lt;&gt; 0), (AT1122/#REF!)*100, "")</f>
        <v>#REF!</v>
      </c>
      <c r="AZ1122" s="655" t="str">
        <f t="shared" si="801"/>
        <v/>
      </c>
      <c r="BA1122" s="655" t="e">
        <f>IF(AND(ISNUMBER(AU1122), ISNUMBER(#REF!),#REF!&lt;&gt; 0), (AU1122/#REF!)*100, "")</f>
        <v>#REF!</v>
      </c>
      <c r="BB1122" s="655" t="str">
        <f t="shared" si="798"/>
        <v/>
      </c>
      <c r="BC1122" s="655" t="str">
        <f t="shared" si="798"/>
        <v/>
      </c>
    </row>
    <row r="1123" spans="1:55" ht="12" customHeight="1">
      <c r="A1123" s="20"/>
      <c r="B1123" s="20"/>
      <c r="C1123" s="20"/>
      <c r="D1123" s="20"/>
      <c r="E1123" s="20"/>
      <c r="F1123" s="20"/>
      <c r="G1123" s="20"/>
      <c r="H1123" s="375"/>
      <c r="I1123" s="22"/>
      <c r="J1123" s="21"/>
      <c r="K1123" s="94"/>
      <c r="L1123" s="313"/>
      <c r="M1123" s="313"/>
      <c r="N1123" s="335"/>
      <c r="O1123" s="335"/>
      <c r="P1123" s="290"/>
      <c r="Q1123" s="290"/>
      <c r="R1123" s="439"/>
      <c r="S1123" s="290"/>
      <c r="T1123" s="290"/>
      <c r="U1123" s="290"/>
      <c r="V1123" s="474"/>
      <c r="W1123" s="474"/>
      <c r="X1123" s="539"/>
      <c r="Y1123" s="539"/>
      <c r="Z1123" s="541" t="b">
        <f t="shared" si="790"/>
        <v>0</v>
      </c>
      <c r="AA1123" s="514"/>
      <c r="AB1123" s="515"/>
      <c r="AC1123" s="515"/>
      <c r="AD1123" s="524"/>
      <c r="AE1123" s="524"/>
      <c r="AF1123" s="524"/>
      <c r="AG1123" s="524"/>
      <c r="AH1123" s="514"/>
      <c r="AI1123" s="539"/>
      <c r="AJ1123" s="516"/>
      <c r="AK1123" s="516"/>
      <c r="AL1123" s="516"/>
      <c r="AM1123" s="290"/>
      <c r="AO1123" t="b">
        <f t="shared" si="791"/>
        <v>0</v>
      </c>
      <c r="AQ1123" s="439">
        <v>0</v>
      </c>
      <c r="AS1123" s="439"/>
      <c r="AT1123" s="616"/>
      <c r="AU1123" s="474"/>
      <c r="AV1123" s="632"/>
      <c r="AW1123" s="632"/>
      <c r="AX1123" s="655" t="str">
        <f t="shared" si="800"/>
        <v/>
      </c>
      <c r="AY1123" s="655" t="e">
        <f>IF(AND(ISNUMBER(AT1123), ISNUMBER(#REF!),#REF!&lt;&gt; 0), (AT1123/#REF!)*100, "")</f>
        <v>#REF!</v>
      </c>
      <c r="AZ1123" s="655" t="str">
        <f t="shared" si="801"/>
        <v/>
      </c>
      <c r="BA1123" s="655" t="e">
        <f>IF(AND(ISNUMBER(AU1123), ISNUMBER(#REF!),#REF!&lt;&gt; 0), (AU1123/#REF!)*100, "")</f>
        <v>#REF!</v>
      </c>
      <c r="BB1123" s="655" t="str">
        <f t="shared" si="798"/>
        <v/>
      </c>
      <c r="BC1123" s="655" t="str">
        <f t="shared" si="798"/>
        <v/>
      </c>
    </row>
    <row r="1124" spans="1:55" ht="12" customHeight="1">
      <c r="A1124" s="221"/>
      <c r="B1124" s="222"/>
      <c r="C1124" s="222"/>
      <c r="D1124" s="222"/>
      <c r="E1124" s="222"/>
      <c r="F1124" s="222"/>
      <c r="G1124" s="223"/>
      <c r="H1124" s="409" t="s">
        <v>549</v>
      </c>
      <c r="I1124" s="232"/>
      <c r="J1124" s="233" t="s">
        <v>432</v>
      </c>
      <c r="K1124" s="97"/>
      <c r="L1124" s="315">
        <f t="shared" ref="L1124:S1124" si="811">L1126</f>
        <v>3110987</v>
      </c>
      <c r="M1124" s="315">
        <f t="shared" si="811"/>
        <v>412898.93158139224</v>
      </c>
      <c r="N1124" s="337">
        <f t="shared" si="811"/>
        <v>1200494</v>
      </c>
      <c r="O1124" s="337">
        <f t="shared" si="811"/>
        <v>159332.93516490809</v>
      </c>
      <c r="P1124" s="292">
        <f t="shared" si="811"/>
        <v>143300</v>
      </c>
      <c r="Q1124" s="292">
        <f t="shared" si="811"/>
        <v>209860</v>
      </c>
      <c r="R1124" s="441">
        <f t="shared" si="811"/>
        <v>207957</v>
      </c>
      <c r="S1124" s="292">
        <f t="shared" si="811"/>
        <v>0</v>
      </c>
      <c r="T1124" s="292"/>
      <c r="U1124" s="292"/>
      <c r="V1124" s="469">
        <f>V1126</f>
        <v>315650</v>
      </c>
      <c r="W1124" s="469">
        <f>W1126</f>
        <v>237500</v>
      </c>
      <c r="X1124" s="522">
        <f>X1126</f>
        <v>439450</v>
      </c>
      <c r="Y1124" s="522">
        <f>Y1126</f>
        <v>0</v>
      </c>
      <c r="Z1124" s="541" t="b">
        <f t="shared" si="790"/>
        <v>1</v>
      </c>
      <c r="AA1124" s="522"/>
      <c r="AB1124" s="523">
        <f>AB1126</f>
        <v>136400</v>
      </c>
      <c r="AC1124" s="523">
        <f>AC1126</f>
        <v>136400</v>
      </c>
      <c r="AD1124" s="524">
        <f>O1124/M1124*100</f>
        <v>38.588846562200359</v>
      </c>
      <c r="AE1124" s="524">
        <f>P1124/O1124*100</f>
        <v>89.93746324429776</v>
      </c>
      <c r="AF1124" s="524">
        <f>Q1124/P1124*100</f>
        <v>146.4480111653873</v>
      </c>
      <c r="AG1124" s="524">
        <f>AB1124/Q1124*100</f>
        <v>64.995711426665395</v>
      </c>
      <c r="AH1124" s="522"/>
      <c r="AI1124" s="522">
        <v>439450</v>
      </c>
      <c r="AJ1124" s="516">
        <f>W1124/R1124*100</f>
        <v>114.20630226441044</v>
      </c>
      <c r="AK1124" s="516">
        <f>AT1124/W1124*100</f>
        <v>200.65263157894736</v>
      </c>
      <c r="AL1124" s="516">
        <f>X1124/AT1124*100</f>
        <v>92.214877767285699</v>
      </c>
      <c r="AM1124" s="292"/>
      <c r="AO1124" t="b">
        <f t="shared" si="791"/>
        <v>1</v>
      </c>
      <c r="AP1124" s="440">
        <f>AP1126</f>
        <v>0</v>
      </c>
      <c r="AQ1124" s="441">
        <v>218022</v>
      </c>
      <c r="AR1124" s="440">
        <f>AR1126</f>
        <v>0</v>
      </c>
      <c r="AS1124" s="441"/>
      <c r="AT1124" s="612">
        <f>AT1126</f>
        <v>476550</v>
      </c>
      <c r="AU1124" s="469">
        <f>AU1126</f>
        <v>476550</v>
      </c>
      <c r="AV1124" s="636">
        <v>439450</v>
      </c>
      <c r="AW1124" s="636">
        <v>439450</v>
      </c>
      <c r="AX1124" s="655">
        <f t="shared" si="800"/>
        <v>229.15795092254649</v>
      </c>
      <c r="AY1124" s="655">
        <f t="shared" ref="AY1124:AY1187" si="812">IF(AND(ISNUMBER(AT1124), ISNUMBER(AQ1124), AQ1124&lt;&gt;0), (AT1124/AQ1124)*100, "")</f>
        <v>218.5788590142279</v>
      </c>
      <c r="AZ1124" s="655">
        <f t="shared" si="801"/>
        <v>100</v>
      </c>
      <c r="BA1124" s="655">
        <f t="shared" ref="BA1124:BA1187" si="813">IF(AND(ISNUMBER(AU1124), ISNUMBER(AQ1124), AQ1124&lt;&gt;0), (AU1124/AQ1124)*100, "")</f>
        <v>218.5788590142279</v>
      </c>
      <c r="BB1124" s="655">
        <f t="shared" si="798"/>
        <v>92.214877767285699</v>
      </c>
      <c r="BC1124" s="655">
        <f t="shared" si="798"/>
        <v>100</v>
      </c>
    </row>
    <row r="1125" spans="1:55" ht="12" customHeight="1">
      <c r="A1125" s="229"/>
      <c r="B1125" s="230"/>
      <c r="C1125" s="230"/>
      <c r="D1125" s="230"/>
      <c r="E1125" s="230"/>
      <c r="F1125" s="230"/>
      <c r="G1125" s="231"/>
      <c r="H1125" s="235" t="s">
        <v>506</v>
      </c>
      <c r="I1125" s="228"/>
      <c r="J1125" s="234"/>
      <c r="K1125" s="236" t="s">
        <v>507</v>
      </c>
      <c r="L1125" s="320"/>
      <c r="M1125" s="320"/>
      <c r="N1125" s="344"/>
      <c r="O1125" s="344"/>
      <c r="P1125" s="299"/>
      <c r="Q1125" s="299"/>
      <c r="R1125" s="447"/>
      <c r="S1125" s="299"/>
      <c r="T1125" s="299"/>
      <c r="U1125" s="299"/>
      <c r="V1125" s="490"/>
      <c r="W1125" s="490"/>
      <c r="X1125" s="568"/>
      <c r="Y1125" s="568"/>
      <c r="Z1125" s="541" t="b">
        <f t="shared" si="790"/>
        <v>0</v>
      </c>
      <c r="AA1125" s="542"/>
      <c r="AB1125" s="543"/>
      <c r="AC1125" s="543"/>
      <c r="AD1125" s="524"/>
      <c r="AE1125" s="524"/>
      <c r="AF1125" s="524"/>
      <c r="AG1125" s="524"/>
      <c r="AH1125" s="542"/>
      <c r="AI1125" s="568"/>
      <c r="AJ1125" s="516"/>
      <c r="AK1125" s="516"/>
      <c r="AL1125" s="516"/>
      <c r="AM1125" s="299"/>
      <c r="AO1125" t="b">
        <f t="shared" si="791"/>
        <v>0</v>
      </c>
      <c r="AQ1125" s="447"/>
      <c r="AS1125" s="447"/>
      <c r="AT1125" s="621"/>
      <c r="AU1125" s="490"/>
      <c r="AV1125" s="643"/>
      <c r="AW1125" s="643"/>
      <c r="AX1125" s="655" t="str">
        <f t="shared" si="800"/>
        <v/>
      </c>
      <c r="AY1125" s="655" t="str">
        <f t="shared" si="812"/>
        <v/>
      </c>
      <c r="AZ1125" s="655" t="str">
        <f t="shared" si="801"/>
        <v/>
      </c>
      <c r="BA1125" s="655" t="str">
        <f t="shared" si="813"/>
        <v/>
      </c>
      <c r="BB1125" s="655" t="str">
        <f t="shared" si="798"/>
        <v/>
      </c>
      <c r="BC1125" s="655" t="str">
        <f t="shared" si="798"/>
        <v/>
      </c>
    </row>
    <row r="1126" spans="1:55" ht="12" customHeight="1">
      <c r="A1126" s="240" t="s">
        <v>508</v>
      </c>
      <c r="B1126" s="142"/>
      <c r="C1126" s="142"/>
      <c r="D1126" s="142"/>
      <c r="E1126" s="142"/>
      <c r="F1126" s="142"/>
      <c r="G1126" s="142"/>
      <c r="H1126" s="390"/>
      <c r="I1126" s="173" t="s">
        <v>509</v>
      </c>
      <c r="J1126" s="174"/>
      <c r="K1126" s="107"/>
      <c r="L1126" s="315">
        <f t="shared" ref="L1126:S1126" si="814">L1127+L1171+L1181+L1190+L1201+L1212</f>
        <v>3110987</v>
      </c>
      <c r="M1126" s="315">
        <f t="shared" si="814"/>
        <v>412898.93158139224</v>
      </c>
      <c r="N1126" s="337">
        <f t="shared" si="814"/>
        <v>1200494</v>
      </c>
      <c r="O1126" s="337">
        <f t="shared" si="814"/>
        <v>159332.93516490809</v>
      </c>
      <c r="P1126" s="292">
        <f t="shared" si="814"/>
        <v>143300</v>
      </c>
      <c r="Q1126" s="292">
        <f t="shared" si="814"/>
        <v>209860</v>
      </c>
      <c r="R1126" s="441">
        <f t="shared" si="814"/>
        <v>207957</v>
      </c>
      <c r="S1126" s="292">
        <f t="shared" si="814"/>
        <v>0</v>
      </c>
      <c r="T1126" s="292"/>
      <c r="U1126" s="292"/>
      <c r="V1126" s="469">
        <f>V1127+V1171+V1181+V1190+V1201+V1212</f>
        <v>315650</v>
      </c>
      <c r="W1126" s="469">
        <f>W1127+W1171+W1181+W1190+W1201+W1212</f>
        <v>237500</v>
      </c>
      <c r="X1126" s="522">
        <f>X1127+X1171+X1181+X1190+X1201+X1212</f>
        <v>439450</v>
      </c>
      <c r="Y1126" s="522">
        <f>Y1127+Y1171+Y1181+Y1190+Y1201+Y1212</f>
        <v>0</v>
      </c>
      <c r="Z1126" s="541" t="b">
        <f t="shared" si="790"/>
        <v>1</v>
      </c>
      <c r="AA1126" s="522"/>
      <c r="AB1126" s="523">
        <f>AB1127+AB1171+AB1181+AB1190+AB1201+AB1212</f>
        <v>136400</v>
      </c>
      <c r="AC1126" s="523">
        <f>AC1127+AC1171+AC1181+AC1190+AC1201+AC1212</f>
        <v>136400</v>
      </c>
      <c r="AD1126" s="524">
        <f>O1126/M1126*100</f>
        <v>38.588846562200359</v>
      </c>
      <c r="AE1126" s="524">
        <f>P1126/O1126*100</f>
        <v>89.93746324429776</v>
      </c>
      <c r="AF1126" s="524">
        <f>Q1126/P1126*100</f>
        <v>146.4480111653873</v>
      </c>
      <c r="AG1126" s="524">
        <f>AB1126/Q1126*100</f>
        <v>64.995711426665395</v>
      </c>
      <c r="AH1126" s="522"/>
      <c r="AI1126" s="522">
        <v>439450</v>
      </c>
      <c r="AJ1126" s="516">
        <f>W1126/R1126*100</f>
        <v>114.20630226441044</v>
      </c>
      <c r="AK1126" s="516">
        <f>AT1126/W1126*100</f>
        <v>200.65263157894736</v>
      </c>
      <c r="AL1126" s="516">
        <f>X1126/AT1126*100</f>
        <v>92.214877767285699</v>
      </c>
      <c r="AM1126" s="292"/>
      <c r="AO1126" t="b">
        <f t="shared" si="791"/>
        <v>1</v>
      </c>
      <c r="AP1126" s="440">
        <f>AP1127+AP1171+AP1181+AP1190+AP1201+AP1212</f>
        <v>0</v>
      </c>
      <c r="AQ1126" s="441">
        <v>218022</v>
      </c>
      <c r="AR1126" s="440">
        <f>AR1127+AR1171+AR1181+AR1190+AR1201+AR1212</f>
        <v>0</v>
      </c>
      <c r="AS1126" s="441"/>
      <c r="AT1126" s="612">
        <f>AT1127+AT1171+AT1181+AT1190+AT1201+AT1212</f>
        <v>476550</v>
      </c>
      <c r="AU1126" s="469">
        <f>AU1127+AU1171+AU1181+AU1190+AU1201+AU1212</f>
        <v>476550</v>
      </c>
      <c r="AV1126" s="636">
        <v>439450</v>
      </c>
      <c r="AW1126" s="636">
        <v>439450</v>
      </c>
      <c r="AX1126" s="655">
        <f t="shared" si="800"/>
        <v>229.15795092254649</v>
      </c>
      <c r="AY1126" s="655">
        <f t="shared" si="812"/>
        <v>218.5788590142279</v>
      </c>
      <c r="AZ1126" s="655">
        <f t="shared" si="801"/>
        <v>100</v>
      </c>
      <c r="BA1126" s="655">
        <f t="shared" si="813"/>
        <v>218.5788590142279</v>
      </c>
      <c r="BB1126" s="655">
        <f t="shared" si="798"/>
        <v>92.214877767285699</v>
      </c>
      <c r="BC1126" s="655">
        <f t="shared" si="798"/>
        <v>100</v>
      </c>
    </row>
    <row r="1127" spans="1:55" ht="12" customHeight="1">
      <c r="A1127" s="212" t="s">
        <v>474</v>
      </c>
      <c r="B1127" s="130"/>
      <c r="C1127" s="130"/>
      <c r="D1127" s="130"/>
      <c r="E1127" s="130"/>
      <c r="F1127" s="130"/>
      <c r="G1127" s="130"/>
      <c r="H1127" s="383"/>
      <c r="I1127" s="170" t="s">
        <v>417</v>
      </c>
      <c r="J1127" s="171"/>
      <c r="K1127" s="111"/>
      <c r="L1127" s="315">
        <f t="shared" ref="L1127:S1127" si="815">L1129</f>
        <v>532237</v>
      </c>
      <c r="M1127" s="315">
        <f t="shared" si="815"/>
        <v>70639.989382175336</v>
      </c>
      <c r="N1127" s="337">
        <f t="shared" si="815"/>
        <v>413411</v>
      </c>
      <c r="O1127" s="337">
        <f t="shared" si="815"/>
        <v>54869.068949498971</v>
      </c>
      <c r="P1127" s="292">
        <f t="shared" si="815"/>
        <v>102400</v>
      </c>
      <c r="Q1127" s="292">
        <f t="shared" si="815"/>
        <v>108500</v>
      </c>
      <c r="R1127" s="441">
        <f t="shared" si="815"/>
        <v>107104</v>
      </c>
      <c r="S1127" s="292">
        <f t="shared" si="815"/>
        <v>0</v>
      </c>
      <c r="T1127" s="292"/>
      <c r="U1127" s="292"/>
      <c r="V1127" s="469">
        <f>V1129</f>
        <v>203150</v>
      </c>
      <c r="W1127" s="469">
        <f>W1129</f>
        <v>171500</v>
      </c>
      <c r="X1127" s="522">
        <f>X1129</f>
        <v>248450</v>
      </c>
      <c r="Y1127" s="522">
        <f>Y1129</f>
        <v>0</v>
      </c>
      <c r="Z1127" s="541" t="b">
        <f t="shared" si="790"/>
        <v>1</v>
      </c>
      <c r="AA1127" s="522"/>
      <c r="AB1127" s="523">
        <f>AB1129</f>
        <v>104400</v>
      </c>
      <c r="AC1127" s="523">
        <f>AC1129</f>
        <v>104400</v>
      </c>
      <c r="AD1127" s="524">
        <f>O1127/M1127*100</f>
        <v>77.674231592316943</v>
      </c>
      <c r="AE1127" s="524">
        <f>P1127/O1127*100</f>
        <v>186.62609364530698</v>
      </c>
      <c r="AF1127" s="524">
        <f>Q1127/P1127*100</f>
        <v>105.95703125</v>
      </c>
      <c r="AG1127" s="524">
        <f>AB1127/Q1127*100</f>
        <v>96.221198156682036</v>
      </c>
      <c r="AH1127" s="522"/>
      <c r="AI1127" s="522">
        <v>248450</v>
      </c>
      <c r="AJ1127" s="516">
        <f>W1127/R1127*100</f>
        <v>160.12473857185537</v>
      </c>
      <c r="AK1127" s="516">
        <f>AT1127/W1127*100</f>
        <v>137.93002915451896</v>
      </c>
      <c r="AL1127" s="516">
        <f>X1127/AT1127*100</f>
        <v>105.03064891143521</v>
      </c>
      <c r="AM1127" s="292"/>
      <c r="AO1127" t="b">
        <f t="shared" si="791"/>
        <v>1</v>
      </c>
      <c r="AP1127" s="440">
        <f>AP1129</f>
        <v>0</v>
      </c>
      <c r="AQ1127" s="441">
        <v>153274</v>
      </c>
      <c r="AR1127" s="440">
        <f>AR1129</f>
        <v>0</v>
      </c>
      <c r="AS1127" s="441"/>
      <c r="AT1127" s="612">
        <f>AT1129</f>
        <v>236550</v>
      </c>
      <c r="AU1127" s="469">
        <f>AU1129</f>
        <v>236550</v>
      </c>
      <c r="AV1127" s="636">
        <v>248450</v>
      </c>
      <c r="AW1127" s="636">
        <v>248450</v>
      </c>
      <c r="AX1127" s="655">
        <f t="shared" si="800"/>
        <v>220.86009859575739</v>
      </c>
      <c r="AY1127" s="655">
        <f t="shared" si="812"/>
        <v>154.33145869488629</v>
      </c>
      <c r="AZ1127" s="655">
        <f t="shared" si="801"/>
        <v>100</v>
      </c>
      <c r="BA1127" s="655">
        <f t="shared" si="813"/>
        <v>154.33145869488629</v>
      </c>
      <c r="BB1127" s="655">
        <f t="shared" si="798"/>
        <v>105.03064891143521</v>
      </c>
      <c r="BC1127" s="655">
        <f t="shared" si="798"/>
        <v>100</v>
      </c>
    </row>
    <row r="1128" spans="1:55" ht="12" customHeight="1">
      <c r="A1128" s="25"/>
      <c r="B1128" s="25"/>
      <c r="C1128" s="25"/>
      <c r="D1128" s="25"/>
      <c r="E1128" s="25"/>
      <c r="F1128" s="25"/>
      <c r="G1128" s="25"/>
      <c r="H1128" s="389"/>
      <c r="I1128" s="30"/>
      <c r="J1128" s="29"/>
      <c r="K1128" s="29"/>
      <c r="L1128" s="317"/>
      <c r="M1128" s="317"/>
      <c r="N1128" s="341"/>
      <c r="O1128" s="341"/>
      <c r="P1128" s="296"/>
      <c r="Q1128" s="296"/>
      <c r="R1128" s="445"/>
      <c r="S1128" s="296"/>
      <c r="T1128" s="296"/>
      <c r="U1128" s="296"/>
      <c r="V1128" s="481"/>
      <c r="W1128" s="481"/>
      <c r="X1128" s="549"/>
      <c r="Y1128" s="549"/>
      <c r="Z1128" s="541" t="b">
        <f t="shared" si="790"/>
        <v>0</v>
      </c>
      <c r="AA1128" s="531"/>
      <c r="AB1128" s="532"/>
      <c r="AC1128" s="532"/>
      <c r="AD1128" s="524"/>
      <c r="AE1128" s="524"/>
      <c r="AF1128" s="524"/>
      <c r="AG1128" s="524"/>
      <c r="AH1128" s="531"/>
      <c r="AI1128" s="549"/>
      <c r="AJ1128" s="516"/>
      <c r="AK1128" s="516"/>
      <c r="AL1128" s="516"/>
      <c r="AM1128" s="296"/>
      <c r="AO1128" t="b">
        <f t="shared" si="791"/>
        <v>0</v>
      </c>
      <c r="AQ1128" s="445"/>
      <c r="AS1128" s="445"/>
      <c r="AT1128" s="616"/>
      <c r="AU1128" s="481"/>
      <c r="AV1128" s="640"/>
      <c r="AW1128" s="640"/>
      <c r="AX1128" s="655" t="str">
        <f t="shared" si="800"/>
        <v/>
      </c>
      <c r="AY1128" s="655" t="str">
        <f t="shared" si="812"/>
        <v/>
      </c>
      <c r="AZ1128" s="655" t="str">
        <f t="shared" si="801"/>
        <v/>
      </c>
      <c r="BA1128" s="655" t="str">
        <f t="shared" si="813"/>
        <v/>
      </c>
      <c r="BB1128" s="655" t="str">
        <f t="shared" si="798"/>
        <v/>
      </c>
      <c r="BC1128" s="655" t="str">
        <f t="shared" si="798"/>
        <v/>
      </c>
    </row>
    <row r="1129" spans="1:55" ht="12" customHeight="1">
      <c r="A1129" s="52"/>
      <c r="B1129" s="52"/>
      <c r="C1129" s="52"/>
      <c r="D1129" s="52"/>
      <c r="E1129" s="52"/>
      <c r="F1129" s="52"/>
      <c r="G1129" s="52"/>
      <c r="H1129" s="384"/>
      <c r="I1129" s="156"/>
      <c r="J1129" s="94">
        <v>3</v>
      </c>
      <c r="K1129" s="21" t="s">
        <v>94</v>
      </c>
      <c r="L1129" s="315">
        <f t="shared" ref="L1129:S1129" si="816">L1130+L1142+L1167</f>
        <v>532237</v>
      </c>
      <c r="M1129" s="315">
        <f t="shared" si="816"/>
        <v>70639.989382175336</v>
      </c>
      <c r="N1129" s="337">
        <f t="shared" si="816"/>
        <v>413411</v>
      </c>
      <c r="O1129" s="337">
        <f t="shared" si="816"/>
        <v>54869.068949498971</v>
      </c>
      <c r="P1129" s="292">
        <f t="shared" si="816"/>
        <v>102400</v>
      </c>
      <c r="Q1129" s="292">
        <f t="shared" si="816"/>
        <v>108500</v>
      </c>
      <c r="R1129" s="441">
        <f t="shared" si="816"/>
        <v>107104</v>
      </c>
      <c r="S1129" s="292">
        <f t="shared" si="816"/>
        <v>0</v>
      </c>
      <c r="T1129" s="292"/>
      <c r="U1129" s="292"/>
      <c r="V1129" s="469">
        <f>V1130+V1142+V1167</f>
        <v>203150</v>
      </c>
      <c r="W1129" s="469">
        <f>W1130+W1142+W1167</f>
        <v>171500</v>
      </c>
      <c r="X1129" s="522">
        <f>X1130+X1142+X1167</f>
        <v>248450</v>
      </c>
      <c r="Y1129" s="522">
        <f>Y1130+Y1142+Y1167</f>
        <v>0</v>
      </c>
      <c r="Z1129" s="541" t="b">
        <f t="shared" si="790"/>
        <v>1</v>
      </c>
      <c r="AA1129" s="522"/>
      <c r="AB1129" s="523">
        <f>AB1130+AB1142+AB1167</f>
        <v>104400</v>
      </c>
      <c r="AC1129" s="523">
        <f>AC1130+AC1142+AC1167</f>
        <v>104400</v>
      </c>
      <c r="AD1129" s="524">
        <f>O1129/M1129*100</f>
        <v>77.674231592316943</v>
      </c>
      <c r="AE1129" s="524">
        <f>P1129/O1129*100</f>
        <v>186.62609364530698</v>
      </c>
      <c r="AF1129" s="524">
        <f>Q1129/P1129*100</f>
        <v>105.95703125</v>
      </c>
      <c r="AG1129" s="524">
        <f>AB1129/Q1129*100</f>
        <v>96.221198156682036</v>
      </c>
      <c r="AH1129" s="522"/>
      <c r="AI1129" s="522">
        <v>248450</v>
      </c>
      <c r="AJ1129" s="516">
        <f>W1129/R1129*100</f>
        <v>160.12473857185537</v>
      </c>
      <c r="AK1129" s="516">
        <f>AT1129/W1129*100</f>
        <v>137.93002915451896</v>
      </c>
      <c r="AL1129" s="516">
        <f>X1129/AT1129*100</f>
        <v>105.03064891143521</v>
      </c>
      <c r="AM1129" s="292"/>
      <c r="AO1129" t="b">
        <f t="shared" si="791"/>
        <v>1</v>
      </c>
      <c r="AP1129" s="440">
        <f>AP1130+AP1142+AP1167</f>
        <v>0</v>
      </c>
      <c r="AQ1129" s="441">
        <v>153274</v>
      </c>
      <c r="AR1129" s="440">
        <f>AR1130+AR1142+AR1167</f>
        <v>0</v>
      </c>
      <c r="AS1129" s="441"/>
      <c r="AT1129" s="612">
        <f>AT1130+AT1142+AT1167</f>
        <v>236550</v>
      </c>
      <c r="AU1129" s="469">
        <f>AU1130+AU1142+AU1167</f>
        <v>236550</v>
      </c>
      <c r="AV1129" s="636">
        <v>248450</v>
      </c>
      <c r="AW1129" s="636">
        <v>248450</v>
      </c>
      <c r="AX1129" s="655">
        <f t="shared" si="800"/>
        <v>220.86009859575739</v>
      </c>
      <c r="AY1129" s="655">
        <f t="shared" si="812"/>
        <v>154.33145869488629</v>
      </c>
      <c r="AZ1129" s="655">
        <f t="shared" si="801"/>
        <v>100</v>
      </c>
      <c r="BA1129" s="655">
        <f t="shared" si="813"/>
        <v>154.33145869488629</v>
      </c>
      <c r="BB1129" s="655">
        <f t="shared" si="798"/>
        <v>105.03064891143521</v>
      </c>
      <c r="BC1129" s="655">
        <f t="shared" si="798"/>
        <v>100</v>
      </c>
    </row>
    <row r="1130" spans="1:55" ht="12" customHeight="1">
      <c r="A1130" s="355"/>
      <c r="B1130" s="355"/>
      <c r="C1130" s="355"/>
      <c r="D1130" s="355"/>
      <c r="E1130" s="355"/>
      <c r="F1130" s="355"/>
      <c r="G1130" s="355"/>
      <c r="H1130" s="379"/>
      <c r="I1130" s="359"/>
      <c r="J1130" s="356">
        <v>31</v>
      </c>
      <c r="K1130" s="358" t="s">
        <v>95</v>
      </c>
      <c r="L1130" s="315">
        <f t="shared" ref="L1130:S1130" si="817">L1132+L1135+L1138</f>
        <v>313232</v>
      </c>
      <c r="M1130" s="315">
        <f t="shared" si="817"/>
        <v>41573.030725330151</v>
      </c>
      <c r="N1130" s="337">
        <f t="shared" si="817"/>
        <v>290144</v>
      </c>
      <c r="O1130" s="337">
        <f t="shared" si="817"/>
        <v>38508.726524653262</v>
      </c>
      <c r="P1130" s="292">
        <f t="shared" si="817"/>
        <v>73800</v>
      </c>
      <c r="Q1130" s="292">
        <f t="shared" si="817"/>
        <v>75500</v>
      </c>
      <c r="R1130" s="441">
        <f t="shared" si="817"/>
        <v>74897</v>
      </c>
      <c r="S1130" s="292">
        <f t="shared" si="817"/>
        <v>0</v>
      </c>
      <c r="T1130" s="292"/>
      <c r="U1130" s="292"/>
      <c r="V1130" s="469">
        <f>V1132+V1135+V1138</f>
        <v>121700</v>
      </c>
      <c r="W1130" s="469">
        <f>W1132+W1135+W1138</f>
        <v>71000</v>
      </c>
      <c r="X1130" s="522">
        <f>X1132+X1135+X1138</f>
        <v>131500</v>
      </c>
      <c r="Y1130" s="522">
        <f>Y1132+Y1135+Y1138</f>
        <v>0</v>
      </c>
      <c r="Z1130" s="541" t="b">
        <f t="shared" si="790"/>
        <v>1</v>
      </c>
      <c r="AA1130" s="522"/>
      <c r="AB1130" s="523">
        <f>AB1132+AB1135+AB1138</f>
        <v>74600</v>
      </c>
      <c r="AC1130" s="523">
        <f>AC1132+AC1135+AC1138</f>
        <v>74600</v>
      </c>
      <c r="AD1130" s="524">
        <f>O1130/M1130*100</f>
        <v>92.629105583082179</v>
      </c>
      <c r="AE1130" s="524">
        <f>P1130/O1130*100</f>
        <v>191.64487289070254</v>
      </c>
      <c r="AF1130" s="524">
        <f>Q1130/P1130*100</f>
        <v>102.30352303523036</v>
      </c>
      <c r="AG1130" s="524">
        <f>AB1130/Q1130*100</f>
        <v>98.807947019867555</v>
      </c>
      <c r="AH1130" s="522"/>
      <c r="AI1130" s="522">
        <v>131500</v>
      </c>
      <c r="AJ1130" s="516">
        <f>W1130/R1130*100</f>
        <v>94.796854346636053</v>
      </c>
      <c r="AK1130" s="516">
        <f>AT1130/W1130*100</f>
        <v>170.70422535211267</v>
      </c>
      <c r="AL1130" s="516">
        <f>X1130/AT1130*100</f>
        <v>108.4983498349835</v>
      </c>
      <c r="AM1130" s="292"/>
      <c r="AO1130" t="b">
        <f t="shared" si="791"/>
        <v>1</v>
      </c>
      <c r="AP1130" s="440">
        <f>AP1132+AP1135+AP1138</f>
        <v>0</v>
      </c>
      <c r="AQ1130" s="441">
        <v>70381</v>
      </c>
      <c r="AR1130" s="440">
        <f>AR1132+AR1135+AR1138</f>
        <v>0</v>
      </c>
      <c r="AS1130" s="441"/>
      <c r="AT1130" s="612">
        <f>AT1132+AT1135+AT1138</f>
        <v>121200</v>
      </c>
      <c r="AU1130" s="469">
        <f>AU1132+AU1135+AU1138</f>
        <v>121200</v>
      </c>
      <c r="AV1130" s="636">
        <v>131500</v>
      </c>
      <c r="AW1130" s="636">
        <v>131500</v>
      </c>
      <c r="AX1130" s="655">
        <f t="shared" si="800"/>
        <v>161.82223587059562</v>
      </c>
      <c r="AY1130" s="655">
        <f t="shared" si="812"/>
        <v>172.20556684332419</v>
      </c>
      <c r="AZ1130" s="655">
        <f t="shared" si="801"/>
        <v>100</v>
      </c>
      <c r="BA1130" s="655">
        <f t="shared" si="813"/>
        <v>172.20556684332419</v>
      </c>
      <c r="BB1130" s="655">
        <f t="shared" si="798"/>
        <v>108.4983498349835</v>
      </c>
      <c r="BC1130" s="655">
        <f t="shared" si="798"/>
        <v>100</v>
      </c>
    </row>
    <row r="1131" spans="1:55" ht="12" customHeight="1">
      <c r="A1131" s="52"/>
      <c r="B1131" s="52"/>
      <c r="C1131" s="52"/>
      <c r="D1131" s="52"/>
      <c r="E1131" s="52"/>
      <c r="F1131" s="52"/>
      <c r="G1131" s="52"/>
      <c r="H1131" s="384"/>
      <c r="I1131" s="156"/>
      <c r="J1131" s="94"/>
      <c r="K1131" s="21"/>
      <c r="L1131" s="315"/>
      <c r="M1131" s="315"/>
      <c r="N1131" s="337"/>
      <c r="O1131" s="337"/>
      <c r="P1131" s="292"/>
      <c r="Q1131" s="292"/>
      <c r="R1131" s="441"/>
      <c r="S1131" s="292"/>
      <c r="T1131" s="292"/>
      <c r="U1131" s="292"/>
      <c r="V1131" s="476"/>
      <c r="W1131" s="476"/>
      <c r="X1131" s="541"/>
      <c r="Y1131" s="541"/>
      <c r="Z1131" s="541" t="b">
        <f t="shared" si="790"/>
        <v>0</v>
      </c>
      <c r="AA1131" s="522"/>
      <c r="AB1131" s="523"/>
      <c r="AC1131" s="523"/>
      <c r="AD1131" s="524"/>
      <c r="AE1131" s="524"/>
      <c r="AF1131" s="524"/>
      <c r="AG1131" s="524"/>
      <c r="AH1131" s="522"/>
      <c r="AI1131" s="541"/>
      <c r="AJ1131" s="516"/>
      <c r="AK1131" s="516"/>
      <c r="AL1131" s="516"/>
      <c r="AM1131" s="292"/>
      <c r="AO1131" t="b">
        <f t="shared" si="791"/>
        <v>0</v>
      </c>
      <c r="AQ1131" s="441"/>
      <c r="AS1131" s="441"/>
      <c r="AT1131" s="616"/>
      <c r="AU1131" s="476"/>
      <c r="AV1131" s="636"/>
      <c r="AW1131" s="636"/>
      <c r="AX1131" s="655" t="str">
        <f t="shared" si="800"/>
        <v/>
      </c>
      <c r="AY1131" s="655" t="str">
        <f t="shared" si="812"/>
        <v/>
      </c>
      <c r="AZ1131" s="655" t="str">
        <f t="shared" si="801"/>
        <v/>
      </c>
      <c r="BA1131" s="655" t="str">
        <f t="shared" si="813"/>
        <v/>
      </c>
      <c r="BB1131" s="655" t="str">
        <f t="shared" si="798"/>
        <v/>
      </c>
      <c r="BC1131" s="655" t="str">
        <f t="shared" si="798"/>
        <v/>
      </c>
    </row>
    <row r="1132" spans="1:55" ht="12" customHeight="1">
      <c r="A1132" s="56"/>
      <c r="B1132" s="56"/>
      <c r="C1132" s="56"/>
      <c r="D1132" s="56"/>
      <c r="E1132" s="56"/>
      <c r="F1132" s="56"/>
      <c r="G1132" s="56"/>
      <c r="H1132" s="377"/>
      <c r="I1132" s="157"/>
      <c r="J1132" s="116">
        <v>311</v>
      </c>
      <c r="K1132" s="60" t="s">
        <v>178</v>
      </c>
      <c r="L1132" s="315">
        <f t="shared" ref="L1132:AC1132" si="818">L1133</f>
        <v>267152</v>
      </c>
      <c r="M1132" s="315">
        <f t="shared" si="818"/>
        <v>35457.163713584181</v>
      </c>
      <c r="N1132" s="337">
        <f t="shared" si="818"/>
        <v>245188</v>
      </c>
      <c r="O1132" s="337">
        <f t="shared" si="818"/>
        <v>32542.039949565333</v>
      </c>
      <c r="P1132" s="292">
        <f t="shared" si="818"/>
        <v>62400</v>
      </c>
      <c r="Q1132" s="292">
        <f t="shared" si="818"/>
        <v>64000</v>
      </c>
      <c r="R1132" s="441">
        <f t="shared" si="818"/>
        <v>63517</v>
      </c>
      <c r="S1132" s="292">
        <f t="shared" si="818"/>
        <v>0</v>
      </c>
      <c r="T1132" s="292"/>
      <c r="U1132" s="292"/>
      <c r="V1132" s="469">
        <f t="shared" si="818"/>
        <v>103400</v>
      </c>
      <c r="W1132" s="469">
        <f t="shared" si="818"/>
        <v>60000</v>
      </c>
      <c r="X1132" s="522">
        <f t="shared" si="818"/>
        <v>106000</v>
      </c>
      <c r="Y1132" s="522">
        <f t="shared" si="818"/>
        <v>0</v>
      </c>
      <c r="Z1132" s="541" t="b">
        <f t="shared" si="790"/>
        <v>1</v>
      </c>
      <c r="AA1132" s="522"/>
      <c r="AB1132" s="523">
        <f t="shared" si="818"/>
        <v>63000</v>
      </c>
      <c r="AC1132" s="523">
        <f t="shared" si="818"/>
        <v>63000</v>
      </c>
      <c r="AD1132" s="524">
        <f>O1132/M1132*100</f>
        <v>91.778463196981491</v>
      </c>
      <c r="AE1132" s="524">
        <f>P1132/O1132*100</f>
        <v>191.75196175995563</v>
      </c>
      <c r="AF1132" s="524">
        <f>Q1132/P1132*100</f>
        <v>102.56410256410255</v>
      </c>
      <c r="AG1132" s="524">
        <f>AB1132/Q1132*100</f>
        <v>98.4375</v>
      </c>
      <c r="AH1132" s="522"/>
      <c r="AI1132" s="522">
        <v>106000</v>
      </c>
      <c r="AJ1132" s="516">
        <f>W1132/R1132*100</f>
        <v>94.462899696144348</v>
      </c>
      <c r="AK1132" s="516">
        <f>AT1132/W1132*100</f>
        <v>163.33333333333334</v>
      </c>
      <c r="AL1132" s="516">
        <f>X1132/AT1132*100</f>
        <v>108.16326530612245</v>
      </c>
      <c r="AM1132" s="292"/>
      <c r="AO1132" t="b">
        <f t="shared" si="791"/>
        <v>1</v>
      </c>
      <c r="AP1132" s="440">
        <f>AP1133</f>
        <v>0</v>
      </c>
      <c r="AQ1132" s="441">
        <v>59211</v>
      </c>
      <c r="AR1132" s="440">
        <f>AR1133</f>
        <v>0</v>
      </c>
      <c r="AS1132" s="441"/>
      <c r="AT1132" s="612">
        <f>AT1133</f>
        <v>98000</v>
      </c>
      <c r="AU1132" s="469">
        <f>AU1133</f>
        <v>98000</v>
      </c>
      <c r="AV1132" s="636">
        <v>106000</v>
      </c>
      <c r="AW1132" s="636">
        <v>106000</v>
      </c>
      <c r="AX1132" s="655">
        <f t="shared" si="800"/>
        <v>154.28940283703577</v>
      </c>
      <c r="AY1132" s="655">
        <f t="shared" si="812"/>
        <v>165.50978703281484</v>
      </c>
      <c r="AZ1132" s="655">
        <f t="shared" si="801"/>
        <v>100</v>
      </c>
      <c r="BA1132" s="655">
        <f t="shared" si="813"/>
        <v>165.50978703281484</v>
      </c>
      <c r="BB1132" s="655">
        <f t="shared" si="798"/>
        <v>108.16326530612245</v>
      </c>
      <c r="BC1132" s="655">
        <f t="shared" si="798"/>
        <v>100</v>
      </c>
    </row>
    <row r="1133" spans="1:55" ht="12" customHeight="1">
      <c r="A1133" s="36"/>
      <c r="B1133" s="36"/>
      <c r="C1133" s="36"/>
      <c r="D1133" s="36"/>
      <c r="E1133" s="36"/>
      <c r="F1133" s="36"/>
      <c r="G1133" s="36"/>
      <c r="H1133" s="204">
        <v>210</v>
      </c>
      <c r="I1133" s="132">
        <v>820</v>
      </c>
      <c r="J1133" s="71">
        <v>3111</v>
      </c>
      <c r="K1133" s="40" t="s">
        <v>97</v>
      </c>
      <c r="L1133" s="309">
        <v>267152</v>
      </c>
      <c r="M1133" s="309">
        <f>267152/7.5345</f>
        <v>35457.163713584181</v>
      </c>
      <c r="N1133" s="339">
        <v>245188</v>
      </c>
      <c r="O1133" s="339">
        <f>N1133/7.5345</f>
        <v>32542.039949565333</v>
      </c>
      <c r="P1133" s="294">
        <v>62400</v>
      </c>
      <c r="Q1133" s="269">
        <v>64000</v>
      </c>
      <c r="R1133" s="443">
        <v>63517</v>
      </c>
      <c r="S1133" s="294"/>
      <c r="T1133" s="294"/>
      <c r="U1133" s="294"/>
      <c r="V1133" s="478">
        <v>103400</v>
      </c>
      <c r="W1133" s="478">
        <v>60000</v>
      </c>
      <c r="X1133" s="544">
        <v>106000</v>
      </c>
      <c r="Y1133" s="544"/>
      <c r="Z1133" s="541" t="b">
        <f t="shared" si="790"/>
        <v>0</v>
      </c>
      <c r="AA1133" s="527"/>
      <c r="AB1133" s="528">
        <v>63000</v>
      </c>
      <c r="AC1133" s="528">
        <v>63000</v>
      </c>
      <c r="AD1133" s="524">
        <f>O1133/M1133*100</f>
        <v>91.778463196981491</v>
      </c>
      <c r="AE1133" s="524">
        <f>P1133/O1133*100</f>
        <v>191.75196175995563</v>
      </c>
      <c r="AF1133" s="524">
        <f>Q1133/P1133*100</f>
        <v>102.56410256410255</v>
      </c>
      <c r="AG1133" s="524">
        <f>AB1133/Q1133*100</f>
        <v>98.4375</v>
      </c>
      <c r="AH1133" s="527"/>
      <c r="AI1133" s="544">
        <v>106000</v>
      </c>
      <c r="AJ1133" s="516">
        <f>W1133/R1133*100</f>
        <v>94.462899696144348</v>
      </c>
      <c r="AK1133" s="516">
        <f>AT1133/W1133*100</f>
        <v>163.33333333333334</v>
      </c>
      <c r="AL1133" s="516">
        <f>X1133/AT1133*100</f>
        <v>108.16326530612245</v>
      </c>
      <c r="AM1133" s="294"/>
      <c r="AO1133" t="b">
        <f t="shared" si="791"/>
        <v>0</v>
      </c>
      <c r="AQ1133" s="443">
        <v>59211</v>
      </c>
      <c r="AS1133" s="443"/>
      <c r="AT1133" s="617">
        <v>98000</v>
      </c>
      <c r="AU1133" s="478">
        <v>98000</v>
      </c>
      <c r="AV1133" s="638">
        <v>106000</v>
      </c>
      <c r="AW1133" s="638">
        <v>106000</v>
      </c>
      <c r="AX1133" s="655">
        <f t="shared" si="800"/>
        <v>154.28940283703577</v>
      </c>
      <c r="AY1133" s="655">
        <f t="shared" si="812"/>
        <v>165.50978703281484</v>
      </c>
      <c r="AZ1133" s="655">
        <f t="shared" si="801"/>
        <v>100</v>
      </c>
      <c r="BA1133" s="655">
        <f t="shared" si="813"/>
        <v>165.50978703281484</v>
      </c>
      <c r="BB1133" s="655">
        <f t="shared" si="798"/>
        <v>108.16326530612245</v>
      </c>
      <c r="BC1133" s="655">
        <f t="shared" si="798"/>
        <v>100</v>
      </c>
    </row>
    <row r="1134" spans="1:55" ht="12" customHeight="1">
      <c r="A1134" s="20"/>
      <c r="B1134" s="20"/>
      <c r="C1134" s="20"/>
      <c r="D1134" s="20"/>
      <c r="E1134" s="20"/>
      <c r="F1134" s="20"/>
      <c r="G1134" s="20"/>
      <c r="H1134" s="375"/>
      <c r="I1134" s="22"/>
      <c r="J1134" s="21"/>
      <c r="K1134" s="19"/>
      <c r="L1134" s="313"/>
      <c r="M1134" s="313"/>
      <c r="N1134" s="335"/>
      <c r="O1134" s="335"/>
      <c r="P1134" s="290"/>
      <c r="Q1134" s="290"/>
      <c r="R1134" s="439"/>
      <c r="S1134" s="290"/>
      <c r="T1134" s="290"/>
      <c r="U1134" s="290"/>
      <c r="V1134" s="474"/>
      <c r="W1134" s="474"/>
      <c r="X1134" s="539"/>
      <c r="Y1134" s="539"/>
      <c r="Z1134" s="541" t="b">
        <f t="shared" si="790"/>
        <v>0</v>
      </c>
      <c r="AA1134" s="514"/>
      <c r="AB1134" s="515"/>
      <c r="AC1134" s="515"/>
      <c r="AD1134" s="524"/>
      <c r="AE1134" s="524"/>
      <c r="AF1134" s="524"/>
      <c r="AG1134" s="524"/>
      <c r="AH1134" s="514"/>
      <c r="AI1134" s="539"/>
      <c r="AJ1134" s="516"/>
      <c r="AK1134" s="516"/>
      <c r="AL1134" s="516"/>
      <c r="AM1134" s="290"/>
      <c r="AO1134" t="b">
        <f t="shared" si="791"/>
        <v>0</v>
      </c>
      <c r="AQ1134" s="439"/>
      <c r="AS1134" s="439"/>
      <c r="AT1134" s="616"/>
      <c r="AU1134" s="474"/>
      <c r="AV1134" s="632"/>
      <c r="AW1134" s="632"/>
      <c r="AX1134" s="655" t="str">
        <f t="shared" si="800"/>
        <v/>
      </c>
      <c r="AY1134" s="655" t="str">
        <f t="shared" si="812"/>
        <v/>
      </c>
      <c r="AZ1134" s="655" t="str">
        <f t="shared" si="801"/>
        <v/>
      </c>
      <c r="BA1134" s="655" t="str">
        <f t="shared" si="813"/>
        <v/>
      </c>
      <c r="BB1134" s="655" t="str">
        <f t="shared" si="798"/>
        <v/>
      </c>
      <c r="BC1134" s="655" t="str">
        <f t="shared" si="798"/>
        <v/>
      </c>
    </row>
    <row r="1135" spans="1:55" ht="12" customHeight="1">
      <c r="A1135" s="56"/>
      <c r="B1135" s="56"/>
      <c r="C1135" s="56"/>
      <c r="D1135" s="56"/>
      <c r="E1135" s="56"/>
      <c r="F1135" s="56"/>
      <c r="G1135" s="56"/>
      <c r="H1135" s="377"/>
      <c r="I1135" s="157"/>
      <c r="J1135" s="116">
        <v>312</v>
      </c>
      <c r="K1135" s="60" t="s">
        <v>180</v>
      </c>
      <c r="L1135" s="315">
        <f t="shared" ref="L1135:AC1135" si="819">L1136</f>
        <v>2000</v>
      </c>
      <c r="M1135" s="315">
        <f t="shared" si="819"/>
        <v>265.44561682925212</v>
      </c>
      <c r="N1135" s="337">
        <f t="shared" si="819"/>
        <v>4500</v>
      </c>
      <c r="O1135" s="337">
        <f t="shared" si="819"/>
        <v>597.25263786581718</v>
      </c>
      <c r="P1135" s="292">
        <f t="shared" si="819"/>
        <v>1100</v>
      </c>
      <c r="Q1135" s="292">
        <f t="shared" si="819"/>
        <v>900</v>
      </c>
      <c r="R1135" s="441">
        <f t="shared" si="819"/>
        <v>900</v>
      </c>
      <c r="S1135" s="292">
        <f t="shared" si="819"/>
        <v>0</v>
      </c>
      <c r="T1135" s="292"/>
      <c r="U1135" s="292"/>
      <c r="V1135" s="469">
        <f t="shared" si="819"/>
        <v>1200</v>
      </c>
      <c r="W1135" s="469">
        <f t="shared" si="819"/>
        <v>1200</v>
      </c>
      <c r="X1135" s="522">
        <f t="shared" si="819"/>
        <v>8000</v>
      </c>
      <c r="Y1135" s="522">
        <f t="shared" si="819"/>
        <v>0</v>
      </c>
      <c r="Z1135" s="541" t="b">
        <f t="shared" si="790"/>
        <v>1</v>
      </c>
      <c r="AA1135" s="522"/>
      <c r="AB1135" s="523">
        <f t="shared" si="819"/>
        <v>1200</v>
      </c>
      <c r="AC1135" s="523">
        <f t="shared" si="819"/>
        <v>1200</v>
      </c>
      <c r="AD1135" s="524">
        <f>O1135/M1135*100</f>
        <v>224.99999999999994</v>
      </c>
      <c r="AE1135" s="524">
        <f>P1135/O1135*100</f>
        <v>184.17666666666668</v>
      </c>
      <c r="AF1135" s="524">
        <f>Q1135/P1135*100</f>
        <v>81.818181818181827</v>
      </c>
      <c r="AG1135" s="524">
        <f>AB1135/Q1135*100</f>
        <v>133.33333333333331</v>
      </c>
      <c r="AH1135" s="522"/>
      <c r="AI1135" s="522">
        <v>8000</v>
      </c>
      <c r="AJ1135" s="516">
        <f>W1135/R1135*100</f>
        <v>133.33333333333331</v>
      </c>
      <c r="AK1135" s="516">
        <f>AT1135/W1135*100</f>
        <v>583.33333333333326</v>
      </c>
      <c r="AL1135" s="516">
        <f>X1135/AT1135*100</f>
        <v>114.28571428571428</v>
      </c>
      <c r="AM1135" s="292"/>
      <c r="AO1135" t="b">
        <f t="shared" si="791"/>
        <v>1</v>
      </c>
      <c r="AP1135" s="440">
        <f>AP1136</f>
        <v>0</v>
      </c>
      <c r="AQ1135" s="441">
        <v>1400</v>
      </c>
      <c r="AR1135" s="440">
        <f>AR1136</f>
        <v>0</v>
      </c>
      <c r="AS1135" s="441"/>
      <c r="AT1135" s="612">
        <f>AT1136</f>
        <v>7000</v>
      </c>
      <c r="AU1135" s="469">
        <f>AU1136</f>
        <v>7000</v>
      </c>
      <c r="AV1135" s="636">
        <v>8000</v>
      </c>
      <c r="AW1135" s="636">
        <v>8000</v>
      </c>
      <c r="AX1135" s="655">
        <f t="shared" si="800"/>
        <v>777.77777777777771</v>
      </c>
      <c r="AY1135" s="655">
        <f t="shared" si="812"/>
        <v>500</v>
      </c>
      <c r="AZ1135" s="655">
        <f t="shared" si="801"/>
        <v>100</v>
      </c>
      <c r="BA1135" s="655">
        <f t="shared" si="813"/>
        <v>500</v>
      </c>
      <c r="BB1135" s="655">
        <f t="shared" si="798"/>
        <v>114.28571428571428</v>
      </c>
      <c r="BC1135" s="655">
        <f t="shared" si="798"/>
        <v>100</v>
      </c>
    </row>
    <row r="1136" spans="1:55" ht="12" customHeight="1">
      <c r="A1136" s="36"/>
      <c r="B1136" s="36"/>
      <c r="C1136" s="36"/>
      <c r="D1136" s="36"/>
      <c r="E1136" s="36"/>
      <c r="F1136" s="36"/>
      <c r="G1136" s="36"/>
      <c r="H1136" s="204">
        <v>211</v>
      </c>
      <c r="I1136" s="132">
        <v>820</v>
      </c>
      <c r="J1136" s="71">
        <v>3121</v>
      </c>
      <c r="K1136" s="40" t="s">
        <v>99</v>
      </c>
      <c r="L1136" s="309">
        <v>2000</v>
      </c>
      <c r="M1136" s="309">
        <f>2000/7.5345</f>
        <v>265.44561682925212</v>
      </c>
      <c r="N1136" s="339">
        <v>4500</v>
      </c>
      <c r="O1136" s="339">
        <f>N1136/7.5345</f>
        <v>597.25263786581718</v>
      </c>
      <c r="P1136" s="294">
        <v>1100</v>
      </c>
      <c r="Q1136" s="269">
        <v>900</v>
      </c>
      <c r="R1136" s="443">
        <v>900</v>
      </c>
      <c r="S1136" s="294"/>
      <c r="T1136" s="294"/>
      <c r="U1136" s="294"/>
      <c r="V1136" s="478">
        <v>1200</v>
      </c>
      <c r="W1136" s="478">
        <v>1200</v>
      </c>
      <c r="X1136" s="544">
        <v>8000</v>
      </c>
      <c r="Y1136" s="544"/>
      <c r="Z1136" s="541" t="b">
        <f t="shared" si="790"/>
        <v>0</v>
      </c>
      <c r="AA1136" s="527"/>
      <c r="AB1136" s="528">
        <v>1200</v>
      </c>
      <c r="AC1136" s="528">
        <v>1200</v>
      </c>
      <c r="AD1136" s="524">
        <f>O1136/M1136*100</f>
        <v>224.99999999999994</v>
      </c>
      <c r="AE1136" s="524">
        <f>P1136/O1136*100</f>
        <v>184.17666666666668</v>
      </c>
      <c r="AF1136" s="524">
        <f>Q1136/P1136*100</f>
        <v>81.818181818181827</v>
      </c>
      <c r="AG1136" s="524">
        <f>AB1136/Q1136*100</f>
        <v>133.33333333333331</v>
      </c>
      <c r="AH1136" s="527"/>
      <c r="AI1136" s="544">
        <v>8000</v>
      </c>
      <c r="AJ1136" s="516">
        <f>W1136/R1136*100</f>
        <v>133.33333333333331</v>
      </c>
      <c r="AK1136" s="516">
        <f>AT1136/W1136*100</f>
        <v>583.33333333333326</v>
      </c>
      <c r="AL1136" s="516">
        <f>X1136/AT1136*100</f>
        <v>114.28571428571428</v>
      </c>
      <c r="AM1136" s="294"/>
      <c r="AO1136" t="b">
        <f t="shared" si="791"/>
        <v>0</v>
      </c>
      <c r="AQ1136" s="443">
        <v>1400</v>
      </c>
      <c r="AS1136" s="443"/>
      <c r="AT1136" s="617">
        <v>7000</v>
      </c>
      <c r="AU1136" s="478">
        <v>7000</v>
      </c>
      <c r="AV1136" s="638">
        <v>8000</v>
      </c>
      <c r="AW1136" s="638">
        <v>8000</v>
      </c>
      <c r="AX1136" s="655">
        <f t="shared" si="800"/>
        <v>777.77777777777771</v>
      </c>
      <c r="AY1136" s="655">
        <f t="shared" si="812"/>
        <v>500</v>
      </c>
      <c r="AZ1136" s="655">
        <f t="shared" si="801"/>
        <v>100</v>
      </c>
      <c r="BA1136" s="655">
        <f t="shared" si="813"/>
        <v>500</v>
      </c>
      <c r="BB1136" s="655">
        <f t="shared" si="798"/>
        <v>114.28571428571428</v>
      </c>
      <c r="BC1136" s="655">
        <f t="shared" si="798"/>
        <v>100</v>
      </c>
    </row>
    <row r="1137" spans="1:55" ht="12" customHeight="1">
      <c r="A1137" s="36"/>
      <c r="B1137" s="36"/>
      <c r="C1137" s="36"/>
      <c r="D1137" s="36"/>
      <c r="E1137" s="36"/>
      <c r="F1137" s="36"/>
      <c r="G1137" s="36"/>
      <c r="H1137" s="204"/>
      <c r="I1137" s="132"/>
      <c r="J1137" s="71"/>
      <c r="K1137" s="40"/>
      <c r="L1137" s="316"/>
      <c r="M1137" s="316"/>
      <c r="N1137" s="338"/>
      <c r="O1137" s="338"/>
      <c r="P1137" s="293"/>
      <c r="Q1137" s="293"/>
      <c r="R1137" s="442"/>
      <c r="S1137" s="293"/>
      <c r="T1137" s="293"/>
      <c r="U1137" s="293"/>
      <c r="V1137" s="475"/>
      <c r="W1137" s="475"/>
      <c r="X1137" s="540"/>
      <c r="Y1137" s="540"/>
      <c r="Z1137" s="541" t="b">
        <f t="shared" si="790"/>
        <v>0</v>
      </c>
      <c r="AA1137" s="525"/>
      <c r="AB1137" s="526"/>
      <c r="AC1137" s="526"/>
      <c r="AD1137" s="524"/>
      <c r="AE1137" s="524"/>
      <c r="AF1137" s="524"/>
      <c r="AG1137" s="524"/>
      <c r="AH1137" s="525"/>
      <c r="AI1137" s="540"/>
      <c r="AJ1137" s="516"/>
      <c r="AK1137" s="516"/>
      <c r="AL1137" s="516"/>
      <c r="AM1137" s="293"/>
      <c r="AO1137" t="b">
        <f t="shared" si="791"/>
        <v>0</v>
      </c>
      <c r="AQ1137" s="442"/>
      <c r="AS1137" s="442"/>
      <c r="AT1137" s="617"/>
      <c r="AU1137" s="475"/>
      <c r="AV1137" s="637"/>
      <c r="AW1137" s="637"/>
      <c r="AX1137" s="655" t="str">
        <f t="shared" si="800"/>
        <v/>
      </c>
      <c r="AY1137" s="655" t="str">
        <f t="shared" si="812"/>
        <v/>
      </c>
      <c r="AZ1137" s="655" t="str">
        <f t="shared" si="801"/>
        <v/>
      </c>
      <c r="BA1137" s="655" t="str">
        <f t="shared" si="813"/>
        <v/>
      </c>
      <c r="BB1137" s="655" t="str">
        <f t="shared" si="798"/>
        <v/>
      </c>
      <c r="BC1137" s="655" t="str">
        <f t="shared" si="798"/>
        <v/>
      </c>
    </row>
    <row r="1138" spans="1:55" ht="12" customHeight="1">
      <c r="A1138" s="56"/>
      <c r="B1138" s="56"/>
      <c r="C1138" s="56"/>
      <c r="D1138" s="56"/>
      <c r="E1138" s="56"/>
      <c r="F1138" s="56"/>
      <c r="G1138" s="56"/>
      <c r="H1138" s="377"/>
      <c r="I1138" s="157"/>
      <c r="J1138" s="116">
        <v>313</v>
      </c>
      <c r="K1138" s="60" t="s">
        <v>181</v>
      </c>
      <c r="L1138" s="315">
        <f t="shared" ref="L1138:S1138" si="820">L1139+L1140</f>
        <v>44080</v>
      </c>
      <c r="M1138" s="315">
        <f t="shared" si="820"/>
        <v>5850.4213949167161</v>
      </c>
      <c r="N1138" s="337">
        <f t="shared" si="820"/>
        <v>40456</v>
      </c>
      <c r="O1138" s="337">
        <f t="shared" si="820"/>
        <v>5369.4339372221111</v>
      </c>
      <c r="P1138" s="292">
        <f t="shared" si="820"/>
        <v>10300</v>
      </c>
      <c r="Q1138" s="292">
        <f t="shared" si="820"/>
        <v>10600</v>
      </c>
      <c r="R1138" s="441">
        <f t="shared" si="820"/>
        <v>10480</v>
      </c>
      <c r="S1138" s="292">
        <f t="shared" si="820"/>
        <v>0</v>
      </c>
      <c r="T1138" s="292"/>
      <c r="U1138" s="292"/>
      <c r="V1138" s="469">
        <f>V1139+V1140</f>
        <v>17100</v>
      </c>
      <c r="W1138" s="469">
        <f>W1139+W1140</f>
        <v>9800</v>
      </c>
      <c r="X1138" s="522">
        <f>X1139+X1140</f>
        <v>17500</v>
      </c>
      <c r="Y1138" s="522">
        <f>Y1139+Y1140</f>
        <v>0</v>
      </c>
      <c r="Z1138" s="541" t="b">
        <f t="shared" si="790"/>
        <v>1</v>
      </c>
      <c r="AA1138" s="522"/>
      <c r="AB1138" s="523">
        <f>AB1139+AB1140</f>
        <v>10400</v>
      </c>
      <c r="AC1138" s="523">
        <f>AC1139+AC1140</f>
        <v>10400</v>
      </c>
      <c r="AD1138" s="524">
        <f>O1138/M1138*100</f>
        <v>91.778584392014523</v>
      </c>
      <c r="AE1138" s="524">
        <f>P1138/O1138*100</f>
        <v>191.82655230373743</v>
      </c>
      <c r="AF1138" s="524">
        <f>Q1138/P1138*100</f>
        <v>102.91262135922329</v>
      </c>
      <c r="AG1138" s="524">
        <f>AB1138/Q1138*100</f>
        <v>98.113207547169807</v>
      </c>
      <c r="AH1138" s="522"/>
      <c r="AI1138" s="522">
        <v>17500</v>
      </c>
      <c r="AJ1138" s="516">
        <f>W1138/R1138*100</f>
        <v>93.511450381679381</v>
      </c>
      <c r="AK1138" s="516">
        <f>AT1138/W1138*100</f>
        <v>165.30612244897961</v>
      </c>
      <c r="AL1138" s="516">
        <f>X1138/AT1138*100</f>
        <v>108.02469135802468</v>
      </c>
      <c r="AM1138" s="292"/>
      <c r="AO1138" t="b">
        <f t="shared" si="791"/>
        <v>1</v>
      </c>
      <c r="AP1138" s="440">
        <f>AP1139+AP1140</f>
        <v>0</v>
      </c>
      <c r="AQ1138" s="441">
        <v>9770</v>
      </c>
      <c r="AR1138" s="440">
        <f>AR1139+AR1140</f>
        <v>0</v>
      </c>
      <c r="AS1138" s="441"/>
      <c r="AT1138" s="612">
        <f>AT1139+AT1140</f>
        <v>16200</v>
      </c>
      <c r="AU1138" s="469">
        <f>AU1139+AU1140</f>
        <v>16200</v>
      </c>
      <c r="AV1138" s="636">
        <v>17500</v>
      </c>
      <c r="AW1138" s="636">
        <v>17500</v>
      </c>
      <c r="AX1138" s="655">
        <f t="shared" si="800"/>
        <v>154.58015267175574</v>
      </c>
      <c r="AY1138" s="655">
        <f t="shared" si="812"/>
        <v>165.81371545547594</v>
      </c>
      <c r="AZ1138" s="655">
        <f t="shared" si="801"/>
        <v>100</v>
      </c>
      <c r="BA1138" s="655">
        <f t="shared" si="813"/>
        <v>165.81371545547594</v>
      </c>
      <c r="BB1138" s="655">
        <f t="shared" si="798"/>
        <v>108.02469135802468</v>
      </c>
      <c r="BC1138" s="655">
        <f t="shared" si="798"/>
        <v>100</v>
      </c>
    </row>
    <row r="1139" spans="1:55" ht="12" customHeight="1">
      <c r="A1139" s="36"/>
      <c r="B1139" s="36"/>
      <c r="C1139" s="36"/>
      <c r="D1139" s="36"/>
      <c r="E1139" s="36"/>
      <c r="F1139" s="36"/>
      <c r="G1139" s="36"/>
      <c r="H1139" s="204">
        <v>212</v>
      </c>
      <c r="I1139" s="132">
        <v>820</v>
      </c>
      <c r="J1139" s="71">
        <v>3132</v>
      </c>
      <c r="K1139" s="40" t="s">
        <v>182</v>
      </c>
      <c r="L1139" s="309">
        <v>44080</v>
      </c>
      <c r="M1139" s="309">
        <f>44080/7.5345</f>
        <v>5850.4213949167161</v>
      </c>
      <c r="N1139" s="339">
        <v>40456</v>
      </c>
      <c r="O1139" s="339">
        <f>N1139/7.5345</f>
        <v>5369.4339372221111</v>
      </c>
      <c r="P1139" s="294">
        <v>10300</v>
      </c>
      <c r="Q1139" s="269">
        <v>10600</v>
      </c>
      <c r="R1139" s="443">
        <v>10480</v>
      </c>
      <c r="S1139" s="294"/>
      <c r="T1139" s="294"/>
      <c r="U1139" s="294"/>
      <c r="V1139" s="478">
        <v>17100</v>
      </c>
      <c r="W1139" s="478">
        <v>9800</v>
      </c>
      <c r="X1139" s="544">
        <v>17500</v>
      </c>
      <c r="Y1139" s="544"/>
      <c r="Z1139" s="541" t="b">
        <f t="shared" si="790"/>
        <v>0</v>
      </c>
      <c r="AA1139" s="527"/>
      <c r="AB1139" s="528">
        <v>10400</v>
      </c>
      <c r="AC1139" s="528">
        <v>10400</v>
      </c>
      <c r="AD1139" s="524">
        <f>O1139/M1139*100</f>
        <v>91.778584392014523</v>
      </c>
      <c r="AE1139" s="524">
        <f>P1139/O1139*100</f>
        <v>191.82655230373743</v>
      </c>
      <c r="AF1139" s="524">
        <f>Q1139/P1139*100</f>
        <v>102.91262135922329</v>
      </c>
      <c r="AG1139" s="524">
        <f>AB1139/Q1139*100</f>
        <v>98.113207547169807</v>
      </c>
      <c r="AH1139" s="527"/>
      <c r="AI1139" s="544">
        <v>17500</v>
      </c>
      <c r="AJ1139" s="516">
        <f>W1139/R1139*100</f>
        <v>93.511450381679381</v>
      </c>
      <c r="AK1139" s="516">
        <f>AT1139/W1139*100</f>
        <v>165.30612244897961</v>
      </c>
      <c r="AL1139" s="516">
        <f>X1139/AT1139*100</f>
        <v>108.02469135802468</v>
      </c>
      <c r="AM1139" s="294"/>
      <c r="AO1139" t="b">
        <f t="shared" si="791"/>
        <v>0</v>
      </c>
      <c r="AQ1139" s="443">
        <v>9770</v>
      </c>
      <c r="AS1139" s="443"/>
      <c r="AT1139" s="617">
        <v>16200</v>
      </c>
      <c r="AU1139" s="478">
        <v>16200</v>
      </c>
      <c r="AV1139" s="638">
        <v>17500</v>
      </c>
      <c r="AW1139" s="638">
        <v>17500</v>
      </c>
      <c r="AX1139" s="655">
        <f t="shared" si="800"/>
        <v>154.58015267175574</v>
      </c>
      <c r="AY1139" s="655">
        <f t="shared" si="812"/>
        <v>165.81371545547594</v>
      </c>
      <c r="AZ1139" s="655">
        <f t="shared" si="801"/>
        <v>100</v>
      </c>
      <c r="BA1139" s="655">
        <f t="shared" si="813"/>
        <v>165.81371545547594</v>
      </c>
      <c r="BB1139" s="655">
        <f t="shared" si="798"/>
        <v>108.02469135802468</v>
      </c>
      <c r="BC1139" s="655">
        <f t="shared" si="798"/>
        <v>100</v>
      </c>
    </row>
    <row r="1140" spans="1:55" ht="12" customHeight="1">
      <c r="A1140" s="36"/>
      <c r="B1140" s="36"/>
      <c r="C1140" s="36"/>
      <c r="D1140" s="36"/>
      <c r="E1140" s="36"/>
      <c r="F1140" s="36"/>
      <c r="G1140" s="36"/>
      <c r="H1140" s="204">
        <v>213</v>
      </c>
      <c r="I1140" s="132">
        <v>820</v>
      </c>
      <c r="J1140" s="71">
        <v>3133</v>
      </c>
      <c r="K1140" s="40" t="s">
        <v>403</v>
      </c>
      <c r="L1140" s="309">
        <v>0</v>
      </c>
      <c r="M1140" s="309">
        <v>0</v>
      </c>
      <c r="N1140" s="339">
        <v>0</v>
      </c>
      <c r="O1140" s="339">
        <v>0</v>
      </c>
      <c r="P1140" s="294">
        <v>0</v>
      </c>
      <c r="Q1140" s="294">
        <v>0</v>
      </c>
      <c r="R1140" s="443">
        <v>0</v>
      </c>
      <c r="S1140" s="294"/>
      <c r="T1140" s="294"/>
      <c r="U1140" s="294"/>
      <c r="V1140" s="478">
        <v>0</v>
      </c>
      <c r="W1140" s="478"/>
      <c r="X1140" s="544"/>
      <c r="Y1140" s="544"/>
      <c r="Z1140" s="541" t="b">
        <f t="shared" si="790"/>
        <v>0</v>
      </c>
      <c r="AA1140" s="527"/>
      <c r="AB1140" s="528">
        <v>0</v>
      </c>
      <c r="AC1140" s="528">
        <v>0</v>
      </c>
      <c r="AD1140" s="524"/>
      <c r="AE1140" s="524"/>
      <c r="AF1140" s="524"/>
      <c r="AG1140" s="524"/>
      <c r="AH1140" s="527"/>
      <c r="AI1140" s="544"/>
      <c r="AJ1140" s="516"/>
      <c r="AK1140" s="516"/>
      <c r="AL1140" s="516"/>
      <c r="AM1140" s="294"/>
      <c r="AO1140" t="b">
        <f t="shared" si="791"/>
        <v>0</v>
      </c>
      <c r="AQ1140" s="443"/>
      <c r="AS1140" s="443"/>
      <c r="AT1140" s="617"/>
      <c r="AU1140" s="478"/>
      <c r="AV1140" s="638"/>
      <c r="AW1140" s="638"/>
      <c r="AX1140" s="655" t="str">
        <f t="shared" si="800"/>
        <v/>
      </c>
      <c r="AY1140" s="655" t="str">
        <f t="shared" si="812"/>
        <v/>
      </c>
      <c r="AZ1140" s="655" t="str">
        <f t="shared" si="801"/>
        <v/>
      </c>
      <c r="BA1140" s="655" t="str">
        <f t="shared" si="813"/>
        <v/>
      </c>
      <c r="BB1140" s="655" t="str">
        <f t="shared" si="798"/>
        <v/>
      </c>
      <c r="BC1140" s="655" t="str">
        <f t="shared" si="798"/>
        <v/>
      </c>
    </row>
    <row r="1141" spans="1:55" ht="12" customHeight="1">
      <c r="A1141" s="20"/>
      <c r="B1141" s="20"/>
      <c r="C1141" s="20"/>
      <c r="D1141" s="20"/>
      <c r="E1141" s="20"/>
      <c r="F1141" s="20"/>
      <c r="G1141" s="20"/>
      <c r="H1141" s="375"/>
      <c r="I1141" s="22"/>
      <c r="J1141" s="21"/>
      <c r="K1141" s="19"/>
      <c r="L1141" s="313">
        <v>1</v>
      </c>
      <c r="M1141" s="313">
        <v>2</v>
      </c>
      <c r="N1141" s="335">
        <v>3</v>
      </c>
      <c r="O1141" s="335">
        <v>4</v>
      </c>
      <c r="P1141" s="290">
        <v>5</v>
      </c>
      <c r="Q1141" s="290">
        <v>6</v>
      </c>
      <c r="R1141" s="439"/>
      <c r="S1141" s="290"/>
      <c r="T1141" s="290"/>
      <c r="U1141" s="290"/>
      <c r="V1141" s="474">
        <v>5</v>
      </c>
      <c r="W1141" s="474"/>
      <c r="X1141" s="539"/>
      <c r="Y1141" s="539"/>
      <c r="Z1141" s="541" t="b">
        <f t="shared" si="790"/>
        <v>0</v>
      </c>
      <c r="AA1141" s="514"/>
      <c r="AB1141" s="515">
        <v>7</v>
      </c>
      <c r="AC1141" s="515">
        <v>8</v>
      </c>
      <c r="AD1141" s="515">
        <v>9</v>
      </c>
      <c r="AE1141" s="515">
        <v>10</v>
      </c>
      <c r="AF1141" s="515">
        <v>11</v>
      </c>
      <c r="AG1141" s="515">
        <v>12</v>
      </c>
      <c r="AH1141" s="514"/>
      <c r="AI1141" s="539"/>
      <c r="AJ1141" s="516"/>
      <c r="AK1141" s="516"/>
      <c r="AL1141" s="516"/>
      <c r="AM1141" s="290"/>
      <c r="AO1141" t="b">
        <f t="shared" si="791"/>
        <v>0</v>
      </c>
      <c r="AQ1141" s="439"/>
      <c r="AS1141" s="439"/>
      <c r="AT1141" s="616"/>
      <c r="AU1141" s="474"/>
      <c r="AV1141" s="632"/>
      <c r="AW1141" s="632"/>
      <c r="AX1141" s="655" t="str">
        <f t="shared" si="800"/>
        <v/>
      </c>
      <c r="AY1141" s="655" t="str">
        <f t="shared" si="812"/>
        <v/>
      </c>
      <c r="AZ1141" s="655" t="str">
        <f t="shared" si="801"/>
        <v/>
      </c>
      <c r="BA1141" s="655" t="str">
        <f t="shared" si="813"/>
        <v/>
      </c>
      <c r="BB1141" s="655" t="str">
        <f t="shared" si="798"/>
        <v/>
      </c>
      <c r="BC1141" s="655" t="str">
        <f t="shared" si="798"/>
        <v/>
      </c>
    </row>
    <row r="1142" spans="1:55" ht="12" customHeight="1">
      <c r="A1142" s="355"/>
      <c r="B1142" s="355"/>
      <c r="C1142" s="355"/>
      <c r="D1142" s="355"/>
      <c r="E1142" s="355"/>
      <c r="F1142" s="355"/>
      <c r="G1142" s="355"/>
      <c r="H1142" s="379"/>
      <c r="I1142" s="359"/>
      <c r="J1142" s="356">
        <v>32</v>
      </c>
      <c r="K1142" s="358" t="s">
        <v>103</v>
      </c>
      <c r="L1142" s="315">
        <f t="shared" ref="L1142:S1142" si="821">L1143+L1149+L1154+L1162</f>
        <v>215626</v>
      </c>
      <c r="M1142" s="315">
        <f t="shared" si="821"/>
        <v>28618.488287212156</v>
      </c>
      <c r="N1142" s="337">
        <f t="shared" si="821"/>
        <v>120337</v>
      </c>
      <c r="O1142" s="337">
        <f t="shared" si="821"/>
        <v>15971.464596190857</v>
      </c>
      <c r="P1142" s="292">
        <f t="shared" si="821"/>
        <v>28100</v>
      </c>
      <c r="Q1142" s="292">
        <f t="shared" si="821"/>
        <v>32300</v>
      </c>
      <c r="R1142" s="441">
        <f t="shared" si="821"/>
        <v>31698</v>
      </c>
      <c r="S1142" s="292">
        <f t="shared" si="821"/>
        <v>0</v>
      </c>
      <c r="T1142" s="292"/>
      <c r="U1142" s="292"/>
      <c r="V1142" s="469">
        <f>V1143+V1149+V1154+V1162</f>
        <v>80750</v>
      </c>
      <c r="W1142" s="469">
        <f>W1143+W1149+W1154+W1162</f>
        <v>99800</v>
      </c>
      <c r="X1142" s="522">
        <f>X1143+X1149+X1154+X1162</f>
        <v>116200</v>
      </c>
      <c r="Y1142" s="522">
        <f>Y1143+Y1149+Y1154+Y1162</f>
        <v>0</v>
      </c>
      <c r="Z1142" s="541" t="b">
        <f t="shared" si="790"/>
        <v>1</v>
      </c>
      <c r="AA1142" s="522"/>
      <c r="AB1142" s="523">
        <f>AB1143+AB1149+AB1154+AB1162</f>
        <v>29300</v>
      </c>
      <c r="AC1142" s="523">
        <f>AC1143+AC1149+AC1154+AC1162</f>
        <v>29300</v>
      </c>
      <c r="AD1142" s="524">
        <f>O1142/M1142*100</f>
        <v>55.808204947455323</v>
      </c>
      <c r="AE1142" s="524">
        <f t="shared" ref="AE1142:AF1145" si="822">P1142/O1142*100</f>
        <v>175.93878025877325</v>
      </c>
      <c r="AF1142" s="524">
        <f t="shared" si="822"/>
        <v>114.94661921708185</v>
      </c>
      <c r="AG1142" s="524">
        <f>AB1142/Q1142*100</f>
        <v>90.712074303405572</v>
      </c>
      <c r="AH1142" s="522"/>
      <c r="AI1142" s="522">
        <v>116200</v>
      </c>
      <c r="AJ1142" s="516">
        <f>W1142/R1142*100</f>
        <v>314.84636254653287</v>
      </c>
      <c r="AK1142" s="516">
        <f>AT1142/W1142*100</f>
        <v>114.82965931863727</v>
      </c>
      <c r="AL1142" s="516">
        <f>X1142/AT1142*100</f>
        <v>101.39616055846423</v>
      </c>
      <c r="AM1142" s="292"/>
      <c r="AO1142" t="b">
        <f t="shared" si="791"/>
        <v>1</v>
      </c>
      <c r="AP1142" s="440">
        <f>AP1143+AP1149+AP1154+AP1162</f>
        <v>0</v>
      </c>
      <c r="AQ1142" s="441">
        <v>82434</v>
      </c>
      <c r="AR1142" s="440">
        <f>AR1143+AR1149+AR1154+AR1162</f>
        <v>0</v>
      </c>
      <c r="AS1142" s="441"/>
      <c r="AT1142" s="612">
        <f>AT1143+AT1149+AT1154+AT1162</f>
        <v>114600</v>
      </c>
      <c r="AU1142" s="469">
        <f>AU1143+AU1149+AU1154+AU1162</f>
        <v>114600</v>
      </c>
      <c r="AV1142" s="636">
        <v>116200</v>
      </c>
      <c r="AW1142" s="636">
        <v>116200</v>
      </c>
      <c r="AX1142" s="655">
        <f t="shared" si="800"/>
        <v>361.53700548930533</v>
      </c>
      <c r="AY1142" s="655">
        <f t="shared" si="812"/>
        <v>139.02030715481476</v>
      </c>
      <c r="AZ1142" s="655">
        <f t="shared" si="801"/>
        <v>100</v>
      </c>
      <c r="BA1142" s="655">
        <f t="shared" si="813"/>
        <v>139.02030715481476</v>
      </c>
      <c r="BB1142" s="655">
        <f t="shared" si="798"/>
        <v>101.39616055846423</v>
      </c>
      <c r="BC1142" s="655">
        <f t="shared" si="798"/>
        <v>100</v>
      </c>
    </row>
    <row r="1143" spans="1:55" ht="12" customHeight="1">
      <c r="A1143" s="56"/>
      <c r="B1143" s="56"/>
      <c r="C1143" s="56"/>
      <c r="D1143" s="56"/>
      <c r="E1143" s="56"/>
      <c r="F1143" s="56"/>
      <c r="G1143" s="56"/>
      <c r="H1143" s="377"/>
      <c r="I1143" s="157"/>
      <c r="J1143" s="116">
        <v>321</v>
      </c>
      <c r="K1143" s="60" t="s">
        <v>418</v>
      </c>
      <c r="L1143" s="315">
        <f t="shared" ref="L1143:S1143" si="823">L1144+L1145+L1146+L1147</f>
        <v>13742</v>
      </c>
      <c r="M1143" s="315">
        <f t="shared" si="823"/>
        <v>1823.8768332337911</v>
      </c>
      <c r="N1143" s="337">
        <f t="shared" si="823"/>
        <v>16580</v>
      </c>
      <c r="O1143" s="337">
        <f t="shared" si="823"/>
        <v>2200.5441635144998</v>
      </c>
      <c r="P1143" s="292">
        <f t="shared" si="823"/>
        <v>2900</v>
      </c>
      <c r="Q1143" s="292">
        <f t="shared" si="823"/>
        <v>5700</v>
      </c>
      <c r="R1143" s="441">
        <f t="shared" si="823"/>
        <v>4568</v>
      </c>
      <c r="S1143" s="292">
        <f t="shared" si="823"/>
        <v>0</v>
      </c>
      <c r="T1143" s="292"/>
      <c r="U1143" s="292"/>
      <c r="V1143" s="469">
        <f>V1144+V1145+V1146+V1147</f>
        <v>8550</v>
      </c>
      <c r="W1143" s="469">
        <f>W1144+W1145+W1146+W1147</f>
        <v>6400</v>
      </c>
      <c r="X1143" s="522">
        <f>X1144+X1145+X1146+X1147</f>
        <v>8000</v>
      </c>
      <c r="Y1143" s="522">
        <f>Y1144+Y1145+Y1146+Y1147</f>
        <v>0</v>
      </c>
      <c r="Z1143" s="541" t="b">
        <f t="shared" si="790"/>
        <v>1</v>
      </c>
      <c r="AA1143" s="522"/>
      <c r="AB1143" s="523">
        <f>AB1144+AB1145+AB1146+AB1147</f>
        <v>3500</v>
      </c>
      <c r="AC1143" s="523">
        <f>AC1144+AC1145+AC1146+AC1147</f>
        <v>3500</v>
      </c>
      <c r="AD1143" s="524">
        <f>O1143/M1143*100</f>
        <v>120.65201571823607</v>
      </c>
      <c r="AE1143" s="524">
        <f t="shared" si="822"/>
        <v>131.78558504221957</v>
      </c>
      <c r="AF1143" s="524">
        <f t="shared" si="822"/>
        <v>196.55172413793102</v>
      </c>
      <c r="AG1143" s="524">
        <f>AB1143/Q1143*100</f>
        <v>61.403508771929829</v>
      </c>
      <c r="AH1143" s="522"/>
      <c r="AI1143" s="522">
        <v>8000</v>
      </c>
      <c r="AJ1143" s="516">
        <f>W1143/R1143*100</f>
        <v>140.10507880910683</v>
      </c>
      <c r="AK1143" s="516">
        <f>AT1143/W1143*100</f>
        <v>107.8125</v>
      </c>
      <c r="AL1143" s="516">
        <f>X1143/AT1143*100</f>
        <v>115.94202898550725</v>
      </c>
      <c r="AM1143" s="292"/>
      <c r="AO1143" t="b">
        <f t="shared" si="791"/>
        <v>1</v>
      </c>
      <c r="AP1143" s="440">
        <f>AP1144+AP1145+AP1146+AP1147</f>
        <v>0</v>
      </c>
      <c r="AQ1143" s="441">
        <v>4916</v>
      </c>
      <c r="AR1143" s="440">
        <f>AR1144+AR1145+AR1146+AR1147</f>
        <v>0</v>
      </c>
      <c r="AS1143" s="441"/>
      <c r="AT1143" s="612">
        <f>AT1144+AT1145+AT1146+AT1147</f>
        <v>6900</v>
      </c>
      <c r="AU1143" s="469">
        <f>AU1144+AU1145+AU1146+AU1147</f>
        <v>6900</v>
      </c>
      <c r="AV1143" s="636">
        <v>8000</v>
      </c>
      <c r="AW1143" s="636">
        <v>8000</v>
      </c>
      <c r="AX1143" s="655">
        <f t="shared" si="800"/>
        <v>151.05078809106831</v>
      </c>
      <c r="AY1143" s="655">
        <f t="shared" si="812"/>
        <v>140.3580146460537</v>
      </c>
      <c r="AZ1143" s="655">
        <f t="shared" si="801"/>
        <v>100</v>
      </c>
      <c r="BA1143" s="655">
        <f t="shared" si="813"/>
        <v>140.3580146460537</v>
      </c>
      <c r="BB1143" s="655">
        <f t="shared" si="798"/>
        <v>115.94202898550725</v>
      </c>
      <c r="BC1143" s="655">
        <f t="shared" si="798"/>
        <v>100</v>
      </c>
    </row>
    <row r="1144" spans="1:55" ht="12" customHeight="1">
      <c r="A1144" s="36"/>
      <c r="B1144" s="36"/>
      <c r="C1144" s="36"/>
      <c r="D1144" s="36"/>
      <c r="E1144" s="36"/>
      <c r="F1144" s="36"/>
      <c r="G1144" s="36"/>
      <c r="H1144" s="204">
        <v>214</v>
      </c>
      <c r="I1144" s="132">
        <v>820</v>
      </c>
      <c r="J1144" s="71">
        <v>3211</v>
      </c>
      <c r="K1144" s="40" t="s">
        <v>105</v>
      </c>
      <c r="L1144" s="309">
        <v>3273</v>
      </c>
      <c r="M1144" s="309">
        <f>3273/7.5345</f>
        <v>434.40175194107104</v>
      </c>
      <c r="N1144" s="339">
        <v>4372</v>
      </c>
      <c r="O1144" s="339">
        <f>N1144/7.5345</f>
        <v>580.26411838874503</v>
      </c>
      <c r="P1144" s="294">
        <v>400</v>
      </c>
      <c r="Q1144" s="269">
        <v>1300</v>
      </c>
      <c r="R1144" s="443">
        <v>1936</v>
      </c>
      <c r="S1144" s="294"/>
      <c r="T1144" s="294"/>
      <c r="U1144" s="294"/>
      <c r="V1144" s="478">
        <v>1300</v>
      </c>
      <c r="W1144" s="478">
        <v>1300</v>
      </c>
      <c r="X1144" s="544">
        <v>1500</v>
      </c>
      <c r="Y1144" s="544"/>
      <c r="Z1144" s="541" t="b">
        <f t="shared" si="790"/>
        <v>0</v>
      </c>
      <c r="AA1144" s="527"/>
      <c r="AB1144" s="528">
        <v>500</v>
      </c>
      <c r="AC1144" s="528">
        <v>500</v>
      </c>
      <c r="AD1144" s="524">
        <f>O1144/M1144*100</f>
        <v>133.57775740910478</v>
      </c>
      <c r="AE1144" s="524">
        <f t="shared" si="822"/>
        <v>68.934126258005506</v>
      </c>
      <c r="AF1144" s="524">
        <f t="shared" si="822"/>
        <v>325</v>
      </c>
      <c r="AG1144" s="524">
        <f>AB1144/Q1144*100</f>
        <v>38.461538461538467</v>
      </c>
      <c r="AH1144" s="527"/>
      <c r="AI1144" s="544">
        <v>1500</v>
      </c>
      <c r="AJ1144" s="516">
        <f>W1144/R1144*100</f>
        <v>67.148760330578511</v>
      </c>
      <c r="AK1144" s="516">
        <f>AT1144/W1144*100</f>
        <v>100</v>
      </c>
      <c r="AL1144" s="516">
        <f>X1144/AT1144*100</f>
        <v>115.38461538461537</v>
      </c>
      <c r="AM1144" s="294"/>
      <c r="AO1144" t="b">
        <f t="shared" si="791"/>
        <v>0</v>
      </c>
      <c r="AQ1144" s="443">
        <v>965</v>
      </c>
      <c r="AS1144" s="443"/>
      <c r="AT1144" s="617">
        <v>1300</v>
      </c>
      <c r="AU1144" s="478">
        <v>1300</v>
      </c>
      <c r="AV1144" s="638">
        <v>1500</v>
      </c>
      <c r="AW1144" s="638">
        <v>1500</v>
      </c>
      <c r="AX1144" s="655">
        <f t="shared" si="800"/>
        <v>67.148760330578511</v>
      </c>
      <c r="AY1144" s="655">
        <f t="shared" si="812"/>
        <v>134.71502590673575</v>
      </c>
      <c r="AZ1144" s="655">
        <f t="shared" si="801"/>
        <v>100</v>
      </c>
      <c r="BA1144" s="655">
        <f t="shared" si="813"/>
        <v>134.71502590673575</v>
      </c>
      <c r="BB1144" s="655">
        <f t="shared" si="798"/>
        <v>115.38461538461537</v>
      </c>
      <c r="BC1144" s="655">
        <f t="shared" si="798"/>
        <v>100</v>
      </c>
    </row>
    <row r="1145" spans="1:55" ht="12" customHeight="1">
      <c r="A1145" s="36"/>
      <c r="B1145" s="36"/>
      <c r="C1145" s="36"/>
      <c r="D1145" s="36"/>
      <c r="E1145" s="36"/>
      <c r="F1145" s="36"/>
      <c r="G1145" s="36"/>
      <c r="H1145" s="244" t="s">
        <v>604</v>
      </c>
      <c r="I1145" s="166">
        <v>820</v>
      </c>
      <c r="J1145" s="134">
        <v>3212</v>
      </c>
      <c r="K1145" s="135" t="s">
        <v>184</v>
      </c>
      <c r="L1145" s="324">
        <v>10469</v>
      </c>
      <c r="M1145" s="324">
        <f>10469/7.5345</f>
        <v>1389.47508129272</v>
      </c>
      <c r="N1145" s="348">
        <v>12208</v>
      </c>
      <c r="O1145" s="339">
        <f>N1145/7.5345</f>
        <v>1620.2800451257547</v>
      </c>
      <c r="P1145" s="303">
        <v>2000</v>
      </c>
      <c r="Q1145" s="372">
        <v>4200</v>
      </c>
      <c r="R1145" s="460">
        <v>2632</v>
      </c>
      <c r="S1145" s="303"/>
      <c r="T1145" s="303"/>
      <c r="U1145" s="303"/>
      <c r="V1145" s="484">
        <v>4600</v>
      </c>
      <c r="W1145" s="484">
        <v>4600</v>
      </c>
      <c r="X1145" s="554">
        <v>4800</v>
      </c>
      <c r="Y1145" s="554"/>
      <c r="Z1145" s="541" t="b">
        <f t="shared" si="790"/>
        <v>0</v>
      </c>
      <c r="AA1145" s="555"/>
      <c r="AB1145" s="556">
        <v>2500</v>
      </c>
      <c r="AC1145" s="556">
        <v>2500</v>
      </c>
      <c r="AD1145" s="524">
        <f>O1145/M1145*100</f>
        <v>116.61094660426019</v>
      </c>
      <c r="AE1145" s="524">
        <f t="shared" si="822"/>
        <v>123.43545216251638</v>
      </c>
      <c r="AF1145" s="524">
        <f t="shared" si="822"/>
        <v>210</v>
      </c>
      <c r="AG1145" s="524">
        <f>AB1145/Q1145*100</f>
        <v>59.523809523809526</v>
      </c>
      <c r="AH1145" s="555"/>
      <c r="AI1145" s="554">
        <v>4800</v>
      </c>
      <c r="AJ1145" s="516">
        <f>W1145/R1145*100</f>
        <v>174.77203647416414</v>
      </c>
      <c r="AK1145" s="516">
        <f>AT1145/W1145*100</f>
        <v>100</v>
      </c>
      <c r="AL1145" s="516">
        <f>X1145/AT1145*100</f>
        <v>104.34782608695652</v>
      </c>
      <c r="AM1145" s="303"/>
      <c r="AO1145" t="b">
        <f t="shared" si="791"/>
        <v>0</v>
      </c>
      <c r="AQ1145" s="460">
        <v>3951</v>
      </c>
      <c r="AS1145" s="460"/>
      <c r="AT1145" s="619">
        <v>4600</v>
      </c>
      <c r="AU1145" s="484">
        <v>4600</v>
      </c>
      <c r="AV1145" s="646">
        <v>4800</v>
      </c>
      <c r="AW1145" s="646">
        <v>4800</v>
      </c>
      <c r="AX1145" s="655">
        <f t="shared" si="800"/>
        <v>174.77203647416414</v>
      </c>
      <c r="AY1145" s="655">
        <f t="shared" si="812"/>
        <v>116.42622120982028</v>
      </c>
      <c r="AZ1145" s="655">
        <f t="shared" si="801"/>
        <v>100</v>
      </c>
      <c r="BA1145" s="655">
        <f t="shared" si="813"/>
        <v>116.42622120982028</v>
      </c>
      <c r="BB1145" s="655">
        <f t="shared" si="798"/>
        <v>104.34782608695652</v>
      </c>
      <c r="BC1145" s="655">
        <f t="shared" si="798"/>
        <v>100</v>
      </c>
    </row>
    <row r="1146" spans="1:55" ht="12" customHeight="1">
      <c r="A1146" s="36"/>
      <c r="B1146" s="36"/>
      <c r="C1146" s="36"/>
      <c r="D1146" s="36"/>
      <c r="E1146" s="36"/>
      <c r="F1146" s="36"/>
      <c r="G1146" s="36"/>
      <c r="H1146" s="244" t="s">
        <v>646</v>
      </c>
      <c r="I1146" s="166">
        <v>820</v>
      </c>
      <c r="J1146" s="134">
        <v>3213</v>
      </c>
      <c r="K1146" s="135" t="s">
        <v>107</v>
      </c>
      <c r="L1146" s="324">
        <v>0</v>
      </c>
      <c r="M1146" s="324">
        <v>0</v>
      </c>
      <c r="N1146" s="348">
        <v>0</v>
      </c>
      <c r="O1146" s="339">
        <f>N1146/7.5345</f>
        <v>0</v>
      </c>
      <c r="P1146" s="303">
        <v>300</v>
      </c>
      <c r="Q1146" s="372">
        <v>0</v>
      </c>
      <c r="R1146" s="460">
        <v>0</v>
      </c>
      <c r="S1146" s="303"/>
      <c r="T1146" s="303"/>
      <c r="U1146" s="303"/>
      <c r="V1146" s="484">
        <v>1650</v>
      </c>
      <c r="W1146" s="484">
        <v>0</v>
      </c>
      <c r="X1146" s="554">
        <v>500</v>
      </c>
      <c r="Y1146" s="554"/>
      <c r="Z1146" s="541" t="b">
        <f t="shared" si="790"/>
        <v>0</v>
      </c>
      <c r="AA1146" s="555"/>
      <c r="AB1146" s="556">
        <v>300</v>
      </c>
      <c r="AC1146" s="556">
        <v>300</v>
      </c>
      <c r="AD1146" s="524"/>
      <c r="AE1146" s="524"/>
      <c r="AF1146" s="524"/>
      <c r="AG1146" s="524"/>
      <c r="AH1146" s="555"/>
      <c r="AI1146" s="554">
        <v>500</v>
      </c>
      <c r="AJ1146" s="516"/>
      <c r="AK1146" s="516"/>
      <c r="AL1146" s="516"/>
      <c r="AM1146" s="303"/>
      <c r="AO1146" t="b">
        <f t="shared" si="791"/>
        <v>0</v>
      </c>
      <c r="AQ1146" s="460"/>
      <c r="AS1146" s="460"/>
      <c r="AT1146" s="619">
        <v>0</v>
      </c>
      <c r="AU1146" s="484">
        <v>0</v>
      </c>
      <c r="AV1146" s="646">
        <v>500</v>
      </c>
      <c r="AW1146" s="646">
        <v>500</v>
      </c>
      <c r="AX1146" s="655" t="str">
        <f t="shared" si="800"/>
        <v/>
      </c>
      <c r="AY1146" s="655" t="str">
        <f t="shared" si="812"/>
        <v/>
      </c>
      <c r="AZ1146" s="655" t="str">
        <f t="shared" si="801"/>
        <v/>
      </c>
      <c r="BA1146" s="655" t="str">
        <f t="shared" si="813"/>
        <v/>
      </c>
      <c r="BB1146" s="655" t="str">
        <f t="shared" si="798"/>
        <v/>
      </c>
      <c r="BC1146" s="655">
        <f t="shared" si="798"/>
        <v>100</v>
      </c>
    </row>
    <row r="1147" spans="1:55" ht="12" customHeight="1">
      <c r="A1147" s="36"/>
      <c r="B1147" s="36"/>
      <c r="C1147" s="36"/>
      <c r="D1147" s="36"/>
      <c r="E1147" s="36"/>
      <c r="F1147" s="36"/>
      <c r="G1147" s="36"/>
      <c r="H1147" s="244" t="s">
        <v>605</v>
      </c>
      <c r="I1147" s="166">
        <v>820</v>
      </c>
      <c r="J1147" s="134">
        <v>3214</v>
      </c>
      <c r="K1147" s="135" t="s">
        <v>186</v>
      </c>
      <c r="L1147" s="324">
        <v>0</v>
      </c>
      <c r="M1147" s="324">
        <v>0</v>
      </c>
      <c r="N1147" s="348">
        <v>0</v>
      </c>
      <c r="O1147" s="339">
        <f>N1147/7.5345</f>
        <v>0</v>
      </c>
      <c r="P1147" s="303">
        <v>200</v>
      </c>
      <c r="Q1147" s="303">
        <v>200</v>
      </c>
      <c r="R1147" s="460">
        <v>0</v>
      </c>
      <c r="S1147" s="303"/>
      <c r="T1147" s="303"/>
      <c r="U1147" s="303"/>
      <c r="V1147" s="484">
        <v>1000</v>
      </c>
      <c r="W1147" s="484">
        <v>500</v>
      </c>
      <c r="X1147" s="554">
        <v>1200</v>
      </c>
      <c r="Y1147" s="554"/>
      <c r="Z1147" s="541" t="b">
        <f t="shared" si="790"/>
        <v>0</v>
      </c>
      <c r="AA1147" s="555"/>
      <c r="AB1147" s="556">
        <v>200</v>
      </c>
      <c r="AC1147" s="556">
        <v>200</v>
      </c>
      <c r="AD1147" s="524"/>
      <c r="AE1147" s="524"/>
      <c r="AF1147" s="524"/>
      <c r="AG1147" s="524"/>
      <c r="AH1147" s="555"/>
      <c r="AI1147" s="554">
        <v>1200</v>
      </c>
      <c r="AJ1147" s="516"/>
      <c r="AK1147" s="516">
        <f>AT1147/W1147*100</f>
        <v>200</v>
      </c>
      <c r="AL1147" s="516">
        <f>X1147/AT1147*100</f>
        <v>120</v>
      </c>
      <c r="AM1147" s="303"/>
      <c r="AO1147" t="b">
        <f t="shared" si="791"/>
        <v>0</v>
      </c>
      <c r="AQ1147" s="460"/>
      <c r="AS1147" s="460"/>
      <c r="AT1147" s="619">
        <v>1000</v>
      </c>
      <c r="AU1147" s="484">
        <v>1000</v>
      </c>
      <c r="AV1147" s="646">
        <v>1200</v>
      </c>
      <c r="AW1147" s="646">
        <v>1200</v>
      </c>
      <c r="AX1147" s="655" t="str">
        <f t="shared" si="800"/>
        <v/>
      </c>
      <c r="AY1147" s="655" t="str">
        <f t="shared" si="812"/>
        <v/>
      </c>
      <c r="AZ1147" s="655">
        <f t="shared" si="801"/>
        <v>100</v>
      </c>
      <c r="BA1147" s="655" t="str">
        <f t="shared" si="813"/>
        <v/>
      </c>
      <c r="BB1147" s="655">
        <f t="shared" si="798"/>
        <v>120</v>
      </c>
      <c r="BC1147" s="655">
        <f t="shared" si="798"/>
        <v>100</v>
      </c>
    </row>
    <row r="1148" spans="1:55" ht="12" customHeight="1">
      <c r="A1148" s="25"/>
      <c r="B1148" s="25"/>
      <c r="C1148" s="25"/>
      <c r="D1148" s="25"/>
      <c r="E1148" s="25"/>
      <c r="F1148" s="25"/>
      <c r="G1148" s="25"/>
      <c r="H1148" s="411"/>
      <c r="I1148" s="194"/>
      <c r="J1148" s="195"/>
      <c r="K1148" s="195"/>
      <c r="L1148" s="329"/>
      <c r="M1148" s="329"/>
      <c r="N1148" s="353"/>
      <c r="O1148" s="353"/>
      <c r="P1148" s="308"/>
      <c r="Q1148" s="308"/>
      <c r="R1148" s="464"/>
      <c r="S1148" s="308"/>
      <c r="T1148" s="308"/>
      <c r="U1148" s="308"/>
      <c r="V1148" s="491"/>
      <c r="W1148" s="491"/>
      <c r="X1148" s="569"/>
      <c r="Y1148" s="569"/>
      <c r="Z1148" s="541" t="b">
        <f t="shared" si="790"/>
        <v>0</v>
      </c>
      <c r="AA1148" s="570"/>
      <c r="AB1148" s="571"/>
      <c r="AC1148" s="571"/>
      <c r="AD1148" s="524"/>
      <c r="AE1148" s="524"/>
      <c r="AF1148" s="524"/>
      <c r="AG1148" s="524"/>
      <c r="AH1148" s="570"/>
      <c r="AI1148" s="569"/>
      <c r="AJ1148" s="516"/>
      <c r="AK1148" s="516"/>
      <c r="AL1148" s="516"/>
      <c r="AM1148" s="308"/>
      <c r="AO1148" t="b">
        <f t="shared" si="791"/>
        <v>0</v>
      </c>
      <c r="AQ1148" s="464"/>
      <c r="AS1148" s="464"/>
      <c r="AT1148" s="621"/>
      <c r="AU1148" s="491"/>
      <c r="AV1148" s="651"/>
      <c r="AW1148" s="651"/>
      <c r="AX1148" s="655" t="str">
        <f t="shared" si="800"/>
        <v/>
      </c>
      <c r="AY1148" s="655" t="str">
        <f t="shared" si="812"/>
        <v/>
      </c>
      <c r="AZ1148" s="655" t="str">
        <f t="shared" si="801"/>
        <v/>
      </c>
      <c r="BA1148" s="655" t="str">
        <f t="shared" si="813"/>
        <v/>
      </c>
      <c r="BB1148" s="655" t="str">
        <f t="shared" si="798"/>
        <v/>
      </c>
      <c r="BC1148" s="655" t="str">
        <f t="shared" si="798"/>
        <v/>
      </c>
    </row>
    <row r="1149" spans="1:55" ht="12" customHeight="1">
      <c r="A1149" s="56"/>
      <c r="B1149" s="56"/>
      <c r="C1149" s="56"/>
      <c r="D1149" s="56"/>
      <c r="E1149" s="56"/>
      <c r="F1149" s="56"/>
      <c r="G1149" s="56"/>
      <c r="H1149" s="381"/>
      <c r="I1149" s="191"/>
      <c r="J1149" s="126">
        <v>322</v>
      </c>
      <c r="K1149" s="127" t="s">
        <v>313</v>
      </c>
      <c r="L1149" s="320">
        <f t="shared" ref="L1149:S1149" si="824">L1150+L1151+L1152</f>
        <v>3618</v>
      </c>
      <c r="M1149" s="320">
        <f t="shared" si="824"/>
        <v>480.19112084411699</v>
      </c>
      <c r="N1149" s="344">
        <f t="shared" si="824"/>
        <v>6244</v>
      </c>
      <c r="O1149" s="344">
        <f t="shared" si="824"/>
        <v>828.721215740925</v>
      </c>
      <c r="P1149" s="299">
        <f t="shared" si="824"/>
        <v>2100</v>
      </c>
      <c r="Q1149" s="299">
        <f t="shared" si="824"/>
        <v>2800</v>
      </c>
      <c r="R1149" s="447">
        <f t="shared" si="824"/>
        <v>2455</v>
      </c>
      <c r="S1149" s="299">
        <f t="shared" si="824"/>
        <v>0</v>
      </c>
      <c r="T1149" s="299"/>
      <c r="U1149" s="299"/>
      <c r="V1149" s="477">
        <f>V1150+V1151+V1152</f>
        <v>4200</v>
      </c>
      <c r="W1149" s="477">
        <f>W1150+W1151+W1152</f>
        <v>3900</v>
      </c>
      <c r="X1149" s="542">
        <f>X1150+X1151+X1152</f>
        <v>5700</v>
      </c>
      <c r="Y1149" s="542">
        <f>Y1150+Y1151+Y1152</f>
        <v>0</v>
      </c>
      <c r="Z1149" s="541" t="b">
        <f t="shared" si="790"/>
        <v>1</v>
      </c>
      <c r="AA1149" s="542"/>
      <c r="AB1149" s="543">
        <f>AB1150+AB1151+AB1152</f>
        <v>2300</v>
      </c>
      <c r="AC1149" s="543">
        <f>AC1150+AC1151+AC1152</f>
        <v>2300</v>
      </c>
      <c r="AD1149" s="524">
        <f>O1149/M1149*100</f>
        <v>172.58153676064126</v>
      </c>
      <c r="AE1149" s="524">
        <f t="shared" ref="AE1149:AF1151" si="825">P1149/O1149*100</f>
        <v>253.40246636771303</v>
      </c>
      <c r="AF1149" s="524">
        <f t="shared" si="825"/>
        <v>133.33333333333331</v>
      </c>
      <c r="AG1149" s="524">
        <f>AB1149/Q1149*100</f>
        <v>82.142857142857139</v>
      </c>
      <c r="AH1149" s="542"/>
      <c r="AI1149" s="542">
        <v>5700</v>
      </c>
      <c r="AJ1149" s="516">
        <f>W1149/R1149*100</f>
        <v>158.85947046843177</v>
      </c>
      <c r="AK1149" s="516">
        <f>AT1149/W1149*100</f>
        <v>138.46153846153845</v>
      </c>
      <c r="AL1149" s="516">
        <f>X1149/AT1149*100</f>
        <v>105.55555555555556</v>
      </c>
      <c r="AM1149" s="299"/>
      <c r="AO1149" t="b">
        <f t="shared" si="791"/>
        <v>1</v>
      </c>
      <c r="AP1149" s="503">
        <f>AP1150+AP1151+AP1152</f>
        <v>0</v>
      </c>
      <c r="AQ1149" s="447">
        <v>2488</v>
      </c>
      <c r="AR1149" s="503">
        <f>AR1150+AR1151+AR1152</f>
        <v>0</v>
      </c>
      <c r="AS1149" s="447"/>
      <c r="AT1149" s="611">
        <f>AT1150+AT1151+AT1152</f>
        <v>5400</v>
      </c>
      <c r="AU1149" s="477">
        <f>AU1150+AU1151+AU1152</f>
        <v>5400</v>
      </c>
      <c r="AV1149" s="643">
        <v>5700</v>
      </c>
      <c r="AW1149" s="643">
        <v>5700</v>
      </c>
      <c r="AX1149" s="655">
        <f t="shared" si="800"/>
        <v>219.95926680244398</v>
      </c>
      <c r="AY1149" s="655">
        <f t="shared" si="812"/>
        <v>217.04180064308679</v>
      </c>
      <c r="AZ1149" s="655">
        <f t="shared" si="801"/>
        <v>100</v>
      </c>
      <c r="BA1149" s="655">
        <f t="shared" si="813"/>
        <v>217.04180064308679</v>
      </c>
      <c r="BB1149" s="655">
        <f t="shared" si="798"/>
        <v>105.55555555555556</v>
      </c>
      <c r="BC1149" s="655">
        <f t="shared" si="798"/>
        <v>100</v>
      </c>
    </row>
    <row r="1150" spans="1:55" ht="12" customHeight="1">
      <c r="A1150" s="36"/>
      <c r="B1150" s="36"/>
      <c r="C1150" s="36"/>
      <c r="D1150" s="36"/>
      <c r="E1150" s="36"/>
      <c r="F1150" s="36"/>
      <c r="G1150" s="36"/>
      <c r="H1150" s="204">
        <v>217</v>
      </c>
      <c r="I1150" s="132">
        <v>820</v>
      </c>
      <c r="J1150" s="71">
        <v>3221</v>
      </c>
      <c r="K1150" s="40" t="s">
        <v>419</v>
      </c>
      <c r="L1150" s="309">
        <v>2826</v>
      </c>
      <c r="M1150" s="309">
        <f>2826/7.5345</f>
        <v>375.07465657973319</v>
      </c>
      <c r="N1150" s="339">
        <v>1039</v>
      </c>
      <c r="O1150" s="339">
        <f>N1150/7.5345</f>
        <v>137.89899794279646</v>
      </c>
      <c r="P1150" s="294">
        <v>700</v>
      </c>
      <c r="Q1150" s="294">
        <v>700</v>
      </c>
      <c r="R1150" s="443">
        <v>850</v>
      </c>
      <c r="S1150" s="294"/>
      <c r="T1150" s="294"/>
      <c r="U1150" s="294"/>
      <c r="V1150" s="478">
        <v>700</v>
      </c>
      <c r="W1150" s="478">
        <v>1300</v>
      </c>
      <c r="X1150" s="544">
        <v>1500</v>
      </c>
      <c r="Y1150" s="544"/>
      <c r="Z1150" s="541" t="b">
        <f t="shared" si="790"/>
        <v>0</v>
      </c>
      <c r="AA1150" s="527"/>
      <c r="AB1150" s="528">
        <v>800</v>
      </c>
      <c r="AC1150" s="528">
        <v>800</v>
      </c>
      <c r="AD1150" s="524">
        <f>O1150/M1150*100</f>
        <v>36.765746638358102</v>
      </c>
      <c r="AE1150" s="524">
        <f t="shared" si="825"/>
        <v>507.61790182868145</v>
      </c>
      <c r="AF1150" s="524">
        <f t="shared" si="825"/>
        <v>100</v>
      </c>
      <c r="AG1150" s="524">
        <f>AB1150/Q1150*100</f>
        <v>114.28571428571428</v>
      </c>
      <c r="AH1150" s="527"/>
      <c r="AI1150" s="544">
        <v>1500</v>
      </c>
      <c r="AJ1150" s="516">
        <f>W1150/R1150*100</f>
        <v>152.94117647058823</v>
      </c>
      <c r="AK1150" s="516">
        <f>AT1150/W1150*100</f>
        <v>100</v>
      </c>
      <c r="AL1150" s="516">
        <f>X1150/AT1150*100</f>
        <v>115.38461538461537</v>
      </c>
      <c r="AM1150" s="294"/>
      <c r="AO1150" t="b">
        <f t="shared" si="791"/>
        <v>0</v>
      </c>
      <c r="AQ1150" s="443">
        <v>1467</v>
      </c>
      <c r="AS1150" s="443"/>
      <c r="AT1150" s="617">
        <v>1300</v>
      </c>
      <c r="AU1150" s="478">
        <v>1300</v>
      </c>
      <c r="AV1150" s="638">
        <v>1500</v>
      </c>
      <c r="AW1150" s="638">
        <v>1500</v>
      </c>
      <c r="AX1150" s="655">
        <f t="shared" si="800"/>
        <v>152.94117647058823</v>
      </c>
      <c r="AY1150" s="655">
        <f t="shared" si="812"/>
        <v>88.616223585548738</v>
      </c>
      <c r="AZ1150" s="655">
        <f t="shared" si="801"/>
        <v>100</v>
      </c>
      <c r="BA1150" s="655">
        <f t="shared" si="813"/>
        <v>88.616223585548738</v>
      </c>
      <c r="BB1150" s="655">
        <f t="shared" si="798"/>
        <v>115.38461538461537</v>
      </c>
      <c r="BC1150" s="655">
        <f t="shared" si="798"/>
        <v>100</v>
      </c>
    </row>
    <row r="1151" spans="1:55" ht="12" customHeight="1">
      <c r="A1151" s="36"/>
      <c r="B1151" s="36"/>
      <c r="C1151" s="36"/>
      <c r="D1151" s="36"/>
      <c r="E1151" s="36"/>
      <c r="F1151" s="36"/>
      <c r="G1151" s="36"/>
      <c r="H1151" s="204">
        <v>219</v>
      </c>
      <c r="I1151" s="132">
        <v>820</v>
      </c>
      <c r="J1151" s="71">
        <v>3224</v>
      </c>
      <c r="K1151" s="40" t="s">
        <v>434</v>
      </c>
      <c r="L1151" s="309">
        <v>792</v>
      </c>
      <c r="M1151" s="309">
        <f>792/7.5345</f>
        <v>105.11646426438382</v>
      </c>
      <c r="N1151" s="339">
        <v>2823</v>
      </c>
      <c r="O1151" s="339">
        <f>N1151/7.5345</f>
        <v>374.67648815448933</v>
      </c>
      <c r="P1151" s="294">
        <v>700</v>
      </c>
      <c r="Q1151" s="269">
        <v>1000</v>
      </c>
      <c r="R1151" s="443">
        <v>1580</v>
      </c>
      <c r="S1151" s="294"/>
      <c r="T1151" s="294"/>
      <c r="U1151" s="294"/>
      <c r="V1151" s="478">
        <v>1000</v>
      </c>
      <c r="W1151" s="478">
        <v>1600</v>
      </c>
      <c r="X1151" s="544">
        <v>1700</v>
      </c>
      <c r="Y1151" s="544"/>
      <c r="Z1151" s="541" t="b">
        <f t="shared" si="790"/>
        <v>0</v>
      </c>
      <c r="AA1151" s="527"/>
      <c r="AB1151" s="528">
        <v>700</v>
      </c>
      <c r="AC1151" s="528">
        <v>700</v>
      </c>
      <c r="AD1151" s="524">
        <f>O1151/M1151*100</f>
        <v>356.43939393939399</v>
      </c>
      <c r="AE1151" s="524">
        <f t="shared" si="825"/>
        <v>186.82784272051009</v>
      </c>
      <c r="AF1151" s="524">
        <f t="shared" si="825"/>
        <v>142.85714285714286</v>
      </c>
      <c r="AG1151" s="524">
        <f>AB1151/Q1151*100</f>
        <v>70</v>
      </c>
      <c r="AH1151" s="527"/>
      <c r="AI1151" s="544">
        <v>1700</v>
      </c>
      <c r="AJ1151" s="516">
        <f>W1151/R1151*100</f>
        <v>101.26582278481013</v>
      </c>
      <c r="AK1151" s="516">
        <f>AT1151/W1151*100</f>
        <v>100</v>
      </c>
      <c r="AL1151" s="516">
        <f>X1151/AT1151*100</f>
        <v>106.25</v>
      </c>
      <c r="AM1151" s="294"/>
      <c r="AO1151" t="b">
        <f t="shared" si="791"/>
        <v>0</v>
      </c>
      <c r="AQ1151" s="443">
        <v>999</v>
      </c>
      <c r="AS1151" s="443"/>
      <c r="AT1151" s="617">
        <v>1600</v>
      </c>
      <c r="AU1151" s="478">
        <v>1600</v>
      </c>
      <c r="AV1151" s="638">
        <v>1700</v>
      </c>
      <c r="AW1151" s="638">
        <v>1700</v>
      </c>
      <c r="AX1151" s="655">
        <f t="shared" si="800"/>
        <v>101.26582278481013</v>
      </c>
      <c r="AY1151" s="655">
        <f t="shared" si="812"/>
        <v>160.16016016016016</v>
      </c>
      <c r="AZ1151" s="655">
        <f t="shared" si="801"/>
        <v>100</v>
      </c>
      <c r="BA1151" s="655">
        <f t="shared" si="813"/>
        <v>160.16016016016016</v>
      </c>
      <c r="BB1151" s="655">
        <f t="shared" si="798"/>
        <v>106.25</v>
      </c>
      <c r="BC1151" s="655">
        <f t="shared" si="798"/>
        <v>100</v>
      </c>
    </row>
    <row r="1152" spans="1:55" ht="12" customHeight="1">
      <c r="A1152" s="25"/>
      <c r="B1152" s="25"/>
      <c r="C1152" s="25"/>
      <c r="D1152" s="25"/>
      <c r="E1152" s="25"/>
      <c r="F1152" s="25"/>
      <c r="G1152" s="25"/>
      <c r="H1152" s="204" t="s">
        <v>716</v>
      </c>
      <c r="I1152" s="132">
        <v>820</v>
      </c>
      <c r="J1152" s="71">
        <v>3225</v>
      </c>
      <c r="K1152" s="40" t="s">
        <v>190</v>
      </c>
      <c r="L1152" s="310">
        <v>0</v>
      </c>
      <c r="M1152" s="310">
        <v>0</v>
      </c>
      <c r="N1152" s="340">
        <v>2382</v>
      </c>
      <c r="O1152" s="339">
        <f>N1152/7.5345</f>
        <v>316.14572964363924</v>
      </c>
      <c r="P1152" s="295">
        <v>700</v>
      </c>
      <c r="Q1152" s="370">
        <v>1100</v>
      </c>
      <c r="R1152" s="444">
        <v>25</v>
      </c>
      <c r="S1152" s="295"/>
      <c r="T1152" s="295"/>
      <c r="U1152" s="295"/>
      <c r="V1152" s="482">
        <v>2500</v>
      </c>
      <c r="W1152" s="482">
        <v>1000</v>
      </c>
      <c r="X1152" s="550">
        <v>2500</v>
      </c>
      <c r="Y1152" s="550"/>
      <c r="Z1152" s="541" t="b">
        <f t="shared" ref="Z1152:Z1217" si="826">__xlfn.ISFORMULA(R1152)</f>
        <v>0</v>
      </c>
      <c r="AA1152" s="529"/>
      <c r="AB1152" s="530">
        <v>800</v>
      </c>
      <c r="AC1152" s="530">
        <v>800</v>
      </c>
      <c r="AD1152" s="524"/>
      <c r="AE1152" s="524"/>
      <c r="AF1152" s="524"/>
      <c r="AG1152" s="524"/>
      <c r="AH1152" s="529"/>
      <c r="AI1152" s="550">
        <v>2500</v>
      </c>
      <c r="AJ1152" s="516">
        <f>W1152/R1152*100</f>
        <v>4000</v>
      </c>
      <c r="AK1152" s="516">
        <f>AT1152/W1152*100</f>
        <v>250</v>
      </c>
      <c r="AL1152" s="516">
        <f>X1152/AT1152*100</f>
        <v>100</v>
      </c>
      <c r="AM1152" s="295"/>
      <c r="AO1152" t="b">
        <f t="shared" ref="AO1152:AO1219" si="827">__xlfn.ISFORMULA(AT1152)</f>
        <v>0</v>
      </c>
      <c r="AQ1152" s="444">
        <v>22</v>
      </c>
      <c r="AS1152" s="444"/>
      <c r="AT1152" s="617">
        <v>2500</v>
      </c>
      <c r="AU1152" s="482">
        <v>2500</v>
      </c>
      <c r="AV1152" s="639">
        <v>2500</v>
      </c>
      <c r="AW1152" s="639">
        <v>2500</v>
      </c>
      <c r="AX1152" s="655">
        <f t="shared" si="800"/>
        <v>10000</v>
      </c>
      <c r="AY1152" s="655">
        <f t="shared" si="812"/>
        <v>11363.636363636364</v>
      </c>
      <c r="AZ1152" s="655">
        <f t="shared" si="801"/>
        <v>100</v>
      </c>
      <c r="BA1152" s="655">
        <f t="shared" si="813"/>
        <v>11363.636363636364</v>
      </c>
      <c r="BB1152" s="655">
        <f t="shared" si="798"/>
        <v>100</v>
      </c>
      <c r="BC1152" s="655">
        <f t="shared" si="798"/>
        <v>100</v>
      </c>
    </row>
    <row r="1153" spans="1:55" ht="12" customHeight="1">
      <c r="A1153" s="25"/>
      <c r="B1153" s="25"/>
      <c r="C1153" s="25"/>
      <c r="D1153" s="25"/>
      <c r="E1153" s="25"/>
      <c r="F1153" s="25"/>
      <c r="G1153" s="25"/>
      <c r="H1153" s="204"/>
      <c r="I1153" s="132"/>
      <c r="J1153" s="71"/>
      <c r="K1153" s="40"/>
      <c r="L1153" s="310"/>
      <c r="M1153" s="310"/>
      <c r="N1153" s="340"/>
      <c r="O1153" s="340"/>
      <c r="P1153" s="295"/>
      <c r="Q1153" s="295"/>
      <c r="R1153" s="444"/>
      <c r="S1153" s="295"/>
      <c r="T1153" s="295"/>
      <c r="U1153" s="295"/>
      <c r="V1153" s="482"/>
      <c r="W1153" s="482"/>
      <c r="X1153" s="550"/>
      <c r="Y1153" s="550"/>
      <c r="Z1153" s="541" t="b">
        <f t="shared" si="826"/>
        <v>0</v>
      </c>
      <c r="AA1153" s="529"/>
      <c r="AB1153" s="530"/>
      <c r="AC1153" s="530"/>
      <c r="AD1153" s="524"/>
      <c r="AE1153" s="524"/>
      <c r="AF1153" s="524"/>
      <c r="AG1153" s="524"/>
      <c r="AH1153" s="529"/>
      <c r="AI1153" s="550"/>
      <c r="AJ1153" s="516"/>
      <c r="AK1153" s="516"/>
      <c r="AL1153" s="516"/>
      <c r="AM1153" s="295"/>
      <c r="AO1153" t="b">
        <f t="shared" si="827"/>
        <v>0</v>
      </c>
      <c r="AQ1153" s="444"/>
      <c r="AS1153" s="444"/>
      <c r="AT1153" s="617"/>
      <c r="AU1153" s="482"/>
      <c r="AV1153" s="639"/>
      <c r="AW1153" s="639"/>
      <c r="AX1153" s="655" t="str">
        <f t="shared" si="800"/>
        <v/>
      </c>
      <c r="AY1153" s="655" t="str">
        <f t="shared" si="812"/>
        <v/>
      </c>
      <c r="AZ1153" s="655" t="str">
        <f t="shared" si="801"/>
        <v/>
      </c>
      <c r="BA1153" s="655" t="str">
        <f t="shared" si="813"/>
        <v/>
      </c>
      <c r="BB1153" s="655" t="str">
        <f t="shared" si="798"/>
        <v/>
      </c>
      <c r="BC1153" s="655" t="str">
        <f t="shared" si="798"/>
        <v/>
      </c>
    </row>
    <row r="1154" spans="1:55" ht="12" customHeight="1">
      <c r="A1154" s="56"/>
      <c r="B1154" s="56"/>
      <c r="C1154" s="56"/>
      <c r="D1154" s="56"/>
      <c r="E1154" s="56"/>
      <c r="F1154" s="56"/>
      <c r="G1154" s="56"/>
      <c r="H1154" s="377"/>
      <c r="I1154" s="157"/>
      <c r="J1154" s="116">
        <v>323</v>
      </c>
      <c r="K1154" s="60" t="s">
        <v>191</v>
      </c>
      <c r="L1154" s="315">
        <f t="shared" ref="L1154:S1154" si="828">L1155+L1156+L1157+L1158+L1159+L1160</f>
        <v>120891</v>
      </c>
      <c r="M1154" s="315">
        <f t="shared" si="828"/>
        <v>16044.993032052558</v>
      </c>
      <c r="N1154" s="337">
        <f t="shared" si="828"/>
        <v>73587</v>
      </c>
      <c r="O1154" s="337">
        <f t="shared" si="828"/>
        <v>9766.6733028070885</v>
      </c>
      <c r="P1154" s="292">
        <f t="shared" si="828"/>
        <v>16400</v>
      </c>
      <c r="Q1154" s="292">
        <f t="shared" si="828"/>
        <v>18900</v>
      </c>
      <c r="R1154" s="441">
        <f t="shared" si="828"/>
        <v>17566</v>
      </c>
      <c r="S1154" s="292">
        <f t="shared" si="828"/>
        <v>0</v>
      </c>
      <c r="T1154" s="292"/>
      <c r="U1154" s="292"/>
      <c r="V1154" s="469">
        <f>V1155+V1156+V1157+V1158+V1159+V1160</f>
        <v>62100</v>
      </c>
      <c r="W1154" s="469">
        <f>W1155+W1156+W1157+W1158+W1159+W1160</f>
        <v>81600</v>
      </c>
      <c r="X1154" s="522">
        <f>X1155+X1156+X1157+X1158+X1159+X1160</f>
        <v>90400</v>
      </c>
      <c r="Y1154" s="522">
        <f>Y1155+Y1156+Y1157+Y1158+Y1159+Y1160</f>
        <v>0</v>
      </c>
      <c r="Z1154" s="541" t="b">
        <f t="shared" si="826"/>
        <v>1</v>
      </c>
      <c r="AA1154" s="522"/>
      <c r="AB1154" s="523">
        <f>AB1155+AB1156+AB1157+AB1158+AB1159+AB1160</f>
        <v>16800</v>
      </c>
      <c r="AC1154" s="523">
        <f>AC1155+AC1156+AC1157+AC1158+AC1159+AC1160</f>
        <v>16800</v>
      </c>
      <c r="AD1154" s="524">
        <f>O1154/M1154*100</f>
        <v>60.870536268208561</v>
      </c>
      <c r="AE1154" s="524">
        <f>P1154/O1154*100</f>
        <v>167.91797464226016</v>
      </c>
      <c r="AF1154" s="524">
        <f>Q1154/P1154*100</f>
        <v>115.24390243902438</v>
      </c>
      <c r="AG1154" s="524">
        <f>AB1154/Q1154*100</f>
        <v>88.888888888888886</v>
      </c>
      <c r="AH1154" s="522"/>
      <c r="AI1154" s="522">
        <v>90400</v>
      </c>
      <c r="AJ1154" s="516">
        <f t="shared" ref="AJ1154:AJ1160" si="829">W1154/R1154*100</f>
        <v>464.53375839690307</v>
      </c>
      <c r="AK1154" s="516">
        <f t="shared" ref="AK1154:AK1160" si="830">AT1154/W1154*100</f>
        <v>110.66176470588236</v>
      </c>
      <c r="AL1154" s="516">
        <f t="shared" ref="AL1154:AL1160" si="831">X1154/AT1154*100</f>
        <v>100.11074197120709</v>
      </c>
      <c r="AM1154" s="292"/>
      <c r="AO1154" t="b">
        <f t="shared" si="827"/>
        <v>1</v>
      </c>
      <c r="AP1154" s="440">
        <f>AP1155+AP1156+AP1157+AP1158+AP1159+AP1160</f>
        <v>0</v>
      </c>
      <c r="AQ1154" s="441">
        <v>65980</v>
      </c>
      <c r="AR1154" s="440">
        <f>AR1155+AR1156+AR1157+AR1158+AR1159+AR1160</f>
        <v>0</v>
      </c>
      <c r="AS1154" s="441"/>
      <c r="AT1154" s="612">
        <f>AT1155+AT1156+AT1157+AT1158+AT1159+AT1160</f>
        <v>90300</v>
      </c>
      <c r="AU1154" s="469">
        <f>AU1155+AU1156+AU1157+AU1158+AU1159+AU1160</f>
        <v>90300</v>
      </c>
      <c r="AV1154" s="636">
        <v>90400</v>
      </c>
      <c r="AW1154" s="636">
        <v>90400</v>
      </c>
      <c r="AX1154" s="655">
        <f t="shared" si="800"/>
        <v>514.06125469657297</v>
      </c>
      <c r="AY1154" s="655">
        <f t="shared" si="812"/>
        <v>136.85965444073963</v>
      </c>
      <c r="AZ1154" s="655">
        <f t="shared" si="801"/>
        <v>100</v>
      </c>
      <c r="BA1154" s="655">
        <f t="shared" si="813"/>
        <v>136.85965444073963</v>
      </c>
      <c r="BB1154" s="655">
        <f t="shared" si="798"/>
        <v>100.11074197120709</v>
      </c>
      <c r="BC1154" s="655">
        <f t="shared" si="798"/>
        <v>100</v>
      </c>
    </row>
    <row r="1155" spans="1:55" ht="12" customHeight="1">
      <c r="A1155" s="36"/>
      <c r="B1155" s="36"/>
      <c r="C1155" s="36"/>
      <c r="D1155" s="36"/>
      <c r="E1155" s="36"/>
      <c r="F1155" s="36"/>
      <c r="G1155" s="36"/>
      <c r="H1155" s="204">
        <v>221</v>
      </c>
      <c r="I1155" s="132">
        <v>820</v>
      </c>
      <c r="J1155" s="71">
        <v>3231</v>
      </c>
      <c r="K1155" s="40" t="s">
        <v>420</v>
      </c>
      <c r="L1155" s="309">
        <v>6733</v>
      </c>
      <c r="M1155" s="309">
        <f>6733/7.5345</f>
        <v>893.62266905567719</v>
      </c>
      <c r="N1155" s="339">
        <v>7436</v>
      </c>
      <c r="O1155" s="339">
        <f t="shared" ref="O1155:O1160" si="832">N1155/7.5345</f>
        <v>986.92680337115928</v>
      </c>
      <c r="P1155" s="294">
        <v>1100</v>
      </c>
      <c r="Q1155" s="294">
        <v>1100</v>
      </c>
      <c r="R1155" s="443">
        <v>1067</v>
      </c>
      <c r="S1155" s="294"/>
      <c r="T1155" s="294"/>
      <c r="U1155" s="294"/>
      <c r="V1155" s="478">
        <v>1500</v>
      </c>
      <c r="W1155" s="478">
        <v>1500</v>
      </c>
      <c r="X1155" s="544">
        <v>1600</v>
      </c>
      <c r="Y1155" s="544"/>
      <c r="Z1155" s="541" t="b">
        <f t="shared" si="826"/>
        <v>0</v>
      </c>
      <c r="AA1155" s="527"/>
      <c r="AB1155" s="528">
        <v>1200</v>
      </c>
      <c r="AC1155" s="528">
        <v>1200</v>
      </c>
      <c r="AD1155" s="524">
        <f>O1155/M1155*100</f>
        <v>110.44111094608644</v>
      </c>
      <c r="AE1155" s="524">
        <f>P1155/O1155*100</f>
        <v>111.45710059171599</v>
      </c>
      <c r="AF1155" s="524">
        <f>Q1155/P1155*100</f>
        <v>100</v>
      </c>
      <c r="AG1155" s="524">
        <f>AB1155/Q1155*100</f>
        <v>109.09090909090908</v>
      </c>
      <c r="AH1155" s="527"/>
      <c r="AI1155" s="544">
        <v>1600</v>
      </c>
      <c r="AJ1155" s="516">
        <f t="shared" si="829"/>
        <v>140.58106841611996</v>
      </c>
      <c r="AK1155" s="516">
        <f t="shared" si="830"/>
        <v>106.66666666666667</v>
      </c>
      <c r="AL1155" s="516">
        <f t="shared" si="831"/>
        <v>100</v>
      </c>
      <c r="AM1155" s="294"/>
      <c r="AO1155" t="b">
        <f t="shared" si="827"/>
        <v>0</v>
      </c>
      <c r="AQ1155" s="443">
        <v>1174</v>
      </c>
      <c r="AS1155" s="443"/>
      <c r="AT1155" s="617">
        <v>1600</v>
      </c>
      <c r="AU1155" s="478">
        <v>1600</v>
      </c>
      <c r="AV1155" s="638">
        <v>1600</v>
      </c>
      <c r="AW1155" s="638">
        <v>1600</v>
      </c>
      <c r="AX1155" s="655">
        <f t="shared" si="800"/>
        <v>149.95313964386131</v>
      </c>
      <c r="AY1155" s="655">
        <f t="shared" si="812"/>
        <v>136.28620102214651</v>
      </c>
      <c r="AZ1155" s="655">
        <f t="shared" si="801"/>
        <v>100</v>
      </c>
      <c r="BA1155" s="655">
        <f t="shared" si="813"/>
        <v>136.28620102214651</v>
      </c>
      <c r="BB1155" s="655">
        <f t="shared" si="798"/>
        <v>100</v>
      </c>
      <c r="BC1155" s="655">
        <f t="shared" si="798"/>
        <v>100</v>
      </c>
    </row>
    <row r="1156" spans="1:55" ht="12" customHeight="1">
      <c r="A1156" s="36"/>
      <c r="B1156" s="36"/>
      <c r="C1156" s="36"/>
      <c r="D1156" s="36"/>
      <c r="E1156" s="36"/>
      <c r="F1156" s="36"/>
      <c r="G1156" s="36"/>
      <c r="H1156" s="204">
        <v>222</v>
      </c>
      <c r="I1156" s="132">
        <v>820</v>
      </c>
      <c r="J1156" s="71">
        <v>3232</v>
      </c>
      <c r="K1156" s="40" t="s">
        <v>421</v>
      </c>
      <c r="L1156" s="309">
        <v>0</v>
      </c>
      <c r="M1156" s="309">
        <v>0</v>
      </c>
      <c r="N1156" s="339">
        <v>0</v>
      </c>
      <c r="O1156" s="339">
        <f t="shared" si="832"/>
        <v>0</v>
      </c>
      <c r="P1156" s="294">
        <v>300</v>
      </c>
      <c r="Q1156" s="294">
        <v>300</v>
      </c>
      <c r="R1156" s="443">
        <v>751</v>
      </c>
      <c r="S1156" s="294"/>
      <c r="T1156" s="294"/>
      <c r="U1156" s="294"/>
      <c r="V1156" s="478">
        <v>300</v>
      </c>
      <c r="W1156" s="478">
        <v>300</v>
      </c>
      <c r="X1156" s="544">
        <v>500</v>
      </c>
      <c r="Y1156" s="544"/>
      <c r="Z1156" s="541" t="b">
        <f t="shared" si="826"/>
        <v>0</v>
      </c>
      <c r="AA1156" s="527"/>
      <c r="AB1156" s="528">
        <v>400</v>
      </c>
      <c r="AC1156" s="528">
        <v>400</v>
      </c>
      <c r="AD1156" s="524"/>
      <c r="AE1156" s="524"/>
      <c r="AF1156" s="524"/>
      <c r="AG1156" s="524"/>
      <c r="AH1156" s="527"/>
      <c r="AI1156" s="544">
        <v>500</v>
      </c>
      <c r="AJ1156" s="516">
        <f t="shared" si="829"/>
        <v>39.946737683089211</v>
      </c>
      <c r="AK1156" s="516">
        <f t="shared" si="830"/>
        <v>133.33333333333331</v>
      </c>
      <c r="AL1156" s="516">
        <f t="shared" si="831"/>
        <v>125</v>
      </c>
      <c r="AM1156" s="294"/>
      <c r="AO1156" t="b">
        <f t="shared" si="827"/>
        <v>0</v>
      </c>
      <c r="AQ1156" s="443">
        <v>1428</v>
      </c>
      <c r="AS1156" s="443"/>
      <c r="AT1156" s="617">
        <v>400</v>
      </c>
      <c r="AU1156" s="478">
        <v>400</v>
      </c>
      <c r="AV1156" s="638">
        <v>500</v>
      </c>
      <c r="AW1156" s="638">
        <v>500</v>
      </c>
      <c r="AX1156" s="655">
        <f t="shared" si="800"/>
        <v>53.262316910785621</v>
      </c>
      <c r="AY1156" s="655">
        <f t="shared" si="812"/>
        <v>28.011204481792717</v>
      </c>
      <c r="AZ1156" s="655">
        <f t="shared" si="801"/>
        <v>100</v>
      </c>
      <c r="BA1156" s="655">
        <f t="shared" si="813"/>
        <v>28.011204481792717</v>
      </c>
      <c r="BB1156" s="655">
        <f t="shared" si="798"/>
        <v>125</v>
      </c>
      <c r="BC1156" s="655">
        <f t="shared" si="798"/>
        <v>100</v>
      </c>
    </row>
    <row r="1157" spans="1:55" ht="12" customHeight="1">
      <c r="A1157" s="36"/>
      <c r="B1157" s="36"/>
      <c r="C1157" s="36"/>
      <c r="D1157" s="36"/>
      <c r="E1157" s="36"/>
      <c r="F1157" s="36"/>
      <c r="G1157" s="36"/>
      <c r="H1157" s="204"/>
      <c r="I1157" s="132">
        <v>820</v>
      </c>
      <c r="J1157" s="71">
        <v>3234</v>
      </c>
      <c r="K1157" s="40" t="s">
        <v>117</v>
      </c>
      <c r="L1157" s="309">
        <v>0</v>
      </c>
      <c r="M1157" s="309">
        <v>0</v>
      </c>
      <c r="N1157" s="339">
        <v>0</v>
      </c>
      <c r="O1157" s="339">
        <f t="shared" si="832"/>
        <v>0</v>
      </c>
      <c r="P1157" s="294">
        <v>200</v>
      </c>
      <c r="Q1157" s="294">
        <v>200</v>
      </c>
      <c r="R1157" s="443">
        <v>121</v>
      </c>
      <c r="S1157" s="294"/>
      <c r="T1157" s="294"/>
      <c r="U1157" s="294"/>
      <c r="V1157" s="478">
        <v>200</v>
      </c>
      <c r="W1157" s="478">
        <v>200</v>
      </c>
      <c r="X1157" s="544">
        <v>300</v>
      </c>
      <c r="Y1157" s="544"/>
      <c r="Z1157" s="541" t="b">
        <f t="shared" si="826"/>
        <v>0</v>
      </c>
      <c r="AA1157" s="527"/>
      <c r="AB1157" s="528">
        <v>300</v>
      </c>
      <c r="AC1157" s="528">
        <v>300</v>
      </c>
      <c r="AD1157" s="524"/>
      <c r="AE1157" s="524"/>
      <c r="AF1157" s="524"/>
      <c r="AG1157" s="524"/>
      <c r="AH1157" s="527"/>
      <c r="AI1157" s="544">
        <v>300</v>
      </c>
      <c r="AJ1157" s="516">
        <f t="shared" si="829"/>
        <v>165.28925619834712</v>
      </c>
      <c r="AK1157" s="516">
        <f t="shared" si="830"/>
        <v>150</v>
      </c>
      <c r="AL1157" s="516">
        <f t="shared" si="831"/>
        <v>100</v>
      </c>
      <c r="AM1157" s="294"/>
      <c r="AO1157" t="b">
        <f t="shared" si="827"/>
        <v>0</v>
      </c>
      <c r="AQ1157" s="443">
        <v>112</v>
      </c>
      <c r="AS1157" s="443"/>
      <c r="AT1157" s="617">
        <v>300</v>
      </c>
      <c r="AU1157" s="478">
        <v>300</v>
      </c>
      <c r="AV1157" s="638">
        <v>300</v>
      </c>
      <c r="AW1157" s="638">
        <v>300</v>
      </c>
      <c r="AX1157" s="655">
        <f t="shared" si="800"/>
        <v>247.93388429752068</v>
      </c>
      <c r="AY1157" s="655">
        <f t="shared" si="812"/>
        <v>267.85714285714283</v>
      </c>
      <c r="AZ1157" s="655">
        <f t="shared" si="801"/>
        <v>100</v>
      </c>
      <c r="BA1157" s="655">
        <f t="shared" si="813"/>
        <v>267.85714285714283</v>
      </c>
      <c r="BB1157" s="655">
        <f t="shared" si="798"/>
        <v>100</v>
      </c>
      <c r="BC1157" s="655">
        <f t="shared" si="798"/>
        <v>100</v>
      </c>
    </row>
    <row r="1158" spans="1:55" ht="12" customHeight="1">
      <c r="A1158" s="36"/>
      <c r="B1158" s="36"/>
      <c r="C1158" s="36"/>
      <c r="D1158" s="36"/>
      <c r="E1158" s="36"/>
      <c r="F1158" s="36"/>
      <c r="G1158" s="36"/>
      <c r="H1158" s="204">
        <v>227</v>
      </c>
      <c r="I1158" s="132">
        <v>820</v>
      </c>
      <c r="J1158" s="71">
        <v>3237</v>
      </c>
      <c r="K1158" s="40" t="s">
        <v>120</v>
      </c>
      <c r="L1158" s="309">
        <v>84734</v>
      </c>
      <c r="M1158" s="309">
        <f>84734/7.5345</f>
        <v>11246.134448204923</v>
      </c>
      <c r="N1158" s="339">
        <v>44853</v>
      </c>
      <c r="O1158" s="339">
        <f t="shared" si="832"/>
        <v>5953.016125821222</v>
      </c>
      <c r="P1158" s="294">
        <v>10700</v>
      </c>
      <c r="Q1158" s="294">
        <v>10700</v>
      </c>
      <c r="R1158" s="443">
        <v>9141</v>
      </c>
      <c r="S1158" s="294"/>
      <c r="T1158" s="294"/>
      <c r="U1158" s="294"/>
      <c r="V1158" s="478">
        <v>45000</v>
      </c>
      <c r="W1158" s="478">
        <v>50000</v>
      </c>
      <c r="X1158" s="544">
        <v>50000</v>
      </c>
      <c r="Y1158" s="544"/>
      <c r="Z1158" s="541" t="b">
        <f t="shared" si="826"/>
        <v>0</v>
      </c>
      <c r="AA1158" s="527"/>
      <c r="AB1158" s="528">
        <v>10500</v>
      </c>
      <c r="AC1158" s="528">
        <v>10500</v>
      </c>
      <c r="AD1158" s="524">
        <f>O1158/M1158*100</f>
        <v>52.933887223546627</v>
      </c>
      <c r="AE1158" s="524">
        <f t="shared" ref="AE1158:AF1160" si="833">P1158/O1158*100</f>
        <v>179.74082001203934</v>
      </c>
      <c r="AF1158" s="524">
        <f t="shared" si="833"/>
        <v>100</v>
      </c>
      <c r="AG1158" s="524">
        <f>AB1158/Q1158*100</f>
        <v>98.130841121495322</v>
      </c>
      <c r="AH1158" s="527"/>
      <c r="AI1158" s="544">
        <v>50000</v>
      </c>
      <c r="AJ1158" s="516">
        <f t="shared" si="829"/>
        <v>546.9861065528936</v>
      </c>
      <c r="AK1158" s="516">
        <f t="shared" si="830"/>
        <v>100</v>
      </c>
      <c r="AL1158" s="516">
        <f t="shared" si="831"/>
        <v>100</v>
      </c>
      <c r="AM1158" s="294"/>
      <c r="AO1158" t="b">
        <f t="shared" si="827"/>
        <v>0</v>
      </c>
      <c r="AQ1158" s="443">
        <v>37893</v>
      </c>
      <c r="AS1158" s="443"/>
      <c r="AT1158" s="617">
        <v>50000</v>
      </c>
      <c r="AU1158" s="478">
        <v>50000</v>
      </c>
      <c r="AV1158" s="638">
        <v>50000</v>
      </c>
      <c r="AW1158" s="638">
        <v>50000</v>
      </c>
      <c r="AX1158" s="655">
        <f t="shared" si="800"/>
        <v>546.9861065528936</v>
      </c>
      <c r="AY1158" s="655">
        <f t="shared" si="812"/>
        <v>131.9504921753358</v>
      </c>
      <c r="AZ1158" s="655">
        <f t="shared" si="801"/>
        <v>100</v>
      </c>
      <c r="BA1158" s="655">
        <f t="shared" si="813"/>
        <v>131.9504921753358</v>
      </c>
      <c r="BB1158" s="655">
        <f t="shared" ref="BB1158:BC1219" si="834">IF(AND(ISNUMBER(AV1158), ISNUMBER(AU1158), AU1158&lt;&gt;0), (AV1158/AU1158)*100, "")</f>
        <v>100</v>
      </c>
      <c r="BC1158" s="655">
        <f t="shared" si="834"/>
        <v>100</v>
      </c>
    </row>
    <row r="1159" spans="1:55" ht="12" customHeight="1">
      <c r="A1159" s="36"/>
      <c r="B1159" s="36"/>
      <c r="C1159" s="36"/>
      <c r="D1159" s="36"/>
      <c r="E1159" s="36"/>
      <c r="F1159" s="36"/>
      <c r="G1159" s="36"/>
      <c r="H1159" s="204">
        <v>228</v>
      </c>
      <c r="I1159" s="132">
        <v>820</v>
      </c>
      <c r="J1159" s="71">
        <v>3238</v>
      </c>
      <c r="K1159" s="40" t="s">
        <v>121</v>
      </c>
      <c r="L1159" s="309">
        <v>9420</v>
      </c>
      <c r="M1159" s="309">
        <f>9420/7.5345</f>
        <v>1250.2488552657774</v>
      </c>
      <c r="N1159" s="339">
        <v>9919</v>
      </c>
      <c r="O1159" s="339">
        <f t="shared" si="832"/>
        <v>1316.4775366646757</v>
      </c>
      <c r="P1159" s="294">
        <v>1400</v>
      </c>
      <c r="Q1159" s="269">
        <v>1600</v>
      </c>
      <c r="R1159" s="443">
        <v>1573</v>
      </c>
      <c r="S1159" s="294"/>
      <c r="T1159" s="294"/>
      <c r="U1159" s="294"/>
      <c r="V1159" s="478">
        <v>1600</v>
      </c>
      <c r="W1159" s="478">
        <v>4600</v>
      </c>
      <c r="X1159" s="544">
        <v>3000</v>
      </c>
      <c r="Y1159" s="544"/>
      <c r="Z1159" s="541" t="b">
        <f t="shared" si="826"/>
        <v>0</v>
      </c>
      <c r="AA1159" s="527"/>
      <c r="AB1159" s="528">
        <v>1500</v>
      </c>
      <c r="AC1159" s="528">
        <v>1500</v>
      </c>
      <c r="AD1159" s="524">
        <f>O1159/M1159*100</f>
        <v>105.29723991507429</v>
      </c>
      <c r="AE1159" s="524">
        <f t="shared" si="833"/>
        <v>106.34438955539873</v>
      </c>
      <c r="AF1159" s="524">
        <f t="shared" si="833"/>
        <v>114.28571428571428</v>
      </c>
      <c r="AG1159" s="524">
        <f>AB1159/Q1159*100</f>
        <v>93.75</v>
      </c>
      <c r="AH1159" s="527"/>
      <c r="AI1159" s="544">
        <v>3000</v>
      </c>
      <c r="AJ1159" s="516">
        <f t="shared" si="829"/>
        <v>292.43483788938335</v>
      </c>
      <c r="AK1159" s="516">
        <f t="shared" si="830"/>
        <v>65.217391304347828</v>
      </c>
      <c r="AL1159" s="516">
        <f t="shared" si="831"/>
        <v>100</v>
      </c>
      <c r="AM1159" s="294"/>
      <c r="AO1159" t="b">
        <f t="shared" si="827"/>
        <v>0</v>
      </c>
      <c r="AQ1159" s="443">
        <v>1573</v>
      </c>
      <c r="AS1159" s="443"/>
      <c r="AT1159" s="617">
        <v>3000</v>
      </c>
      <c r="AU1159" s="478">
        <v>3000</v>
      </c>
      <c r="AV1159" s="638">
        <v>3000</v>
      </c>
      <c r="AW1159" s="638">
        <v>3000</v>
      </c>
      <c r="AX1159" s="655">
        <f t="shared" si="800"/>
        <v>190.71837253655434</v>
      </c>
      <c r="AY1159" s="655">
        <f t="shared" si="812"/>
        <v>190.71837253655434</v>
      </c>
      <c r="AZ1159" s="655">
        <f t="shared" si="801"/>
        <v>100</v>
      </c>
      <c r="BA1159" s="655">
        <f t="shared" si="813"/>
        <v>190.71837253655434</v>
      </c>
      <c r="BB1159" s="655">
        <f t="shared" si="834"/>
        <v>100</v>
      </c>
      <c r="BC1159" s="655">
        <f t="shared" si="834"/>
        <v>100</v>
      </c>
    </row>
    <row r="1160" spans="1:55" ht="12" customHeight="1">
      <c r="A1160" s="36"/>
      <c r="B1160" s="36"/>
      <c r="C1160" s="36"/>
      <c r="D1160" s="36"/>
      <c r="E1160" s="36"/>
      <c r="F1160" s="36"/>
      <c r="G1160" s="36"/>
      <c r="H1160" s="204">
        <v>229</v>
      </c>
      <c r="I1160" s="118">
        <v>820</v>
      </c>
      <c r="J1160" s="71">
        <v>3239</v>
      </c>
      <c r="K1160" s="152" t="s">
        <v>122</v>
      </c>
      <c r="L1160" s="309">
        <v>20004</v>
      </c>
      <c r="M1160" s="309">
        <f>20004/7.5345</f>
        <v>2654.9870595261796</v>
      </c>
      <c r="N1160" s="339">
        <v>11379</v>
      </c>
      <c r="O1160" s="339">
        <f t="shared" si="832"/>
        <v>1510.2528369500299</v>
      </c>
      <c r="P1160" s="294">
        <v>2700</v>
      </c>
      <c r="Q1160" s="269">
        <v>5000</v>
      </c>
      <c r="R1160" s="443">
        <v>4913</v>
      </c>
      <c r="S1160" s="294"/>
      <c r="T1160" s="294"/>
      <c r="U1160" s="294"/>
      <c r="V1160" s="478">
        <v>13500</v>
      </c>
      <c r="W1160" s="478">
        <v>25000</v>
      </c>
      <c r="X1160" s="544">
        <v>35000</v>
      </c>
      <c r="Y1160" s="544"/>
      <c r="Z1160" s="541" t="b">
        <f t="shared" si="826"/>
        <v>0</v>
      </c>
      <c r="AA1160" s="527"/>
      <c r="AB1160" s="528">
        <v>2900</v>
      </c>
      <c r="AC1160" s="528">
        <v>2900</v>
      </c>
      <c r="AD1160" s="524">
        <f>O1160/M1160*100</f>
        <v>56.883623275344931</v>
      </c>
      <c r="AE1160" s="524">
        <f t="shared" si="833"/>
        <v>178.77801212760346</v>
      </c>
      <c r="AF1160" s="524">
        <f t="shared" si="833"/>
        <v>185.18518518518519</v>
      </c>
      <c r="AG1160" s="524">
        <f>AB1160/Q1160*100</f>
        <v>57.999999999999993</v>
      </c>
      <c r="AH1160" s="527"/>
      <c r="AI1160" s="544">
        <v>35000</v>
      </c>
      <c r="AJ1160" s="516">
        <f t="shared" si="829"/>
        <v>508.854060655404</v>
      </c>
      <c r="AK1160" s="516">
        <f t="shared" si="830"/>
        <v>140</v>
      </c>
      <c r="AL1160" s="516">
        <f t="shared" si="831"/>
        <v>100</v>
      </c>
      <c r="AM1160" s="294"/>
      <c r="AO1160" t="b">
        <f t="shared" si="827"/>
        <v>0</v>
      </c>
      <c r="AQ1160" s="443">
        <v>23800</v>
      </c>
      <c r="AS1160" s="443"/>
      <c r="AT1160" s="617">
        <v>35000</v>
      </c>
      <c r="AU1160" s="478">
        <v>35000</v>
      </c>
      <c r="AV1160" s="638">
        <v>35000</v>
      </c>
      <c r="AW1160" s="638">
        <v>35000</v>
      </c>
      <c r="AX1160" s="655">
        <f t="shared" si="800"/>
        <v>712.39568491756563</v>
      </c>
      <c r="AY1160" s="655">
        <f t="shared" si="812"/>
        <v>147.05882352941177</v>
      </c>
      <c r="AZ1160" s="655">
        <f t="shared" si="801"/>
        <v>100</v>
      </c>
      <c r="BA1160" s="655">
        <f t="shared" si="813"/>
        <v>147.05882352941177</v>
      </c>
      <c r="BB1160" s="655">
        <f t="shared" si="834"/>
        <v>100</v>
      </c>
      <c r="BC1160" s="655">
        <f t="shared" si="834"/>
        <v>100</v>
      </c>
    </row>
    <row r="1161" spans="1:55" ht="12" customHeight="1">
      <c r="A1161" s="20"/>
      <c r="B1161" s="20"/>
      <c r="C1161" s="20"/>
      <c r="D1161" s="20"/>
      <c r="E1161" s="20"/>
      <c r="F1161" s="20"/>
      <c r="G1161" s="20"/>
      <c r="H1161" s="375"/>
      <c r="I1161" s="22"/>
      <c r="J1161" s="21"/>
      <c r="K1161" s="19"/>
      <c r="L1161" s="313"/>
      <c r="M1161" s="313"/>
      <c r="N1161" s="335"/>
      <c r="O1161" s="335"/>
      <c r="P1161" s="290"/>
      <c r="Q1161" s="290"/>
      <c r="R1161" s="439"/>
      <c r="S1161" s="290"/>
      <c r="T1161" s="290"/>
      <c r="U1161" s="290"/>
      <c r="V1161" s="474"/>
      <c r="W1161" s="474"/>
      <c r="X1161" s="539"/>
      <c r="Y1161" s="539"/>
      <c r="Z1161" s="541" t="b">
        <f t="shared" si="826"/>
        <v>0</v>
      </c>
      <c r="AA1161" s="514"/>
      <c r="AB1161" s="515"/>
      <c r="AC1161" s="515"/>
      <c r="AD1161" s="524"/>
      <c r="AE1161" s="524"/>
      <c r="AF1161" s="524"/>
      <c r="AG1161" s="524"/>
      <c r="AH1161" s="514"/>
      <c r="AI1161" s="539"/>
      <c r="AJ1161" s="516"/>
      <c r="AK1161" s="516"/>
      <c r="AL1161" s="516"/>
      <c r="AM1161" s="290"/>
      <c r="AO1161" t="b">
        <f t="shared" si="827"/>
        <v>0</v>
      </c>
      <c r="AQ1161" s="439"/>
      <c r="AS1161" s="439"/>
      <c r="AT1161" s="616"/>
      <c r="AU1161" s="474"/>
      <c r="AV1161" s="632"/>
      <c r="AW1161" s="632"/>
      <c r="AX1161" s="655" t="str">
        <f t="shared" si="800"/>
        <v/>
      </c>
      <c r="AY1161" s="655" t="str">
        <f t="shared" si="812"/>
        <v/>
      </c>
      <c r="AZ1161" s="655" t="str">
        <f t="shared" si="801"/>
        <v/>
      </c>
      <c r="BA1161" s="655" t="str">
        <f t="shared" si="813"/>
        <v/>
      </c>
      <c r="BB1161" s="655" t="str">
        <f t="shared" si="834"/>
        <v/>
      </c>
      <c r="BC1161" s="655" t="str">
        <f t="shared" si="834"/>
        <v/>
      </c>
    </row>
    <row r="1162" spans="1:55" ht="12" customHeight="1">
      <c r="A1162" s="56"/>
      <c r="B1162" s="56"/>
      <c r="C1162" s="56"/>
      <c r="D1162" s="56"/>
      <c r="E1162" s="56"/>
      <c r="F1162" s="56"/>
      <c r="G1162" s="56"/>
      <c r="H1162" s="377"/>
      <c r="I1162" s="157"/>
      <c r="J1162" s="116">
        <v>329</v>
      </c>
      <c r="K1162" s="60" t="s">
        <v>538</v>
      </c>
      <c r="L1162" s="315">
        <f t="shared" ref="L1162:S1162" si="835">L1163+L1164+L1165</f>
        <v>77375</v>
      </c>
      <c r="M1162" s="315">
        <f t="shared" si="835"/>
        <v>10269.427301081691</v>
      </c>
      <c r="N1162" s="337">
        <f t="shared" si="835"/>
        <v>23926</v>
      </c>
      <c r="O1162" s="337">
        <f t="shared" si="835"/>
        <v>3175.5259141283432</v>
      </c>
      <c r="P1162" s="292">
        <f t="shared" si="835"/>
        <v>6700</v>
      </c>
      <c r="Q1162" s="292">
        <f t="shared" si="835"/>
        <v>4900</v>
      </c>
      <c r="R1162" s="441">
        <f t="shared" si="835"/>
        <v>7109</v>
      </c>
      <c r="S1162" s="292">
        <f t="shared" si="835"/>
        <v>0</v>
      </c>
      <c r="T1162" s="292"/>
      <c r="U1162" s="292"/>
      <c r="V1162" s="469">
        <f>V1163+V1164+V1165</f>
        <v>5900</v>
      </c>
      <c r="W1162" s="469">
        <f>W1163+W1164+W1165</f>
        <v>7900</v>
      </c>
      <c r="X1162" s="522">
        <f>X1163+X1164+X1165</f>
        <v>12100</v>
      </c>
      <c r="Y1162" s="522">
        <f>Y1163+Y1164+Y1165</f>
        <v>0</v>
      </c>
      <c r="Z1162" s="541" t="b">
        <f t="shared" si="826"/>
        <v>1</v>
      </c>
      <c r="AA1162" s="522"/>
      <c r="AB1162" s="523">
        <f>AB1163+AB1164+AB1165</f>
        <v>6700</v>
      </c>
      <c r="AC1162" s="523">
        <f>AC1163+AC1164+AC1165</f>
        <v>6700</v>
      </c>
      <c r="AD1162" s="524">
        <f>O1162/M1162*100</f>
        <v>30.922132471728599</v>
      </c>
      <c r="AE1162" s="524">
        <f t="shared" ref="AE1162:AF1164" si="836">P1162/O1162*100</f>
        <v>210.98867340967985</v>
      </c>
      <c r="AF1162" s="524">
        <f t="shared" si="836"/>
        <v>73.134328358208961</v>
      </c>
      <c r="AG1162" s="524">
        <f>AB1162/Q1162*100</f>
        <v>136.73469387755102</v>
      </c>
      <c r="AH1162" s="522"/>
      <c r="AI1162" s="522">
        <v>12100</v>
      </c>
      <c r="AJ1162" s="516">
        <f>W1162/R1162*100</f>
        <v>111.1267407511605</v>
      </c>
      <c r="AK1162" s="516">
        <f>AT1162/W1162*100</f>
        <v>151.8987341772152</v>
      </c>
      <c r="AL1162" s="516">
        <f>X1162/AT1162*100</f>
        <v>100.83333333333333</v>
      </c>
      <c r="AM1162" s="292"/>
      <c r="AO1162" t="b">
        <f t="shared" si="827"/>
        <v>1</v>
      </c>
      <c r="AP1162" s="440">
        <f>AP1163+AP1164+AP1165</f>
        <v>0</v>
      </c>
      <c r="AQ1162" s="441">
        <v>9050</v>
      </c>
      <c r="AR1162" s="440">
        <f>AR1163+AR1164+AR1165</f>
        <v>0</v>
      </c>
      <c r="AS1162" s="441"/>
      <c r="AT1162" s="612">
        <f>AT1163+AT1164+AT1165</f>
        <v>12000</v>
      </c>
      <c r="AU1162" s="469">
        <f>AU1163+AU1164+AU1165</f>
        <v>12000</v>
      </c>
      <c r="AV1162" s="636">
        <v>12100</v>
      </c>
      <c r="AW1162" s="636">
        <v>12100</v>
      </c>
      <c r="AX1162" s="655">
        <f t="shared" si="800"/>
        <v>168.80011253340837</v>
      </c>
      <c r="AY1162" s="655">
        <f t="shared" si="812"/>
        <v>132.59668508287291</v>
      </c>
      <c r="AZ1162" s="655">
        <f t="shared" si="801"/>
        <v>100</v>
      </c>
      <c r="BA1162" s="655">
        <f t="shared" si="813"/>
        <v>132.59668508287291</v>
      </c>
      <c r="BB1162" s="655">
        <f t="shared" si="834"/>
        <v>100.83333333333333</v>
      </c>
      <c r="BC1162" s="655">
        <f t="shared" si="834"/>
        <v>100</v>
      </c>
    </row>
    <row r="1163" spans="1:55" ht="12" customHeight="1">
      <c r="A1163" s="36"/>
      <c r="B1163" s="36"/>
      <c r="C1163" s="36"/>
      <c r="D1163" s="36"/>
      <c r="E1163" s="36"/>
      <c r="F1163" s="36"/>
      <c r="G1163" s="36"/>
      <c r="H1163" s="204" t="s">
        <v>613</v>
      </c>
      <c r="I1163" s="132">
        <v>820</v>
      </c>
      <c r="J1163" s="71">
        <v>3292</v>
      </c>
      <c r="K1163" s="40" t="s">
        <v>597</v>
      </c>
      <c r="L1163" s="309">
        <v>6200</v>
      </c>
      <c r="M1163" s="309">
        <f>6200/7.5345</f>
        <v>822.88141217068153</v>
      </c>
      <c r="N1163" s="339">
        <v>3542</v>
      </c>
      <c r="O1163" s="339">
        <f>N1163/7.5345</f>
        <v>470.10418740460545</v>
      </c>
      <c r="P1163" s="294">
        <v>1300</v>
      </c>
      <c r="Q1163" s="269">
        <v>500</v>
      </c>
      <c r="R1163" s="443">
        <v>470</v>
      </c>
      <c r="S1163" s="294"/>
      <c r="T1163" s="294"/>
      <c r="U1163" s="294"/>
      <c r="V1163" s="478">
        <v>1000</v>
      </c>
      <c r="W1163" s="478">
        <v>1000</v>
      </c>
      <c r="X1163" s="544">
        <v>1600</v>
      </c>
      <c r="Y1163" s="544"/>
      <c r="Z1163" s="541" t="b">
        <f t="shared" si="826"/>
        <v>0</v>
      </c>
      <c r="AA1163" s="527"/>
      <c r="AB1163" s="528">
        <v>1300</v>
      </c>
      <c r="AC1163" s="528">
        <v>1300</v>
      </c>
      <c r="AD1163" s="524">
        <f>O1163/M1163*100</f>
        <v>57.129032258064512</v>
      </c>
      <c r="AE1163" s="524">
        <f t="shared" si="836"/>
        <v>276.53444381705253</v>
      </c>
      <c r="AF1163" s="524">
        <f t="shared" si="836"/>
        <v>38.461538461538467</v>
      </c>
      <c r="AG1163" s="524">
        <f>AB1163/Q1163*100</f>
        <v>260</v>
      </c>
      <c r="AH1163" s="527"/>
      <c r="AI1163" s="544">
        <v>1600</v>
      </c>
      <c r="AJ1163" s="516">
        <f>W1163/R1163*100</f>
        <v>212.7659574468085</v>
      </c>
      <c r="AK1163" s="516">
        <f>AT1163/W1163*100</f>
        <v>150</v>
      </c>
      <c r="AL1163" s="516">
        <f>X1163/AT1163*100</f>
        <v>106.66666666666667</v>
      </c>
      <c r="AM1163" s="294"/>
      <c r="AO1163" t="b">
        <f t="shared" si="827"/>
        <v>0</v>
      </c>
      <c r="AQ1163" s="443">
        <v>1055</v>
      </c>
      <c r="AS1163" s="443"/>
      <c r="AT1163" s="617">
        <v>1500</v>
      </c>
      <c r="AU1163" s="478">
        <v>1500</v>
      </c>
      <c r="AV1163" s="638">
        <v>1600</v>
      </c>
      <c r="AW1163" s="638">
        <v>1600</v>
      </c>
      <c r="AX1163" s="655">
        <f t="shared" ref="AX1163:AX1219" si="837">IF(AND(ISNUMBER(AT1163), ISNUMBER(R1163), R1163&lt;&gt;0), (AT1163/R1163)*100, "")</f>
        <v>319.14893617021278</v>
      </c>
      <c r="AY1163" s="655">
        <f t="shared" si="812"/>
        <v>142.18009478672985</v>
      </c>
      <c r="AZ1163" s="655">
        <f t="shared" ref="AZ1163:AZ1219" si="838">IF(AND(ISNUMBER(AU1163), ISNUMBER(AT1163), AT1163&lt;&gt;0), (AU1163/AT1163)*100, "")</f>
        <v>100</v>
      </c>
      <c r="BA1163" s="655">
        <f t="shared" si="813"/>
        <v>142.18009478672985</v>
      </c>
      <c r="BB1163" s="655">
        <f t="shared" si="834"/>
        <v>106.66666666666667</v>
      </c>
      <c r="BC1163" s="655">
        <f t="shared" si="834"/>
        <v>100</v>
      </c>
    </row>
    <row r="1164" spans="1:55" ht="12" customHeight="1">
      <c r="A1164" s="36"/>
      <c r="B1164" s="36"/>
      <c r="C1164" s="36"/>
      <c r="D1164" s="36"/>
      <c r="E1164" s="36"/>
      <c r="F1164" s="36"/>
      <c r="G1164" s="36"/>
      <c r="H1164" s="204" t="s">
        <v>635</v>
      </c>
      <c r="I1164" s="132">
        <v>820</v>
      </c>
      <c r="J1164" s="71">
        <v>3293</v>
      </c>
      <c r="K1164" s="40" t="s">
        <v>126</v>
      </c>
      <c r="L1164" s="309">
        <v>2207</v>
      </c>
      <c r="M1164" s="309">
        <f>2207/7.5345</f>
        <v>292.91923817107966</v>
      </c>
      <c r="N1164" s="339">
        <v>3226</v>
      </c>
      <c r="O1164" s="339">
        <f>N1164/7.5345</f>
        <v>428.1637799455836</v>
      </c>
      <c r="P1164" s="294">
        <v>400</v>
      </c>
      <c r="Q1164" s="294">
        <v>400</v>
      </c>
      <c r="R1164" s="443">
        <v>437</v>
      </c>
      <c r="S1164" s="294"/>
      <c r="T1164" s="294"/>
      <c r="U1164" s="294"/>
      <c r="V1164" s="478">
        <v>400</v>
      </c>
      <c r="W1164" s="478">
        <v>400</v>
      </c>
      <c r="X1164" s="544">
        <v>500</v>
      </c>
      <c r="Y1164" s="544"/>
      <c r="Z1164" s="541" t="b">
        <f t="shared" si="826"/>
        <v>0</v>
      </c>
      <c r="AA1164" s="527"/>
      <c r="AB1164" s="528">
        <v>400</v>
      </c>
      <c r="AC1164" s="528">
        <v>400</v>
      </c>
      <c r="AD1164" s="524">
        <f>O1164/M1164*100</f>
        <v>146.17127322156776</v>
      </c>
      <c r="AE1164" s="524">
        <f t="shared" si="836"/>
        <v>93.422194668319918</v>
      </c>
      <c r="AF1164" s="524">
        <f t="shared" si="836"/>
        <v>100</v>
      </c>
      <c r="AG1164" s="524">
        <f>AB1164/Q1164*100</f>
        <v>100</v>
      </c>
      <c r="AH1164" s="527"/>
      <c r="AI1164" s="544">
        <v>500</v>
      </c>
      <c r="AJ1164" s="516">
        <f>W1164/R1164*100</f>
        <v>91.533180778032047</v>
      </c>
      <c r="AK1164" s="516">
        <f>AT1164/W1164*100</f>
        <v>125</v>
      </c>
      <c r="AL1164" s="516">
        <f>X1164/AT1164*100</f>
        <v>100</v>
      </c>
      <c r="AM1164" s="294"/>
      <c r="AO1164" t="b">
        <f t="shared" si="827"/>
        <v>0</v>
      </c>
      <c r="AQ1164" s="443">
        <v>411</v>
      </c>
      <c r="AS1164" s="443"/>
      <c r="AT1164" s="617">
        <v>500</v>
      </c>
      <c r="AU1164" s="478">
        <v>500</v>
      </c>
      <c r="AV1164" s="638">
        <v>500</v>
      </c>
      <c r="AW1164" s="638">
        <v>500</v>
      </c>
      <c r="AX1164" s="655">
        <f t="shared" si="837"/>
        <v>114.41647597254006</v>
      </c>
      <c r="AY1164" s="655">
        <f t="shared" si="812"/>
        <v>121.65450121654501</v>
      </c>
      <c r="AZ1164" s="655">
        <f t="shared" si="838"/>
        <v>100</v>
      </c>
      <c r="BA1164" s="655">
        <f t="shared" si="813"/>
        <v>121.65450121654501</v>
      </c>
      <c r="BB1164" s="655">
        <f t="shared" si="834"/>
        <v>100</v>
      </c>
      <c r="BC1164" s="655">
        <f t="shared" si="834"/>
        <v>100</v>
      </c>
    </row>
    <row r="1165" spans="1:55" ht="12" customHeight="1">
      <c r="A1165" s="36"/>
      <c r="B1165" s="36"/>
      <c r="C1165" s="36"/>
      <c r="D1165" s="36"/>
      <c r="E1165" s="36"/>
      <c r="F1165" s="36"/>
      <c r="G1165" s="36"/>
      <c r="H1165" s="204">
        <v>230</v>
      </c>
      <c r="I1165" s="132">
        <v>820</v>
      </c>
      <c r="J1165" s="71">
        <v>3299</v>
      </c>
      <c r="K1165" s="40" t="s">
        <v>539</v>
      </c>
      <c r="L1165" s="309">
        <v>68968</v>
      </c>
      <c r="M1165" s="309">
        <f>68968/7.5345</f>
        <v>9153.6266507399287</v>
      </c>
      <c r="N1165" s="339">
        <v>17158</v>
      </c>
      <c r="O1165" s="339">
        <f>N1165/7.5345</f>
        <v>2277.2579467781538</v>
      </c>
      <c r="P1165" s="294">
        <v>5000</v>
      </c>
      <c r="Q1165" s="269">
        <v>4000</v>
      </c>
      <c r="R1165" s="443">
        <v>6202</v>
      </c>
      <c r="S1165" s="294"/>
      <c r="T1165" s="294"/>
      <c r="U1165" s="294"/>
      <c r="V1165" s="478">
        <v>4500</v>
      </c>
      <c r="W1165" s="478">
        <v>6500</v>
      </c>
      <c r="X1165" s="544">
        <v>10000</v>
      </c>
      <c r="Y1165" s="544"/>
      <c r="Z1165" s="541" t="b">
        <f t="shared" si="826"/>
        <v>0</v>
      </c>
      <c r="AA1165" s="527"/>
      <c r="AB1165" s="528">
        <v>5000</v>
      </c>
      <c r="AC1165" s="528">
        <v>5000</v>
      </c>
      <c r="AD1165" s="524">
        <f>O1165/M1165*100</f>
        <v>24.878204384642157</v>
      </c>
      <c r="AE1165" s="524"/>
      <c r="AF1165" s="524"/>
      <c r="AG1165" s="524"/>
      <c r="AH1165" s="527"/>
      <c r="AI1165" s="544">
        <v>10000</v>
      </c>
      <c r="AJ1165" s="516">
        <f>W1165/R1165*100</f>
        <v>104.80490164463076</v>
      </c>
      <c r="AK1165" s="516">
        <f>AT1165/W1165*100</f>
        <v>153.84615384615387</v>
      </c>
      <c r="AL1165" s="516">
        <f>X1165/AT1165*100</f>
        <v>100</v>
      </c>
      <c r="AM1165" s="294"/>
      <c r="AO1165" t="b">
        <f t="shared" si="827"/>
        <v>0</v>
      </c>
      <c r="AQ1165" s="443">
        <v>7584</v>
      </c>
      <c r="AS1165" s="443"/>
      <c r="AT1165" s="617">
        <v>10000</v>
      </c>
      <c r="AU1165" s="478">
        <v>10000</v>
      </c>
      <c r="AV1165" s="638">
        <v>10000</v>
      </c>
      <c r="AW1165" s="638">
        <v>10000</v>
      </c>
      <c r="AX1165" s="655">
        <f t="shared" si="837"/>
        <v>161.23831022250889</v>
      </c>
      <c r="AY1165" s="655">
        <f t="shared" si="812"/>
        <v>131.85654008438817</v>
      </c>
      <c r="AZ1165" s="655">
        <f t="shared" si="838"/>
        <v>100</v>
      </c>
      <c r="BA1165" s="655">
        <f t="shared" si="813"/>
        <v>131.85654008438817</v>
      </c>
      <c r="BB1165" s="655">
        <f t="shared" si="834"/>
        <v>100</v>
      </c>
      <c r="BC1165" s="655">
        <f t="shared" si="834"/>
        <v>100</v>
      </c>
    </row>
    <row r="1166" spans="1:55" ht="12" customHeight="1">
      <c r="A1166" s="20"/>
      <c r="B1166" s="20"/>
      <c r="C1166" s="20"/>
      <c r="D1166" s="20"/>
      <c r="E1166" s="20"/>
      <c r="F1166" s="20"/>
      <c r="G1166" s="20"/>
      <c r="H1166" s="375"/>
      <c r="I1166" s="22"/>
      <c r="J1166" s="21"/>
      <c r="K1166" s="94"/>
      <c r="L1166" s="313"/>
      <c r="M1166" s="313"/>
      <c r="N1166" s="335"/>
      <c r="O1166" s="335"/>
      <c r="P1166" s="290"/>
      <c r="Q1166" s="290"/>
      <c r="R1166" s="439"/>
      <c r="S1166" s="290"/>
      <c r="T1166" s="290"/>
      <c r="U1166" s="290"/>
      <c r="V1166" s="474"/>
      <c r="W1166" s="474"/>
      <c r="X1166" s="539"/>
      <c r="Y1166" s="539"/>
      <c r="Z1166" s="541" t="b">
        <f t="shared" si="826"/>
        <v>0</v>
      </c>
      <c r="AA1166" s="514"/>
      <c r="AB1166" s="515"/>
      <c r="AC1166" s="515"/>
      <c r="AD1166" s="524"/>
      <c r="AE1166" s="524"/>
      <c r="AF1166" s="524"/>
      <c r="AG1166" s="524"/>
      <c r="AH1166" s="514"/>
      <c r="AI1166" s="539"/>
      <c r="AJ1166" s="516"/>
      <c r="AK1166" s="516"/>
      <c r="AL1166" s="516"/>
      <c r="AM1166" s="290"/>
      <c r="AO1166" t="b">
        <f t="shared" si="827"/>
        <v>0</v>
      </c>
      <c r="AQ1166" s="439"/>
      <c r="AS1166" s="439"/>
      <c r="AT1166" s="616"/>
      <c r="AU1166" s="474"/>
      <c r="AV1166" s="632"/>
      <c r="AW1166" s="632"/>
      <c r="AX1166" s="655" t="str">
        <f t="shared" si="837"/>
        <v/>
      </c>
      <c r="AY1166" s="655" t="str">
        <f t="shared" si="812"/>
        <v/>
      </c>
      <c r="AZ1166" s="655" t="str">
        <f t="shared" si="838"/>
        <v/>
      </c>
      <c r="BA1166" s="655" t="str">
        <f t="shared" si="813"/>
        <v/>
      </c>
      <c r="BB1166" s="655" t="str">
        <f t="shared" si="834"/>
        <v/>
      </c>
      <c r="BC1166" s="655" t="str">
        <f t="shared" si="834"/>
        <v/>
      </c>
    </row>
    <row r="1167" spans="1:55" ht="12" customHeight="1">
      <c r="A1167" s="355"/>
      <c r="B1167" s="355"/>
      <c r="C1167" s="355"/>
      <c r="D1167" s="355"/>
      <c r="E1167" s="355"/>
      <c r="F1167" s="355"/>
      <c r="G1167" s="355"/>
      <c r="H1167" s="410"/>
      <c r="I1167" s="366"/>
      <c r="J1167" s="367">
        <v>34</v>
      </c>
      <c r="K1167" s="368" t="s">
        <v>128</v>
      </c>
      <c r="L1167" s="320">
        <f t="shared" ref="L1167:AC1168" si="839">L1168</f>
        <v>3379</v>
      </c>
      <c r="M1167" s="320">
        <f t="shared" si="839"/>
        <v>448.47036963302139</v>
      </c>
      <c r="N1167" s="344">
        <f t="shared" si="839"/>
        <v>2930</v>
      </c>
      <c r="O1167" s="344">
        <f t="shared" si="839"/>
        <v>388.87782865485434</v>
      </c>
      <c r="P1167" s="299">
        <f t="shared" si="839"/>
        <v>500</v>
      </c>
      <c r="Q1167" s="299">
        <f t="shared" si="839"/>
        <v>700</v>
      </c>
      <c r="R1167" s="447">
        <f t="shared" si="839"/>
        <v>509</v>
      </c>
      <c r="S1167" s="299">
        <f t="shared" si="839"/>
        <v>0</v>
      </c>
      <c r="T1167" s="299"/>
      <c r="U1167" s="299"/>
      <c r="V1167" s="477">
        <f t="shared" si="839"/>
        <v>700</v>
      </c>
      <c r="W1167" s="477">
        <f t="shared" si="839"/>
        <v>700</v>
      </c>
      <c r="X1167" s="542">
        <f t="shared" si="839"/>
        <v>750</v>
      </c>
      <c r="Y1167" s="542">
        <f t="shared" si="839"/>
        <v>0</v>
      </c>
      <c r="Z1167" s="541" t="b">
        <f t="shared" si="826"/>
        <v>1</v>
      </c>
      <c r="AA1167" s="542"/>
      <c r="AB1167" s="543">
        <f t="shared" si="839"/>
        <v>500</v>
      </c>
      <c r="AC1167" s="543">
        <f t="shared" si="839"/>
        <v>500</v>
      </c>
      <c r="AD1167" s="524">
        <f>O1167/M1167*100</f>
        <v>86.712044983723004</v>
      </c>
      <c r="AE1167" s="524">
        <f t="shared" ref="AE1167:AF1169" si="840">P1167/O1167*100</f>
        <v>128.57508532423208</v>
      </c>
      <c r="AF1167" s="524">
        <f t="shared" si="840"/>
        <v>140</v>
      </c>
      <c r="AG1167" s="524">
        <f>AB1167/Q1167*100</f>
        <v>71.428571428571431</v>
      </c>
      <c r="AH1167" s="542"/>
      <c r="AI1167" s="542">
        <v>750</v>
      </c>
      <c r="AJ1167" s="516">
        <f>W1167/R1167*100</f>
        <v>137.52455795677801</v>
      </c>
      <c r="AK1167" s="516">
        <f>AT1167/W1167*100</f>
        <v>107.14285714285714</v>
      </c>
      <c r="AL1167" s="516">
        <f>X1167/AT1167*100</f>
        <v>100</v>
      </c>
      <c r="AM1167" s="299"/>
      <c r="AO1167" t="b">
        <f t="shared" si="827"/>
        <v>1</v>
      </c>
      <c r="AP1167" s="503">
        <f>AP1168</f>
        <v>0</v>
      </c>
      <c r="AQ1167" s="447">
        <v>459</v>
      </c>
      <c r="AR1167" s="503">
        <f>AR1168</f>
        <v>0</v>
      </c>
      <c r="AS1167" s="447"/>
      <c r="AT1167" s="611">
        <f>AT1168</f>
        <v>750</v>
      </c>
      <c r="AU1167" s="477">
        <f>AU1168</f>
        <v>750</v>
      </c>
      <c r="AV1167" s="643">
        <v>750</v>
      </c>
      <c r="AW1167" s="643">
        <v>750</v>
      </c>
      <c r="AX1167" s="655">
        <f t="shared" si="837"/>
        <v>147.34774066797641</v>
      </c>
      <c r="AY1167" s="655">
        <f t="shared" si="812"/>
        <v>163.3986928104575</v>
      </c>
      <c r="AZ1167" s="655">
        <f t="shared" si="838"/>
        <v>100</v>
      </c>
      <c r="BA1167" s="655">
        <f t="shared" si="813"/>
        <v>163.3986928104575</v>
      </c>
      <c r="BB1167" s="655">
        <f t="shared" si="834"/>
        <v>100</v>
      </c>
      <c r="BC1167" s="655">
        <f t="shared" si="834"/>
        <v>100</v>
      </c>
    </row>
    <row r="1168" spans="1:55" ht="12" customHeight="1">
      <c r="A1168" s="56"/>
      <c r="B1168" s="56"/>
      <c r="C1168" s="56"/>
      <c r="D1168" s="56"/>
      <c r="E1168" s="56"/>
      <c r="F1168" s="56"/>
      <c r="G1168" s="56"/>
      <c r="H1168" s="377"/>
      <c r="I1168" s="157"/>
      <c r="J1168" s="116">
        <v>343</v>
      </c>
      <c r="K1168" s="60" t="s">
        <v>221</v>
      </c>
      <c r="L1168" s="315">
        <f t="shared" si="839"/>
        <v>3379</v>
      </c>
      <c r="M1168" s="315">
        <f t="shared" si="839"/>
        <v>448.47036963302139</v>
      </c>
      <c r="N1168" s="337">
        <f t="shared" si="839"/>
        <v>2930</v>
      </c>
      <c r="O1168" s="337">
        <f t="shared" si="839"/>
        <v>388.87782865485434</v>
      </c>
      <c r="P1168" s="292">
        <f t="shared" si="839"/>
        <v>500</v>
      </c>
      <c r="Q1168" s="292">
        <f t="shared" si="839"/>
        <v>700</v>
      </c>
      <c r="R1168" s="441">
        <f t="shared" si="839"/>
        <v>509</v>
      </c>
      <c r="S1168" s="292">
        <f t="shared" si="839"/>
        <v>0</v>
      </c>
      <c r="T1168" s="292"/>
      <c r="U1168" s="292"/>
      <c r="V1168" s="469">
        <f t="shared" si="839"/>
        <v>700</v>
      </c>
      <c r="W1168" s="469">
        <f t="shared" si="839"/>
        <v>700</v>
      </c>
      <c r="X1168" s="522">
        <f t="shared" si="839"/>
        <v>750</v>
      </c>
      <c r="Y1168" s="522">
        <f t="shared" si="839"/>
        <v>0</v>
      </c>
      <c r="Z1168" s="541" t="b">
        <f t="shared" si="826"/>
        <v>1</v>
      </c>
      <c r="AA1168" s="522"/>
      <c r="AB1168" s="523">
        <f t="shared" si="839"/>
        <v>500</v>
      </c>
      <c r="AC1168" s="523">
        <f t="shared" si="839"/>
        <v>500</v>
      </c>
      <c r="AD1168" s="524">
        <f>O1168/M1168*100</f>
        <v>86.712044983723004</v>
      </c>
      <c r="AE1168" s="524">
        <f t="shared" si="840"/>
        <v>128.57508532423208</v>
      </c>
      <c r="AF1168" s="524">
        <f t="shared" si="840"/>
        <v>140</v>
      </c>
      <c r="AG1168" s="524">
        <f>AB1168/Q1168*100</f>
        <v>71.428571428571431</v>
      </c>
      <c r="AH1168" s="522"/>
      <c r="AI1168" s="522">
        <v>750</v>
      </c>
      <c r="AJ1168" s="516">
        <f>W1168/R1168*100</f>
        <v>137.52455795677801</v>
      </c>
      <c r="AK1168" s="516">
        <f>AT1168/W1168*100</f>
        <v>107.14285714285714</v>
      </c>
      <c r="AL1168" s="516">
        <f>X1168/AT1168*100</f>
        <v>100</v>
      </c>
      <c r="AM1168" s="292"/>
      <c r="AO1168" t="b">
        <f t="shared" si="827"/>
        <v>1</v>
      </c>
      <c r="AP1168" s="440">
        <f>AP1169</f>
        <v>0</v>
      </c>
      <c r="AQ1168" s="441">
        <v>459</v>
      </c>
      <c r="AR1168" s="440">
        <f>AR1169</f>
        <v>0</v>
      </c>
      <c r="AS1168" s="441"/>
      <c r="AT1168" s="612">
        <f>AT1169</f>
        <v>750</v>
      </c>
      <c r="AU1168" s="469">
        <f>AU1169</f>
        <v>750</v>
      </c>
      <c r="AV1168" s="636">
        <v>750</v>
      </c>
      <c r="AW1168" s="636">
        <v>750</v>
      </c>
      <c r="AX1168" s="655">
        <f t="shared" si="837"/>
        <v>147.34774066797641</v>
      </c>
      <c r="AY1168" s="655">
        <f t="shared" si="812"/>
        <v>163.3986928104575</v>
      </c>
      <c r="AZ1168" s="655">
        <f t="shared" si="838"/>
        <v>100</v>
      </c>
      <c r="BA1168" s="655">
        <f t="shared" si="813"/>
        <v>163.3986928104575</v>
      </c>
      <c r="BB1168" s="655">
        <f t="shared" si="834"/>
        <v>100</v>
      </c>
      <c r="BC1168" s="655">
        <f t="shared" si="834"/>
        <v>100</v>
      </c>
    </row>
    <row r="1169" spans="1:55" ht="12" customHeight="1">
      <c r="A1169" s="36"/>
      <c r="B1169" s="36"/>
      <c r="C1169" s="36"/>
      <c r="D1169" s="36"/>
      <c r="E1169" s="36"/>
      <c r="F1169" s="36"/>
      <c r="G1169" s="36"/>
      <c r="H1169" s="204">
        <v>233</v>
      </c>
      <c r="I1169" s="132">
        <v>820</v>
      </c>
      <c r="J1169" s="71">
        <v>3431</v>
      </c>
      <c r="K1169" s="40" t="s">
        <v>422</v>
      </c>
      <c r="L1169" s="309">
        <v>3379</v>
      </c>
      <c r="M1169" s="309">
        <f>3379/7.5345</f>
        <v>448.47036963302139</v>
      </c>
      <c r="N1169" s="339">
        <v>2930</v>
      </c>
      <c r="O1169" s="339">
        <f>N1169/7.5345</f>
        <v>388.87782865485434</v>
      </c>
      <c r="P1169" s="294">
        <v>500</v>
      </c>
      <c r="Q1169" s="269">
        <v>700</v>
      </c>
      <c r="R1169" s="443">
        <v>509</v>
      </c>
      <c r="S1169" s="294"/>
      <c r="T1169" s="294"/>
      <c r="U1169" s="294"/>
      <c r="V1169" s="478">
        <v>700</v>
      </c>
      <c r="W1169" s="478">
        <v>700</v>
      </c>
      <c r="X1169" s="544">
        <v>750</v>
      </c>
      <c r="Y1169" s="544"/>
      <c r="Z1169" s="541" t="b">
        <f t="shared" si="826"/>
        <v>0</v>
      </c>
      <c r="AA1169" s="527"/>
      <c r="AB1169" s="528">
        <v>500</v>
      </c>
      <c r="AC1169" s="528">
        <v>500</v>
      </c>
      <c r="AD1169" s="524">
        <f>O1169/M1169*100</f>
        <v>86.712044983723004</v>
      </c>
      <c r="AE1169" s="524">
        <f t="shared" si="840"/>
        <v>128.57508532423208</v>
      </c>
      <c r="AF1169" s="524">
        <f t="shared" si="840"/>
        <v>140</v>
      </c>
      <c r="AG1169" s="524">
        <f>AB1169/Q1169*100</f>
        <v>71.428571428571431</v>
      </c>
      <c r="AH1169" s="527"/>
      <c r="AI1169" s="544">
        <v>750</v>
      </c>
      <c r="AJ1169" s="516">
        <f>W1169/R1169*100</f>
        <v>137.52455795677801</v>
      </c>
      <c r="AK1169" s="516">
        <f>AT1169/W1169*100</f>
        <v>107.14285714285714</v>
      </c>
      <c r="AL1169" s="516">
        <f>X1169/AT1169*100</f>
        <v>100</v>
      </c>
      <c r="AM1169" s="294"/>
      <c r="AO1169" t="b">
        <f t="shared" si="827"/>
        <v>0</v>
      </c>
      <c r="AQ1169" s="443">
        <v>459</v>
      </c>
      <c r="AS1169" s="443"/>
      <c r="AT1169" s="617">
        <v>750</v>
      </c>
      <c r="AU1169" s="478">
        <v>750</v>
      </c>
      <c r="AV1169" s="638">
        <v>750</v>
      </c>
      <c r="AW1169" s="638">
        <v>750</v>
      </c>
      <c r="AX1169" s="655">
        <f t="shared" si="837"/>
        <v>147.34774066797641</v>
      </c>
      <c r="AY1169" s="655">
        <f t="shared" si="812"/>
        <v>163.3986928104575</v>
      </c>
      <c r="AZ1169" s="655">
        <f t="shared" si="838"/>
        <v>100</v>
      </c>
      <c r="BA1169" s="655">
        <f t="shared" si="813"/>
        <v>163.3986928104575</v>
      </c>
      <c r="BB1169" s="655">
        <f t="shared" si="834"/>
        <v>100</v>
      </c>
      <c r="BC1169" s="655">
        <f t="shared" si="834"/>
        <v>100</v>
      </c>
    </row>
    <row r="1170" spans="1:55" ht="12" customHeight="1">
      <c r="A1170" s="36"/>
      <c r="B1170" s="36"/>
      <c r="C1170" s="36"/>
      <c r="D1170" s="36"/>
      <c r="E1170" s="36"/>
      <c r="F1170" s="36"/>
      <c r="G1170" s="36"/>
      <c r="H1170" s="204"/>
      <c r="I1170" s="132"/>
      <c r="J1170" s="71"/>
      <c r="K1170" s="40"/>
      <c r="L1170" s="309"/>
      <c r="M1170" s="309"/>
      <c r="N1170" s="339"/>
      <c r="O1170" s="339"/>
      <c r="P1170" s="294"/>
      <c r="Q1170" s="294"/>
      <c r="R1170" s="443"/>
      <c r="S1170" s="294"/>
      <c r="T1170" s="294"/>
      <c r="U1170" s="294"/>
      <c r="V1170" s="478"/>
      <c r="W1170" s="478"/>
      <c r="X1170" s="544"/>
      <c r="Y1170" s="544"/>
      <c r="Z1170" s="541" t="b">
        <f t="shared" si="826"/>
        <v>0</v>
      </c>
      <c r="AA1170" s="527"/>
      <c r="AB1170" s="528"/>
      <c r="AC1170" s="528"/>
      <c r="AD1170" s="524"/>
      <c r="AE1170" s="524"/>
      <c r="AF1170" s="524"/>
      <c r="AG1170" s="524"/>
      <c r="AH1170" s="527"/>
      <c r="AI1170" s="544"/>
      <c r="AJ1170" s="516"/>
      <c r="AK1170" s="516"/>
      <c r="AL1170" s="516"/>
      <c r="AM1170" s="294"/>
      <c r="AO1170" t="b">
        <f t="shared" si="827"/>
        <v>0</v>
      </c>
      <c r="AQ1170" s="443"/>
      <c r="AS1170" s="443"/>
      <c r="AT1170" s="617"/>
      <c r="AU1170" s="478"/>
      <c r="AV1170" s="638"/>
      <c r="AW1170" s="638"/>
      <c r="AX1170" s="655" t="str">
        <f t="shared" si="837"/>
        <v/>
      </c>
      <c r="AY1170" s="655" t="str">
        <f t="shared" si="812"/>
        <v/>
      </c>
      <c r="AZ1170" s="655" t="str">
        <f t="shared" si="838"/>
        <v/>
      </c>
      <c r="BA1170" s="655" t="str">
        <f t="shared" si="813"/>
        <v/>
      </c>
      <c r="BB1170" s="655" t="str">
        <f t="shared" si="834"/>
        <v/>
      </c>
      <c r="BC1170" s="655" t="str">
        <f t="shared" si="834"/>
        <v/>
      </c>
    </row>
    <row r="1171" spans="1:55" ht="12" customHeight="1">
      <c r="A1171" s="212" t="s">
        <v>475</v>
      </c>
      <c r="B1171" s="130"/>
      <c r="C1171" s="130"/>
      <c r="D1171" s="130"/>
      <c r="E1171" s="130"/>
      <c r="F1171" s="130"/>
      <c r="G1171" s="130"/>
      <c r="H1171" s="388"/>
      <c r="I1171" s="167" t="s">
        <v>459</v>
      </c>
      <c r="J1171" s="168"/>
      <c r="K1171" s="169"/>
      <c r="L1171" s="320">
        <f t="shared" ref="L1171:S1171" si="841">L1173</f>
        <v>0</v>
      </c>
      <c r="M1171" s="320">
        <f t="shared" si="841"/>
        <v>0</v>
      </c>
      <c r="N1171" s="344">
        <f t="shared" si="841"/>
        <v>50000</v>
      </c>
      <c r="O1171" s="344">
        <f t="shared" si="841"/>
        <v>6636.1404207313026</v>
      </c>
      <c r="P1171" s="299">
        <f t="shared" si="841"/>
        <v>6700</v>
      </c>
      <c r="Q1171" s="299">
        <f t="shared" si="841"/>
        <v>39400</v>
      </c>
      <c r="R1171" s="447">
        <f t="shared" si="841"/>
        <v>38371</v>
      </c>
      <c r="S1171" s="299">
        <f t="shared" si="841"/>
        <v>0</v>
      </c>
      <c r="T1171" s="299"/>
      <c r="U1171" s="299"/>
      <c r="V1171" s="477">
        <f>V1173</f>
        <v>45000</v>
      </c>
      <c r="W1171" s="477">
        <f>W1173</f>
        <v>46000</v>
      </c>
      <c r="X1171" s="542">
        <f>X1173</f>
        <v>50000</v>
      </c>
      <c r="Y1171" s="542">
        <f>Y1173</f>
        <v>0</v>
      </c>
      <c r="Z1171" s="541" t="b">
        <f t="shared" si="826"/>
        <v>1</v>
      </c>
      <c r="AA1171" s="542"/>
      <c r="AB1171" s="543">
        <f>AB1173</f>
        <v>10000</v>
      </c>
      <c r="AC1171" s="543">
        <f>AC1173</f>
        <v>10000</v>
      </c>
      <c r="AD1171" s="524"/>
      <c r="AE1171" s="524">
        <f>P1171/O1171*100</f>
        <v>100.9623</v>
      </c>
      <c r="AF1171" s="524">
        <f>Q1171/P1171*100</f>
        <v>588.05970149253733</v>
      </c>
      <c r="AG1171" s="524">
        <f>AB1171/Q1171*100</f>
        <v>25.380710659898476</v>
      </c>
      <c r="AH1171" s="542"/>
      <c r="AI1171" s="542">
        <v>50000</v>
      </c>
      <c r="AJ1171" s="516">
        <f>W1171/R1171*100</f>
        <v>119.88220270516796</v>
      </c>
      <c r="AK1171" s="516">
        <f>AT1171/W1171*100</f>
        <v>108.69565217391303</v>
      </c>
      <c r="AL1171" s="516">
        <f>X1171/AT1171*100</f>
        <v>100</v>
      </c>
      <c r="AM1171" s="299"/>
      <c r="AO1171" t="b">
        <f t="shared" si="827"/>
        <v>1</v>
      </c>
      <c r="AP1171" s="503">
        <f>AP1173</f>
        <v>0</v>
      </c>
      <c r="AQ1171" s="447">
        <v>45995</v>
      </c>
      <c r="AR1171" s="503">
        <f>AR1173</f>
        <v>0</v>
      </c>
      <c r="AS1171" s="447"/>
      <c r="AT1171" s="611">
        <f>AT1173</f>
        <v>50000</v>
      </c>
      <c r="AU1171" s="477">
        <f>AU1173</f>
        <v>50000</v>
      </c>
      <c r="AV1171" s="643">
        <v>50000</v>
      </c>
      <c r="AW1171" s="643">
        <v>50000</v>
      </c>
      <c r="AX1171" s="655">
        <f t="shared" si="837"/>
        <v>130.30674207083476</v>
      </c>
      <c r="AY1171" s="655">
        <f t="shared" si="812"/>
        <v>108.70746820306556</v>
      </c>
      <c r="AZ1171" s="655">
        <f t="shared" si="838"/>
        <v>100</v>
      </c>
      <c r="BA1171" s="655">
        <f t="shared" si="813"/>
        <v>108.70746820306556</v>
      </c>
      <c r="BB1171" s="655">
        <f t="shared" si="834"/>
        <v>100</v>
      </c>
      <c r="BC1171" s="655">
        <f t="shared" si="834"/>
        <v>100</v>
      </c>
    </row>
    <row r="1172" spans="1:55" ht="12" customHeight="1">
      <c r="A1172" s="36"/>
      <c r="B1172" s="36"/>
      <c r="C1172" s="36"/>
      <c r="D1172" s="36"/>
      <c r="E1172" s="36"/>
      <c r="F1172" s="36"/>
      <c r="G1172" s="36"/>
      <c r="H1172" s="204"/>
      <c r="I1172" s="132"/>
      <c r="J1172" s="71"/>
      <c r="K1172" s="40"/>
      <c r="L1172" s="326"/>
      <c r="M1172" s="326"/>
      <c r="N1172" s="350"/>
      <c r="O1172" s="350"/>
      <c r="P1172" s="305"/>
      <c r="Q1172" s="305"/>
      <c r="R1172" s="461"/>
      <c r="S1172" s="305"/>
      <c r="T1172" s="305"/>
      <c r="U1172" s="305"/>
      <c r="V1172" s="486"/>
      <c r="W1172" s="486"/>
      <c r="X1172" s="559"/>
      <c r="Y1172" s="559"/>
      <c r="Z1172" s="541" t="b">
        <f t="shared" si="826"/>
        <v>0</v>
      </c>
      <c r="AA1172" s="560"/>
      <c r="AB1172" s="561"/>
      <c r="AC1172" s="561"/>
      <c r="AD1172" s="524"/>
      <c r="AE1172" s="524"/>
      <c r="AF1172" s="524"/>
      <c r="AG1172" s="524"/>
      <c r="AH1172" s="560"/>
      <c r="AI1172" s="559"/>
      <c r="AJ1172" s="516"/>
      <c r="AK1172" s="516"/>
      <c r="AL1172" s="516"/>
      <c r="AM1172" s="305"/>
      <c r="AO1172" t="b">
        <f t="shared" si="827"/>
        <v>0</v>
      </c>
      <c r="AQ1172" s="461"/>
      <c r="AS1172" s="461"/>
      <c r="AT1172" s="616"/>
      <c r="AU1172" s="486"/>
      <c r="AV1172" s="648"/>
      <c r="AW1172" s="648"/>
      <c r="AX1172" s="655" t="str">
        <f t="shared" si="837"/>
        <v/>
      </c>
      <c r="AY1172" s="655" t="str">
        <f t="shared" si="812"/>
        <v/>
      </c>
      <c r="AZ1172" s="655" t="str">
        <f t="shared" si="838"/>
        <v/>
      </c>
      <c r="BA1172" s="655" t="str">
        <f t="shared" si="813"/>
        <v/>
      </c>
      <c r="BB1172" s="655" t="str">
        <f t="shared" si="834"/>
        <v/>
      </c>
      <c r="BC1172" s="655" t="str">
        <f t="shared" si="834"/>
        <v/>
      </c>
    </row>
    <row r="1173" spans="1:55" ht="12" customHeight="1">
      <c r="A1173" s="52"/>
      <c r="B1173" s="52"/>
      <c r="C1173" s="52"/>
      <c r="D1173" s="52"/>
      <c r="E1173" s="52"/>
      <c r="F1173" s="52"/>
      <c r="G1173" s="52"/>
      <c r="H1173" s="384"/>
      <c r="I1173" s="156"/>
      <c r="J1173" s="94">
        <v>3</v>
      </c>
      <c r="K1173" s="21" t="s">
        <v>94</v>
      </c>
      <c r="L1173" s="315">
        <f t="shared" ref="L1173:AC1174" si="842">L1174</f>
        <v>0</v>
      </c>
      <c r="M1173" s="315">
        <f t="shared" si="842"/>
        <v>0</v>
      </c>
      <c r="N1173" s="337">
        <f t="shared" si="842"/>
        <v>50000</v>
      </c>
      <c r="O1173" s="337">
        <f t="shared" si="842"/>
        <v>6636.1404207313026</v>
      </c>
      <c r="P1173" s="292">
        <f t="shared" si="842"/>
        <v>6700</v>
      </c>
      <c r="Q1173" s="292">
        <f t="shared" si="842"/>
        <v>39400</v>
      </c>
      <c r="R1173" s="441">
        <f t="shared" si="842"/>
        <v>38371</v>
      </c>
      <c r="S1173" s="292">
        <f t="shared" si="842"/>
        <v>0</v>
      </c>
      <c r="T1173" s="292"/>
      <c r="U1173" s="292"/>
      <c r="V1173" s="469">
        <f t="shared" si="842"/>
        <v>45000</v>
      </c>
      <c r="W1173" s="469">
        <f t="shared" si="842"/>
        <v>46000</v>
      </c>
      <c r="X1173" s="522">
        <f t="shared" si="842"/>
        <v>50000</v>
      </c>
      <c r="Y1173" s="522">
        <f t="shared" si="842"/>
        <v>0</v>
      </c>
      <c r="Z1173" s="541" t="b">
        <f t="shared" si="826"/>
        <v>1</v>
      </c>
      <c r="AA1173" s="522"/>
      <c r="AB1173" s="523">
        <f t="shared" si="842"/>
        <v>10000</v>
      </c>
      <c r="AC1173" s="523">
        <f t="shared" si="842"/>
        <v>10000</v>
      </c>
      <c r="AD1173" s="524"/>
      <c r="AE1173" s="524">
        <f t="shared" ref="AE1173:AF1175" si="843">P1173/O1173*100</f>
        <v>100.9623</v>
      </c>
      <c r="AF1173" s="524">
        <f t="shared" si="843"/>
        <v>588.05970149253733</v>
      </c>
      <c r="AG1173" s="524">
        <f>AB1173/Q1173*100</f>
        <v>25.380710659898476</v>
      </c>
      <c r="AH1173" s="522"/>
      <c r="AI1173" s="522">
        <v>50000</v>
      </c>
      <c r="AJ1173" s="516">
        <f>W1173/R1173*100</f>
        <v>119.88220270516796</v>
      </c>
      <c r="AK1173" s="516">
        <f>AT1173/W1173*100</f>
        <v>108.69565217391303</v>
      </c>
      <c r="AL1173" s="516">
        <f>X1173/AT1173*100</f>
        <v>100</v>
      </c>
      <c r="AM1173" s="292"/>
      <c r="AO1173" t="b">
        <f t="shared" si="827"/>
        <v>1</v>
      </c>
      <c r="AP1173" s="440">
        <f>AP1174</f>
        <v>0</v>
      </c>
      <c r="AQ1173" s="441">
        <v>45995</v>
      </c>
      <c r="AR1173" s="440">
        <f>AR1174</f>
        <v>0</v>
      </c>
      <c r="AS1173" s="441"/>
      <c r="AT1173" s="612">
        <f>AT1174</f>
        <v>50000</v>
      </c>
      <c r="AU1173" s="469">
        <f>AU1174</f>
        <v>50000</v>
      </c>
      <c r="AV1173" s="636">
        <v>50000</v>
      </c>
      <c r="AW1173" s="636">
        <v>50000</v>
      </c>
      <c r="AX1173" s="655">
        <f t="shared" si="837"/>
        <v>130.30674207083476</v>
      </c>
      <c r="AY1173" s="655">
        <f t="shared" si="812"/>
        <v>108.70746820306556</v>
      </c>
      <c r="AZ1173" s="655">
        <f t="shared" si="838"/>
        <v>100</v>
      </c>
      <c r="BA1173" s="655">
        <f t="shared" si="813"/>
        <v>108.70746820306556</v>
      </c>
      <c r="BB1173" s="655">
        <f t="shared" si="834"/>
        <v>100</v>
      </c>
      <c r="BC1173" s="655">
        <f t="shared" si="834"/>
        <v>100</v>
      </c>
    </row>
    <row r="1174" spans="1:55" ht="12" customHeight="1">
      <c r="A1174" s="355"/>
      <c r="B1174" s="355"/>
      <c r="C1174" s="355"/>
      <c r="D1174" s="355"/>
      <c r="E1174" s="355"/>
      <c r="F1174" s="355"/>
      <c r="G1174" s="355"/>
      <c r="H1174" s="379"/>
      <c r="I1174" s="359"/>
      <c r="J1174" s="356">
        <v>32</v>
      </c>
      <c r="K1174" s="358" t="s">
        <v>103</v>
      </c>
      <c r="L1174" s="315">
        <f t="shared" si="842"/>
        <v>0</v>
      </c>
      <c r="M1174" s="315">
        <f t="shared" si="842"/>
        <v>0</v>
      </c>
      <c r="N1174" s="337">
        <f t="shared" si="842"/>
        <v>50000</v>
      </c>
      <c r="O1174" s="337">
        <f t="shared" si="842"/>
        <v>6636.1404207313026</v>
      </c>
      <c r="P1174" s="292">
        <f t="shared" si="842"/>
        <v>6700</v>
      </c>
      <c r="Q1174" s="292">
        <f t="shared" si="842"/>
        <v>39400</v>
      </c>
      <c r="R1174" s="441">
        <f t="shared" si="842"/>
        <v>38371</v>
      </c>
      <c r="S1174" s="292">
        <f t="shared" si="842"/>
        <v>0</v>
      </c>
      <c r="T1174" s="292"/>
      <c r="U1174" s="292"/>
      <c r="V1174" s="469">
        <f t="shared" si="842"/>
        <v>45000</v>
      </c>
      <c r="W1174" s="469">
        <f t="shared" si="842"/>
        <v>46000</v>
      </c>
      <c r="X1174" s="522">
        <f t="shared" si="842"/>
        <v>50000</v>
      </c>
      <c r="Y1174" s="522">
        <f t="shared" si="842"/>
        <v>0</v>
      </c>
      <c r="Z1174" s="541" t="b">
        <f t="shared" si="826"/>
        <v>1</v>
      </c>
      <c r="AA1174" s="522"/>
      <c r="AB1174" s="523">
        <f t="shared" si="842"/>
        <v>10000</v>
      </c>
      <c r="AC1174" s="523">
        <f t="shared" si="842"/>
        <v>10000</v>
      </c>
      <c r="AD1174" s="524"/>
      <c r="AE1174" s="524">
        <f t="shared" si="843"/>
        <v>100.9623</v>
      </c>
      <c r="AF1174" s="524">
        <f t="shared" si="843"/>
        <v>588.05970149253733</v>
      </c>
      <c r="AG1174" s="524">
        <f>AB1174/Q1174*100</f>
        <v>25.380710659898476</v>
      </c>
      <c r="AH1174" s="522"/>
      <c r="AI1174" s="522">
        <v>50000</v>
      </c>
      <c r="AJ1174" s="516">
        <f>W1174/R1174*100</f>
        <v>119.88220270516796</v>
      </c>
      <c r="AK1174" s="516">
        <f>AT1174/W1174*100</f>
        <v>108.69565217391303</v>
      </c>
      <c r="AL1174" s="516">
        <f>X1174/AT1174*100</f>
        <v>100</v>
      </c>
      <c r="AM1174" s="292"/>
      <c r="AO1174" t="b">
        <f t="shared" si="827"/>
        <v>1</v>
      </c>
      <c r="AP1174" s="440">
        <f>AP1175</f>
        <v>0</v>
      </c>
      <c r="AQ1174" s="441">
        <v>45995</v>
      </c>
      <c r="AR1174" s="440">
        <f>AR1175</f>
        <v>0</v>
      </c>
      <c r="AS1174" s="441"/>
      <c r="AT1174" s="612">
        <f>AT1175</f>
        <v>50000</v>
      </c>
      <c r="AU1174" s="469">
        <f>AU1175</f>
        <v>50000</v>
      </c>
      <c r="AV1174" s="636">
        <v>50000</v>
      </c>
      <c r="AW1174" s="636">
        <v>50000</v>
      </c>
      <c r="AX1174" s="655">
        <f t="shared" si="837"/>
        <v>130.30674207083476</v>
      </c>
      <c r="AY1174" s="655">
        <f t="shared" si="812"/>
        <v>108.70746820306556</v>
      </c>
      <c r="AZ1174" s="655">
        <f t="shared" si="838"/>
        <v>100</v>
      </c>
      <c r="BA1174" s="655">
        <f t="shared" si="813"/>
        <v>108.70746820306556</v>
      </c>
      <c r="BB1174" s="655">
        <f t="shared" si="834"/>
        <v>100</v>
      </c>
      <c r="BC1174" s="655">
        <f t="shared" si="834"/>
        <v>100</v>
      </c>
    </row>
    <row r="1175" spans="1:55" ht="12" customHeight="1">
      <c r="A1175" s="56"/>
      <c r="B1175" s="56"/>
      <c r="C1175" s="56"/>
      <c r="D1175" s="56"/>
      <c r="E1175" s="56"/>
      <c r="F1175" s="56"/>
      <c r="G1175" s="56"/>
      <c r="H1175" s="377"/>
      <c r="I1175" s="157"/>
      <c r="J1175" s="116">
        <v>323</v>
      </c>
      <c r="K1175" s="60" t="s">
        <v>191</v>
      </c>
      <c r="L1175" s="315">
        <f t="shared" ref="L1175:S1175" si="844">L1176+L1177+L1178+L1179</f>
        <v>0</v>
      </c>
      <c r="M1175" s="315">
        <f t="shared" si="844"/>
        <v>0</v>
      </c>
      <c r="N1175" s="337">
        <f t="shared" si="844"/>
        <v>50000</v>
      </c>
      <c r="O1175" s="337">
        <f t="shared" si="844"/>
        <v>6636.1404207313026</v>
      </c>
      <c r="P1175" s="292">
        <f t="shared" si="844"/>
        <v>6700</v>
      </c>
      <c r="Q1175" s="292">
        <f t="shared" si="844"/>
        <v>39400</v>
      </c>
      <c r="R1175" s="441">
        <f t="shared" si="844"/>
        <v>38371</v>
      </c>
      <c r="S1175" s="292">
        <f t="shared" si="844"/>
        <v>0</v>
      </c>
      <c r="T1175" s="292"/>
      <c r="U1175" s="292"/>
      <c r="V1175" s="469">
        <f>V1176+V1177+V1178+V1179</f>
        <v>45000</v>
      </c>
      <c r="W1175" s="469">
        <f>W1176+W1177+W1178+W1179</f>
        <v>46000</v>
      </c>
      <c r="X1175" s="522">
        <f>X1176+X1177+X1178+X1179</f>
        <v>50000</v>
      </c>
      <c r="Y1175" s="522">
        <f>Y1176+Y1177+Y1178+Y1179</f>
        <v>0</v>
      </c>
      <c r="Z1175" s="541" t="b">
        <f t="shared" si="826"/>
        <v>1</v>
      </c>
      <c r="AA1175" s="522"/>
      <c r="AB1175" s="523">
        <f>AB1176+AB1177+AB1178+AB1179</f>
        <v>10000</v>
      </c>
      <c r="AC1175" s="523">
        <f>AC1176+AC1177+AC1178+AC1179</f>
        <v>10000</v>
      </c>
      <c r="AD1175" s="524"/>
      <c r="AE1175" s="524">
        <f t="shared" si="843"/>
        <v>100.9623</v>
      </c>
      <c r="AF1175" s="524">
        <f t="shared" si="843"/>
        <v>588.05970149253733</v>
      </c>
      <c r="AG1175" s="524">
        <f>AB1175/Q1175*100</f>
        <v>25.380710659898476</v>
      </c>
      <c r="AH1175" s="522"/>
      <c r="AI1175" s="522">
        <v>50000</v>
      </c>
      <c r="AJ1175" s="516">
        <f>W1175/R1175*100</f>
        <v>119.88220270516796</v>
      </c>
      <c r="AK1175" s="516">
        <f>AT1175/W1175*100</f>
        <v>108.69565217391303</v>
      </c>
      <c r="AL1175" s="516">
        <f>X1175/AT1175*100</f>
        <v>100</v>
      </c>
      <c r="AM1175" s="292"/>
      <c r="AO1175" t="b">
        <f t="shared" si="827"/>
        <v>1</v>
      </c>
      <c r="AP1175" s="440">
        <f>AP1176+AP1177+AP1178+AP1179</f>
        <v>0</v>
      </c>
      <c r="AQ1175" s="441">
        <v>45995</v>
      </c>
      <c r="AR1175" s="440">
        <f>AR1176+AR1177+AR1178+AR1179</f>
        <v>0</v>
      </c>
      <c r="AS1175" s="441"/>
      <c r="AT1175" s="612">
        <f>AT1176+AT1177+AT1178+AT1179</f>
        <v>50000</v>
      </c>
      <c r="AU1175" s="469">
        <f>AU1176+AU1177+AU1178+AU1179</f>
        <v>50000</v>
      </c>
      <c r="AV1175" s="636">
        <v>50000</v>
      </c>
      <c r="AW1175" s="636">
        <v>50000</v>
      </c>
      <c r="AX1175" s="655">
        <f t="shared" si="837"/>
        <v>130.30674207083476</v>
      </c>
      <c r="AY1175" s="655">
        <f t="shared" si="812"/>
        <v>108.70746820306556</v>
      </c>
      <c r="AZ1175" s="655">
        <f t="shared" si="838"/>
        <v>100</v>
      </c>
      <c r="BA1175" s="655">
        <f t="shared" si="813"/>
        <v>108.70746820306556</v>
      </c>
      <c r="BB1175" s="655">
        <f t="shared" si="834"/>
        <v>100</v>
      </c>
      <c r="BC1175" s="655">
        <f t="shared" si="834"/>
        <v>100</v>
      </c>
    </row>
    <row r="1176" spans="1:55" ht="12" customHeight="1">
      <c r="A1176" s="36"/>
      <c r="B1176" s="36"/>
      <c r="C1176" s="36"/>
      <c r="D1176" s="36"/>
      <c r="E1176" s="36"/>
      <c r="F1176" s="36"/>
      <c r="G1176" s="36"/>
      <c r="H1176" s="204">
        <v>240</v>
      </c>
      <c r="I1176" s="132">
        <v>820</v>
      </c>
      <c r="J1176" s="71">
        <v>3232</v>
      </c>
      <c r="K1176" s="40" t="s">
        <v>812</v>
      </c>
      <c r="L1176" s="309">
        <v>0</v>
      </c>
      <c r="M1176" s="309">
        <v>0</v>
      </c>
      <c r="N1176" s="339">
        <v>0</v>
      </c>
      <c r="O1176" s="339">
        <f>N1176/7.5345</f>
        <v>0</v>
      </c>
      <c r="P1176" s="294">
        <v>4000</v>
      </c>
      <c r="Q1176" s="269">
        <v>0</v>
      </c>
      <c r="R1176" s="443">
        <v>0</v>
      </c>
      <c r="S1176" s="294"/>
      <c r="T1176" s="294"/>
      <c r="U1176" s="294"/>
      <c r="V1176" s="478">
        <v>0</v>
      </c>
      <c r="W1176" s="478"/>
      <c r="X1176" s="544"/>
      <c r="Y1176" s="544"/>
      <c r="Z1176" s="541" t="b">
        <f t="shared" si="826"/>
        <v>0</v>
      </c>
      <c r="AA1176" s="527"/>
      <c r="AB1176" s="528">
        <v>5000</v>
      </c>
      <c r="AC1176" s="528">
        <v>5000</v>
      </c>
      <c r="AD1176" s="524"/>
      <c r="AE1176" s="524"/>
      <c r="AF1176" s="524"/>
      <c r="AG1176" s="524"/>
      <c r="AH1176" s="527"/>
      <c r="AI1176" s="544"/>
      <c r="AJ1176" s="516"/>
      <c r="AK1176" s="516"/>
      <c r="AL1176" s="516"/>
      <c r="AM1176" s="294"/>
      <c r="AO1176" t="b">
        <f t="shared" si="827"/>
        <v>0</v>
      </c>
      <c r="AQ1176" s="443"/>
      <c r="AS1176" s="443"/>
      <c r="AT1176" s="617"/>
      <c r="AU1176" s="478"/>
      <c r="AV1176" s="638"/>
      <c r="AW1176" s="638"/>
      <c r="AX1176" s="655" t="str">
        <f t="shared" si="837"/>
        <v/>
      </c>
      <c r="AY1176" s="655" t="str">
        <f t="shared" si="812"/>
        <v/>
      </c>
      <c r="AZ1176" s="655" t="str">
        <f t="shared" si="838"/>
        <v/>
      </c>
      <c r="BA1176" s="655" t="str">
        <f t="shared" si="813"/>
        <v/>
      </c>
      <c r="BB1176" s="655" t="str">
        <f t="shared" si="834"/>
        <v/>
      </c>
      <c r="BC1176" s="655" t="str">
        <f t="shared" si="834"/>
        <v/>
      </c>
    </row>
    <row r="1177" spans="1:55" ht="12" customHeight="1">
      <c r="A1177" s="36"/>
      <c r="B1177" s="36"/>
      <c r="C1177" s="36"/>
      <c r="D1177" s="36"/>
      <c r="E1177" s="36"/>
      <c r="F1177" s="36"/>
      <c r="G1177" s="36"/>
      <c r="H1177" s="204">
        <v>241</v>
      </c>
      <c r="I1177" s="132">
        <v>820</v>
      </c>
      <c r="J1177" s="71">
        <v>3232</v>
      </c>
      <c r="K1177" s="40" t="s">
        <v>696</v>
      </c>
      <c r="L1177" s="309">
        <v>0</v>
      </c>
      <c r="M1177" s="309">
        <v>0</v>
      </c>
      <c r="N1177" s="339">
        <v>0</v>
      </c>
      <c r="O1177" s="339">
        <f>N1177/7.5345</f>
        <v>0</v>
      </c>
      <c r="P1177" s="294">
        <v>2700</v>
      </c>
      <c r="Q1177" s="269">
        <v>39400</v>
      </c>
      <c r="R1177" s="443">
        <v>38371</v>
      </c>
      <c r="S1177" s="294"/>
      <c r="T1177" s="294"/>
      <c r="U1177" s="294"/>
      <c r="V1177" s="478">
        <v>45000</v>
      </c>
      <c r="W1177" s="478">
        <v>46000</v>
      </c>
      <c r="X1177" s="544">
        <v>50000</v>
      </c>
      <c r="Y1177" s="544"/>
      <c r="Z1177" s="541" t="b">
        <f t="shared" si="826"/>
        <v>0</v>
      </c>
      <c r="AA1177" s="527"/>
      <c r="AB1177" s="528">
        <v>5000</v>
      </c>
      <c r="AC1177" s="528">
        <v>5000</v>
      </c>
      <c r="AD1177" s="524"/>
      <c r="AE1177" s="524"/>
      <c r="AF1177" s="524"/>
      <c r="AG1177" s="524">
        <f>AB1177/Q1177*100</f>
        <v>12.690355329949238</v>
      </c>
      <c r="AH1177" s="527"/>
      <c r="AI1177" s="544">
        <v>50000</v>
      </c>
      <c r="AJ1177" s="516">
        <f>W1177/R1177*100</f>
        <v>119.88220270516796</v>
      </c>
      <c r="AK1177" s="516">
        <f>AT1177/W1177*100</f>
        <v>108.69565217391303</v>
      </c>
      <c r="AL1177" s="516">
        <f>X1177/AT1177*100</f>
        <v>100</v>
      </c>
      <c r="AM1177" s="294"/>
      <c r="AO1177" t="b">
        <f t="shared" si="827"/>
        <v>0</v>
      </c>
      <c r="AQ1177" s="443">
        <v>45995</v>
      </c>
      <c r="AS1177" s="443"/>
      <c r="AT1177" s="617">
        <v>50000</v>
      </c>
      <c r="AU1177" s="478">
        <v>50000</v>
      </c>
      <c r="AV1177" s="638">
        <v>50000</v>
      </c>
      <c r="AW1177" s="638">
        <v>50000</v>
      </c>
      <c r="AX1177" s="655">
        <f t="shared" si="837"/>
        <v>130.30674207083476</v>
      </c>
      <c r="AY1177" s="655">
        <f t="shared" si="812"/>
        <v>108.70746820306556</v>
      </c>
      <c r="AZ1177" s="655">
        <f t="shared" si="838"/>
        <v>100</v>
      </c>
      <c r="BA1177" s="655">
        <f t="shared" si="813"/>
        <v>108.70746820306556</v>
      </c>
      <c r="BB1177" s="655">
        <f t="shared" si="834"/>
        <v>100</v>
      </c>
      <c r="BC1177" s="655">
        <f t="shared" si="834"/>
        <v>100</v>
      </c>
    </row>
    <row r="1178" spans="1:55" ht="12" customHeight="1">
      <c r="A1178" s="36"/>
      <c r="B1178" s="36"/>
      <c r="C1178" s="36"/>
      <c r="D1178" s="36"/>
      <c r="E1178" s="36"/>
      <c r="F1178" s="36"/>
      <c r="G1178" s="36"/>
      <c r="H1178" s="204">
        <v>242</v>
      </c>
      <c r="I1178" s="132">
        <v>820</v>
      </c>
      <c r="J1178" s="71">
        <v>3239</v>
      </c>
      <c r="K1178" s="40" t="s">
        <v>734</v>
      </c>
      <c r="L1178" s="309">
        <v>0</v>
      </c>
      <c r="M1178" s="309">
        <v>0</v>
      </c>
      <c r="N1178" s="339">
        <v>0</v>
      </c>
      <c r="O1178" s="339">
        <f>N1178/7.5345</f>
        <v>0</v>
      </c>
      <c r="P1178" s="294">
        <v>0</v>
      </c>
      <c r="Q1178" s="294">
        <v>0</v>
      </c>
      <c r="R1178" s="443">
        <v>0</v>
      </c>
      <c r="S1178" s="294"/>
      <c r="T1178" s="294"/>
      <c r="U1178" s="294"/>
      <c r="V1178" s="478">
        <v>0</v>
      </c>
      <c r="W1178" s="478"/>
      <c r="X1178" s="544"/>
      <c r="Y1178" s="544"/>
      <c r="Z1178" s="541" t="b">
        <f t="shared" si="826"/>
        <v>0</v>
      </c>
      <c r="AA1178" s="527"/>
      <c r="AB1178" s="528">
        <v>0</v>
      </c>
      <c r="AC1178" s="528">
        <v>0</v>
      </c>
      <c r="AD1178" s="524"/>
      <c r="AE1178" s="524"/>
      <c r="AF1178" s="524"/>
      <c r="AG1178" s="524"/>
      <c r="AH1178" s="527"/>
      <c r="AI1178" s="544"/>
      <c r="AJ1178" s="516"/>
      <c r="AK1178" s="516"/>
      <c r="AL1178" s="516"/>
      <c r="AM1178" s="294"/>
      <c r="AO1178" t="b">
        <f t="shared" si="827"/>
        <v>0</v>
      </c>
      <c r="AQ1178" s="443"/>
      <c r="AS1178" s="443"/>
      <c r="AT1178" s="617"/>
      <c r="AU1178" s="478"/>
      <c r="AV1178" s="638"/>
      <c r="AW1178" s="638"/>
      <c r="AX1178" s="655" t="str">
        <f t="shared" si="837"/>
        <v/>
      </c>
      <c r="AY1178" s="655" t="str">
        <f t="shared" si="812"/>
        <v/>
      </c>
      <c r="AZ1178" s="655" t="str">
        <f t="shared" si="838"/>
        <v/>
      </c>
      <c r="BA1178" s="655" t="str">
        <f t="shared" si="813"/>
        <v/>
      </c>
      <c r="BB1178" s="655" t="str">
        <f t="shared" si="834"/>
        <v/>
      </c>
      <c r="BC1178" s="655" t="str">
        <f t="shared" si="834"/>
        <v/>
      </c>
    </row>
    <row r="1179" spans="1:55" ht="12" customHeight="1">
      <c r="A1179" s="36"/>
      <c r="B1179" s="36"/>
      <c r="C1179" s="36"/>
      <c r="D1179" s="36"/>
      <c r="E1179" s="36"/>
      <c r="F1179" s="36"/>
      <c r="G1179" s="36"/>
      <c r="H1179" s="204">
        <v>243</v>
      </c>
      <c r="I1179" s="132">
        <v>820</v>
      </c>
      <c r="J1179" s="71">
        <v>3239</v>
      </c>
      <c r="K1179" s="40" t="s">
        <v>795</v>
      </c>
      <c r="L1179" s="309">
        <v>0</v>
      </c>
      <c r="M1179" s="309">
        <v>0</v>
      </c>
      <c r="N1179" s="339">
        <v>50000</v>
      </c>
      <c r="O1179" s="339">
        <f>N1179/7.5345</f>
        <v>6636.1404207313026</v>
      </c>
      <c r="P1179" s="294">
        <v>0</v>
      </c>
      <c r="Q1179" s="294">
        <v>0</v>
      </c>
      <c r="R1179" s="443">
        <v>0</v>
      </c>
      <c r="S1179" s="294"/>
      <c r="T1179" s="294"/>
      <c r="U1179" s="294"/>
      <c r="V1179" s="478">
        <v>0</v>
      </c>
      <c r="W1179" s="478"/>
      <c r="X1179" s="544"/>
      <c r="Y1179" s="544"/>
      <c r="Z1179" s="541" t="b">
        <f t="shared" si="826"/>
        <v>0</v>
      </c>
      <c r="AA1179" s="527"/>
      <c r="AB1179" s="528">
        <v>0</v>
      </c>
      <c r="AC1179" s="528">
        <v>0</v>
      </c>
      <c r="AD1179" s="524"/>
      <c r="AE1179" s="524"/>
      <c r="AF1179" s="524"/>
      <c r="AG1179" s="524"/>
      <c r="AH1179" s="527"/>
      <c r="AI1179" s="544"/>
      <c r="AJ1179" s="516"/>
      <c r="AK1179" s="516"/>
      <c r="AL1179" s="516"/>
      <c r="AM1179" s="294"/>
      <c r="AO1179" t="b">
        <f t="shared" si="827"/>
        <v>0</v>
      </c>
      <c r="AQ1179" s="443"/>
      <c r="AS1179" s="443"/>
      <c r="AT1179" s="617"/>
      <c r="AU1179" s="478"/>
      <c r="AV1179" s="638"/>
      <c r="AW1179" s="638"/>
      <c r="AX1179" s="655" t="str">
        <f t="shared" si="837"/>
        <v/>
      </c>
      <c r="AY1179" s="655" t="str">
        <f t="shared" si="812"/>
        <v/>
      </c>
      <c r="AZ1179" s="655" t="str">
        <f t="shared" si="838"/>
        <v/>
      </c>
      <c r="BA1179" s="655" t="str">
        <f t="shared" si="813"/>
        <v/>
      </c>
      <c r="BB1179" s="655" t="str">
        <f t="shared" si="834"/>
        <v/>
      </c>
      <c r="BC1179" s="655" t="str">
        <f t="shared" si="834"/>
        <v/>
      </c>
    </row>
    <row r="1180" spans="1:55" ht="12" customHeight="1">
      <c r="A1180" s="20"/>
      <c r="B1180" s="20"/>
      <c r="C1180" s="20"/>
      <c r="D1180" s="20"/>
      <c r="E1180" s="20"/>
      <c r="F1180" s="20"/>
      <c r="G1180" s="20"/>
      <c r="H1180" s="375"/>
      <c r="I1180" s="22"/>
      <c r="J1180" s="21"/>
      <c r="K1180" s="19"/>
      <c r="L1180" s="313">
        <v>1</v>
      </c>
      <c r="M1180" s="313">
        <v>2</v>
      </c>
      <c r="N1180" s="335">
        <v>3</v>
      </c>
      <c r="O1180" s="335">
        <v>4</v>
      </c>
      <c r="P1180" s="290">
        <v>5</v>
      </c>
      <c r="Q1180" s="290">
        <v>6</v>
      </c>
      <c r="R1180" s="439"/>
      <c r="S1180" s="290"/>
      <c r="T1180" s="290"/>
      <c r="U1180" s="290"/>
      <c r="V1180" s="474">
        <v>5</v>
      </c>
      <c r="W1180" s="474"/>
      <c r="X1180" s="539"/>
      <c r="Y1180" s="539"/>
      <c r="Z1180" s="541" t="b">
        <f t="shared" si="826"/>
        <v>0</v>
      </c>
      <c r="AA1180" s="514"/>
      <c r="AB1180" s="515">
        <v>7</v>
      </c>
      <c r="AC1180" s="515">
        <v>8</v>
      </c>
      <c r="AD1180" s="515">
        <v>9</v>
      </c>
      <c r="AE1180" s="515">
        <v>10</v>
      </c>
      <c r="AF1180" s="515">
        <v>11</v>
      </c>
      <c r="AG1180" s="515">
        <v>12</v>
      </c>
      <c r="AH1180" s="514"/>
      <c r="AI1180" s="539"/>
      <c r="AJ1180" s="516"/>
      <c r="AK1180" s="516"/>
      <c r="AL1180" s="516"/>
      <c r="AM1180" s="290"/>
      <c r="AO1180" t="b">
        <f t="shared" si="827"/>
        <v>0</v>
      </c>
      <c r="AQ1180" s="439"/>
      <c r="AS1180" s="439"/>
      <c r="AT1180" s="616"/>
      <c r="AU1180" s="474"/>
      <c r="AV1180" s="632"/>
      <c r="AW1180" s="632"/>
      <c r="AX1180" s="655" t="str">
        <f t="shared" si="837"/>
        <v/>
      </c>
      <c r="AY1180" s="655" t="str">
        <f t="shared" si="812"/>
        <v/>
      </c>
      <c r="AZ1180" s="655" t="str">
        <f t="shared" si="838"/>
        <v/>
      </c>
      <c r="BA1180" s="655" t="str">
        <f t="shared" si="813"/>
        <v/>
      </c>
      <c r="BB1180" s="655" t="str">
        <f t="shared" si="834"/>
        <v/>
      </c>
      <c r="BC1180" s="655" t="str">
        <f t="shared" si="834"/>
        <v/>
      </c>
    </row>
    <row r="1181" spans="1:55" ht="12" customHeight="1">
      <c r="A1181" s="212" t="s">
        <v>486</v>
      </c>
      <c r="B1181" s="130"/>
      <c r="C1181" s="130"/>
      <c r="D1181" s="130"/>
      <c r="E1181" s="130"/>
      <c r="F1181" s="130"/>
      <c r="G1181" s="130"/>
      <c r="H1181" s="388"/>
      <c r="I1181" s="167" t="s">
        <v>460</v>
      </c>
      <c r="J1181" s="168"/>
      <c r="K1181" s="169"/>
      <c r="L1181" s="320">
        <f t="shared" ref="L1181:S1181" si="845">L1183</f>
        <v>15000</v>
      </c>
      <c r="M1181" s="320">
        <f t="shared" si="845"/>
        <v>1990.8421262193906</v>
      </c>
      <c r="N1181" s="344">
        <f t="shared" si="845"/>
        <v>20000</v>
      </c>
      <c r="O1181" s="344">
        <f t="shared" si="845"/>
        <v>2654.4561682925209</v>
      </c>
      <c r="P1181" s="299">
        <f t="shared" si="845"/>
        <v>4100</v>
      </c>
      <c r="Q1181" s="299">
        <f t="shared" si="845"/>
        <v>9400</v>
      </c>
      <c r="R1181" s="447">
        <f t="shared" si="845"/>
        <v>9314</v>
      </c>
      <c r="S1181" s="299">
        <f t="shared" si="845"/>
        <v>0</v>
      </c>
      <c r="T1181" s="299"/>
      <c r="U1181" s="299"/>
      <c r="V1181" s="477">
        <f>V1183</f>
        <v>5500</v>
      </c>
      <c r="W1181" s="477">
        <f>W1183</f>
        <v>0</v>
      </c>
      <c r="X1181" s="542">
        <f>X1183</f>
        <v>0</v>
      </c>
      <c r="Y1181" s="542">
        <f>Y1183</f>
        <v>0</v>
      </c>
      <c r="Z1181" s="541" t="b">
        <f t="shared" si="826"/>
        <v>1</v>
      </c>
      <c r="AA1181" s="542"/>
      <c r="AB1181" s="543">
        <f>AB1183</f>
        <v>5000</v>
      </c>
      <c r="AC1181" s="543">
        <f>AC1183</f>
        <v>5000</v>
      </c>
      <c r="AD1181" s="524">
        <f>O1181/M1181*100</f>
        <v>133.33333333333334</v>
      </c>
      <c r="AE1181" s="524">
        <f>P1181/O1181*100</f>
        <v>154.45725000000002</v>
      </c>
      <c r="AF1181" s="524">
        <f>Q1181/P1181*100</f>
        <v>229.26829268292681</v>
      </c>
      <c r="AG1181" s="524">
        <f>AB1181/Q1181*100</f>
        <v>53.191489361702125</v>
      </c>
      <c r="AH1181" s="542"/>
      <c r="AI1181" s="542">
        <v>0</v>
      </c>
      <c r="AJ1181" s="516">
        <f>W1181/R1181*100</f>
        <v>0</v>
      </c>
      <c r="AK1181" s="516"/>
      <c r="AL1181" s="516"/>
      <c r="AM1181" s="299"/>
      <c r="AO1181" t="b">
        <f t="shared" si="827"/>
        <v>1</v>
      </c>
      <c r="AP1181" s="503">
        <f>AP1183</f>
        <v>0</v>
      </c>
      <c r="AQ1181" s="447">
        <v>5323</v>
      </c>
      <c r="AR1181" s="503">
        <f>AR1183</f>
        <v>0</v>
      </c>
      <c r="AS1181" s="447"/>
      <c r="AT1181" s="611">
        <f>AT1183</f>
        <v>0</v>
      </c>
      <c r="AU1181" s="477">
        <f>AU1183</f>
        <v>0</v>
      </c>
      <c r="AV1181" s="643">
        <v>0</v>
      </c>
      <c r="AW1181" s="643">
        <v>0</v>
      </c>
      <c r="AX1181" s="655">
        <f t="shared" si="837"/>
        <v>0</v>
      </c>
      <c r="AY1181" s="655">
        <f t="shared" si="812"/>
        <v>0</v>
      </c>
      <c r="AZ1181" s="655" t="str">
        <f t="shared" si="838"/>
        <v/>
      </c>
      <c r="BA1181" s="655">
        <f t="shared" si="813"/>
        <v>0</v>
      </c>
      <c r="BB1181" s="655" t="str">
        <f t="shared" si="834"/>
        <v/>
      </c>
      <c r="BC1181" s="655" t="str">
        <f t="shared" si="834"/>
        <v/>
      </c>
    </row>
    <row r="1182" spans="1:55" ht="12" customHeight="1">
      <c r="A1182" s="36"/>
      <c r="B1182" s="36"/>
      <c r="C1182" s="36"/>
      <c r="D1182" s="36"/>
      <c r="E1182" s="36"/>
      <c r="F1182" s="36"/>
      <c r="G1182" s="36"/>
      <c r="H1182" s="204"/>
      <c r="I1182" s="132"/>
      <c r="J1182" s="71"/>
      <c r="K1182" s="40"/>
      <c r="L1182" s="309"/>
      <c r="M1182" s="309"/>
      <c r="N1182" s="339"/>
      <c r="O1182" s="339"/>
      <c r="P1182" s="294"/>
      <c r="Q1182" s="294"/>
      <c r="R1182" s="443"/>
      <c r="S1182" s="294"/>
      <c r="T1182" s="294"/>
      <c r="U1182" s="294"/>
      <c r="V1182" s="478"/>
      <c r="W1182" s="478"/>
      <c r="X1182" s="544"/>
      <c r="Y1182" s="544"/>
      <c r="Z1182" s="541" t="b">
        <f t="shared" si="826"/>
        <v>0</v>
      </c>
      <c r="AA1182" s="527"/>
      <c r="AB1182" s="528"/>
      <c r="AC1182" s="528"/>
      <c r="AD1182" s="524"/>
      <c r="AE1182" s="524"/>
      <c r="AF1182" s="524"/>
      <c r="AG1182" s="524"/>
      <c r="AH1182" s="527"/>
      <c r="AI1182" s="544"/>
      <c r="AJ1182" s="516"/>
      <c r="AK1182" s="516"/>
      <c r="AL1182" s="516"/>
      <c r="AM1182" s="294"/>
      <c r="AO1182" t="b">
        <f t="shared" si="827"/>
        <v>0</v>
      </c>
      <c r="AQ1182" s="443"/>
      <c r="AS1182" s="443"/>
      <c r="AT1182" s="617"/>
      <c r="AU1182" s="478"/>
      <c r="AV1182" s="638"/>
      <c r="AW1182" s="638"/>
      <c r="AX1182" s="655" t="str">
        <f t="shared" si="837"/>
        <v/>
      </c>
      <c r="AY1182" s="655" t="str">
        <f t="shared" si="812"/>
        <v/>
      </c>
      <c r="AZ1182" s="655" t="str">
        <f t="shared" si="838"/>
        <v/>
      </c>
      <c r="BA1182" s="655" t="str">
        <f t="shared" si="813"/>
        <v/>
      </c>
      <c r="BB1182" s="655" t="str">
        <f t="shared" si="834"/>
        <v/>
      </c>
      <c r="BC1182" s="655" t="str">
        <f t="shared" si="834"/>
        <v/>
      </c>
    </row>
    <row r="1183" spans="1:55" ht="12" customHeight="1">
      <c r="A1183" s="52"/>
      <c r="B1183" s="52"/>
      <c r="C1183" s="52"/>
      <c r="D1183" s="52"/>
      <c r="E1183" s="52"/>
      <c r="F1183" s="52"/>
      <c r="G1183" s="52"/>
      <c r="H1183" s="384"/>
      <c r="I1183" s="156"/>
      <c r="J1183" s="94">
        <v>3</v>
      </c>
      <c r="K1183" s="21" t="s">
        <v>94</v>
      </c>
      <c r="L1183" s="315">
        <f t="shared" ref="L1183:AC1184" si="846">L1184</f>
        <v>15000</v>
      </c>
      <c r="M1183" s="315">
        <f t="shared" si="846"/>
        <v>1990.8421262193906</v>
      </c>
      <c r="N1183" s="337">
        <f t="shared" si="846"/>
        <v>20000</v>
      </c>
      <c r="O1183" s="337">
        <f t="shared" si="846"/>
        <v>2654.4561682925209</v>
      </c>
      <c r="P1183" s="292">
        <f t="shared" si="846"/>
        <v>4100</v>
      </c>
      <c r="Q1183" s="292">
        <f t="shared" si="846"/>
        <v>9400</v>
      </c>
      <c r="R1183" s="441">
        <f t="shared" si="846"/>
        <v>9314</v>
      </c>
      <c r="S1183" s="292">
        <f t="shared" si="846"/>
        <v>0</v>
      </c>
      <c r="T1183" s="292"/>
      <c r="U1183" s="292"/>
      <c r="V1183" s="469">
        <f t="shared" si="846"/>
        <v>5500</v>
      </c>
      <c r="W1183" s="469">
        <f t="shared" si="846"/>
        <v>0</v>
      </c>
      <c r="X1183" s="522">
        <f t="shared" si="846"/>
        <v>0</v>
      </c>
      <c r="Y1183" s="522">
        <f t="shared" si="846"/>
        <v>0</v>
      </c>
      <c r="Z1183" s="541" t="b">
        <f t="shared" si="826"/>
        <v>1</v>
      </c>
      <c r="AA1183" s="522"/>
      <c r="AB1183" s="523">
        <f t="shared" si="846"/>
        <v>5000</v>
      </c>
      <c r="AC1183" s="523">
        <f t="shared" si="846"/>
        <v>5000</v>
      </c>
      <c r="AD1183" s="524">
        <f>O1183/M1183*100</f>
        <v>133.33333333333334</v>
      </c>
      <c r="AE1183" s="524">
        <f t="shared" ref="AE1183:AF1185" si="847">P1183/O1183*100</f>
        <v>154.45725000000002</v>
      </c>
      <c r="AF1183" s="524">
        <f t="shared" si="847"/>
        <v>229.26829268292681</v>
      </c>
      <c r="AG1183" s="524">
        <f>AB1183/Q1183*100</f>
        <v>53.191489361702125</v>
      </c>
      <c r="AH1183" s="522"/>
      <c r="AI1183" s="522">
        <v>0</v>
      </c>
      <c r="AJ1183" s="516">
        <f>W1183/R1183*100</f>
        <v>0</v>
      </c>
      <c r="AK1183" s="516"/>
      <c r="AL1183" s="516"/>
      <c r="AM1183" s="292"/>
      <c r="AO1183" t="b">
        <f t="shared" si="827"/>
        <v>1</v>
      </c>
      <c r="AP1183" s="440">
        <f>AP1184</f>
        <v>0</v>
      </c>
      <c r="AQ1183" s="441">
        <v>5323</v>
      </c>
      <c r="AR1183" s="440">
        <f>AR1184</f>
        <v>0</v>
      </c>
      <c r="AS1183" s="441"/>
      <c r="AT1183" s="612">
        <f>AT1184</f>
        <v>0</v>
      </c>
      <c r="AU1183" s="469">
        <f>AU1184</f>
        <v>0</v>
      </c>
      <c r="AV1183" s="636">
        <v>0</v>
      </c>
      <c r="AW1183" s="636">
        <v>0</v>
      </c>
      <c r="AX1183" s="655">
        <f t="shared" si="837"/>
        <v>0</v>
      </c>
      <c r="AY1183" s="655">
        <f t="shared" si="812"/>
        <v>0</v>
      </c>
      <c r="AZ1183" s="655" t="str">
        <f t="shared" si="838"/>
        <v/>
      </c>
      <c r="BA1183" s="655">
        <f t="shared" si="813"/>
        <v>0</v>
      </c>
      <c r="BB1183" s="655" t="str">
        <f t="shared" si="834"/>
        <v/>
      </c>
      <c r="BC1183" s="655" t="str">
        <f t="shared" si="834"/>
        <v/>
      </c>
    </row>
    <row r="1184" spans="1:55" ht="12" customHeight="1">
      <c r="A1184" s="355"/>
      <c r="B1184" s="355"/>
      <c r="C1184" s="355"/>
      <c r="D1184" s="355"/>
      <c r="E1184" s="355"/>
      <c r="F1184" s="355"/>
      <c r="G1184" s="355"/>
      <c r="H1184" s="379"/>
      <c r="I1184" s="359"/>
      <c r="J1184" s="356">
        <v>32</v>
      </c>
      <c r="K1184" s="358" t="s">
        <v>103</v>
      </c>
      <c r="L1184" s="315">
        <f t="shared" si="846"/>
        <v>15000</v>
      </c>
      <c r="M1184" s="315">
        <f t="shared" si="846"/>
        <v>1990.8421262193906</v>
      </c>
      <c r="N1184" s="337">
        <f t="shared" si="846"/>
        <v>20000</v>
      </c>
      <c r="O1184" s="337">
        <f t="shared" si="846"/>
        <v>2654.4561682925209</v>
      </c>
      <c r="P1184" s="292">
        <f t="shared" si="846"/>
        <v>4100</v>
      </c>
      <c r="Q1184" s="292">
        <f t="shared" si="846"/>
        <v>9400</v>
      </c>
      <c r="R1184" s="441">
        <f t="shared" si="846"/>
        <v>9314</v>
      </c>
      <c r="S1184" s="292">
        <f t="shared" si="846"/>
        <v>0</v>
      </c>
      <c r="T1184" s="292"/>
      <c r="U1184" s="292"/>
      <c r="V1184" s="469">
        <f t="shared" si="846"/>
        <v>5500</v>
      </c>
      <c r="W1184" s="469">
        <f t="shared" si="846"/>
        <v>0</v>
      </c>
      <c r="X1184" s="522">
        <f t="shared" si="846"/>
        <v>0</v>
      </c>
      <c r="Y1184" s="522">
        <f t="shared" si="846"/>
        <v>0</v>
      </c>
      <c r="Z1184" s="541" t="b">
        <f t="shared" si="826"/>
        <v>1</v>
      </c>
      <c r="AA1184" s="522"/>
      <c r="AB1184" s="523">
        <f t="shared" si="846"/>
        <v>5000</v>
      </c>
      <c r="AC1184" s="523">
        <f t="shared" si="846"/>
        <v>5000</v>
      </c>
      <c r="AD1184" s="524">
        <f>O1184/M1184*100</f>
        <v>133.33333333333334</v>
      </c>
      <c r="AE1184" s="524">
        <f t="shared" si="847"/>
        <v>154.45725000000002</v>
      </c>
      <c r="AF1184" s="524">
        <f t="shared" si="847"/>
        <v>229.26829268292681</v>
      </c>
      <c r="AG1184" s="524">
        <f>AB1184/Q1184*100</f>
        <v>53.191489361702125</v>
      </c>
      <c r="AH1184" s="522"/>
      <c r="AI1184" s="522">
        <v>0</v>
      </c>
      <c r="AJ1184" s="516">
        <f>W1184/R1184*100</f>
        <v>0</v>
      </c>
      <c r="AK1184" s="516"/>
      <c r="AL1184" s="516"/>
      <c r="AM1184" s="292"/>
      <c r="AO1184" t="b">
        <f t="shared" si="827"/>
        <v>1</v>
      </c>
      <c r="AP1184" s="440">
        <f>AP1185</f>
        <v>0</v>
      </c>
      <c r="AQ1184" s="441">
        <v>5323</v>
      </c>
      <c r="AR1184" s="440">
        <f>AR1185</f>
        <v>0</v>
      </c>
      <c r="AS1184" s="441"/>
      <c r="AT1184" s="612">
        <f>AT1185</f>
        <v>0</v>
      </c>
      <c r="AU1184" s="469">
        <f>AU1185</f>
        <v>0</v>
      </c>
      <c r="AV1184" s="636">
        <v>0</v>
      </c>
      <c r="AW1184" s="636">
        <v>0</v>
      </c>
      <c r="AX1184" s="655">
        <f t="shared" si="837"/>
        <v>0</v>
      </c>
      <c r="AY1184" s="655">
        <f t="shared" si="812"/>
        <v>0</v>
      </c>
      <c r="AZ1184" s="655" t="str">
        <f t="shared" si="838"/>
        <v/>
      </c>
      <c r="BA1184" s="655">
        <f t="shared" si="813"/>
        <v>0</v>
      </c>
      <c r="BB1184" s="655" t="str">
        <f t="shared" si="834"/>
        <v/>
      </c>
      <c r="BC1184" s="655" t="str">
        <f t="shared" si="834"/>
        <v/>
      </c>
    </row>
    <row r="1185" spans="1:55" ht="12" customHeight="1">
      <c r="A1185" s="56"/>
      <c r="B1185" s="56"/>
      <c r="C1185" s="56"/>
      <c r="D1185" s="56"/>
      <c r="E1185" s="56"/>
      <c r="F1185" s="56"/>
      <c r="G1185" s="56"/>
      <c r="H1185" s="377"/>
      <c r="I1185" s="157"/>
      <c r="J1185" s="116">
        <v>323</v>
      </c>
      <c r="K1185" s="60" t="s">
        <v>191</v>
      </c>
      <c r="L1185" s="315">
        <f t="shared" ref="L1185:S1185" si="848">L1186+L1187+L1188+L1189</f>
        <v>15000</v>
      </c>
      <c r="M1185" s="315">
        <f t="shared" si="848"/>
        <v>1990.8421262193906</v>
      </c>
      <c r="N1185" s="337">
        <f t="shared" si="848"/>
        <v>20000</v>
      </c>
      <c r="O1185" s="337">
        <f t="shared" si="848"/>
        <v>2654.4561682925209</v>
      </c>
      <c r="P1185" s="292">
        <f t="shared" si="848"/>
        <v>4100</v>
      </c>
      <c r="Q1185" s="292">
        <f t="shared" si="848"/>
        <v>9400</v>
      </c>
      <c r="R1185" s="441">
        <f t="shared" si="848"/>
        <v>9314</v>
      </c>
      <c r="S1185" s="292">
        <f t="shared" si="848"/>
        <v>0</v>
      </c>
      <c r="T1185" s="292"/>
      <c r="U1185" s="292"/>
      <c r="V1185" s="469">
        <f>V1186+V1187+V1188+V1189</f>
        <v>5500</v>
      </c>
      <c r="W1185" s="469">
        <f>W1186+W1187+W1188+W1189</f>
        <v>0</v>
      </c>
      <c r="X1185" s="522">
        <f>X1186+X1187+X1188+X1189</f>
        <v>0</v>
      </c>
      <c r="Y1185" s="522">
        <f>Y1186+Y1187+Y1188+Y1189</f>
        <v>0</v>
      </c>
      <c r="Z1185" s="541" t="b">
        <f t="shared" si="826"/>
        <v>1</v>
      </c>
      <c r="AA1185" s="522"/>
      <c r="AB1185" s="523">
        <f>AB1186+AB1187+AB1188+AB1189</f>
        <v>5000</v>
      </c>
      <c r="AC1185" s="523">
        <f>AC1186+AC1187+AC1188+AC1189</f>
        <v>5000</v>
      </c>
      <c r="AD1185" s="524">
        <f>O1185/M1185*100</f>
        <v>133.33333333333334</v>
      </c>
      <c r="AE1185" s="524">
        <f t="shared" si="847"/>
        <v>154.45725000000002</v>
      </c>
      <c r="AF1185" s="524">
        <f t="shared" si="847"/>
        <v>229.26829268292681</v>
      </c>
      <c r="AG1185" s="524">
        <f>AB1185/Q1185*100</f>
        <v>53.191489361702125</v>
      </c>
      <c r="AH1185" s="522"/>
      <c r="AI1185" s="522">
        <v>0</v>
      </c>
      <c r="AJ1185" s="516">
        <f>W1185/R1185*100</f>
        <v>0</v>
      </c>
      <c r="AK1185" s="516"/>
      <c r="AL1185" s="516"/>
      <c r="AM1185" s="292"/>
      <c r="AO1185" t="b">
        <f t="shared" si="827"/>
        <v>1</v>
      </c>
      <c r="AP1185" s="440">
        <f>AP1186+AP1187+AP1188+AP1189</f>
        <v>0</v>
      </c>
      <c r="AQ1185" s="441">
        <v>5323</v>
      </c>
      <c r="AR1185" s="440">
        <f>AR1186+AR1187+AR1188+AR1189</f>
        <v>0</v>
      </c>
      <c r="AS1185" s="441"/>
      <c r="AT1185" s="612">
        <f>AT1186+AT1187+AT1188+AT1189</f>
        <v>0</v>
      </c>
      <c r="AU1185" s="469">
        <f>AU1186+AU1187+AU1188+AU1189</f>
        <v>0</v>
      </c>
      <c r="AV1185" s="636">
        <v>0</v>
      </c>
      <c r="AW1185" s="636">
        <v>0</v>
      </c>
      <c r="AX1185" s="655">
        <f t="shared" si="837"/>
        <v>0</v>
      </c>
      <c r="AY1185" s="655">
        <f t="shared" si="812"/>
        <v>0</v>
      </c>
      <c r="AZ1185" s="655" t="str">
        <f t="shared" si="838"/>
        <v/>
      </c>
      <c r="BA1185" s="655">
        <f t="shared" si="813"/>
        <v>0</v>
      </c>
      <c r="BB1185" s="655" t="str">
        <f t="shared" si="834"/>
        <v/>
      </c>
      <c r="BC1185" s="655" t="str">
        <f t="shared" si="834"/>
        <v/>
      </c>
    </row>
    <row r="1186" spans="1:55" ht="12" customHeight="1">
      <c r="A1186" s="36"/>
      <c r="B1186" s="36"/>
      <c r="C1186" s="36"/>
      <c r="D1186" s="36"/>
      <c r="E1186" s="36"/>
      <c r="F1186" s="36"/>
      <c r="G1186" s="36"/>
      <c r="H1186" s="204">
        <v>250</v>
      </c>
      <c r="I1186" s="132">
        <v>820</v>
      </c>
      <c r="J1186" s="71">
        <v>3239</v>
      </c>
      <c r="K1186" s="40" t="s">
        <v>595</v>
      </c>
      <c r="L1186" s="309"/>
      <c r="M1186" s="309"/>
      <c r="N1186" s="339"/>
      <c r="O1186" s="339"/>
      <c r="P1186" s="294"/>
      <c r="Q1186" s="294"/>
      <c r="R1186" s="443"/>
      <c r="S1186" s="294"/>
      <c r="T1186" s="294"/>
      <c r="U1186" s="294"/>
      <c r="V1186" s="478"/>
      <c r="W1186" s="478"/>
      <c r="X1186" s="544"/>
      <c r="Y1186" s="544"/>
      <c r="Z1186" s="541" t="b">
        <f t="shared" si="826"/>
        <v>0</v>
      </c>
      <c r="AA1186" s="527"/>
      <c r="AB1186" s="528"/>
      <c r="AC1186" s="528"/>
      <c r="AD1186" s="524"/>
      <c r="AE1186" s="524"/>
      <c r="AF1186" s="524"/>
      <c r="AG1186" s="524"/>
      <c r="AH1186" s="527"/>
      <c r="AI1186" s="544"/>
      <c r="AJ1186" s="516"/>
      <c r="AK1186" s="516"/>
      <c r="AL1186" s="516"/>
      <c r="AM1186" s="294"/>
      <c r="AO1186" t="b">
        <f t="shared" si="827"/>
        <v>0</v>
      </c>
      <c r="AQ1186" s="443"/>
      <c r="AS1186" s="443"/>
      <c r="AT1186" s="617"/>
      <c r="AU1186" s="478"/>
      <c r="AV1186" s="638"/>
      <c r="AW1186" s="638"/>
      <c r="AX1186" s="655" t="str">
        <f t="shared" si="837"/>
        <v/>
      </c>
      <c r="AY1186" s="655" t="str">
        <f t="shared" si="812"/>
        <v/>
      </c>
      <c r="AZ1186" s="655" t="str">
        <f t="shared" si="838"/>
        <v/>
      </c>
      <c r="BA1186" s="655" t="str">
        <f t="shared" si="813"/>
        <v/>
      </c>
      <c r="BB1186" s="655" t="str">
        <f t="shared" si="834"/>
        <v/>
      </c>
      <c r="BC1186" s="655" t="str">
        <f t="shared" si="834"/>
        <v/>
      </c>
    </row>
    <row r="1187" spans="1:55" ht="12" customHeight="1">
      <c r="A1187" s="36"/>
      <c r="B1187" s="36"/>
      <c r="C1187" s="36"/>
      <c r="D1187" s="36"/>
      <c r="E1187" s="36"/>
      <c r="F1187" s="36"/>
      <c r="G1187" s="36"/>
      <c r="H1187" s="204">
        <v>251</v>
      </c>
      <c r="I1187" s="132">
        <v>820</v>
      </c>
      <c r="J1187" s="71">
        <v>3239</v>
      </c>
      <c r="K1187" s="40" t="s">
        <v>596</v>
      </c>
      <c r="L1187" s="309"/>
      <c r="M1187" s="309"/>
      <c r="N1187" s="339"/>
      <c r="O1187" s="339"/>
      <c r="P1187" s="294"/>
      <c r="Q1187" s="294"/>
      <c r="R1187" s="443"/>
      <c r="S1187" s="294"/>
      <c r="T1187" s="294"/>
      <c r="U1187" s="294"/>
      <c r="V1187" s="478"/>
      <c r="W1187" s="478"/>
      <c r="X1187" s="544"/>
      <c r="Y1187" s="544"/>
      <c r="Z1187" s="541" t="b">
        <f t="shared" si="826"/>
        <v>0</v>
      </c>
      <c r="AA1187" s="527"/>
      <c r="AB1187" s="528"/>
      <c r="AC1187" s="528"/>
      <c r="AD1187" s="524"/>
      <c r="AE1187" s="524"/>
      <c r="AF1187" s="524"/>
      <c r="AG1187" s="524"/>
      <c r="AH1187" s="527"/>
      <c r="AI1187" s="544"/>
      <c r="AJ1187" s="516"/>
      <c r="AK1187" s="516"/>
      <c r="AL1187" s="516"/>
      <c r="AM1187" s="294"/>
      <c r="AO1187" t="b">
        <f t="shared" si="827"/>
        <v>0</v>
      </c>
      <c r="AQ1187" s="443"/>
      <c r="AS1187" s="443"/>
      <c r="AT1187" s="617"/>
      <c r="AU1187" s="478"/>
      <c r="AV1187" s="638"/>
      <c r="AW1187" s="638"/>
      <c r="AX1187" s="655" t="str">
        <f t="shared" si="837"/>
        <v/>
      </c>
      <c r="AY1187" s="655" t="str">
        <f t="shared" si="812"/>
        <v/>
      </c>
      <c r="AZ1187" s="655" t="str">
        <f t="shared" si="838"/>
        <v/>
      </c>
      <c r="BA1187" s="655" t="str">
        <f t="shared" si="813"/>
        <v/>
      </c>
      <c r="BB1187" s="655" t="str">
        <f t="shared" si="834"/>
        <v/>
      </c>
      <c r="BC1187" s="655" t="str">
        <f t="shared" si="834"/>
        <v/>
      </c>
    </row>
    <row r="1188" spans="1:55" ht="12" customHeight="1">
      <c r="A1188" s="36"/>
      <c r="B1188" s="36"/>
      <c r="C1188" s="36"/>
      <c r="D1188" s="36"/>
      <c r="E1188" s="36"/>
      <c r="F1188" s="36"/>
      <c r="G1188" s="36"/>
      <c r="H1188" s="204" t="s">
        <v>644</v>
      </c>
      <c r="I1188" s="132">
        <v>820</v>
      </c>
      <c r="J1188" s="71">
        <v>3239</v>
      </c>
      <c r="K1188" s="40" t="s">
        <v>645</v>
      </c>
      <c r="L1188" s="309">
        <v>15000</v>
      </c>
      <c r="M1188" s="309">
        <f>15000/7.5345</f>
        <v>1990.8421262193906</v>
      </c>
      <c r="N1188" s="339">
        <v>0</v>
      </c>
      <c r="O1188" s="339">
        <f>N1188/7.5345</f>
        <v>0</v>
      </c>
      <c r="P1188" s="294">
        <v>1400</v>
      </c>
      <c r="Q1188" s="269">
        <v>0</v>
      </c>
      <c r="R1188" s="443">
        <v>0</v>
      </c>
      <c r="S1188" s="294"/>
      <c r="T1188" s="294"/>
      <c r="U1188" s="294"/>
      <c r="V1188" s="478">
        <v>0</v>
      </c>
      <c r="W1188" s="478"/>
      <c r="X1188" s="544"/>
      <c r="Y1188" s="544"/>
      <c r="Z1188" s="541" t="b">
        <f t="shared" si="826"/>
        <v>0</v>
      </c>
      <c r="AA1188" s="527"/>
      <c r="AB1188" s="528">
        <v>5000</v>
      </c>
      <c r="AC1188" s="528">
        <v>5000</v>
      </c>
      <c r="AD1188" s="524">
        <f>O1188/M1188*100</f>
        <v>0</v>
      </c>
      <c r="AE1188" s="524"/>
      <c r="AF1188" s="524"/>
      <c r="AG1188" s="524"/>
      <c r="AH1188" s="527"/>
      <c r="AI1188" s="544"/>
      <c r="AJ1188" s="516"/>
      <c r="AK1188" s="516"/>
      <c r="AL1188" s="516"/>
      <c r="AM1188" s="294"/>
      <c r="AO1188" t="b">
        <f t="shared" si="827"/>
        <v>0</v>
      </c>
      <c r="AQ1188" s="443"/>
      <c r="AS1188" s="443"/>
      <c r="AT1188" s="617"/>
      <c r="AU1188" s="478"/>
      <c r="AV1188" s="638"/>
      <c r="AW1188" s="638"/>
      <c r="AX1188" s="655" t="str">
        <f t="shared" si="837"/>
        <v/>
      </c>
      <c r="AY1188" s="655" t="str">
        <f t="shared" ref="AY1188:AY1217" si="849">IF(AND(ISNUMBER(AT1188), ISNUMBER(AQ1188), AQ1188&lt;&gt;0), (AT1188/AQ1188)*100, "")</f>
        <v/>
      </c>
      <c r="AZ1188" s="655" t="str">
        <f t="shared" si="838"/>
        <v/>
      </c>
      <c r="BA1188" s="655" t="str">
        <f t="shared" ref="BA1188:BA1219" si="850">IF(AND(ISNUMBER(AU1188), ISNUMBER(AQ1188), AQ1188&lt;&gt;0), (AU1188/AQ1188)*100, "")</f>
        <v/>
      </c>
      <c r="BB1188" s="655" t="str">
        <f t="shared" si="834"/>
        <v/>
      </c>
      <c r="BC1188" s="655" t="str">
        <f t="shared" si="834"/>
        <v/>
      </c>
    </row>
    <row r="1189" spans="1:55" ht="12" customHeight="1">
      <c r="A1189" s="36"/>
      <c r="B1189" s="36"/>
      <c r="C1189" s="36"/>
      <c r="D1189" s="36"/>
      <c r="E1189" s="36"/>
      <c r="F1189" s="36"/>
      <c r="G1189" s="36"/>
      <c r="H1189" s="244" t="s">
        <v>644</v>
      </c>
      <c r="I1189" s="166">
        <v>820</v>
      </c>
      <c r="J1189" s="134">
        <v>3237</v>
      </c>
      <c r="K1189" s="135" t="s">
        <v>645</v>
      </c>
      <c r="L1189" s="324"/>
      <c r="M1189" s="324"/>
      <c r="N1189" s="348">
        <v>20000</v>
      </c>
      <c r="O1189" s="339">
        <f>N1189/7.5345</f>
        <v>2654.4561682925209</v>
      </c>
      <c r="P1189" s="303">
        <v>2700</v>
      </c>
      <c r="Q1189" s="372">
        <v>9400</v>
      </c>
      <c r="R1189" s="460">
        <v>9314</v>
      </c>
      <c r="S1189" s="303"/>
      <c r="T1189" s="303"/>
      <c r="U1189" s="303"/>
      <c r="V1189" s="484">
        <v>5500</v>
      </c>
      <c r="W1189" s="484"/>
      <c r="X1189" s="554"/>
      <c r="Y1189" s="554"/>
      <c r="Z1189" s="541" t="b">
        <f t="shared" si="826"/>
        <v>0</v>
      </c>
      <c r="AA1189" s="555"/>
      <c r="AB1189" s="556"/>
      <c r="AC1189" s="556"/>
      <c r="AD1189" s="524"/>
      <c r="AE1189" s="524"/>
      <c r="AF1189" s="524"/>
      <c r="AG1189" s="524"/>
      <c r="AH1189" s="555"/>
      <c r="AI1189" s="554"/>
      <c r="AJ1189" s="516">
        <f>W1189/R1189*100</f>
        <v>0</v>
      </c>
      <c r="AK1189" s="516"/>
      <c r="AL1189" s="516"/>
      <c r="AM1189" s="303"/>
      <c r="AO1189" t="b">
        <f t="shared" si="827"/>
        <v>0</v>
      </c>
      <c r="AQ1189" s="460">
        <v>5323</v>
      </c>
      <c r="AS1189" s="460"/>
      <c r="AT1189" s="619"/>
      <c r="AU1189" s="484"/>
      <c r="AV1189" s="646"/>
      <c r="AW1189" s="646"/>
      <c r="AX1189" s="655" t="str">
        <f t="shared" si="837"/>
        <v/>
      </c>
      <c r="AY1189" s="655" t="str">
        <f t="shared" si="849"/>
        <v/>
      </c>
      <c r="AZ1189" s="655" t="str">
        <f t="shared" si="838"/>
        <v/>
      </c>
      <c r="BA1189" s="655" t="str">
        <f t="shared" si="850"/>
        <v/>
      </c>
      <c r="BB1189" s="655" t="str">
        <f t="shared" si="834"/>
        <v/>
      </c>
      <c r="BC1189" s="655" t="str">
        <f t="shared" si="834"/>
        <v/>
      </c>
    </row>
    <row r="1190" spans="1:55" ht="12" customHeight="1">
      <c r="A1190" s="212" t="s">
        <v>495</v>
      </c>
      <c r="B1190" s="130"/>
      <c r="C1190" s="130"/>
      <c r="D1190" s="130"/>
      <c r="E1190" s="130"/>
      <c r="F1190" s="130"/>
      <c r="G1190" s="130"/>
      <c r="H1190" s="388"/>
      <c r="I1190" s="167" t="s">
        <v>598</v>
      </c>
      <c r="J1190" s="168"/>
      <c r="K1190" s="169"/>
      <c r="L1190" s="320">
        <f t="shared" ref="L1190:S1190" si="851">L1192</f>
        <v>87115</v>
      </c>
      <c r="M1190" s="320">
        <f t="shared" si="851"/>
        <v>11562.147455040147</v>
      </c>
      <c r="N1190" s="344">
        <f t="shared" si="851"/>
        <v>69187</v>
      </c>
      <c r="O1190" s="344">
        <f t="shared" si="851"/>
        <v>9182.6929457827318</v>
      </c>
      <c r="P1190" s="299">
        <f t="shared" si="851"/>
        <v>12700</v>
      </c>
      <c r="Q1190" s="299">
        <f t="shared" si="851"/>
        <v>12300</v>
      </c>
      <c r="R1190" s="447">
        <f t="shared" si="851"/>
        <v>10738</v>
      </c>
      <c r="S1190" s="299">
        <f t="shared" si="851"/>
        <v>0</v>
      </c>
      <c r="T1190" s="299"/>
      <c r="U1190" s="299"/>
      <c r="V1190" s="477">
        <f>V1192</f>
        <v>16000</v>
      </c>
      <c r="W1190" s="477">
        <f>W1192</f>
        <v>14000</v>
      </c>
      <c r="X1190" s="542">
        <f>X1192</f>
        <v>23000</v>
      </c>
      <c r="Y1190" s="542">
        <f>Y1192</f>
        <v>0</v>
      </c>
      <c r="Z1190" s="541" t="b">
        <f t="shared" si="826"/>
        <v>1</v>
      </c>
      <c r="AA1190" s="542"/>
      <c r="AB1190" s="543">
        <f>AB1192</f>
        <v>13000</v>
      </c>
      <c r="AC1190" s="543">
        <f>AC1192</f>
        <v>13000</v>
      </c>
      <c r="AD1190" s="524">
        <f>O1190/M1190*100</f>
        <v>79.420306491419396</v>
      </c>
      <c r="AE1190" s="524">
        <f>P1190/O1190*100</f>
        <v>138.30365531096885</v>
      </c>
      <c r="AF1190" s="524">
        <f>Q1190/P1190*100</f>
        <v>96.850393700787393</v>
      </c>
      <c r="AG1190" s="524">
        <f>AB1190/Q1190*100</f>
        <v>105.6910569105691</v>
      </c>
      <c r="AH1190" s="542"/>
      <c r="AI1190" s="542">
        <v>23000</v>
      </c>
      <c r="AJ1190" s="516">
        <f>W1190/R1190*100</f>
        <v>130.3780964797914</v>
      </c>
      <c r="AK1190" s="516">
        <f>AT1190/W1190*100</f>
        <v>157.14285714285714</v>
      </c>
      <c r="AL1190" s="516">
        <f>X1190/AT1190*100</f>
        <v>104.54545454545455</v>
      </c>
      <c r="AM1190" s="299"/>
      <c r="AO1190" t="b">
        <f t="shared" si="827"/>
        <v>1</v>
      </c>
      <c r="AP1190" s="503">
        <f>AP1192</f>
        <v>0</v>
      </c>
      <c r="AQ1190" s="447">
        <v>13430</v>
      </c>
      <c r="AR1190" s="503">
        <f>AR1192</f>
        <v>0</v>
      </c>
      <c r="AS1190" s="447"/>
      <c r="AT1190" s="611">
        <f>AT1192</f>
        <v>22000</v>
      </c>
      <c r="AU1190" s="477">
        <f>AU1192</f>
        <v>22000</v>
      </c>
      <c r="AV1190" s="643">
        <v>23000</v>
      </c>
      <c r="AW1190" s="643">
        <v>23000</v>
      </c>
      <c r="AX1190" s="655">
        <f t="shared" si="837"/>
        <v>204.87986589681503</v>
      </c>
      <c r="AY1190" s="655">
        <f t="shared" si="849"/>
        <v>163.81236038719285</v>
      </c>
      <c r="AZ1190" s="655">
        <f t="shared" si="838"/>
        <v>100</v>
      </c>
      <c r="BA1190" s="655">
        <f t="shared" si="850"/>
        <v>163.81236038719285</v>
      </c>
      <c r="BB1190" s="655">
        <f t="shared" si="834"/>
        <v>104.54545454545455</v>
      </c>
      <c r="BC1190" s="655">
        <f t="shared" si="834"/>
        <v>100</v>
      </c>
    </row>
    <row r="1191" spans="1:55" ht="12" customHeight="1">
      <c r="A1191" s="36"/>
      <c r="B1191" s="36"/>
      <c r="C1191" s="36"/>
      <c r="D1191" s="36"/>
      <c r="E1191" s="36"/>
      <c r="F1191" s="36"/>
      <c r="G1191" s="36"/>
      <c r="H1191" s="204"/>
      <c r="I1191" s="132"/>
      <c r="J1191" s="71"/>
      <c r="K1191" s="40"/>
      <c r="L1191" s="309"/>
      <c r="M1191" s="309"/>
      <c r="N1191" s="339"/>
      <c r="O1191" s="339"/>
      <c r="P1191" s="294"/>
      <c r="Q1191" s="294"/>
      <c r="R1191" s="443"/>
      <c r="S1191" s="294"/>
      <c r="T1191" s="294"/>
      <c r="U1191" s="294"/>
      <c r="V1191" s="478"/>
      <c r="W1191" s="478"/>
      <c r="X1191" s="544"/>
      <c r="Y1191" s="544"/>
      <c r="Z1191" s="541" t="b">
        <f t="shared" si="826"/>
        <v>0</v>
      </c>
      <c r="AA1191" s="527"/>
      <c r="AB1191" s="528"/>
      <c r="AC1191" s="528"/>
      <c r="AD1191" s="524"/>
      <c r="AE1191" s="524"/>
      <c r="AF1191" s="524"/>
      <c r="AG1191" s="524"/>
      <c r="AH1191" s="527"/>
      <c r="AI1191" s="544"/>
      <c r="AJ1191" s="516"/>
      <c r="AK1191" s="516"/>
      <c r="AL1191" s="516"/>
      <c r="AM1191" s="294"/>
      <c r="AO1191" t="b">
        <f t="shared" si="827"/>
        <v>0</v>
      </c>
      <c r="AQ1191" s="443"/>
      <c r="AS1191" s="443"/>
      <c r="AT1191" s="617"/>
      <c r="AU1191" s="478"/>
      <c r="AV1191" s="638"/>
      <c r="AW1191" s="638"/>
      <c r="AX1191" s="655" t="str">
        <f t="shared" si="837"/>
        <v/>
      </c>
      <c r="AY1191" s="655" t="str">
        <f t="shared" si="849"/>
        <v/>
      </c>
      <c r="AZ1191" s="655" t="str">
        <f t="shared" si="838"/>
        <v/>
      </c>
      <c r="BA1191" s="655" t="str">
        <f t="shared" si="850"/>
        <v/>
      </c>
      <c r="BB1191" s="655" t="str">
        <f t="shared" si="834"/>
        <v/>
      </c>
      <c r="BC1191" s="655" t="str">
        <f t="shared" si="834"/>
        <v/>
      </c>
    </row>
    <row r="1192" spans="1:55" ht="12" customHeight="1">
      <c r="A1192" s="52"/>
      <c r="B1192" s="52"/>
      <c r="C1192" s="52"/>
      <c r="D1192" s="52"/>
      <c r="E1192" s="52"/>
      <c r="F1192" s="52"/>
      <c r="G1192" s="52"/>
      <c r="H1192" s="384"/>
      <c r="I1192" s="156"/>
      <c r="J1192" s="94">
        <v>3</v>
      </c>
      <c r="K1192" s="21" t="s">
        <v>94</v>
      </c>
      <c r="L1192" s="315">
        <f t="shared" ref="L1192:AC1192" si="852">L1193</f>
        <v>87115</v>
      </c>
      <c r="M1192" s="315">
        <f t="shared" si="852"/>
        <v>11562.147455040147</v>
      </c>
      <c r="N1192" s="337">
        <f t="shared" si="852"/>
        <v>69187</v>
      </c>
      <c r="O1192" s="337">
        <f t="shared" si="852"/>
        <v>9182.6929457827318</v>
      </c>
      <c r="P1192" s="292">
        <f t="shared" si="852"/>
        <v>12700</v>
      </c>
      <c r="Q1192" s="292">
        <f t="shared" si="852"/>
        <v>12300</v>
      </c>
      <c r="R1192" s="441">
        <f t="shared" si="852"/>
        <v>10738</v>
      </c>
      <c r="S1192" s="292">
        <f t="shared" si="852"/>
        <v>0</v>
      </c>
      <c r="T1192" s="292"/>
      <c r="U1192" s="292"/>
      <c r="V1192" s="469">
        <f t="shared" si="852"/>
        <v>16000</v>
      </c>
      <c r="W1192" s="469">
        <f t="shared" si="852"/>
        <v>14000</v>
      </c>
      <c r="X1192" s="522">
        <f t="shared" si="852"/>
        <v>23000</v>
      </c>
      <c r="Y1192" s="522">
        <f t="shared" si="852"/>
        <v>0</v>
      </c>
      <c r="Z1192" s="541" t="b">
        <f t="shared" si="826"/>
        <v>1</v>
      </c>
      <c r="AA1192" s="522"/>
      <c r="AB1192" s="523">
        <f t="shared" si="852"/>
        <v>13000</v>
      </c>
      <c r="AC1192" s="523">
        <f t="shared" si="852"/>
        <v>13000</v>
      </c>
      <c r="AD1192" s="524">
        <f>O1192/M1192*100</f>
        <v>79.420306491419396</v>
      </c>
      <c r="AE1192" s="524">
        <f t="shared" ref="AE1192:AF1196" si="853">P1192/O1192*100</f>
        <v>138.30365531096885</v>
      </c>
      <c r="AF1192" s="524">
        <f t="shared" si="853"/>
        <v>96.850393700787393</v>
      </c>
      <c r="AG1192" s="524">
        <f>AB1192/Q1192*100</f>
        <v>105.6910569105691</v>
      </c>
      <c r="AH1192" s="522"/>
      <c r="AI1192" s="522">
        <v>23000</v>
      </c>
      <c r="AJ1192" s="516">
        <f>W1192/R1192*100</f>
        <v>130.3780964797914</v>
      </c>
      <c r="AK1192" s="516">
        <f>AT1192/W1192*100</f>
        <v>157.14285714285714</v>
      </c>
      <c r="AL1192" s="516">
        <f>X1192/AT1192*100</f>
        <v>104.54545454545455</v>
      </c>
      <c r="AM1192" s="292"/>
      <c r="AO1192" t="b">
        <f t="shared" si="827"/>
        <v>1</v>
      </c>
      <c r="AP1192" s="440">
        <f>AP1193</f>
        <v>0</v>
      </c>
      <c r="AQ1192" s="441">
        <v>13430</v>
      </c>
      <c r="AR1192" s="440">
        <f>AR1193</f>
        <v>0</v>
      </c>
      <c r="AS1192" s="441"/>
      <c r="AT1192" s="612">
        <f>AT1193</f>
        <v>22000</v>
      </c>
      <c r="AU1192" s="469">
        <f>AU1193</f>
        <v>22000</v>
      </c>
      <c r="AV1192" s="636">
        <v>23000</v>
      </c>
      <c r="AW1192" s="636">
        <v>23000</v>
      </c>
      <c r="AX1192" s="655">
        <f t="shared" si="837"/>
        <v>204.87986589681503</v>
      </c>
      <c r="AY1192" s="655">
        <f t="shared" si="849"/>
        <v>163.81236038719285</v>
      </c>
      <c r="AZ1192" s="655">
        <f t="shared" si="838"/>
        <v>100</v>
      </c>
      <c r="BA1192" s="655">
        <f t="shared" si="850"/>
        <v>163.81236038719285</v>
      </c>
      <c r="BB1192" s="655">
        <f t="shared" si="834"/>
        <v>104.54545454545455</v>
      </c>
      <c r="BC1192" s="655">
        <f t="shared" si="834"/>
        <v>100</v>
      </c>
    </row>
    <row r="1193" spans="1:55" ht="12" customHeight="1">
      <c r="A1193" s="355"/>
      <c r="B1193" s="355"/>
      <c r="C1193" s="355"/>
      <c r="D1193" s="355"/>
      <c r="E1193" s="355"/>
      <c r="F1193" s="355"/>
      <c r="G1193" s="355"/>
      <c r="H1193" s="379"/>
      <c r="I1193" s="359"/>
      <c r="J1193" s="356">
        <v>32</v>
      </c>
      <c r="K1193" s="358" t="s">
        <v>103</v>
      </c>
      <c r="L1193" s="315">
        <f t="shared" ref="L1193:S1193" si="854">L1194+L1198</f>
        <v>87115</v>
      </c>
      <c r="M1193" s="315">
        <f t="shared" si="854"/>
        <v>11562.147455040147</v>
      </c>
      <c r="N1193" s="337">
        <f t="shared" si="854"/>
        <v>69187</v>
      </c>
      <c r="O1193" s="337">
        <f t="shared" si="854"/>
        <v>9182.6929457827318</v>
      </c>
      <c r="P1193" s="292">
        <f t="shared" si="854"/>
        <v>12700</v>
      </c>
      <c r="Q1193" s="292">
        <f t="shared" si="854"/>
        <v>12300</v>
      </c>
      <c r="R1193" s="441">
        <f t="shared" si="854"/>
        <v>10738</v>
      </c>
      <c r="S1193" s="292">
        <f t="shared" si="854"/>
        <v>0</v>
      </c>
      <c r="T1193" s="292"/>
      <c r="U1193" s="292"/>
      <c r="V1193" s="469">
        <f>V1194+V1198</f>
        <v>16000</v>
      </c>
      <c r="W1193" s="469">
        <f>W1194+W1198</f>
        <v>14000</v>
      </c>
      <c r="X1193" s="522">
        <f>X1194+X1198</f>
        <v>23000</v>
      </c>
      <c r="Y1193" s="522">
        <f>Y1194+Y1198</f>
        <v>0</v>
      </c>
      <c r="Z1193" s="541" t="b">
        <f t="shared" si="826"/>
        <v>1</v>
      </c>
      <c r="AA1193" s="522"/>
      <c r="AB1193" s="523">
        <f>AB1194+AB1198</f>
        <v>13000</v>
      </c>
      <c r="AC1193" s="523">
        <f>AC1194+AC1198</f>
        <v>13000</v>
      </c>
      <c r="AD1193" s="524">
        <f>O1193/M1193*100</f>
        <v>79.420306491419396</v>
      </c>
      <c r="AE1193" s="524">
        <f t="shared" si="853"/>
        <v>138.30365531096885</v>
      </c>
      <c r="AF1193" s="524">
        <f t="shared" si="853"/>
        <v>96.850393700787393</v>
      </c>
      <c r="AG1193" s="524">
        <f>AB1193/Q1193*100</f>
        <v>105.6910569105691</v>
      </c>
      <c r="AH1193" s="522"/>
      <c r="AI1193" s="522">
        <v>23000</v>
      </c>
      <c r="AJ1193" s="516">
        <f>W1193/R1193*100</f>
        <v>130.3780964797914</v>
      </c>
      <c r="AK1193" s="516">
        <f>AT1193/W1193*100</f>
        <v>157.14285714285714</v>
      </c>
      <c r="AL1193" s="516">
        <f>X1193/AT1193*100</f>
        <v>104.54545454545455</v>
      </c>
      <c r="AM1193" s="292"/>
      <c r="AO1193" t="b">
        <f t="shared" si="827"/>
        <v>1</v>
      </c>
      <c r="AP1193" s="440">
        <f>AP1194+AP1198</f>
        <v>0</v>
      </c>
      <c r="AQ1193" s="441">
        <v>13430</v>
      </c>
      <c r="AR1193" s="440">
        <f>AR1194+AR1198</f>
        <v>0</v>
      </c>
      <c r="AS1193" s="441"/>
      <c r="AT1193" s="612">
        <f>AT1194+AT1198</f>
        <v>22000</v>
      </c>
      <c r="AU1193" s="469">
        <f>AU1194+AU1198</f>
        <v>22000</v>
      </c>
      <c r="AV1193" s="636">
        <v>23000</v>
      </c>
      <c r="AW1193" s="636">
        <v>23000</v>
      </c>
      <c r="AX1193" s="655">
        <f t="shared" si="837"/>
        <v>204.87986589681503</v>
      </c>
      <c r="AY1193" s="655">
        <f t="shared" si="849"/>
        <v>163.81236038719285</v>
      </c>
      <c r="AZ1193" s="655">
        <f t="shared" si="838"/>
        <v>100</v>
      </c>
      <c r="BA1193" s="655">
        <f t="shared" si="850"/>
        <v>163.81236038719285</v>
      </c>
      <c r="BB1193" s="655">
        <f t="shared" si="834"/>
        <v>104.54545454545455</v>
      </c>
      <c r="BC1193" s="655">
        <f t="shared" si="834"/>
        <v>100</v>
      </c>
    </row>
    <row r="1194" spans="1:55" ht="12" customHeight="1">
      <c r="A1194" s="56"/>
      <c r="B1194" s="56"/>
      <c r="C1194" s="56"/>
      <c r="D1194" s="56"/>
      <c r="E1194" s="56"/>
      <c r="F1194" s="56"/>
      <c r="G1194" s="56"/>
      <c r="H1194" s="377"/>
      <c r="I1194" s="157"/>
      <c r="J1194" s="116">
        <v>323</v>
      </c>
      <c r="K1194" s="60" t="s">
        <v>191</v>
      </c>
      <c r="L1194" s="315">
        <f t="shared" ref="L1194:S1194" si="855">L1195+L1196</f>
        <v>71775</v>
      </c>
      <c r="M1194" s="315">
        <f t="shared" si="855"/>
        <v>9526.1795739597837</v>
      </c>
      <c r="N1194" s="337">
        <f t="shared" si="855"/>
        <v>53631</v>
      </c>
      <c r="O1194" s="337">
        <f t="shared" si="855"/>
        <v>7118.0569380848101</v>
      </c>
      <c r="P1194" s="292">
        <f t="shared" si="855"/>
        <v>10000</v>
      </c>
      <c r="Q1194" s="292">
        <f t="shared" si="855"/>
        <v>7300</v>
      </c>
      <c r="R1194" s="441">
        <f t="shared" si="855"/>
        <v>7500</v>
      </c>
      <c r="S1194" s="292">
        <f t="shared" si="855"/>
        <v>0</v>
      </c>
      <c r="T1194" s="292"/>
      <c r="U1194" s="292"/>
      <c r="V1194" s="469">
        <f>V1195+V1196</f>
        <v>9000</v>
      </c>
      <c r="W1194" s="469">
        <f>W1195+W1196</f>
        <v>8000</v>
      </c>
      <c r="X1194" s="522">
        <f>X1195+X1196</f>
        <v>12000</v>
      </c>
      <c r="Y1194" s="522">
        <f>Y1195+Y1196</f>
        <v>0</v>
      </c>
      <c r="Z1194" s="541" t="b">
        <f t="shared" si="826"/>
        <v>1</v>
      </c>
      <c r="AA1194" s="522"/>
      <c r="AB1194" s="523">
        <f>AB1195+AB1196</f>
        <v>10000</v>
      </c>
      <c r="AC1194" s="523">
        <f>AC1195+AC1196</f>
        <v>10000</v>
      </c>
      <c r="AD1194" s="524">
        <f>O1194/M1194*100</f>
        <v>74.721003134796248</v>
      </c>
      <c r="AE1194" s="524">
        <f t="shared" si="853"/>
        <v>140.48777759131846</v>
      </c>
      <c r="AF1194" s="524">
        <f t="shared" si="853"/>
        <v>73</v>
      </c>
      <c r="AG1194" s="524">
        <f>AB1194/Q1194*100</f>
        <v>136.98630136986301</v>
      </c>
      <c r="AH1194" s="522"/>
      <c r="AI1194" s="522">
        <v>12000</v>
      </c>
      <c r="AJ1194" s="516">
        <f>W1194/R1194*100</f>
        <v>106.66666666666667</v>
      </c>
      <c r="AK1194" s="516">
        <f>AT1194/W1194*100</f>
        <v>150</v>
      </c>
      <c r="AL1194" s="516">
        <f>X1194/AT1194*100</f>
        <v>100</v>
      </c>
      <c r="AM1194" s="292"/>
      <c r="AO1194" t="b">
        <f t="shared" si="827"/>
        <v>1</v>
      </c>
      <c r="AP1194" s="440">
        <f>AP1195+AP1196</f>
        <v>0</v>
      </c>
      <c r="AQ1194" s="441">
        <v>12237</v>
      </c>
      <c r="AR1194" s="440">
        <f>AR1195+AR1196</f>
        <v>0</v>
      </c>
      <c r="AS1194" s="441"/>
      <c r="AT1194" s="612">
        <f>AT1195+AT1196</f>
        <v>12000</v>
      </c>
      <c r="AU1194" s="469">
        <f>AU1195+AU1196</f>
        <v>12000</v>
      </c>
      <c r="AV1194" s="636">
        <v>12000</v>
      </c>
      <c r="AW1194" s="636">
        <v>12000</v>
      </c>
      <c r="AX1194" s="655">
        <f t="shared" si="837"/>
        <v>160</v>
      </c>
      <c r="AY1194" s="655">
        <f t="shared" si="849"/>
        <v>98.06325079676391</v>
      </c>
      <c r="AZ1194" s="655">
        <f t="shared" si="838"/>
        <v>100</v>
      </c>
      <c r="BA1194" s="655">
        <f t="shared" si="850"/>
        <v>98.06325079676391</v>
      </c>
      <c r="BB1194" s="655">
        <f t="shared" si="834"/>
        <v>100</v>
      </c>
      <c r="BC1194" s="655">
        <f t="shared" si="834"/>
        <v>100</v>
      </c>
    </row>
    <row r="1195" spans="1:55" ht="12" customHeight="1">
      <c r="A1195" s="36"/>
      <c r="B1195" s="36"/>
      <c r="C1195" s="36"/>
      <c r="D1195" s="36"/>
      <c r="E1195" s="36"/>
      <c r="F1195" s="36"/>
      <c r="G1195" s="36"/>
      <c r="H1195" s="204" t="s">
        <v>632</v>
      </c>
      <c r="I1195" s="132">
        <v>820</v>
      </c>
      <c r="J1195" s="71">
        <v>3237</v>
      </c>
      <c r="K1195" s="40" t="s">
        <v>120</v>
      </c>
      <c r="L1195" s="309">
        <v>34867</v>
      </c>
      <c r="M1195" s="309">
        <f>34867/7.5345</f>
        <v>4627.6461609927665</v>
      </c>
      <c r="N1195" s="339">
        <v>45362</v>
      </c>
      <c r="O1195" s="339">
        <f>N1195/7.5345</f>
        <v>6020.572035304267</v>
      </c>
      <c r="P1195" s="294">
        <v>5000</v>
      </c>
      <c r="Q1195" s="269">
        <v>1000</v>
      </c>
      <c r="R1195" s="443">
        <v>1099</v>
      </c>
      <c r="S1195" s="294"/>
      <c r="T1195" s="294"/>
      <c r="U1195" s="294"/>
      <c r="V1195" s="478">
        <v>1000</v>
      </c>
      <c r="W1195" s="478">
        <v>1000</v>
      </c>
      <c r="X1195" s="544">
        <v>2000</v>
      </c>
      <c r="Y1195" s="544"/>
      <c r="Z1195" s="541" t="b">
        <f t="shared" si="826"/>
        <v>0</v>
      </c>
      <c r="AA1195" s="527"/>
      <c r="AB1195" s="528">
        <v>5000</v>
      </c>
      <c r="AC1195" s="528">
        <v>5000</v>
      </c>
      <c r="AD1195" s="524">
        <f>O1195/M1195*100</f>
        <v>130.10009464536668</v>
      </c>
      <c r="AE1195" s="524">
        <f t="shared" si="853"/>
        <v>83.048586922975176</v>
      </c>
      <c r="AF1195" s="524">
        <f t="shared" si="853"/>
        <v>20</v>
      </c>
      <c r="AG1195" s="524">
        <f>AB1195/Q1195*100</f>
        <v>500</v>
      </c>
      <c r="AH1195" s="527"/>
      <c r="AI1195" s="544">
        <v>2000</v>
      </c>
      <c r="AJ1195" s="516">
        <f>W1195/R1195*100</f>
        <v>90.99181073703366</v>
      </c>
      <c r="AK1195" s="516">
        <f>AT1195/W1195*100</f>
        <v>200</v>
      </c>
      <c r="AL1195" s="516">
        <f>X1195/AT1195*100</f>
        <v>100</v>
      </c>
      <c r="AM1195" s="294"/>
      <c r="AO1195" t="b">
        <f t="shared" si="827"/>
        <v>0</v>
      </c>
      <c r="AQ1195" s="443">
        <v>6693</v>
      </c>
      <c r="AS1195" s="443"/>
      <c r="AT1195" s="617">
        <v>2000</v>
      </c>
      <c r="AU1195" s="478">
        <v>2000</v>
      </c>
      <c r="AV1195" s="638">
        <v>2000</v>
      </c>
      <c r="AW1195" s="638">
        <v>2000</v>
      </c>
      <c r="AX1195" s="655">
        <f t="shared" si="837"/>
        <v>181.98362147406732</v>
      </c>
      <c r="AY1195" s="655">
        <f t="shared" si="849"/>
        <v>29.881966233378154</v>
      </c>
      <c r="AZ1195" s="655">
        <f t="shared" si="838"/>
        <v>100</v>
      </c>
      <c r="BA1195" s="655">
        <f t="shared" si="850"/>
        <v>29.881966233378154</v>
      </c>
      <c r="BB1195" s="655">
        <f t="shared" si="834"/>
        <v>100</v>
      </c>
      <c r="BC1195" s="655">
        <f t="shared" si="834"/>
        <v>100</v>
      </c>
    </row>
    <row r="1196" spans="1:55" ht="12" customHeight="1">
      <c r="A1196" s="36"/>
      <c r="B1196" s="36"/>
      <c r="C1196" s="36"/>
      <c r="D1196" s="36"/>
      <c r="E1196" s="36"/>
      <c r="F1196" s="36"/>
      <c r="G1196" s="36"/>
      <c r="H1196" s="204">
        <v>252</v>
      </c>
      <c r="I1196" s="132">
        <v>820</v>
      </c>
      <c r="J1196" s="71">
        <v>3239</v>
      </c>
      <c r="K1196" s="40" t="s">
        <v>122</v>
      </c>
      <c r="L1196" s="309">
        <v>36908</v>
      </c>
      <c r="M1196" s="309">
        <f>36908/7.5345</f>
        <v>4898.5334129670182</v>
      </c>
      <c r="N1196" s="339">
        <v>8269</v>
      </c>
      <c r="O1196" s="339">
        <f>N1196/7.5345</f>
        <v>1097.4849027805428</v>
      </c>
      <c r="P1196" s="294">
        <v>5000</v>
      </c>
      <c r="Q1196" s="269">
        <v>6300</v>
      </c>
      <c r="R1196" s="443">
        <v>6401</v>
      </c>
      <c r="S1196" s="294"/>
      <c r="T1196" s="294"/>
      <c r="U1196" s="294"/>
      <c r="V1196" s="478">
        <v>8000</v>
      </c>
      <c r="W1196" s="478">
        <v>7000</v>
      </c>
      <c r="X1196" s="544">
        <v>10000</v>
      </c>
      <c r="Y1196" s="544"/>
      <c r="Z1196" s="541" t="b">
        <f t="shared" si="826"/>
        <v>0</v>
      </c>
      <c r="AA1196" s="527"/>
      <c r="AB1196" s="528">
        <v>5000</v>
      </c>
      <c r="AC1196" s="528">
        <v>5000</v>
      </c>
      <c r="AD1196" s="524">
        <f>O1196/M1196*100</f>
        <v>22.404356779018102</v>
      </c>
      <c r="AE1196" s="524">
        <f t="shared" si="853"/>
        <v>455.58713266416737</v>
      </c>
      <c r="AF1196" s="524">
        <f t="shared" si="853"/>
        <v>126</v>
      </c>
      <c r="AG1196" s="524">
        <f>AB1196/Q1196*100</f>
        <v>79.365079365079367</v>
      </c>
      <c r="AH1196" s="527"/>
      <c r="AI1196" s="544">
        <v>10000</v>
      </c>
      <c r="AJ1196" s="516">
        <f>W1196/R1196*100</f>
        <v>109.35791282612092</v>
      </c>
      <c r="AK1196" s="516">
        <f>AT1196/W1196*100</f>
        <v>142.85714285714286</v>
      </c>
      <c r="AL1196" s="516">
        <f>X1196/AT1196*100</f>
        <v>100</v>
      </c>
      <c r="AM1196" s="294"/>
      <c r="AO1196" t="b">
        <f t="shared" si="827"/>
        <v>0</v>
      </c>
      <c r="AQ1196" s="443">
        <v>5544</v>
      </c>
      <c r="AS1196" s="443"/>
      <c r="AT1196" s="617">
        <v>10000</v>
      </c>
      <c r="AU1196" s="478">
        <v>10000</v>
      </c>
      <c r="AV1196" s="638">
        <v>10000</v>
      </c>
      <c r="AW1196" s="638">
        <v>10000</v>
      </c>
      <c r="AX1196" s="655">
        <f t="shared" si="837"/>
        <v>156.22558975160129</v>
      </c>
      <c r="AY1196" s="655">
        <f t="shared" si="849"/>
        <v>180.37518037518038</v>
      </c>
      <c r="AZ1196" s="655">
        <f t="shared" si="838"/>
        <v>100</v>
      </c>
      <c r="BA1196" s="655">
        <f t="shared" si="850"/>
        <v>180.37518037518038</v>
      </c>
      <c r="BB1196" s="655">
        <f t="shared" si="834"/>
        <v>100</v>
      </c>
      <c r="BC1196" s="655">
        <f t="shared" si="834"/>
        <v>100</v>
      </c>
    </row>
    <row r="1197" spans="1:55" ht="12" customHeight="1">
      <c r="A1197" s="36"/>
      <c r="B1197" s="36"/>
      <c r="C1197" s="36"/>
      <c r="D1197" s="36"/>
      <c r="E1197" s="36"/>
      <c r="F1197" s="36"/>
      <c r="G1197" s="36"/>
      <c r="H1197" s="204"/>
      <c r="I1197" s="132"/>
      <c r="J1197" s="71"/>
      <c r="K1197" s="40"/>
      <c r="L1197" s="309"/>
      <c r="M1197" s="309"/>
      <c r="N1197" s="339"/>
      <c r="O1197" s="339"/>
      <c r="P1197" s="294"/>
      <c r="Q1197" s="294"/>
      <c r="R1197" s="443"/>
      <c r="S1197" s="294"/>
      <c r="T1197" s="294"/>
      <c r="U1197" s="294"/>
      <c r="V1197" s="478"/>
      <c r="W1197" s="478"/>
      <c r="X1197" s="544"/>
      <c r="Y1197" s="544"/>
      <c r="Z1197" s="541" t="b">
        <f t="shared" si="826"/>
        <v>0</v>
      </c>
      <c r="AA1197" s="527"/>
      <c r="AB1197" s="528"/>
      <c r="AC1197" s="528"/>
      <c r="AD1197" s="524"/>
      <c r="AE1197" s="524"/>
      <c r="AF1197" s="524"/>
      <c r="AG1197" s="524"/>
      <c r="AH1197" s="527"/>
      <c r="AI1197" s="544"/>
      <c r="AJ1197" s="516"/>
      <c r="AK1197" s="516"/>
      <c r="AL1197" s="516"/>
      <c r="AM1197" s="294"/>
      <c r="AO1197" t="b">
        <f t="shared" si="827"/>
        <v>0</v>
      </c>
      <c r="AQ1197" s="443"/>
      <c r="AS1197" s="443"/>
      <c r="AT1197" s="617"/>
      <c r="AU1197" s="478"/>
      <c r="AV1197" s="638"/>
      <c r="AW1197" s="638"/>
      <c r="AX1197" s="655" t="str">
        <f t="shared" si="837"/>
        <v/>
      </c>
      <c r="AY1197" s="655" t="str">
        <f t="shared" si="849"/>
        <v/>
      </c>
      <c r="AZ1197" s="655" t="str">
        <f t="shared" si="838"/>
        <v/>
      </c>
      <c r="BA1197" s="655" t="str">
        <f t="shared" si="850"/>
        <v/>
      </c>
      <c r="BB1197" s="655" t="str">
        <f t="shared" si="834"/>
        <v/>
      </c>
      <c r="BC1197" s="655" t="str">
        <f t="shared" si="834"/>
        <v/>
      </c>
    </row>
    <row r="1198" spans="1:55" ht="12" customHeight="1">
      <c r="A1198" s="56"/>
      <c r="B1198" s="56"/>
      <c r="C1198" s="56"/>
      <c r="D1198" s="56"/>
      <c r="E1198" s="56"/>
      <c r="F1198" s="56"/>
      <c r="G1198" s="56"/>
      <c r="H1198" s="377"/>
      <c r="I1198" s="157"/>
      <c r="J1198" s="116">
        <v>329</v>
      </c>
      <c r="K1198" s="60" t="s">
        <v>330</v>
      </c>
      <c r="L1198" s="315">
        <f t="shared" ref="L1198:AC1198" si="856">L1199</f>
        <v>15340</v>
      </c>
      <c r="M1198" s="315">
        <f t="shared" si="856"/>
        <v>2035.9678810803634</v>
      </c>
      <c r="N1198" s="337">
        <f t="shared" si="856"/>
        <v>15556</v>
      </c>
      <c r="O1198" s="337">
        <f t="shared" si="856"/>
        <v>2064.6360076979227</v>
      </c>
      <c r="P1198" s="292">
        <f t="shared" si="856"/>
        <v>2700</v>
      </c>
      <c r="Q1198" s="292">
        <f t="shared" si="856"/>
        <v>5000</v>
      </c>
      <c r="R1198" s="441">
        <f t="shared" si="856"/>
        <v>3238</v>
      </c>
      <c r="S1198" s="292">
        <f t="shared" si="856"/>
        <v>0</v>
      </c>
      <c r="T1198" s="292"/>
      <c r="U1198" s="292"/>
      <c r="V1198" s="469">
        <f t="shared" si="856"/>
        <v>7000</v>
      </c>
      <c r="W1198" s="469">
        <f t="shared" si="856"/>
        <v>6000</v>
      </c>
      <c r="X1198" s="522">
        <f t="shared" si="856"/>
        <v>11000</v>
      </c>
      <c r="Y1198" s="522">
        <f t="shared" si="856"/>
        <v>0</v>
      </c>
      <c r="Z1198" s="541" t="b">
        <f t="shared" si="826"/>
        <v>1</v>
      </c>
      <c r="AA1198" s="522"/>
      <c r="AB1198" s="523">
        <f t="shared" si="856"/>
        <v>3000</v>
      </c>
      <c r="AC1198" s="523">
        <f t="shared" si="856"/>
        <v>3000</v>
      </c>
      <c r="AD1198" s="524">
        <f>O1198/M1198*100</f>
        <v>101.40808344198176</v>
      </c>
      <c r="AE1198" s="524">
        <f>P1198/O1198*100</f>
        <v>130.7736564669581</v>
      </c>
      <c r="AF1198" s="524">
        <f>Q1198/P1198*100</f>
        <v>185.18518518518519</v>
      </c>
      <c r="AG1198" s="524">
        <f>AB1198/Q1198*100</f>
        <v>60</v>
      </c>
      <c r="AH1198" s="522"/>
      <c r="AI1198" s="522">
        <v>11000</v>
      </c>
      <c r="AJ1198" s="516">
        <f>W1198/R1198*100</f>
        <v>185.2995676343422</v>
      </c>
      <c r="AK1198" s="516">
        <f>AT1198/W1198*100</f>
        <v>166.66666666666669</v>
      </c>
      <c r="AL1198" s="516">
        <f>X1198/AT1198*100</f>
        <v>110.00000000000001</v>
      </c>
      <c r="AM1198" s="292"/>
      <c r="AO1198" t="b">
        <f t="shared" si="827"/>
        <v>1</v>
      </c>
      <c r="AP1198" s="440">
        <f>AP1199</f>
        <v>0</v>
      </c>
      <c r="AQ1198" s="441">
        <v>1193</v>
      </c>
      <c r="AR1198" s="440">
        <f>AR1199</f>
        <v>0</v>
      </c>
      <c r="AS1198" s="441"/>
      <c r="AT1198" s="612">
        <f>AT1199</f>
        <v>10000</v>
      </c>
      <c r="AU1198" s="469">
        <f>AU1199</f>
        <v>10000</v>
      </c>
      <c r="AV1198" s="636">
        <v>11000</v>
      </c>
      <c r="AW1198" s="636">
        <v>11000</v>
      </c>
      <c r="AX1198" s="655">
        <f t="shared" si="837"/>
        <v>308.83261272390365</v>
      </c>
      <c r="AY1198" s="655">
        <f t="shared" si="849"/>
        <v>838.22296730930429</v>
      </c>
      <c r="AZ1198" s="655">
        <f t="shared" si="838"/>
        <v>100</v>
      </c>
      <c r="BA1198" s="655">
        <f t="shared" si="850"/>
        <v>838.22296730930429</v>
      </c>
      <c r="BB1198" s="655">
        <f t="shared" si="834"/>
        <v>110.00000000000001</v>
      </c>
      <c r="BC1198" s="655">
        <f t="shared" si="834"/>
        <v>100</v>
      </c>
    </row>
    <row r="1199" spans="1:55" ht="12" customHeight="1">
      <c r="A1199" s="36"/>
      <c r="B1199" s="36"/>
      <c r="C1199" s="36"/>
      <c r="D1199" s="36"/>
      <c r="E1199" s="36"/>
      <c r="F1199" s="36"/>
      <c r="G1199" s="36"/>
      <c r="H1199" s="204" t="s">
        <v>633</v>
      </c>
      <c r="I1199" s="132">
        <v>820</v>
      </c>
      <c r="J1199" s="71">
        <v>3299</v>
      </c>
      <c r="K1199" s="40" t="s">
        <v>634</v>
      </c>
      <c r="L1199" s="309">
        <v>15340</v>
      </c>
      <c r="M1199" s="309">
        <f>15340/7.5345</f>
        <v>2035.9678810803634</v>
      </c>
      <c r="N1199" s="339">
        <v>15556</v>
      </c>
      <c r="O1199" s="339">
        <f>N1199/7.5345</f>
        <v>2064.6360076979227</v>
      </c>
      <c r="P1199" s="294">
        <v>2700</v>
      </c>
      <c r="Q1199" s="269">
        <v>5000</v>
      </c>
      <c r="R1199" s="443">
        <v>3238</v>
      </c>
      <c r="S1199" s="294"/>
      <c r="T1199" s="294"/>
      <c r="U1199" s="294"/>
      <c r="V1199" s="478">
        <v>7000</v>
      </c>
      <c r="W1199" s="478">
        <v>6000</v>
      </c>
      <c r="X1199" s="544">
        <v>11000</v>
      </c>
      <c r="Y1199" s="544"/>
      <c r="Z1199" s="541" t="b">
        <f t="shared" si="826"/>
        <v>0</v>
      </c>
      <c r="AA1199" s="527"/>
      <c r="AB1199" s="528">
        <v>3000</v>
      </c>
      <c r="AC1199" s="528">
        <v>3000</v>
      </c>
      <c r="AD1199" s="524">
        <f>O1199/M1199*100</f>
        <v>101.40808344198176</v>
      </c>
      <c r="AE1199" s="524">
        <f>P1199/O1199*100</f>
        <v>130.7736564669581</v>
      </c>
      <c r="AF1199" s="524">
        <f>Q1199/P1199*100</f>
        <v>185.18518518518519</v>
      </c>
      <c r="AG1199" s="524">
        <f>AB1199/Q1199*100</f>
        <v>60</v>
      </c>
      <c r="AH1199" s="527"/>
      <c r="AI1199" s="544">
        <v>11000</v>
      </c>
      <c r="AJ1199" s="516">
        <f>W1199/R1199*100</f>
        <v>185.2995676343422</v>
      </c>
      <c r="AK1199" s="516">
        <f>AT1199/W1199*100</f>
        <v>166.66666666666669</v>
      </c>
      <c r="AL1199" s="516">
        <f>X1199/AT1199*100</f>
        <v>110.00000000000001</v>
      </c>
      <c r="AM1199" s="294"/>
      <c r="AO1199" t="b">
        <f t="shared" si="827"/>
        <v>0</v>
      </c>
      <c r="AQ1199" s="443">
        <v>1193</v>
      </c>
      <c r="AS1199" s="443"/>
      <c r="AT1199" s="617">
        <v>10000</v>
      </c>
      <c r="AU1199" s="478">
        <v>10000</v>
      </c>
      <c r="AV1199" s="638">
        <v>11000</v>
      </c>
      <c r="AW1199" s="638">
        <v>11000</v>
      </c>
      <c r="AX1199" s="655">
        <f t="shared" si="837"/>
        <v>308.83261272390365</v>
      </c>
      <c r="AY1199" s="655">
        <f t="shared" si="849"/>
        <v>838.22296730930429</v>
      </c>
      <c r="AZ1199" s="655">
        <f t="shared" si="838"/>
        <v>100</v>
      </c>
      <c r="BA1199" s="655">
        <f t="shared" si="850"/>
        <v>838.22296730930429</v>
      </c>
      <c r="BB1199" s="655">
        <f t="shared" si="834"/>
        <v>110.00000000000001</v>
      </c>
      <c r="BC1199" s="655">
        <f t="shared" si="834"/>
        <v>100</v>
      </c>
    </row>
    <row r="1200" spans="1:55" ht="12" customHeight="1">
      <c r="A1200" s="36"/>
      <c r="B1200" s="36"/>
      <c r="C1200" s="36"/>
      <c r="D1200" s="36"/>
      <c r="E1200" s="36"/>
      <c r="F1200" s="36"/>
      <c r="G1200" s="36"/>
      <c r="H1200" s="204"/>
      <c r="I1200" s="132"/>
      <c r="J1200" s="71"/>
      <c r="K1200" s="40"/>
      <c r="L1200" s="309"/>
      <c r="M1200" s="309"/>
      <c r="N1200" s="339"/>
      <c r="O1200" s="339"/>
      <c r="P1200" s="294"/>
      <c r="Q1200" s="294"/>
      <c r="R1200" s="443"/>
      <c r="S1200" s="294"/>
      <c r="T1200" s="294"/>
      <c r="U1200" s="294"/>
      <c r="V1200" s="478"/>
      <c r="W1200" s="478"/>
      <c r="X1200" s="544"/>
      <c r="Y1200" s="544"/>
      <c r="Z1200" s="541" t="b">
        <f t="shared" si="826"/>
        <v>0</v>
      </c>
      <c r="AA1200" s="527"/>
      <c r="AB1200" s="528"/>
      <c r="AC1200" s="528"/>
      <c r="AD1200" s="524"/>
      <c r="AE1200" s="524"/>
      <c r="AF1200" s="524"/>
      <c r="AG1200" s="524"/>
      <c r="AH1200" s="527"/>
      <c r="AI1200" s="544"/>
      <c r="AJ1200" s="516"/>
      <c r="AK1200" s="516"/>
      <c r="AL1200" s="516"/>
      <c r="AM1200" s="294"/>
      <c r="AO1200" t="b">
        <f t="shared" si="827"/>
        <v>0</v>
      </c>
      <c r="AQ1200" s="443"/>
      <c r="AS1200" s="443"/>
      <c r="AT1200" s="617"/>
      <c r="AU1200" s="478"/>
      <c r="AV1200" s="638"/>
      <c r="AW1200" s="638"/>
      <c r="AX1200" s="655" t="str">
        <f t="shared" si="837"/>
        <v/>
      </c>
      <c r="AY1200" s="655" t="str">
        <f t="shared" si="849"/>
        <v/>
      </c>
      <c r="AZ1200" s="655" t="str">
        <f t="shared" si="838"/>
        <v/>
      </c>
      <c r="BA1200" s="655" t="str">
        <f t="shared" si="850"/>
        <v/>
      </c>
      <c r="BB1200" s="655" t="str">
        <f t="shared" si="834"/>
        <v/>
      </c>
      <c r="BC1200" s="655" t="str">
        <f t="shared" si="834"/>
        <v/>
      </c>
    </row>
    <row r="1201" spans="1:55" ht="12" customHeight="1">
      <c r="A1201" s="212" t="s">
        <v>680</v>
      </c>
      <c r="B1201" s="130"/>
      <c r="C1201" s="130"/>
      <c r="D1201" s="130"/>
      <c r="E1201" s="130"/>
      <c r="F1201" s="130"/>
      <c r="G1201" s="130"/>
      <c r="H1201" s="383"/>
      <c r="I1201" s="170" t="s">
        <v>433</v>
      </c>
      <c r="J1201" s="171"/>
      <c r="K1201" s="111"/>
      <c r="L1201" s="315">
        <f t="shared" ref="L1201:S1201" si="857">L1203</f>
        <v>0</v>
      </c>
      <c r="M1201" s="315">
        <f t="shared" si="857"/>
        <v>0</v>
      </c>
      <c r="N1201" s="337">
        <f t="shared" si="857"/>
        <v>24933</v>
      </c>
      <c r="O1201" s="337">
        <f t="shared" si="857"/>
        <v>3309.1777822018712</v>
      </c>
      <c r="P1201" s="292">
        <f t="shared" si="857"/>
        <v>17400</v>
      </c>
      <c r="Q1201" s="292">
        <f t="shared" si="857"/>
        <v>16900</v>
      </c>
      <c r="R1201" s="441">
        <f t="shared" si="857"/>
        <v>16560</v>
      </c>
      <c r="S1201" s="292">
        <f t="shared" si="857"/>
        <v>0</v>
      </c>
      <c r="T1201" s="292"/>
      <c r="U1201" s="292"/>
      <c r="V1201" s="469">
        <f>V1203</f>
        <v>16000</v>
      </c>
      <c r="W1201" s="469">
        <f>W1203</f>
        <v>6000</v>
      </c>
      <c r="X1201" s="522">
        <f>X1203</f>
        <v>18000</v>
      </c>
      <c r="Y1201" s="522">
        <f>Y1203</f>
        <v>0</v>
      </c>
      <c r="Z1201" s="541" t="b">
        <f t="shared" si="826"/>
        <v>1</v>
      </c>
      <c r="AA1201" s="522"/>
      <c r="AB1201" s="523">
        <f>AB1203</f>
        <v>4000</v>
      </c>
      <c r="AC1201" s="523">
        <f>AC1203</f>
        <v>4000</v>
      </c>
      <c r="AD1201" s="524"/>
      <c r="AE1201" s="524">
        <f>P1201/O1201*100</f>
        <v>525.81037179641442</v>
      </c>
      <c r="AF1201" s="524">
        <f>Q1201/P1201*100</f>
        <v>97.126436781609186</v>
      </c>
      <c r="AG1201" s="524">
        <f>AB1201/Q1201*100</f>
        <v>23.668639053254438</v>
      </c>
      <c r="AH1201" s="522"/>
      <c r="AI1201" s="522">
        <v>18000</v>
      </c>
      <c r="AJ1201" s="516">
        <f>W1201/R1201*100</f>
        <v>36.231884057971016</v>
      </c>
      <c r="AK1201" s="516">
        <f>AT1201/W1201*100</f>
        <v>300</v>
      </c>
      <c r="AL1201" s="516">
        <f>X1201/AT1201*100</f>
        <v>100</v>
      </c>
      <c r="AM1201" s="292"/>
      <c r="AO1201" t="b">
        <f t="shared" si="827"/>
        <v>1</v>
      </c>
      <c r="AP1201" s="440">
        <f>AP1203</f>
        <v>0</v>
      </c>
      <c r="AQ1201" s="441">
        <v>0</v>
      </c>
      <c r="AR1201" s="440">
        <f>AR1203</f>
        <v>0</v>
      </c>
      <c r="AS1201" s="441"/>
      <c r="AT1201" s="612">
        <f>AT1203</f>
        <v>18000</v>
      </c>
      <c r="AU1201" s="469">
        <f>AU1203</f>
        <v>18000</v>
      </c>
      <c r="AV1201" s="636">
        <v>18000</v>
      </c>
      <c r="AW1201" s="636">
        <v>18000</v>
      </c>
      <c r="AX1201" s="655">
        <f t="shared" si="837"/>
        <v>108.69565217391303</v>
      </c>
      <c r="AY1201" s="655" t="str">
        <f t="shared" si="849"/>
        <v/>
      </c>
      <c r="AZ1201" s="655">
        <f t="shared" si="838"/>
        <v>100</v>
      </c>
      <c r="BA1201" s="655" t="str">
        <f t="shared" si="850"/>
        <v/>
      </c>
      <c r="BB1201" s="655">
        <f t="shared" si="834"/>
        <v>100</v>
      </c>
      <c r="BC1201" s="655">
        <f t="shared" si="834"/>
        <v>100</v>
      </c>
    </row>
    <row r="1202" spans="1:55" ht="12" customHeight="1">
      <c r="A1202" s="20"/>
      <c r="B1202" s="20"/>
      <c r="C1202" s="20"/>
      <c r="D1202" s="20"/>
      <c r="E1202" s="20"/>
      <c r="F1202" s="20"/>
      <c r="G1202" s="20"/>
      <c r="H1202" s="375"/>
      <c r="I1202" s="22"/>
      <c r="J1202" s="21"/>
      <c r="K1202" s="19"/>
      <c r="L1202" s="313"/>
      <c r="M1202" s="313"/>
      <c r="N1202" s="335"/>
      <c r="O1202" s="335"/>
      <c r="P1202" s="290"/>
      <c r="Q1202" s="290"/>
      <c r="R1202" s="439"/>
      <c r="S1202" s="290"/>
      <c r="T1202" s="290"/>
      <c r="U1202" s="290"/>
      <c r="V1202" s="474"/>
      <c r="W1202" s="474"/>
      <c r="X1202" s="539"/>
      <c r="Y1202" s="539"/>
      <c r="Z1202" s="541" t="b">
        <f t="shared" si="826"/>
        <v>0</v>
      </c>
      <c r="AA1202" s="514"/>
      <c r="AB1202" s="515"/>
      <c r="AC1202" s="515"/>
      <c r="AD1202" s="524"/>
      <c r="AE1202" s="524"/>
      <c r="AF1202" s="524"/>
      <c r="AG1202" s="524"/>
      <c r="AH1202" s="514"/>
      <c r="AI1202" s="539"/>
      <c r="AJ1202" s="516"/>
      <c r="AK1202" s="516"/>
      <c r="AL1202" s="516"/>
      <c r="AM1202" s="290"/>
      <c r="AO1202" t="b">
        <f t="shared" si="827"/>
        <v>0</v>
      </c>
      <c r="AQ1202" s="439"/>
      <c r="AS1202" s="439"/>
      <c r="AT1202" s="616"/>
      <c r="AU1202" s="474"/>
      <c r="AV1202" s="632"/>
      <c r="AW1202" s="632"/>
      <c r="AX1202" s="655" t="str">
        <f t="shared" si="837"/>
        <v/>
      </c>
      <c r="AY1202" s="655" t="str">
        <f t="shared" si="849"/>
        <v/>
      </c>
      <c r="AZ1202" s="655" t="str">
        <f t="shared" si="838"/>
        <v/>
      </c>
      <c r="BA1202" s="655" t="str">
        <f t="shared" si="850"/>
        <v/>
      </c>
      <c r="BB1202" s="655" t="str">
        <f t="shared" si="834"/>
        <v/>
      </c>
      <c r="BC1202" s="655" t="str">
        <f t="shared" si="834"/>
        <v/>
      </c>
    </row>
    <row r="1203" spans="1:55" ht="12" customHeight="1">
      <c r="A1203" s="52"/>
      <c r="B1203" s="52"/>
      <c r="C1203" s="52"/>
      <c r="D1203" s="52"/>
      <c r="E1203" s="52"/>
      <c r="F1203" s="52"/>
      <c r="G1203" s="52"/>
      <c r="H1203" s="384"/>
      <c r="I1203" s="156"/>
      <c r="J1203" s="94">
        <v>4</v>
      </c>
      <c r="K1203" s="21" t="s">
        <v>213</v>
      </c>
      <c r="L1203" s="315">
        <f t="shared" ref="L1203:AC1203" si="858">L1204</f>
        <v>0</v>
      </c>
      <c r="M1203" s="315">
        <f t="shared" si="858"/>
        <v>0</v>
      </c>
      <c r="N1203" s="337">
        <f t="shared" si="858"/>
        <v>24933</v>
      </c>
      <c r="O1203" s="337">
        <f t="shared" si="858"/>
        <v>3309.1777822018712</v>
      </c>
      <c r="P1203" s="292">
        <f t="shared" si="858"/>
        <v>17400</v>
      </c>
      <c r="Q1203" s="292">
        <f t="shared" si="858"/>
        <v>16900</v>
      </c>
      <c r="R1203" s="441">
        <f t="shared" si="858"/>
        <v>16560</v>
      </c>
      <c r="S1203" s="292">
        <f t="shared" si="858"/>
        <v>0</v>
      </c>
      <c r="T1203" s="292"/>
      <c r="U1203" s="292"/>
      <c r="V1203" s="469">
        <f t="shared" si="858"/>
        <v>16000</v>
      </c>
      <c r="W1203" s="469">
        <f t="shared" si="858"/>
        <v>6000</v>
      </c>
      <c r="X1203" s="522">
        <f t="shared" si="858"/>
        <v>18000</v>
      </c>
      <c r="Y1203" s="522">
        <f t="shared" si="858"/>
        <v>0</v>
      </c>
      <c r="Z1203" s="541" t="b">
        <f t="shared" si="826"/>
        <v>1</v>
      </c>
      <c r="AA1203" s="522"/>
      <c r="AB1203" s="523">
        <f t="shared" si="858"/>
        <v>4000</v>
      </c>
      <c r="AC1203" s="523">
        <f t="shared" si="858"/>
        <v>4000</v>
      </c>
      <c r="AD1203" s="524"/>
      <c r="AE1203" s="524">
        <f>P1203/O1203*100</f>
        <v>525.81037179641442</v>
      </c>
      <c r="AF1203" s="524">
        <f>Q1203/P1203*100</f>
        <v>97.126436781609186</v>
      </c>
      <c r="AG1203" s="524">
        <f>AB1203/Q1203*100</f>
        <v>23.668639053254438</v>
      </c>
      <c r="AH1203" s="522"/>
      <c r="AI1203" s="522">
        <v>18000</v>
      </c>
      <c r="AJ1203" s="516">
        <f>W1203/R1203*100</f>
        <v>36.231884057971016</v>
      </c>
      <c r="AK1203" s="516">
        <f>AT1203/W1203*100</f>
        <v>300</v>
      </c>
      <c r="AL1203" s="516">
        <f>X1203/AT1203*100</f>
        <v>100</v>
      </c>
      <c r="AM1203" s="292"/>
      <c r="AO1203" t="b">
        <f t="shared" si="827"/>
        <v>1</v>
      </c>
      <c r="AP1203" s="440">
        <f>AP1204</f>
        <v>0</v>
      </c>
      <c r="AQ1203" s="441">
        <v>0</v>
      </c>
      <c r="AR1203" s="440">
        <f>AR1204</f>
        <v>0</v>
      </c>
      <c r="AS1203" s="441"/>
      <c r="AT1203" s="612">
        <f>AT1204</f>
        <v>18000</v>
      </c>
      <c r="AU1203" s="469">
        <f>AU1204</f>
        <v>18000</v>
      </c>
      <c r="AV1203" s="636">
        <v>18000</v>
      </c>
      <c r="AW1203" s="636">
        <v>18000</v>
      </c>
      <c r="AX1203" s="655">
        <f t="shared" si="837"/>
        <v>108.69565217391303</v>
      </c>
      <c r="AY1203" s="655" t="str">
        <f t="shared" si="849"/>
        <v/>
      </c>
      <c r="AZ1203" s="655">
        <f t="shared" si="838"/>
        <v>100</v>
      </c>
      <c r="BA1203" s="655" t="str">
        <f t="shared" si="850"/>
        <v/>
      </c>
      <c r="BB1203" s="655">
        <f t="shared" si="834"/>
        <v>100</v>
      </c>
      <c r="BC1203" s="655">
        <f t="shared" si="834"/>
        <v>100</v>
      </c>
    </row>
    <row r="1204" spans="1:55" ht="12" customHeight="1">
      <c r="A1204" s="355"/>
      <c r="B1204" s="355"/>
      <c r="C1204" s="355"/>
      <c r="D1204" s="355"/>
      <c r="E1204" s="355"/>
      <c r="F1204" s="355"/>
      <c r="G1204" s="355"/>
      <c r="H1204" s="379"/>
      <c r="I1204" s="359"/>
      <c r="J1204" s="356">
        <v>42</v>
      </c>
      <c r="K1204" s="358" t="s">
        <v>424</v>
      </c>
      <c r="L1204" s="315">
        <f t="shared" ref="L1204:S1204" si="859">L1206+L1209</f>
        <v>0</v>
      </c>
      <c r="M1204" s="315">
        <f t="shared" si="859"/>
        <v>0</v>
      </c>
      <c r="N1204" s="337">
        <f t="shared" si="859"/>
        <v>24933</v>
      </c>
      <c r="O1204" s="337">
        <f t="shared" si="859"/>
        <v>3309.1777822018712</v>
      </c>
      <c r="P1204" s="292">
        <f t="shared" si="859"/>
        <v>17400</v>
      </c>
      <c r="Q1204" s="292">
        <f t="shared" si="859"/>
        <v>16900</v>
      </c>
      <c r="R1204" s="441">
        <f t="shared" si="859"/>
        <v>16560</v>
      </c>
      <c r="S1204" s="292">
        <f t="shared" si="859"/>
        <v>0</v>
      </c>
      <c r="T1204" s="292"/>
      <c r="U1204" s="292"/>
      <c r="V1204" s="469">
        <f>V1206+V1209</f>
        <v>16000</v>
      </c>
      <c r="W1204" s="469">
        <f>W1206+W1209</f>
        <v>6000</v>
      </c>
      <c r="X1204" s="522">
        <f>X1206+X1209</f>
        <v>18000</v>
      </c>
      <c r="Y1204" s="522">
        <f>Y1206+Y1209</f>
        <v>0</v>
      </c>
      <c r="Z1204" s="541" t="b">
        <f t="shared" si="826"/>
        <v>1</v>
      </c>
      <c r="AA1204" s="522"/>
      <c r="AB1204" s="523">
        <f>AB1206+AB1209</f>
        <v>4000</v>
      </c>
      <c r="AC1204" s="523">
        <f>AC1206+AC1209</f>
        <v>4000</v>
      </c>
      <c r="AD1204" s="524"/>
      <c r="AE1204" s="524">
        <f>P1204/O1204*100</f>
        <v>525.81037179641442</v>
      </c>
      <c r="AF1204" s="524">
        <f>Q1204/P1204*100</f>
        <v>97.126436781609186</v>
      </c>
      <c r="AG1204" s="524">
        <f>AB1204/Q1204*100</f>
        <v>23.668639053254438</v>
      </c>
      <c r="AH1204" s="522"/>
      <c r="AI1204" s="522">
        <v>18000</v>
      </c>
      <c r="AJ1204" s="516">
        <f>W1204/R1204*100</f>
        <v>36.231884057971016</v>
      </c>
      <c r="AK1204" s="516">
        <f>AT1204/W1204*100</f>
        <v>300</v>
      </c>
      <c r="AL1204" s="516">
        <f>X1204/AT1204*100</f>
        <v>100</v>
      </c>
      <c r="AM1204" s="292"/>
      <c r="AO1204" t="b">
        <f t="shared" si="827"/>
        <v>1</v>
      </c>
      <c r="AP1204" s="440">
        <f>AP1206+AP1209</f>
        <v>0</v>
      </c>
      <c r="AQ1204" s="441">
        <v>0</v>
      </c>
      <c r="AR1204" s="440">
        <f>AR1206+AR1209</f>
        <v>0</v>
      </c>
      <c r="AS1204" s="441"/>
      <c r="AT1204" s="612">
        <f>AT1206+AT1209</f>
        <v>18000</v>
      </c>
      <c r="AU1204" s="469">
        <f>AU1206+AU1209</f>
        <v>18000</v>
      </c>
      <c r="AV1204" s="636">
        <v>18000</v>
      </c>
      <c r="AW1204" s="636">
        <v>18000</v>
      </c>
      <c r="AX1204" s="655">
        <f t="shared" si="837"/>
        <v>108.69565217391303</v>
      </c>
      <c r="AY1204" s="655" t="str">
        <f t="shared" si="849"/>
        <v/>
      </c>
      <c r="AZ1204" s="655">
        <f t="shared" si="838"/>
        <v>100</v>
      </c>
      <c r="BA1204" s="655" t="str">
        <f t="shared" si="850"/>
        <v/>
      </c>
      <c r="BB1204" s="655">
        <f t="shared" si="834"/>
        <v>100</v>
      </c>
      <c r="BC1204" s="655">
        <f t="shared" si="834"/>
        <v>100</v>
      </c>
    </row>
    <row r="1205" spans="1:55" ht="12" customHeight="1">
      <c r="A1205" s="20"/>
      <c r="B1205" s="20"/>
      <c r="C1205" s="20"/>
      <c r="D1205" s="20"/>
      <c r="E1205" s="20"/>
      <c r="F1205" s="20"/>
      <c r="G1205" s="20"/>
      <c r="H1205" s="375"/>
      <c r="I1205" s="22"/>
      <c r="J1205" s="21"/>
      <c r="K1205" s="19"/>
      <c r="L1205" s="313"/>
      <c r="M1205" s="313"/>
      <c r="N1205" s="335"/>
      <c r="O1205" s="335"/>
      <c r="P1205" s="290"/>
      <c r="Q1205" s="290"/>
      <c r="R1205" s="439"/>
      <c r="S1205" s="290"/>
      <c r="T1205" s="290"/>
      <c r="U1205" s="290"/>
      <c r="V1205" s="474"/>
      <c r="W1205" s="474"/>
      <c r="X1205" s="539"/>
      <c r="Y1205" s="539"/>
      <c r="Z1205" s="541" t="b">
        <f t="shared" si="826"/>
        <v>0</v>
      </c>
      <c r="AA1205" s="514"/>
      <c r="AB1205" s="515"/>
      <c r="AC1205" s="515"/>
      <c r="AD1205" s="524"/>
      <c r="AE1205" s="524"/>
      <c r="AF1205" s="524"/>
      <c r="AG1205" s="524"/>
      <c r="AH1205" s="514"/>
      <c r="AI1205" s="539"/>
      <c r="AJ1205" s="516"/>
      <c r="AK1205" s="516"/>
      <c r="AL1205" s="516"/>
      <c r="AM1205" s="290"/>
      <c r="AO1205" t="b">
        <f t="shared" si="827"/>
        <v>0</v>
      </c>
      <c r="AQ1205" s="439"/>
      <c r="AS1205" s="439"/>
      <c r="AT1205" s="616"/>
      <c r="AU1205" s="474"/>
      <c r="AV1205" s="632"/>
      <c r="AW1205" s="632"/>
      <c r="AX1205" s="655" t="str">
        <f t="shared" si="837"/>
        <v/>
      </c>
      <c r="AY1205" s="655" t="str">
        <f t="shared" si="849"/>
        <v/>
      </c>
      <c r="AZ1205" s="655" t="str">
        <f t="shared" si="838"/>
        <v/>
      </c>
      <c r="BA1205" s="655" t="str">
        <f t="shared" si="850"/>
        <v/>
      </c>
      <c r="BB1205" s="655" t="str">
        <f t="shared" si="834"/>
        <v/>
      </c>
      <c r="BC1205" s="655" t="str">
        <f t="shared" si="834"/>
        <v/>
      </c>
    </row>
    <row r="1206" spans="1:55" ht="12" customHeight="1">
      <c r="A1206" s="165"/>
      <c r="B1206" s="165"/>
      <c r="C1206" s="165"/>
      <c r="D1206" s="165"/>
      <c r="E1206" s="165"/>
      <c r="F1206" s="165"/>
      <c r="G1206" s="165"/>
      <c r="H1206" s="377"/>
      <c r="I1206" s="157"/>
      <c r="J1206" s="116">
        <v>422</v>
      </c>
      <c r="K1206" s="60" t="s">
        <v>215</v>
      </c>
      <c r="L1206" s="315">
        <f t="shared" ref="L1206:S1206" si="860">L1207+L1208</f>
        <v>0</v>
      </c>
      <c r="M1206" s="315">
        <f t="shared" si="860"/>
        <v>0</v>
      </c>
      <c r="N1206" s="337">
        <f t="shared" si="860"/>
        <v>24933</v>
      </c>
      <c r="O1206" s="337">
        <f t="shared" si="860"/>
        <v>3309.1777822018712</v>
      </c>
      <c r="P1206" s="292">
        <f t="shared" si="860"/>
        <v>4700</v>
      </c>
      <c r="Q1206" s="292">
        <f t="shared" si="860"/>
        <v>4200</v>
      </c>
      <c r="R1206" s="441">
        <f t="shared" si="860"/>
        <v>3951</v>
      </c>
      <c r="S1206" s="292">
        <f t="shared" si="860"/>
        <v>0</v>
      </c>
      <c r="T1206" s="292"/>
      <c r="U1206" s="292"/>
      <c r="V1206" s="469">
        <f>V1207+V1208</f>
        <v>14000</v>
      </c>
      <c r="W1206" s="469">
        <f>W1207+W1208</f>
        <v>4000</v>
      </c>
      <c r="X1206" s="522">
        <f>X1207+X1208</f>
        <v>16000</v>
      </c>
      <c r="Y1206" s="522">
        <f>Y1207+Y1208</f>
        <v>0</v>
      </c>
      <c r="Z1206" s="541" t="b">
        <f t="shared" si="826"/>
        <v>1</v>
      </c>
      <c r="AA1206" s="522"/>
      <c r="AB1206" s="522">
        <f>AB1207+AB1208</f>
        <v>2000</v>
      </c>
      <c r="AC1206" s="522">
        <f>AC1207+AC1208</f>
        <v>2000</v>
      </c>
      <c r="AD1206" s="524"/>
      <c r="AE1206" s="524">
        <f>P1206/O1206*100</f>
        <v>142.02923835880159</v>
      </c>
      <c r="AF1206" s="524">
        <f>Q1206/P1206*100</f>
        <v>89.361702127659569</v>
      </c>
      <c r="AG1206" s="524">
        <f>AB1206/Q1206*100</f>
        <v>47.619047619047613</v>
      </c>
      <c r="AH1206" s="522"/>
      <c r="AI1206" s="522">
        <v>16000</v>
      </c>
      <c r="AJ1206" s="516">
        <f>W1206/R1206*100</f>
        <v>101.24019235636548</v>
      </c>
      <c r="AK1206" s="516">
        <f>AT1206/W1206*100</f>
        <v>400</v>
      </c>
      <c r="AL1206" s="516">
        <f>X1206/AT1206*100</f>
        <v>100</v>
      </c>
      <c r="AM1206" s="292"/>
      <c r="AO1206" t="b">
        <f t="shared" si="827"/>
        <v>1</v>
      </c>
      <c r="AP1206" s="440">
        <f>AP1207+AP1208</f>
        <v>0</v>
      </c>
      <c r="AQ1206" s="441">
        <v>0</v>
      </c>
      <c r="AR1206" s="440">
        <f>AR1207+AR1208</f>
        <v>0</v>
      </c>
      <c r="AS1206" s="441"/>
      <c r="AT1206" s="612">
        <f>AT1207+AT1208</f>
        <v>16000</v>
      </c>
      <c r="AU1206" s="469">
        <f>AU1207+AU1208</f>
        <v>16000</v>
      </c>
      <c r="AV1206" s="636">
        <v>16000</v>
      </c>
      <c r="AW1206" s="636">
        <v>16000</v>
      </c>
      <c r="AX1206" s="655">
        <f t="shared" si="837"/>
        <v>404.96076942546193</v>
      </c>
      <c r="AY1206" s="655" t="str">
        <f t="shared" si="849"/>
        <v/>
      </c>
      <c r="AZ1206" s="655">
        <f t="shared" si="838"/>
        <v>100</v>
      </c>
      <c r="BA1206" s="655" t="str">
        <f t="shared" si="850"/>
        <v/>
      </c>
      <c r="BB1206" s="655">
        <f t="shared" si="834"/>
        <v>100</v>
      </c>
      <c r="BC1206" s="655">
        <f t="shared" si="834"/>
        <v>100</v>
      </c>
    </row>
    <row r="1207" spans="1:55" ht="12" customHeight="1">
      <c r="A1207" s="66"/>
      <c r="B1207" s="66"/>
      <c r="C1207" s="66"/>
      <c r="D1207" s="66"/>
      <c r="E1207" s="66"/>
      <c r="F1207" s="66"/>
      <c r="G1207" s="66"/>
      <c r="H1207" s="204">
        <v>235</v>
      </c>
      <c r="I1207" s="132">
        <v>820</v>
      </c>
      <c r="J1207" s="71">
        <v>4221</v>
      </c>
      <c r="K1207" s="40" t="s">
        <v>159</v>
      </c>
      <c r="L1207" s="309">
        <v>0</v>
      </c>
      <c r="M1207" s="309">
        <v>0</v>
      </c>
      <c r="N1207" s="339">
        <v>5026</v>
      </c>
      <c r="O1207" s="339">
        <f>N1207/7.5345</f>
        <v>667.06483509191048</v>
      </c>
      <c r="P1207" s="294">
        <v>0</v>
      </c>
      <c r="Q1207" s="294">
        <v>0</v>
      </c>
      <c r="R1207" s="443">
        <v>0</v>
      </c>
      <c r="S1207" s="294"/>
      <c r="T1207" s="294"/>
      <c r="U1207" s="294"/>
      <c r="V1207" s="478">
        <v>4000</v>
      </c>
      <c r="W1207" s="478">
        <v>4000</v>
      </c>
      <c r="X1207" s="544">
        <v>6000</v>
      </c>
      <c r="Y1207" s="544"/>
      <c r="Z1207" s="541" t="b">
        <f t="shared" si="826"/>
        <v>0</v>
      </c>
      <c r="AA1207" s="527"/>
      <c r="AB1207" s="528">
        <v>2000</v>
      </c>
      <c r="AC1207" s="528">
        <v>2000</v>
      </c>
      <c r="AD1207" s="524"/>
      <c r="AE1207" s="524">
        <f>P1207/O1207*100</f>
        <v>0</v>
      </c>
      <c r="AF1207" s="524"/>
      <c r="AG1207" s="524"/>
      <c r="AH1207" s="527"/>
      <c r="AI1207" s="544">
        <v>6000</v>
      </c>
      <c r="AJ1207" s="516"/>
      <c r="AK1207" s="516">
        <f>AT1207/W1207*100</f>
        <v>150</v>
      </c>
      <c r="AL1207" s="516">
        <f>X1207/AT1207*100</f>
        <v>100</v>
      </c>
      <c r="AM1207" s="294"/>
      <c r="AO1207" t="b">
        <f t="shared" si="827"/>
        <v>0</v>
      </c>
      <c r="AQ1207" s="443"/>
      <c r="AS1207" s="443"/>
      <c r="AT1207" s="617">
        <v>6000</v>
      </c>
      <c r="AU1207" s="478">
        <v>6000</v>
      </c>
      <c r="AV1207" s="638">
        <v>6000</v>
      </c>
      <c r="AW1207" s="638">
        <v>6000</v>
      </c>
      <c r="AX1207" s="655" t="str">
        <f t="shared" si="837"/>
        <v/>
      </c>
      <c r="AY1207" s="655" t="str">
        <f t="shared" si="849"/>
        <v/>
      </c>
      <c r="AZ1207" s="655">
        <f t="shared" si="838"/>
        <v>100</v>
      </c>
      <c r="BA1207" s="655" t="str">
        <f t="shared" si="850"/>
        <v/>
      </c>
      <c r="BB1207" s="655">
        <f t="shared" si="834"/>
        <v>100</v>
      </c>
      <c r="BC1207" s="655">
        <f t="shared" si="834"/>
        <v>100</v>
      </c>
    </row>
    <row r="1208" spans="1:55" ht="12" customHeight="1">
      <c r="A1208" s="178"/>
      <c r="B1208" s="178"/>
      <c r="C1208" s="178"/>
      <c r="D1208" s="178"/>
      <c r="E1208" s="178"/>
      <c r="F1208" s="178"/>
      <c r="G1208" s="178"/>
      <c r="H1208" s="412" t="s">
        <v>769</v>
      </c>
      <c r="I1208" s="242">
        <v>820</v>
      </c>
      <c r="J1208" s="179">
        <v>4227</v>
      </c>
      <c r="K1208" s="243" t="s">
        <v>770</v>
      </c>
      <c r="L1208" s="309">
        <v>0</v>
      </c>
      <c r="M1208" s="309">
        <v>0</v>
      </c>
      <c r="N1208" s="339">
        <v>19907</v>
      </c>
      <c r="O1208" s="339">
        <f>N1208/7.5345</f>
        <v>2642.1129471099607</v>
      </c>
      <c r="P1208" s="294">
        <v>4700</v>
      </c>
      <c r="Q1208" s="269">
        <v>4200</v>
      </c>
      <c r="R1208" s="443">
        <v>3951</v>
      </c>
      <c r="S1208" s="294"/>
      <c r="T1208" s="294"/>
      <c r="U1208" s="294"/>
      <c r="V1208" s="478">
        <v>10000</v>
      </c>
      <c r="W1208" s="478">
        <v>0</v>
      </c>
      <c r="X1208" s="544">
        <v>10000</v>
      </c>
      <c r="Y1208" s="544"/>
      <c r="Z1208" s="541" t="b">
        <f t="shared" si="826"/>
        <v>0</v>
      </c>
      <c r="AA1208" s="527"/>
      <c r="AB1208" s="523"/>
      <c r="AC1208" s="523"/>
      <c r="AD1208" s="524"/>
      <c r="AE1208" s="524"/>
      <c r="AF1208" s="524"/>
      <c r="AG1208" s="524"/>
      <c r="AH1208" s="527"/>
      <c r="AI1208" s="544">
        <v>10000</v>
      </c>
      <c r="AJ1208" s="516">
        <f>W1208/R1208*100</f>
        <v>0</v>
      </c>
      <c r="AK1208" s="516"/>
      <c r="AL1208" s="516">
        <f>X1208/AT1208*100</f>
        <v>100</v>
      </c>
      <c r="AM1208" s="294"/>
      <c r="AO1208" t="b">
        <f t="shared" si="827"/>
        <v>0</v>
      </c>
      <c r="AQ1208" s="443"/>
      <c r="AS1208" s="443"/>
      <c r="AT1208" s="617">
        <v>10000</v>
      </c>
      <c r="AU1208" s="478">
        <v>10000</v>
      </c>
      <c r="AV1208" s="638">
        <v>10000</v>
      </c>
      <c r="AW1208" s="638">
        <v>10000</v>
      </c>
      <c r="AX1208" s="655">
        <f t="shared" si="837"/>
        <v>253.10048089091367</v>
      </c>
      <c r="AY1208" s="655" t="str">
        <f t="shared" si="849"/>
        <v/>
      </c>
      <c r="AZ1208" s="655">
        <f t="shared" si="838"/>
        <v>100</v>
      </c>
      <c r="BA1208" s="655" t="str">
        <f t="shared" si="850"/>
        <v/>
      </c>
      <c r="BB1208" s="655">
        <f t="shared" si="834"/>
        <v>100</v>
      </c>
      <c r="BC1208" s="655">
        <f t="shared" si="834"/>
        <v>100</v>
      </c>
    </row>
    <row r="1209" spans="1:55" ht="12" customHeight="1">
      <c r="A1209" s="165"/>
      <c r="B1209" s="165"/>
      <c r="C1209" s="165"/>
      <c r="D1209" s="165"/>
      <c r="E1209" s="165"/>
      <c r="F1209" s="165"/>
      <c r="G1209" s="165"/>
      <c r="H1209" s="377"/>
      <c r="I1209" s="157"/>
      <c r="J1209" s="116">
        <v>426</v>
      </c>
      <c r="K1209" s="60" t="s">
        <v>527</v>
      </c>
      <c r="L1209" s="315">
        <f t="shared" ref="L1209:AC1209" si="861">L1210</f>
        <v>0</v>
      </c>
      <c r="M1209" s="315">
        <f t="shared" si="861"/>
        <v>0</v>
      </c>
      <c r="N1209" s="337">
        <f t="shared" si="861"/>
        <v>0</v>
      </c>
      <c r="O1209" s="337">
        <f t="shared" si="861"/>
        <v>0</v>
      </c>
      <c r="P1209" s="292">
        <f t="shared" si="861"/>
        <v>12700</v>
      </c>
      <c r="Q1209" s="292">
        <f t="shared" si="861"/>
        <v>12700</v>
      </c>
      <c r="R1209" s="441">
        <f t="shared" si="861"/>
        <v>12609</v>
      </c>
      <c r="S1209" s="292">
        <f t="shared" si="861"/>
        <v>0</v>
      </c>
      <c r="T1209" s="292"/>
      <c r="U1209" s="292"/>
      <c r="V1209" s="469">
        <f t="shared" si="861"/>
        <v>2000</v>
      </c>
      <c r="W1209" s="469">
        <f t="shared" si="861"/>
        <v>2000</v>
      </c>
      <c r="X1209" s="522">
        <f t="shared" si="861"/>
        <v>2000</v>
      </c>
      <c r="Y1209" s="522">
        <f t="shared" si="861"/>
        <v>0</v>
      </c>
      <c r="Z1209" s="541" t="b">
        <f t="shared" si="826"/>
        <v>1</v>
      </c>
      <c r="AA1209" s="522"/>
      <c r="AB1209" s="523">
        <f t="shared" si="861"/>
        <v>2000</v>
      </c>
      <c r="AC1209" s="523">
        <f t="shared" si="861"/>
        <v>2000</v>
      </c>
      <c r="AD1209" s="524"/>
      <c r="AE1209" s="524"/>
      <c r="AF1209" s="524"/>
      <c r="AG1209" s="524"/>
      <c r="AH1209" s="522"/>
      <c r="AI1209" s="522">
        <v>2000</v>
      </c>
      <c r="AJ1209" s="516">
        <f>W1209/R1209*100</f>
        <v>15.861686097232136</v>
      </c>
      <c r="AK1209" s="516">
        <f>AT1209/W1209*100</f>
        <v>100</v>
      </c>
      <c r="AL1209" s="516">
        <f>X1209/AT1209*100</f>
        <v>100</v>
      </c>
      <c r="AM1209" s="292"/>
      <c r="AO1209" t="b">
        <f t="shared" si="827"/>
        <v>1</v>
      </c>
      <c r="AP1209" s="440">
        <f>AP1210</f>
        <v>0</v>
      </c>
      <c r="AQ1209" s="441">
        <v>0</v>
      </c>
      <c r="AR1209" s="440">
        <f>AR1210</f>
        <v>0</v>
      </c>
      <c r="AS1209" s="441"/>
      <c r="AT1209" s="612">
        <f>AT1210</f>
        <v>2000</v>
      </c>
      <c r="AU1209" s="469">
        <f>AU1210</f>
        <v>2000</v>
      </c>
      <c r="AV1209" s="636">
        <v>2000</v>
      </c>
      <c r="AW1209" s="636">
        <v>2000</v>
      </c>
      <c r="AX1209" s="655">
        <f t="shared" si="837"/>
        <v>15.861686097232136</v>
      </c>
      <c r="AY1209" s="655" t="str">
        <f t="shared" si="849"/>
        <v/>
      </c>
      <c r="AZ1209" s="655">
        <f t="shared" si="838"/>
        <v>100</v>
      </c>
      <c r="BA1209" s="655" t="str">
        <f t="shared" si="850"/>
        <v/>
      </c>
      <c r="BB1209" s="655">
        <f t="shared" si="834"/>
        <v>100</v>
      </c>
      <c r="BC1209" s="655">
        <f t="shared" si="834"/>
        <v>100</v>
      </c>
    </row>
    <row r="1210" spans="1:55" ht="12" customHeight="1">
      <c r="A1210" s="66"/>
      <c r="B1210" s="66"/>
      <c r="C1210" s="66"/>
      <c r="D1210" s="66"/>
      <c r="E1210" s="66"/>
      <c r="F1210" s="66"/>
      <c r="G1210" s="66"/>
      <c r="H1210" s="204">
        <v>236</v>
      </c>
      <c r="I1210" s="132">
        <v>820</v>
      </c>
      <c r="J1210" s="71">
        <v>4262</v>
      </c>
      <c r="K1210" s="40" t="s">
        <v>528</v>
      </c>
      <c r="L1210" s="309">
        <v>0</v>
      </c>
      <c r="M1210" s="309">
        <v>0</v>
      </c>
      <c r="N1210" s="339">
        <v>0</v>
      </c>
      <c r="O1210" s="339">
        <v>0</v>
      </c>
      <c r="P1210" s="294">
        <v>12700</v>
      </c>
      <c r="Q1210" s="294">
        <v>12700</v>
      </c>
      <c r="R1210" s="443">
        <v>12609</v>
      </c>
      <c r="S1210" s="294"/>
      <c r="T1210" s="294"/>
      <c r="U1210" s="294"/>
      <c r="V1210" s="478">
        <v>2000</v>
      </c>
      <c r="W1210" s="478">
        <v>2000</v>
      </c>
      <c r="X1210" s="544">
        <v>2000</v>
      </c>
      <c r="Y1210" s="544"/>
      <c r="Z1210" s="541" t="b">
        <f t="shared" si="826"/>
        <v>0</v>
      </c>
      <c r="AA1210" s="527"/>
      <c r="AB1210" s="528">
        <v>2000</v>
      </c>
      <c r="AC1210" s="528">
        <v>2000</v>
      </c>
      <c r="AD1210" s="524"/>
      <c r="AE1210" s="524"/>
      <c r="AF1210" s="524"/>
      <c r="AG1210" s="524"/>
      <c r="AH1210" s="527"/>
      <c r="AI1210" s="544">
        <v>2000</v>
      </c>
      <c r="AJ1210" s="516">
        <f>W1210/R1210*100</f>
        <v>15.861686097232136</v>
      </c>
      <c r="AK1210" s="516">
        <f>AT1210/W1210*100</f>
        <v>100</v>
      </c>
      <c r="AL1210" s="516">
        <f>X1210/AT1210*100</f>
        <v>100</v>
      </c>
      <c r="AM1210" s="294"/>
      <c r="AO1210" t="b">
        <f t="shared" si="827"/>
        <v>0</v>
      </c>
      <c r="AQ1210" s="443"/>
      <c r="AS1210" s="443"/>
      <c r="AT1210" s="617">
        <v>2000</v>
      </c>
      <c r="AU1210" s="478">
        <v>2000</v>
      </c>
      <c r="AV1210" s="638">
        <v>2000</v>
      </c>
      <c r="AW1210" s="638">
        <v>2000</v>
      </c>
      <c r="AX1210" s="655">
        <f t="shared" si="837"/>
        <v>15.861686097232136</v>
      </c>
      <c r="AY1210" s="655" t="str">
        <f t="shared" si="849"/>
        <v/>
      </c>
      <c r="AZ1210" s="655">
        <f t="shared" si="838"/>
        <v>100</v>
      </c>
      <c r="BA1210" s="655" t="str">
        <f t="shared" si="850"/>
        <v/>
      </c>
      <c r="BB1210" s="655">
        <f t="shared" si="834"/>
        <v>100</v>
      </c>
      <c r="BC1210" s="655">
        <f t="shared" si="834"/>
        <v>100</v>
      </c>
    </row>
    <row r="1211" spans="1:55" ht="12" customHeight="1">
      <c r="A1211" s="66"/>
      <c r="B1211" s="66"/>
      <c r="C1211" s="66"/>
      <c r="D1211" s="66"/>
      <c r="E1211" s="66"/>
      <c r="F1211" s="66"/>
      <c r="G1211" s="66"/>
      <c r="H1211" s="204"/>
      <c r="I1211" s="132"/>
      <c r="J1211" s="71"/>
      <c r="K1211" s="40"/>
      <c r="L1211" s="309"/>
      <c r="M1211" s="309"/>
      <c r="N1211" s="339"/>
      <c r="O1211" s="339"/>
      <c r="P1211" s="294"/>
      <c r="Q1211" s="294"/>
      <c r="R1211" s="443"/>
      <c r="S1211" s="294"/>
      <c r="T1211" s="294"/>
      <c r="U1211" s="294"/>
      <c r="V1211" s="478"/>
      <c r="W1211" s="478"/>
      <c r="X1211" s="544"/>
      <c r="Y1211" s="544"/>
      <c r="Z1211" s="541" t="b">
        <f t="shared" si="826"/>
        <v>0</v>
      </c>
      <c r="AA1211" s="527"/>
      <c r="AB1211" s="528"/>
      <c r="AC1211" s="528"/>
      <c r="AD1211" s="524"/>
      <c r="AE1211" s="524"/>
      <c r="AF1211" s="524"/>
      <c r="AG1211" s="524"/>
      <c r="AH1211" s="527"/>
      <c r="AI1211" s="544"/>
      <c r="AJ1211" s="516"/>
      <c r="AK1211" s="516"/>
      <c r="AL1211" s="516"/>
      <c r="AM1211" s="294"/>
      <c r="AO1211" t="b">
        <f t="shared" si="827"/>
        <v>0</v>
      </c>
      <c r="AQ1211" s="443"/>
      <c r="AS1211" s="443"/>
      <c r="AT1211" s="617"/>
      <c r="AU1211" s="478"/>
      <c r="AV1211" s="638"/>
      <c r="AW1211" s="638"/>
      <c r="AX1211" s="655" t="str">
        <f t="shared" si="837"/>
        <v/>
      </c>
      <c r="AY1211" s="655" t="str">
        <f t="shared" si="849"/>
        <v/>
      </c>
      <c r="AZ1211" s="655" t="str">
        <f t="shared" si="838"/>
        <v/>
      </c>
      <c r="BA1211" s="655" t="str">
        <f t="shared" si="850"/>
        <v/>
      </c>
      <c r="BB1211" s="655" t="str">
        <f t="shared" si="834"/>
        <v/>
      </c>
      <c r="BC1211" s="655" t="str">
        <f t="shared" si="834"/>
        <v/>
      </c>
    </row>
    <row r="1212" spans="1:55" ht="12" customHeight="1">
      <c r="A1212" s="212" t="s">
        <v>681</v>
      </c>
      <c r="B1212" s="130"/>
      <c r="C1212" s="130"/>
      <c r="D1212" s="130"/>
      <c r="E1212" s="130"/>
      <c r="F1212" s="130"/>
      <c r="G1212" s="130"/>
      <c r="H1212" s="383"/>
      <c r="I1212" s="170" t="s">
        <v>671</v>
      </c>
      <c r="J1212" s="171"/>
      <c r="K1212" s="111"/>
      <c r="L1212" s="315">
        <f t="shared" ref="L1212:S1212" si="862">L1214</f>
        <v>2476635</v>
      </c>
      <c r="M1212" s="315">
        <f t="shared" si="862"/>
        <v>328705.95261795737</v>
      </c>
      <c r="N1212" s="337">
        <f t="shared" si="862"/>
        <v>622963</v>
      </c>
      <c r="O1212" s="337">
        <f t="shared" si="862"/>
        <v>82681.398898400686</v>
      </c>
      <c r="P1212" s="292">
        <f t="shared" si="862"/>
        <v>0</v>
      </c>
      <c r="Q1212" s="292">
        <f t="shared" si="862"/>
        <v>23360</v>
      </c>
      <c r="R1212" s="441">
        <f t="shared" si="862"/>
        <v>25870</v>
      </c>
      <c r="S1212" s="292">
        <f t="shared" si="862"/>
        <v>0</v>
      </c>
      <c r="T1212" s="292"/>
      <c r="U1212" s="292"/>
      <c r="V1212" s="469">
        <f>V1214</f>
        <v>30000</v>
      </c>
      <c r="W1212" s="469">
        <f>W1214</f>
        <v>0</v>
      </c>
      <c r="X1212" s="522">
        <f>X1214</f>
        <v>100000</v>
      </c>
      <c r="Y1212" s="522">
        <f>Y1214</f>
        <v>0</v>
      </c>
      <c r="Z1212" s="541" t="b">
        <f t="shared" si="826"/>
        <v>1</v>
      </c>
      <c r="AA1212" s="522"/>
      <c r="AB1212" s="523">
        <f>AB1214</f>
        <v>0</v>
      </c>
      <c r="AC1212" s="523">
        <f>AC1214</f>
        <v>0</v>
      </c>
      <c r="AD1212" s="524">
        <f>O1212/M1212*100</f>
        <v>25.153605597918144</v>
      </c>
      <c r="AE1212" s="524">
        <f>P1212/O1212*100</f>
        <v>0</v>
      </c>
      <c r="AF1212" s="524"/>
      <c r="AG1212" s="524"/>
      <c r="AH1212" s="522"/>
      <c r="AI1212" s="522">
        <v>100000</v>
      </c>
      <c r="AJ1212" s="516">
        <f>W1212/R1212*100</f>
        <v>0</v>
      </c>
      <c r="AK1212" s="516"/>
      <c r="AL1212" s="516">
        <f>X1212/AT1212*100</f>
        <v>66.666666666666657</v>
      </c>
      <c r="AM1212" s="292"/>
      <c r="AO1212" t="b">
        <f t="shared" si="827"/>
        <v>1</v>
      </c>
      <c r="AP1212" s="440">
        <f>AP1214</f>
        <v>0</v>
      </c>
      <c r="AQ1212" s="441">
        <v>0</v>
      </c>
      <c r="AR1212" s="440">
        <f>AR1214</f>
        <v>0</v>
      </c>
      <c r="AS1212" s="441"/>
      <c r="AT1212" s="612">
        <f>AT1214</f>
        <v>150000</v>
      </c>
      <c r="AU1212" s="469">
        <f>AU1214</f>
        <v>150000</v>
      </c>
      <c r="AV1212" s="636">
        <v>100000</v>
      </c>
      <c r="AW1212" s="636">
        <v>100000</v>
      </c>
      <c r="AX1212" s="655">
        <f t="shared" si="837"/>
        <v>579.82218786238889</v>
      </c>
      <c r="AY1212" s="655" t="str">
        <f t="shared" si="849"/>
        <v/>
      </c>
      <c r="AZ1212" s="655">
        <f t="shared" si="838"/>
        <v>100</v>
      </c>
      <c r="BA1212" s="655" t="str">
        <f t="shared" si="850"/>
        <v/>
      </c>
      <c r="BB1212" s="655">
        <f t="shared" si="834"/>
        <v>66.666666666666657</v>
      </c>
      <c r="BC1212" s="655">
        <f t="shared" si="834"/>
        <v>100</v>
      </c>
    </row>
    <row r="1213" spans="1:55" ht="12" customHeight="1">
      <c r="A1213" s="25"/>
      <c r="B1213" s="25"/>
      <c r="C1213" s="25"/>
      <c r="D1213" s="25"/>
      <c r="E1213" s="25"/>
      <c r="F1213" s="25"/>
      <c r="G1213" s="25"/>
      <c r="H1213" s="376"/>
      <c r="I1213" s="114"/>
      <c r="J1213" s="94"/>
      <c r="K1213" s="26"/>
      <c r="L1213" s="317"/>
      <c r="M1213" s="317"/>
      <c r="N1213" s="341"/>
      <c r="O1213" s="341"/>
      <c r="P1213" s="296"/>
      <c r="Q1213" s="296"/>
      <c r="R1213" s="445"/>
      <c r="S1213" s="296"/>
      <c r="T1213" s="296"/>
      <c r="U1213" s="296"/>
      <c r="V1213" s="481"/>
      <c r="W1213" s="481"/>
      <c r="X1213" s="549"/>
      <c r="Y1213" s="549"/>
      <c r="Z1213" s="541" t="b">
        <f t="shared" si="826"/>
        <v>0</v>
      </c>
      <c r="AA1213" s="531"/>
      <c r="AB1213" s="532"/>
      <c r="AC1213" s="532"/>
      <c r="AD1213" s="524"/>
      <c r="AE1213" s="524"/>
      <c r="AF1213" s="524"/>
      <c r="AG1213" s="524"/>
      <c r="AH1213" s="531"/>
      <c r="AI1213" s="549"/>
      <c r="AJ1213" s="516"/>
      <c r="AK1213" s="516"/>
      <c r="AL1213" s="516"/>
      <c r="AM1213" s="296"/>
      <c r="AO1213" t="b">
        <f t="shared" si="827"/>
        <v>0</v>
      </c>
      <c r="AQ1213" s="445"/>
      <c r="AS1213" s="445"/>
      <c r="AT1213" s="616"/>
      <c r="AU1213" s="481"/>
      <c r="AV1213" s="640"/>
      <c r="AW1213" s="640"/>
      <c r="AX1213" s="655" t="str">
        <f t="shared" si="837"/>
        <v/>
      </c>
      <c r="AY1213" s="655" t="str">
        <f t="shared" si="849"/>
        <v/>
      </c>
      <c r="AZ1213" s="655" t="str">
        <f t="shared" si="838"/>
        <v/>
      </c>
      <c r="BA1213" s="655" t="str">
        <f t="shared" si="850"/>
        <v/>
      </c>
      <c r="BB1213" s="655" t="str">
        <f t="shared" si="834"/>
        <v/>
      </c>
      <c r="BC1213" s="655" t="str">
        <f t="shared" si="834"/>
        <v/>
      </c>
    </row>
    <row r="1214" spans="1:55" ht="12" customHeight="1">
      <c r="A1214" s="52"/>
      <c r="B1214" s="52"/>
      <c r="C1214" s="52"/>
      <c r="D1214" s="52"/>
      <c r="E1214" s="52"/>
      <c r="F1214" s="52"/>
      <c r="G1214" s="52"/>
      <c r="H1214" s="384"/>
      <c r="I1214" s="156"/>
      <c r="J1214" s="94">
        <v>4</v>
      </c>
      <c r="K1214" s="21" t="s">
        <v>213</v>
      </c>
      <c r="L1214" s="315">
        <f t="shared" ref="L1214:AC1214" si="863">L1215</f>
        <v>2476635</v>
      </c>
      <c r="M1214" s="315">
        <f t="shared" si="863"/>
        <v>328705.95261795737</v>
      </c>
      <c r="N1214" s="337">
        <f t="shared" si="863"/>
        <v>622963</v>
      </c>
      <c r="O1214" s="337">
        <f t="shared" si="863"/>
        <v>82681.398898400686</v>
      </c>
      <c r="P1214" s="292">
        <f t="shared" si="863"/>
        <v>0</v>
      </c>
      <c r="Q1214" s="292">
        <f t="shared" si="863"/>
        <v>23360</v>
      </c>
      <c r="R1214" s="441">
        <f t="shared" si="863"/>
        <v>25870</v>
      </c>
      <c r="S1214" s="292">
        <f t="shared" si="863"/>
        <v>0</v>
      </c>
      <c r="T1214" s="292"/>
      <c r="U1214" s="292"/>
      <c r="V1214" s="469">
        <f t="shared" si="863"/>
        <v>30000</v>
      </c>
      <c r="W1214" s="469">
        <f t="shared" si="863"/>
        <v>0</v>
      </c>
      <c r="X1214" s="522">
        <f t="shared" si="863"/>
        <v>100000</v>
      </c>
      <c r="Y1214" s="522">
        <f t="shared" si="863"/>
        <v>0</v>
      </c>
      <c r="Z1214" s="541" t="b">
        <f t="shared" si="826"/>
        <v>1</v>
      </c>
      <c r="AA1214" s="522"/>
      <c r="AB1214" s="523">
        <f t="shared" si="863"/>
        <v>0</v>
      </c>
      <c r="AC1214" s="523">
        <f t="shared" si="863"/>
        <v>0</v>
      </c>
      <c r="AD1214" s="524">
        <f>O1214/M1214*100</f>
        <v>25.153605597918144</v>
      </c>
      <c r="AE1214" s="524">
        <f>P1214/O1214*100</f>
        <v>0</v>
      </c>
      <c r="AF1214" s="524"/>
      <c r="AG1214" s="524"/>
      <c r="AH1214" s="522"/>
      <c r="AI1214" s="522">
        <v>100000</v>
      </c>
      <c r="AJ1214" s="516">
        <f>W1214/R1214*100</f>
        <v>0</v>
      </c>
      <c r="AK1214" s="516"/>
      <c r="AL1214" s="516">
        <f t="shared" ref="AL1214:AL1219" si="864">X1214/AT1214*100</f>
        <v>66.666666666666657</v>
      </c>
      <c r="AM1214" s="292"/>
      <c r="AO1214" t="b">
        <f t="shared" si="827"/>
        <v>1</v>
      </c>
      <c r="AP1214" s="440">
        <f>AP1215</f>
        <v>0</v>
      </c>
      <c r="AQ1214" s="441">
        <v>0</v>
      </c>
      <c r="AR1214" s="440">
        <f>AR1215</f>
        <v>0</v>
      </c>
      <c r="AS1214" s="441"/>
      <c r="AT1214" s="612">
        <f>AT1215</f>
        <v>150000</v>
      </c>
      <c r="AU1214" s="469">
        <f>AU1215</f>
        <v>150000</v>
      </c>
      <c r="AV1214" s="636">
        <v>100000</v>
      </c>
      <c r="AW1214" s="636">
        <v>100000</v>
      </c>
      <c r="AX1214" s="655">
        <f t="shared" si="837"/>
        <v>579.82218786238889</v>
      </c>
      <c r="AY1214" s="655" t="str">
        <f t="shared" si="849"/>
        <v/>
      </c>
      <c r="AZ1214" s="655">
        <f t="shared" si="838"/>
        <v>100</v>
      </c>
      <c r="BA1214" s="655" t="str">
        <f t="shared" si="850"/>
        <v/>
      </c>
      <c r="BB1214" s="655">
        <f t="shared" si="834"/>
        <v>66.666666666666657</v>
      </c>
      <c r="BC1214" s="655">
        <f t="shared" si="834"/>
        <v>100</v>
      </c>
    </row>
    <row r="1215" spans="1:55" ht="12" customHeight="1">
      <c r="A1215" s="355"/>
      <c r="B1215" s="355"/>
      <c r="C1215" s="355"/>
      <c r="D1215" s="355"/>
      <c r="E1215" s="355"/>
      <c r="F1215" s="355"/>
      <c r="G1215" s="355"/>
      <c r="H1215" s="379"/>
      <c r="I1215" s="359"/>
      <c r="J1215" s="356">
        <v>45</v>
      </c>
      <c r="K1215" s="358" t="s">
        <v>672</v>
      </c>
      <c r="L1215" s="315">
        <f t="shared" ref="L1215:Q1215" si="865">L1216+L1222</f>
        <v>2476635</v>
      </c>
      <c r="M1215" s="315">
        <f t="shared" si="865"/>
        <v>328705.95261795737</v>
      </c>
      <c r="N1215" s="337">
        <f t="shared" si="865"/>
        <v>622963</v>
      </c>
      <c r="O1215" s="337">
        <f t="shared" si="865"/>
        <v>82681.398898400686</v>
      </c>
      <c r="P1215" s="292">
        <f t="shared" si="865"/>
        <v>0</v>
      </c>
      <c r="Q1215" s="292">
        <f t="shared" si="865"/>
        <v>23360</v>
      </c>
      <c r="R1215" s="441">
        <f>R1216+R1219</f>
        <v>25870</v>
      </c>
      <c r="S1215" s="292">
        <f>S1216+S1219</f>
        <v>0</v>
      </c>
      <c r="T1215" s="292"/>
      <c r="U1215" s="292"/>
      <c r="V1215" s="469">
        <f>V1216+V1219</f>
        <v>30000</v>
      </c>
      <c r="W1215" s="469">
        <f>W1216+W1219</f>
        <v>0</v>
      </c>
      <c r="X1215" s="522">
        <f>X1216+X1219</f>
        <v>100000</v>
      </c>
      <c r="Y1215" s="522">
        <f>Y1216+Y1219</f>
        <v>0</v>
      </c>
      <c r="Z1215" s="541" t="b">
        <f t="shared" si="826"/>
        <v>1</v>
      </c>
      <c r="AA1215" s="522"/>
      <c r="AB1215" s="523">
        <f>AB1216</f>
        <v>0</v>
      </c>
      <c r="AC1215" s="523">
        <f>AC1216</f>
        <v>0</v>
      </c>
      <c r="AD1215" s="524">
        <f>O1215/M1215*100</f>
        <v>25.153605597918144</v>
      </c>
      <c r="AE1215" s="524">
        <f>P1215/O1215*100</f>
        <v>0</v>
      </c>
      <c r="AF1215" s="524"/>
      <c r="AG1215" s="524"/>
      <c r="AH1215" s="522"/>
      <c r="AI1215" s="522">
        <v>100000</v>
      </c>
      <c r="AJ1215" s="516">
        <f>W1215/R1215*100</f>
        <v>0</v>
      </c>
      <c r="AK1215" s="516"/>
      <c r="AL1215" s="516">
        <f t="shared" si="864"/>
        <v>66.666666666666657</v>
      </c>
      <c r="AM1215" s="292"/>
      <c r="AO1215" t="b">
        <f t="shared" si="827"/>
        <v>1</v>
      </c>
      <c r="AP1215" s="440">
        <f>AP1216</f>
        <v>0</v>
      </c>
      <c r="AQ1215" s="441">
        <v>0</v>
      </c>
      <c r="AR1215" s="440">
        <f>AR1216</f>
        <v>0</v>
      </c>
      <c r="AS1215" s="441"/>
      <c r="AT1215" s="612">
        <f>AT1216</f>
        <v>150000</v>
      </c>
      <c r="AU1215" s="469">
        <f>AU1216</f>
        <v>150000</v>
      </c>
      <c r="AV1215" s="636">
        <v>100000</v>
      </c>
      <c r="AW1215" s="636">
        <v>100000</v>
      </c>
      <c r="AX1215" s="655">
        <f t="shared" si="837"/>
        <v>579.82218786238889</v>
      </c>
      <c r="AY1215" s="655" t="str">
        <f t="shared" si="849"/>
        <v/>
      </c>
      <c r="AZ1215" s="655">
        <f t="shared" si="838"/>
        <v>100</v>
      </c>
      <c r="BA1215" s="655" t="str">
        <f t="shared" si="850"/>
        <v/>
      </c>
      <c r="BB1215" s="655">
        <f t="shared" si="834"/>
        <v>66.666666666666657</v>
      </c>
      <c r="BC1215" s="655">
        <f t="shared" si="834"/>
        <v>100</v>
      </c>
    </row>
    <row r="1216" spans="1:55" ht="12" customHeight="1">
      <c r="A1216" s="165"/>
      <c r="B1216" s="165"/>
      <c r="C1216" s="165"/>
      <c r="D1216" s="165"/>
      <c r="E1216" s="165"/>
      <c r="F1216" s="165"/>
      <c r="G1216" s="165"/>
      <c r="H1216" s="377"/>
      <c r="I1216" s="157"/>
      <c r="J1216" s="116">
        <v>451</v>
      </c>
      <c r="K1216" s="60" t="s">
        <v>673</v>
      </c>
      <c r="L1216" s="315">
        <f t="shared" ref="L1216:AC1216" si="866">L1217</f>
        <v>2476635</v>
      </c>
      <c r="M1216" s="315">
        <f t="shared" si="866"/>
        <v>328705.95261795737</v>
      </c>
      <c r="N1216" s="337">
        <f t="shared" si="866"/>
        <v>622963</v>
      </c>
      <c r="O1216" s="337">
        <f t="shared" si="866"/>
        <v>82681.398898400686</v>
      </c>
      <c r="P1216" s="292">
        <f t="shared" si="866"/>
        <v>0</v>
      </c>
      <c r="Q1216" s="292">
        <f t="shared" si="866"/>
        <v>23360</v>
      </c>
      <c r="R1216" s="441">
        <f t="shared" si="866"/>
        <v>25870</v>
      </c>
      <c r="S1216" s="292">
        <f t="shared" si="866"/>
        <v>0</v>
      </c>
      <c r="T1216" s="292"/>
      <c r="U1216" s="292"/>
      <c r="V1216" s="469">
        <f t="shared" si="866"/>
        <v>30000</v>
      </c>
      <c r="W1216" s="469">
        <f t="shared" si="866"/>
        <v>0</v>
      </c>
      <c r="X1216" s="522">
        <f t="shared" si="866"/>
        <v>50000</v>
      </c>
      <c r="Y1216" s="522">
        <f t="shared" si="866"/>
        <v>0</v>
      </c>
      <c r="Z1216" s="541" t="b">
        <f t="shared" si="826"/>
        <v>1</v>
      </c>
      <c r="AA1216" s="522"/>
      <c r="AB1216" s="523">
        <f t="shared" si="866"/>
        <v>0</v>
      </c>
      <c r="AC1216" s="523">
        <f t="shared" si="866"/>
        <v>0</v>
      </c>
      <c r="AD1216" s="524">
        <f>O1216/M1216*100</f>
        <v>25.153605597918144</v>
      </c>
      <c r="AE1216" s="524">
        <f>P1216/O1216*100</f>
        <v>0</v>
      </c>
      <c r="AF1216" s="524"/>
      <c r="AG1216" s="524"/>
      <c r="AH1216" s="522"/>
      <c r="AI1216" s="522">
        <v>50000</v>
      </c>
      <c r="AJ1216" s="516">
        <f>W1216/R1216*100</f>
        <v>0</v>
      </c>
      <c r="AK1216" s="516"/>
      <c r="AL1216" s="516">
        <f t="shared" si="864"/>
        <v>33.333333333333329</v>
      </c>
      <c r="AM1216" s="292"/>
      <c r="AO1216" t="b">
        <f t="shared" si="827"/>
        <v>1</v>
      </c>
      <c r="AP1216" s="440">
        <f>AP1217+AP1218+AP1219</f>
        <v>0</v>
      </c>
      <c r="AQ1216" s="441">
        <v>0</v>
      </c>
      <c r="AR1216" s="440">
        <f>AR1217+AR1218+AR1219</f>
        <v>0</v>
      </c>
      <c r="AS1216" s="441"/>
      <c r="AT1216" s="612">
        <f>AT1217+AT1218+AT1219</f>
        <v>150000</v>
      </c>
      <c r="AU1216" s="469">
        <f>AU1217+AU1218+AU1219</f>
        <v>150000</v>
      </c>
      <c r="AV1216" s="636">
        <v>50000</v>
      </c>
      <c r="AW1216" s="636">
        <v>50000</v>
      </c>
      <c r="AX1216" s="655">
        <f t="shared" si="837"/>
        <v>579.82218786238889</v>
      </c>
      <c r="AY1216" s="655" t="str">
        <f t="shared" si="849"/>
        <v/>
      </c>
      <c r="AZ1216" s="655">
        <f t="shared" si="838"/>
        <v>100</v>
      </c>
      <c r="BA1216" s="655" t="str">
        <f t="shared" si="850"/>
        <v/>
      </c>
      <c r="BB1216" s="655">
        <f t="shared" si="834"/>
        <v>33.333333333333329</v>
      </c>
      <c r="BC1216" s="655">
        <f t="shared" si="834"/>
        <v>100</v>
      </c>
    </row>
    <row r="1217" spans="1:55" ht="12" customHeight="1">
      <c r="A1217" s="66"/>
      <c r="B1217" s="66"/>
      <c r="C1217" s="66"/>
      <c r="D1217" s="66"/>
      <c r="E1217" s="66"/>
      <c r="F1217" s="66"/>
      <c r="G1217" s="66"/>
      <c r="H1217" s="380">
        <v>240</v>
      </c>
      <c r="I1217" s="172">
        <v>820</v>
      </c>
      <c r="J1217" s="122">
        <v>4511</v>
      </c>
      <c r="K1217" s="123" t="s">
        <v>674</v>
      </c>
      <c r="L1217" s="322">
        <v>2476635</v>
      </c>
      <c r="M1217" s="322">
        <f>2476635/7.5345</f>
        <v>328705.95261795737</v>
      </c>
      <c r="N1217" s="346">
        <v>622963</v>
      </c>
      <c r="O1217" s="346">
        <f>N1217/7.5345</f>
        <v>82681.398898400686</v>
      </c>
      <c r="P1217" s="301">
        <v>0</v>
      </c>
      <c r="Q1217" s="301">
        <v>23360</v>
      </c>
      <c r="R1217" s="458">
        <v>25870</v>
      </c>
      <c r="S1217" s="301"/>
      <c r="T1217" s="301"/>
      <c r="U1217" s="301"/>
      <c r="V1217" s="480">
        <v>30000</v>
      </c>
      <c r="W1217" s="480">
        <v>0</v>
      </c>
      <c r="X1217" s="548">
        <v>50000</v>
      </c>
      <c r="Y1217" s="548"/>
      <c r="Z1217" s="567" t="b">
        <f t="shared" si="826"/>
        <v>0</v>
      </c>
      <c r="AA1217" s="533"/>
      <c r="AB1217" s="528">
        <v>0</v>
      </c>
      <c r="AC1217" s="528">
        <v>0</v>
      </c>
      <c r="AD1217" s="524">
        <f>O1217/M1217*100</f>
        <v>25.153605597918144</v>
      </c>
      <c r="AE1217" s="524">
        <f>P1217/O1217*100</f>
        <v>0</v>
      </c>
      <c r="AF1217" s="524"/>
      <c r="AG1217" s="524"/>
      <c r="AH1217" s="533"/>
      <c r="AI1217" s="548">
        <v>50000</v>
      </c>
      <c r="AJ1217" s="516">
        <f>W1217/R1217*100</f>
        <v>0</v>
      </c>
      <c r="AK1217" s="516"/>
      <c r="AL1217" s="516">
        <f t="shared" si="864"/>
        <v>200</v>
      </c>
      <c r="AM1217" s="301"/>
      <c r="AO1217" t="b">
        <f t="shared" si="827"/>
        <v>0</v>
      </c>
      <c r="AQ1217" s="458"/>
      <c r="AS1217" s="458"/>
      <c r="AT1217" s="618">
        <v>25000</v>
      </c>
      <c r="AU1217" s="480">
        <v>25000</v>
      </c>
      <c r="AV1217" s="641">
        <v>50000</v>
      </c>
      <c r="AW1217" s="641">
        <v>50000</v>
      </c>
      <c r="AX1217" s="655">
        <f t="shared" si="837"/>
        <v>96.637031310398143</v>
      </c>
      <c r="AY1217" s="655" t="str">
        <f t="shared" si="849"/>
        <v/>
      </c>
      <c r="AZ1217" s="655">
        <f t="shared" si="838"/>
        <v>100</v>
      </c>
      <c r="BA1217" s="655" t="str">
        <f t="shared" si="850"/>
        <v/>
      </c>
      <c r="BB1217" s="655">
        <f t="shared" si="834"/>
        <v>200</v>
      </c>
      <c r="BC1217" s="655">
        <f t="shared" si="834"/>
        <v>100</v>
      </c>
    </row>
    <row r="1218" spans="1:55" ht="12" customHeight="1">
      <c r="A1218" s="5"/>
      <c r="B1218" s="5"/>
      <c r="C1218" s="5"/>
      <c r="D1218" s="5"/>
      <c r="E1218" s="5"/>
      <c r="F1218" s="5"/>
      <c r="G1218" s="5"/>
      <c r="H1218" s="197"/>
      <c r="I1218" s="132">
        <v>820</v>
      </c>
      <c r="J1218" s="71">
        <v>4511</v>
      </c>
      <c r="K1218" s="71" t="s">
        <v>851</v>
      </c>
      <c r="L1218" s="269"/>
      <c r="M1218" s="269"/>
      <c r="N1218" s="269"/>
      <c r="O1218" s="269"/>
      <c r="P1218" s="269"/>
      <c r="Q1218" s="269"/>
      <c r="R1218" s="443"/>
      <c r="S1218" s="269"/>
      <c r="T1218" s="269"/>
      <c r="U1218" s="269"/>
      <c r="V1218" s="471"/>
      <c r="W1218" s="471">
        <v>0</v>
      </c>
      <c r="X1218" s="527">
        <v>200000</v>
      </c>
      <c r="Y1218" s="527"/>
      <c r="Z1218" s="527"/>
      <c r="AA1218" s="527"/>
      <c r="AB1218" s="538"/>
      <c r="AC1218" s="538"/>
      <c r="AD1218" s="572"/>
      <c r="AE1218" s="572"/>
      <c r="AF1218" s="572"/>
      <c r="AG1218" s="572"/>
      <c r="AH1218" s="537"/>
      <c r="AI1218" s="527">
        <v>200000</v>
      </c>
      <c r="AJ1218" s="516"/>
      <c r="AK1218" s="516"/>
      <c r="AL1218" s="516">
        <f t="shared" si="864"/>
        <v>200</v>
      </c>
      <c r="AM1218" s="205"/>
      <c r="AO1218" t="b">
        <f t="shared" si="827"/>
        <v>0</v>
      </c>
      <c r="AQ1218" s="443"/>
      <c r="AS1218" s="443"/>
      <c r="AT1218" s="613">
        <v>100000</v>
      </c>
      <c r="AU1218" s="471">
        <v>100000</v>
      </c>
      <c r="AV1218" s="638">
        <v>200000</v>
      </c>
      <c r="AW1218" s="638">
        <v>200000</v>
      </c>
      <c r="AX1218" s="655" t="str">
        <f t="shared" si="837"/>
        <v/>
      </c>
      <c r="AY1218" s="654" t="str">
        <f>IF(ISNUMBER(AT1218) * ISNUMBER(AQ1218) * (AQ1218&lt;&gt;0), AT1218/AQ1218, "")</f>
        <v/>
      </c>
      <c r="AZ1218" s="655">
        <f t="shared" si="838"/>
        <v>100</v>
      </c>
      <c r="BA1218" s="655" t="str">
        <f t="shared" si="850"/>
        <v/>
      </c>
      <c r="BB1218" s="655">
        <f t="shared" si="834"/>
        <v>200</v>
      </c>
      <c r="BC1218" s="655">
        <f t="shared" si="834"/>
        <v>100</v>
      </c>
    </row>
    <row r="1219" spans="1:55" ht="12" customHeight="1">
      <c r="A1219" s="331"/>
      <c r="B1219" s="82"/>
      <c r="C1219" s="5"/>
      <c r="D1219" s="5"/>
      <c r="E1219" s="5"/>
      <c r="F1219" s="5"/>
      <c r="G1219" s="5"/>
      <c r="H1219" s="407"/>
      <c r="I1219" s="132">
        <v>820</v>
      </c>
      <c r="J1219" s="71">
        <v>4511</v>
      </c>
      <c r="K1219" s="71" t="s">
        <v>852</v>
      </c>
      <c r="L1219" s="269"/>
      <c r="M1219" s="269"/>
      <c r="N1219" s="269"/>
      <c r="O1219" s="269"/>
      <c r="P1219" s="269"/>
      <c r="Q1219" s="269"/>
      <c r="R1219" s="443"/>
      <c r="S1219" s="269"/>
      <c r="T1219" s="269"/>
      <c r="U1219" s="269"/>
      <c r="V1219" s="471"/>
      <c r="W1219" s="471">
        <v>0</v>
      </c>
      <c r="X1219" s="527">
        <v>50000</v>
      </c>
      <c r="Y1219" s="527"/>
      <c r="Z1219" s="527"/>
      <c r="AA1219" s="527"/>
      <c r="AB1219" s="573" t="s">
        <v>742</v>
      </c>
      <c r="AC1219" s="573"/>
      <c r="AD1219" s="538"/>
      <c r="AE1219" s="538"/>
      <c r="AF1219" s="538"/>
      <c r="AG1219" s="538"/>
      <c r="AH1219" s="537"/>
      <c r="AI1219" s="527">
        <v>50000</v>
      </c>
      <c r="AJ1219" s="516"/>
      <c r="AK1219" s="516"/>
      <c r="AL1219" s="516">
        <f t="shared" si="864"/>
        <v>200</v>
      </c>
      <c r="AM1219" s="205"/>
      <c r="AO1219" t="b">
        <f t="shared" si="827"/>
        <v>0</v>
      </c>
      <c r="AQ1219" s="443"/>
      <c r="AS1219" s="443"/>
      <c r="AT1219" s="613">
        <v>25000</v>
      </c>
      <c r="AU1219" s="471">
        <v>25000</v>
      </c>
      <c r="AV1219" s="638">
        <v>50000</v>
      </c>
      <c r="AW1219" s="638">
        <v>50000</v>
      </c>
      <c r="AX1219" s="655" t="str">
        <f t="shared" si="837"/>
        <v/>
      </c>
      <c r="AY1219" s="654" t="str">
        <f>IF(ISNUMBER(AT1219) * ISNUMBER(AQ1219) * (AQ1219&lt;&gt;0), AT1219/AQ1219, "")</f>
        <v/>
      </c>
      <c r="AZ1219" s="655">
        <f t="shared" si="838"/>
        <v>100</v>
      </c>
      <c r="BA1219" s="655" t="str">
        <f t="shared" si="850"/>
        <v/>
      </c>
      <c r="BB1219" s="655">
        <f t="shared" si="834"/>
        <v>200</v>
      </c>
      <c r="BC1219" s="655">
        <f t="shared" si="834"/>
        <v>100</v>
      </c>
    </row>
    <row r="1220" spans="1:55" ht="12" customHeight="1">
      <c r="A1220" s="331"/>
      <c r="B1220" s="82"/>
      <c r="C1220" s="5"/>
      <c r="D1220" s="5"/>
      <c r="E1220" s="5"/>
      <c r="F1220" s="5"/>
      <c r="G1220" s="5"/>
      <c r="H1220" s="580"/>
      <c r="I1220" s="581"/>
      <c r="J1220" s="81"/>
      <c r="K1220" s="81"/>
      <c r="L1220" s="82"/>
      <c r="M1220" s="82"/>
      <c r="N1220" s="82"/>
      <c r="O1220" s="82"/>
      <c r="P1220" s="82"/>
      <c r="Q1220" s="82"/>
      <c r="R1220" s="82"/>
      <c r="S1220" s="82"/>
      <c r="T1220" s="82"/>
      <c r="U1220" s="82"/>
      <c r="V1220" s="82"/>
      <c r="W1220" s="82"/>
      <c r="X1220" s="82"/>
      <c r="Y1220" s="82"/>
      <c r="Z1220" s="82"/>
      <c r="AA1220" s="82"/>
      <c r="AB1220" s="82"/>
      <c r="AC1220" s="82"/>
      <c r="AD1220" s="82"/>
      <c r="AE1220" s="82"/>
      <c r="AF1220" s="82"/>
      <c r="AG1220" s="82"/>
      <c r="AH1220" s="82"/>
      <c r="AI1220" s="82"/>
      <c r="AJ1220" s="82"/>
      <c r="AK1220" s="82"/>
      <c r="AL1220" s="82"/>
      <c r="AM1220" s="82"/>
      <c r="AN1220" s="82"/>
      <c r="AO1220" s="82"/>
      <c r="AP1220" s="82"/>
      <c r="AQ1220" s="82"/>
      <c r="AR1220" s="82"/>
      <c r="AS1220" s="82"/>
      <c r="AT1220" s="82"/>
      <c r="AU1220" s="82"/>
      <c r="AV1220" s="82"/>
      <c r="AW1220" s="82"/>
      <c r="AX1220" s="82"/>
      <c r="AY1220" s="82"/>
      <c r="AZ1220" s="82"/>
      <c r="BA1220" s="82"/>
      <c r="BB1220" s="82"/>
      <c r="BC1220" s="82"/>
    </row>
    <row r="1221" spans="1:55" ht="12" customHeight="1">
      <c r="A1221" s="331"/>
      <c r="B1221" s="82"/>
      <c r="C1221" s="5"/>
      <c r="D1221" s="5"/>
      <c r="E1221" s="5"/>
      <c r="F1221" s="5"/>
      <c r="G1221" s="5"/>
      <c r="H1221" s="580"/>
      <c r="I1221" s="581"/>
      <c r="J1221" s="81"/>
      <c r="K1221" s="81"/>
      <c r="L1221" s="82"/>
      <c r="M1221" s="82"/>
      <c r="N1221" s="82"/>
      <c r="O1221" s="82"/>
      <c r="P1221" s="82"/>
      <c r="Q1221" s="82"/>
      <c r="R1221" s="82"/>
      <c r="S1221" s="82"/>
      <c r="T1221" s="82"/>
      <c r="U1221" s="82"/>
      <c r="V1221" s="82"/>
      <c r="W1221" s="82"/>
      <c r="X1221" s="82"/>
      <c r="Y1221" s="82"/>
      <c r="Z1221" s="82"/>
      <c r="AA1221" s="82"/>
      <c r="AB1221" s="82"/>
      <c r="AC1221" s="82"/>
      <c r="AD1221" s="82"/>
      <c r="AE1221" s="82"/>
      <c r="AF1221" s="82"/>
      <c r="AG1221" s="82"/>
      <c r="AH1221" s="82"/>
      <c r="AI1221" s="82"/>
      <c r="AJ1221" s="82"/>
      <c r="AK1221" s="82"/>
      <c r="AL1221" s="82"/>
      <c r="AM1221" s="82"/>
      <c r="AN1221" s="82"/>
      <c r="AO1221" s="82"/>
      <c r="AP1221" s="82"/>
      <c r="AQ1221" s="82"/>
      <c r="AR1221" s="82"/>
      <c r="AS1221" s="82"/>
      <c r="AT1221" s="82"/>
      <c r="AU1221" s="82"/>
      <c r="AV1221" s="82"/>
      <c r="AW1221" s="82"/>
      <c r="AX1221" s="82"/>
      <c r="AY1221" s="82"/>
      <c r="AZ1221" s="82"/>
      <c r="BA1221" s="82"/>
      <c r="BB1221" s="82"/>
      <c r="BC1221" s="82"/>
    </row>
    <row r="1222" spans="1:55" ht="12" customHeight="1">
      <c r="A1222" s="331"/>
      <c r="B1222" s="82"/>
      <c r="C1222" s="5"/>
      <c r="D1222" s="5"/>
      <c r="E1222" s="5"/>
      <c r="F1222" s="5"/>
      <c r="G1222" s="538"/>
      <c r="H1222" s="538"/>
      <c r="I1222" s="538"/>
      <c r="J1222" s="538"/>
      <c r="K1222" s="81"/>
      <c r="L1222" s="82"/>
      <c r="M1222" s="82"/>
      <c r="N1222" s="82"/>
      <c r="O1222" s="82"/>
      <c r="P1222" s="82"/>
      <c r="Q1222" s="82"/>
      <c r="R1222" s="82"/>
      <c r="S1222" s="82"/>
      <c r="T1222" s="82"/>
      <c r="U1222" s="82"/>
      <c r="V1222" s="82"/>
      <c r="W1222" s="82"/>
      <c r="X1222" s="82"/>
      <c r="Y1222" s="82"/>
      <c r="Z1222" s="82"/>
      <c r="AA1222" s="82"/>
      <c r="AB1222" s="82"/>
      <c r="AC1222" s="82"/>
      <c r="AD1222" s="82"/>
      <c r="AE1222" s="82"/>
      <c r="AF1222" s="82"/>
      <c r="AG1222" s="82"/>
      <c r="AH1222" s="82"/>
      <c r="AI1222" s="82"/>
      <c r="AJ1222" s="82"/>
      <c r="AK1222" s="82"/>
      <c r="AL1222" s="82"/>
      <c r="AM1222" s="82"/>
      <c r="AN1222" s="82"/>
      <c r="AO1222" s="82"/>
      <c r="AP1222" s="82"/>
      <c r="AQ1222" s="82"/>
      <c r="AR1222" s="82"/>
      <c r="AS1222" s="82"/>
      <c r="AT1222" s="82"/>
      <c r="AU1222" s="82"/>
      <c r="AV1222" s="82"/>
      <c r="AW1222" s="82"/>
      <c r="AX1222" s="82"/>
      <c r="AY1222" s="82"/>
      <c r="AZ1222" s="82"/>
      <c r="BA1222" s="82"/>
      <c r="BB1222" s="82"/>
      <c r="BC1222" s="82"/>
    </row>
    <row r="1223" spans="1:55" ht="12" customHeight="1">
      <c r="A1223" s="331"/>
      <c r="B1223" s="82"/>
      <c r="C1223" s="5"/>
      <c r="D1223" s="5"/>
      <c r="E1223" s="5"/>
      <c r="F1223" s="5"/>
      <c r="G1223" s="5"/>
      <c r="H1223" s="580"/>
      <c r="I1223" s="581"/>
      <c r="J1223" s="81"/>
      <c r="K1223" s="82"/>
      <c r="L1223" s="82"/>
      <c r="M1223" s="82"/>
      <c r="N1223" s="82"/>
      <c r="O1223" s="82"/>
      <c r="P1223" s="82"/>
      <c r="Q1223" s="82" t="s">
        <v>742</v>
      </c>
      <c r="R1223" s="82"/>
      <c r="S1223" s="82"/>
      <c r="T1223" s="82"/>
      <c r="U1223" s="82"/>
      <c r="V1223" s="82"/>
      <c r="W1223" s="82"/>
      <c r="X1223" s="82"/>
      <c r="Y1223" s="82"/>
      <c r="Z1223" s="82"/>
      <c r="AA1223" s="82"/>
      <c r="AB1223" s="82"/>
      <c r="AC1223" s="82"/>
      <c r="AD1223" s="82"/>
      <c r="AE1223" s="82"/>
      <c r="AF1223" s="82"/>
      <c r="AG1223" s="82"/>
      <c r="AH1223" s="82"/>
      <c r="AI1223" s="82"/>
      <c r="AJ1223" s="82"/>
      <c r="AK1223" s="82"/>
      <c r="AL1223" s="82"/>
      <c r="AM1223" s="82"/>
      <c r="AN1223" s="82"/>
      <c r="AO1223" s="82"/>
      <c r="AP1223" s="82"/>
      <c r="AQ1223" s="82"/>
      <c r="AR1223" s="82"/>
      <c r="AS1223" s="82"/>
      <c r="AT1223" s="82"/>
      <c r="AU1223" s="82"/>
      <c r="AV1223" s="82"/>
      <c r="AW1223" s="82"/>
      <c r="AX1223" s="82"/>
      <c r="AY1223" s="82"/>
      <c r="AZ1223" s="82"/>
      <c r="BA1223" s="82"/>
      <c r="BB1223" s="82"/>
      <c r="BC1223" s="82"/>
    </row>
    <row r="1224" spans="1:55" ht="12" customHeight="1">
      <c r="A1224" s="538"/>
      <c r="B1224" s="538"/>
      <c r="C1224" s="538"/>
      <c r="D1224" s="538"/>
      <c r="E1224" s="538"/>
      <c r="F1224" s="538"/>
      <c r="G1224" s="5"/>
      <c r="H1224" s="580"/>
      <c r="I1224" s="581"/>
      <c r="J1224" s="81"/>
      <c r="K1224" s="82"/>
      <c r="L1224" s="82"/>
      <c r="M1224" s="82"/>
      <c r="N1224" s="82"/>
      <c r="O1224" s="82"/>
      <c r="P1224" s="82"/>
      <c r="Q1224" s="82" t="s">
        <v>743</v>
      </c>
      <c r="R1224" s="82"/>
      <c r="S1224" s="82"/>
      <c r="T1224" s="82"/>
      <c r="U1224" s="82"/>
      <c r="V1224" s="82" t="s">
        <v>742</v>
      </c>
      <c r="W1224" s="82"/>
      <c r="X1224" s="82"/>
      <c r="Y1224" s="82"/>
      <c r="Z1224" s="82"/>
      <c r="AA1224" s="82"/>
      <c r="AB1224" s="82"/>
      <c r="AC1224" s="82"/>
      <c r="AD1224" s="82"/>
      <c r="AE1224" s="82"/>
      <c r="AF1224" s="82"/>
      <c r="AG1224" s="82"/>
      <c r="AH1224" s="82"/>
      <c r="AI1224" s="82"/>
      <c r="AJ1224" s="82"/>
      <c r="AK1224" s="82"/>
      <c r="AL1224" s="82"/>
      <c r="AM1224" s="82"/>
      <c r="AN1224" s="82"/>
      <c r="AO1224" s="82"/>
      <c r="AP1224" s="82"/>
      <c r="AQ1224" s="82"/>
      <c r="AR1224" s="82"/>
      <c r="AS1224" s="82"/>
      <c r="AT1224" s="82"/>
      <c r="AU1224" s="82"/>
      <c r="AV1224" s="82"/>
      <c r="AW1224" s="82"/>
      <c r="AX1224" s="82"/>
      <c r="AY1224" s="82"/>
      <c r="AZ1224" s="82"/>
      <c r="BA1224" s="82"/>
      <c r="BB1224" s="82"/>
      <c r="BC1224" s="82"/>
    </row>
    <row r="1225" spans="1:55" ht="12" customHeight="1">
      <c r="A1225" s="331"/>
      <c r="B1225" s="82"/>
      <c r="C1225" s="5"/>
      <c r="D1225" s="5"/>
      <c r="E1225" s="5"/>
      <c r="F1225" s="5"/>
      <c r="G1225" s="5"/>
      <c r="H1225" s="580"/>
      <c r="I1225" s="581"/>
      <c r="J1225" s="81"/>
      <c r="K1225" s="82"/>
      <c r="L1225" s="205"/>
      <c r="M1225" s="205"/>
      <c r="N1225" s="205"/>
      <c r="O1225" s="205"/>
      <c r="P1225" s="205"/>
      <c r="Q1225" s="584" t="s">
        <v>744</v>
      </c>
      <c r="R1225" s="584"/>
      <c r="S1225" s="579"/>
      <c r="T1225" s="579"/>
      <c r="U1225" s="579"/>
      <c r="V1225" s="584" t="s">
        <v>743</v>
      </c>
      <c r="W1225" s="584"/>
      <c r="X1225" s="579"/>
      <c r="Y1225" s="538"/>
      <c r="Z1225" s="538"/>
      <c r="AA1225" s="538"/>
      <c r="AB1225" s="538"/>
      <c r="AC1225" s="538"/>
      <c r="AD1225" s="538"/>
      <c r="AE1225" s="538"/>
      <c r="AF1225" s="538"/>
      <c r="AG1225" s="538"/>
      <c r="AH1225" s="538"/>
      <c r="AI1225" s="538"/>
      <c r="AJ1225" s="538"/>
      <c r="AK1225" s="538"/>
      <c r="AL1225" s="538"/>
      <c r="AM1225" s="4"/>
      <c r="AQ1225" s="584"/>
      <c r="AS1225" s="584"/>
      <c r="AT1225" s="622"/>
      <c r="AU1225" s="584"/>
      <c r="AV1225" s="652"/>
      <c r="AW1225" s="652"/>
      <c r="AX1225" s="82"/>
      <c r="AY1225" s="82"/>
      <c r="AZ1225" s="82"/>
      <c r="BA1225" s="82"/>
      <c r="BB1225" s="82"/>
      <c r="BC1225" s="82"/>
    </row>
    <row r="1226" spans="1:55" ht="12" customHeight="1">
      <c r="A1226" s="582"/>
      <c r="B1226" s="82"/>
      <c r="C1226" s="5"/>
      <c r="D1226" s="5"/>
      <c r="E1226" s="5"/>
      <c r="F1226" s="5"/>
      <c r="G1226" s="5"/>
      <c r="H1226" s="580"/>
      <c r="I1226" s="581"/>
      <c r="J1226" s="81"/>
      <c r="K1226" s="82"/>
      <c r="L1226" s="4"/>
      <c r="M1226" s="4"/>
      <c r="N1226" s="4"/>
      <c r="O1226" s="4"/>
      <c r="P1226" s="4"/>
      <c r="Q1226" s="8" t="s">
        <v>745</v>
      </c>
      <c r="S1226" s="579"/>
      <c r="T1226" s="579"/>
      <c r="U1226" s="579"/>
      <c r="V1226" s="584" t="s">
        <v>744</v>
      </c>
      <c r="W1226" s="584"/>
      <c r="X1226" s="579"/>
      <c r="Y1226" s="538"/>
      <c r="Z1226" s="538"/>
      <c r="AA1226" s="538"/>
      <c r="AB1226" s="538"/>
      <c r="AC1226" s="538"/>
      <c r="AD1226" s="538"/>
      <c r="AE1226" s="538"/>
      <c r="AF1226" s="538"/>
      <c r="AG1226" s="538"/>
      <c r="AH1226" s="538"/>
      <c r="AI1226" s="538"/>
      <c r="AJ1226" s="538"/>
      <c r="AK1226" s="538"/>
      <c r="AL1226" s="538"/>
      <c r="AM1226" s="4"/>
      <c r="AT1226" s="622"/>
      <c r="AU1226" s="584"/>
      <c r="AV1226" s="652"/>
      <c r="AW1226" s="652"/>
      <c r="AX1226" s="82"/>
      <c r="AY1226" s="82"/>
      <c r="AZ1226" s="82"/>
      <c r="BA1226" s="82"/>
      <c r="BB1226" s="82"/>
      <c r="BC1226" s="82"/>
    </row>
    <row r="1227" spans="1:55" ht="12" customHeight="1">
      <c r="A1227" s="582"/>
      <c r="B1227" s="82"/>
      <c r="C1227" s="5"/>
      <c r="D1227" s="5"/>
      <c r="E1227" s="5"/>
      <c r="F1227" s="5"/>
      <c r="G1227" s="5"/>
      <c r="H1227" s="580"/>
      <c r="I1227" s="581"/>
      <c r="J1227" s="81"/>
      <c r="K1227" s="82"/>
      <c r="L1227" s="4"/>
      <c r="M1227" s="4"/>
      <c r="N1227" s="4"/>
      <c r="O1227" s="4"/>
      <c r="P1227" s="4"/>
      <c r="Q1227" s="8" t="s">
        <v>746</v>
      </c>
      <c r="S1227" s="579"/>
      <c r="T1227" s="579"/>
      <c r="U1227" s="579"/>
      <c r="V1227" s="8" t="s">
        <v>745</v>
      </c>
      <c r="X1227" s="579"/>
      <c r="Y1227" s="538"/>
      <c r="Z1227" s="538"/>
      <c r="AA1227" s="538"/>
      <c r="AB1227" s="538"/>
      <c r="AC1227" s="538"/>
      <c r="AD1227" s="538"/>
      <c r="AE1227" s="538"/>
      <c r="AF1227" s="538"/>
      <c r="AG1227" s="538"/>
      <c r="AH1227" s="538"/>
      <c r="AI1227" s="538"/>
      <c r="AJ1227" s="538"/>
      <c r="AK1227" s="538"/>
      <c r="AL1227" s="538"/>
      <c r="AM1227" s="4"/>
      <c r="AT1227" s="622"/>
      <c r="AU1227" s="8"/>
      <c r="AV1227" s="652"/>
      <c r="AW1227" s="652"/>
      <c r="AX1227" s="82"/>
      <c r="AY1227" s="82"/>
      <c r="AZ1227" s="82"/>
      <c r="BA1227" s="82"/>
      <c r="BB1227" s="82"/>
      <c r="BC1227" s="82"/>
    </row>
    <row r="1228" spans="1:55" ht="12" customHeight="1">
      <c r="A1228" s="582"/>
      <c r="B1228" s="82"/>
      <c r="C1228" s="5"/>
      <c r="D1228" s="5"/>
      <c r="E1228" s="5"/>
      <c r="F1228" s="5"/>
      <c r="G1228" s="5"/>
      <c r="H1228" s="580"/>
      <c r="I1228" s="581"/>
      <c r="J1228" s="81"/>
      <c r="K1228" s="6"/>
      <c r="L1228" s="586"/>
      <c r="M1228" s="4"/>
      <c r="N1228" s="4"/>
      <c r="O1228" s="4"/>
      <c r="P1228" s="4"/>
      <c r="Q1228" s="8" t="s">
        <v>747</v>
      </c>
      <c r="S1228" s="579"/>
      <c r="T1228" s="579"/>
      <c r="U1228" s="579"/>
      <c r="V1228" s="8" t="s">
        <v>746</v>
      </c>
      <c r="X1228" s="579"/>
      <c r="Y1228" s="538"/>
      <c r="Z1228" s="538"/>
      <c r="AA1228" s="538"/>
      <c r="AB1228" s="538"/>
      <c r="AC1228" s="538"/>
      <c r="AD1228" s="538"/>
      <c r="AE1228" s="538"/>
      <c r="AF1228" s="538"/>
      <c r="AG1228" s="538"/>
      <c r="AH1228" s="538"/>
      <c r="AI1228" s="538"/>
      <c r="AJ1228" s="538"/>
      <c r="AK1228" s="538"/>
      <c r="AL1228" s="538"/>
      <c r="AM1228" s="4"/>
      <c r="AT1228" s="622"/>
      <c r="AU1228" s="8"/>
      <c r="AV1228" s="652"/>
      <c r="AW1228" s="652"/>
      <c r="AX1228" s="82"/>
      <c r="AY1228" s="82"/>
      <c r="AZ1228" s="82"/>
      <c r="BA1228" s="82"/>
      <c r="BB1228" s="82"/>
      <c r="BC1228" s="82"/>
    </row>
    <row r="1229" spans="1:55" ht="12" customHeight="1">
      <c r="A1229" s="582"/>
      <c r="B1229" s="82"/>
      <c r="C1229" s="5"/>
      <c r="D1229" s="5"/>
      <c r="E1229" s="5"/>
      <c r="F1229" s="5"/>
      <c r="G1229" s="5"/>
      <c r="H1229" s="580"/>
      <c r="I1229" s="581"/>
      <c r="J1229" s="81"/>
      <c r="K1229" s="2"/>
      <c r="M1229" s="4"/>
      <c r="N1229" s="4"/>
      <c r="O1229" s="4"/>
      <c r="P1229" s="4"/>
      <c r="Q1229" s="8" t="s">
        <v>748</v>
      </c>
      <c r="S1229" s="3"/>
      <c r="T1229" s="3"/>
      <c r="U1229" s="3"/>
      <c r="V1229" s="8" t="s">
        <v>747</v>
      </c>
      <c r="X1229" s="579"/>
      <c r="Y1229" s="538"/>
      <c r="Z1229" s="538"/>
      <c r="AA1229" s="538"/>
      <c r="AB1229" s="538"/>
      <c r="AC1229" s="538"/>
      <c r="AD1229" s="538"/>
      <c r="AE1229" s="538"/>
      <c r="AF1229" s="538"/>
      <c r="AG1229" s="538"/>
      <c r="AH1229" s="538"/>
      <c r="AI1229" s="538"/>
      <c r="AJ1229" s="538"/>
      <c r="AK1229" s="538"/>
      <c r="AL1229" s="538"/>
      <c r="AM1229" s="4"/>
      <c r="AT1229" s="622"/>
      <c r="AU1229" s="8"/>
      <c r="AV1229" s="652"/>
      <c r="AW1229" s="652"/>
      <c r="AX1229" s="82"/>
      <c r="AY1229" s="82"/>
      <c r="AZ1229" s="82"/>
      <c r="BA1229" s="82"/>
      <c r="BB1229" s="82"/>
      <c r="BC1229" s="82"/>
    </row>
    <row r="1230" spans="1:55" ht="12" customHeight="1">
      <c r="A1230" s="582"/>
      <c r="B1230" s="82"/>
      <c r="C1230" s="5"/>
      <c r="D1230" s="5"/>
      <c r="E1230" s="5"/>
      <c r="F1230" s="5"/>
      <c r="G1230" s="1"/>
      <c r="H1230" s="2"/>
      <c r="I1230" s="3"/>
      <c r="J1230" s="2"/>
      <c r="K1230" s="2"/>
      <c r="L1230" s="587" t="s">
        <v>771</v>
      </c>
      <c r="M1230" s="4"/>
      <c r="N1230" s="4"/>
      <c r="O1230" s="4"/>
      <c r="P1230" s="4"/>
      <c r="Q1230" s="8" t="s">
        <v>749</v>
      </c>
      <c r="S1230" s="206"/>
      <c r="T1230" s="206"/>
      <c r="U1230" s="206"/>
      <c r="V1230" s="8" t="s">
        <v>748</v>
      </c>
      <c r="X1230" s="3"/>
      <c r="Y1230" s="538"/>
      <c r="Z1230" s="538"/>
      <c r="AA1230" s="538"/>
      <c r="AB1230" s="538"/>
      <c r="AC1230" s="538"/>
      <c r="AD1230" s="538"/>
      <c r="AE1230" s="538"/>
      <c r="AF1230" s="538"/>
      <c r="AG1230" s="538"/>
      <c r="AH1230" s="538"/>
      <c r="AI1230" s="538"/>
      <c r="AJ1230" s="538"/>
      <c r="AK1230" s="538"/>
      <c r="AL1230" s="538"/>
      <c r="AM1230" s="4"/>
      <c r="AT1230" s="623"/>
      <c r="AU1230" s="8"/>
      <c r="AV1230" s="627"/>
      <c r="AW1230" s="627"/>
      <c r="AX1230" s="82"/>
      <c r="AY1230" s="82"/>
      <c r="AZ1230" s="82"/>
      <c r="BA1230" s="82"/>
      <c r="BB1230" s="82"/>
      <c r="BC1230" s="82"/>
    </row>
    <row r="1231" spans="1:55" ht="12" customHeight="1">
      <c r="A1231" s="582"/>
      <c r="B1231" s="82"/>
      <c r="C1231" s="5"/>
      <c r="D1231" s="5"/>
      <c r="E1231" s="5"/>
      <c r="F1231" s="5"/>
      <c r="G1231" s="1"/>
      <c r="H1231" s="2"/>
      <c r="I1231" s="3"/>
      <c r="J1231" s="2"/>
      <c r="K1231" s="2"/>
      <c r="L1231" s="587" t="s">
        <v>772</v>
      </c>
      <c r="M1231" s="4"/>
      <c r="N1231" s="4"/>
      <c r="O1231" s="4"/>
      <c r="P1231" s="4"/>
      <c r="Q1231" s="8" t="s">
        <v>750</v>
      </c>
      <c r="S1231" s="206"/>
      <c r="T1231" s="206"/>
      <c r="U1231" s="206"/>
      <c r="V1231" s="8" t="s">
        <v>749</v>
      </c>
      <c r="X1231" s="206"/>
      <c r="Y1231" s="538"/>
      <c r="Z1231" s="538"/>
      <c r="AA1231" s="538"/>
      <c r="AB1231" s="538"/>
      <c r="AC1231" s="538"/>
      <c r="AD1231" s="538"/>
      <c r="AE1231" s="538"/>
      <c r="AF1231" s="538"/>
      <c r="AG1231" s="538"/>
      <c r="AH1231" s="538"/>
      <c r="AI1231" s="538"/>
      <c r="AJ1231" s="538"/>
      <c r="AK1231" s="538"/>
      <c r="AL1231" s="538"/>
      <c r="AM1231" s="4"/>
      <c r="AT1231" s="624"/>
      <c r="AU1231" s="8"/>
      <c r="AV1231" s="628"/>
      <c r="AW1231" s="628"/>
      <c r="AX1231" s="82"/>
      <c r="AY1231" s="82"/>
      <c r="AZ1231" s="82"/>
      <c r="BA1231" s="82"/>
      <c r="BB1231" s="82"/>
      <c r="BC1231" s="82"/>
    </row>
    <row r="1232" spans="1:55" ht="12" customHeight="1">
      <c r="A1232" s="582"/>
      <c r="B1232" s="82"/>
      <c r="C1232" s="1"/>
      <c r="D1232" s="1"/>
      <c r="E1232" s="1"/>
      <c r="F1232" s="1"/>
      <c r="G1232" s="1"/>
      <c r="H1232" s="2"/>
      <c r="I1232" s="3"/>
      <c r="J1232" s="2"/>
      <c r="K1232" s="2"/>
      <c r="L1232" s="4"/>
      <c r="M1232" s="4"/>
      <c r="N1232" s="4"/>
      <c r="O1232" s="4"/>
      <c r="P1232" s="4"/>
      <c r="Q1232" s="8" t="s">
        <v>751</v>
      </c>
      <c r="S1232" s="206"/>
      <c r="T1232" s="206"/>
      <c r="U1232" s="206"/>
      <c r="V1232" s="8" t="s">
        <v>750</v>
      </c>
      <c r="X1232" s="206"/>
      <c r="Y1232" s="538"/>
      <c r="Z1232" s="538"/>
      <c r="AA1232" s="538"/>
      <c r="AB1232" s="538"/>
      <c r="AC1232" s="538"/>
      <c r="AD1232" s="538"/>
      <c r="AE1232" s="538"/>
      <c r="AF1232" s="538"/>
      <c r="AG1232" s="538"/>
      <c r="AH1232" s="538"/>
      <c r="AI1232" s="538"/>
      <c r="AJ1232" s="538"/>
      <c r="AK1232" s="538"/>
      <c r="AL1232" s="538"/>
      <c r="AM1232" s="4"/>
      <c r="AT1232" s="624"/>
      <c r="AU1232" s="8"/>
      <c r="AV1232" s="628"/>
      <c r="AW1232" s="628"/>
      <c r="AX1232" s="82"/>
      <c r="AY1232" s="82"/>
      <c r="AZ1232" s="82"/>
      <c r="BA1232" s="82"/>
      <c r="BB1232" s="82"/>
      <c r="BC1232" s="82"/>
    </row>
    <row r="1233" spans="1:55" ht="12" customHeight="1">
      <c r="A1233" s="1"/>
      <c r="B1233" s="1"/>
      <c r="C1233" s="1"/>
      <c r="D1233" s="1"/>
      <c r="E1233" s="1"/>
      <c r="F1233" s="1"/>
      <c r="G1233" s="1"/>
      <c r="H1233" s="2"/>
      <c r="I1233" s="3"/>
      <c r="J1233" s="2"/>
      <c r="K1233" s="2"/>
      <c r="L1233" s="4"/>
      <c r="M1233" s="4"/>
      <c r="N1233" s="4"/>
      <c r="O1233" s="4"/>
      <c r="P1233" s="4"/>
      <c r="Q1233" s="8" t="s">
        <v>752</v>
      </c>
      <c r="S1233" s="206"/>
      <c r="T1233" s="206"/>
      <c r="U1233" s="206"/>
      <c r="V1233" s="8" t="s">
        <v>751</v>
      </c>
      <c r="X1233" s="206"/>
      <c r="Y1233" s="538"/>
      <c r="Z1233" s="538"/>
      <c r="AA1233" s="538"/>
      <c r="AB1233" s="538"/>
      <c r="AC1233" s="538"/>
      <c r="AD1233" s="538"/>
      <c r="AE1233" s="538"/>
      <c r="AF1233" s="538"/>
      <c r="AG1233" s="538"/>
      <c r="AH1233" s="538"/>
      <c r="AI1233" s="538"/>
      <c r="AJ1233" s="538"/>
      <c r="AK1233" s="538"/>
      <c r="AL1233" s="538"/>
      <c r="AM1233" s="4"/>
      <c r="AT1233" s="624"/>
      <c r="AU1233" s="8"/>
      <c r="AV1233" s="628"/>
      <c r="AW1233" s="628"/>
      <c r="AX1233" s="82"/>
      <c r="AY1233" s="82"/>
      <c r="AZ1233" s="82"/>
      <c r="BA1233" s="82"/>
      <c r="BB1233" s="82"/>
      <c r="BC1233" s="82"/>
    </row>
    <row r="1234" spans="1:55" ht="12" customHeight="1">
      <c r="A1234" s="1"/>
      <c r="B1234" s="1"/>
      <c r="C1234" s="585"/>
      <c r="D1234" s="1"/>
      <c r="E1234" s="1"/>
      <c r="F1234" s="1"/>
      <c r="G1234" s="1"/>
      <c r="H1234" s="2"/>
      <c r="I1234" s="3"/>
      <c r="J1234" s="2"/>
      <c r="K1234" s="587"/>
      <c r="L1234" s="4"/>
      <c r="M1234" s="4"/>
      <c r="N1234" s="4"/>
      <c r="O1234" s="4"/>
      <c r="P1234" s="4"/>
      <c r="Q1234" s="4"/>
      <c r="R1234" s="587" t="s">
        <v>771</v>
      </c>
      <c r="S1234" s="206"/>
      <c r="T1234" s="206"/>
      <c r="U1234" s="206"/>
      <c r="V1234" s="8" t="s">
        <v>752</v>
      </c>
      <c r="X1234" s="206"/>
      <c r="Y1234" s="538"/>
      <c r="Z1234" s="538"/>
      <c r="AA1234" s="538"/>
      <c r="AB1234" s="538"/>
      <c r="AC1234" s="538"/>
      <c r="AD1234" s="538"/>
      <c r="AE1234" s="538"/>
      <c r="AF1234" s="538"/>
      <c r="AG1234" s="538"/>
      <c r="AH1234" s="538"/>
      <c r="AI1234" s="538"/>
      <c r="AJ1234" s="538"/>
      <c r="AK1234" s="538"/>
      <c r="AL1234" s="538"/>
      <c r="AM1234" s="4"/>
      <c r="AQ1234" s="4"/>
      <c r="AS1234" s="4"/>
      <c r="AT1234" s="624"/>
      <c r="AU1234" s="8"/>
      <c r="AV1234" s="628"/>
      <c r="AW1234" s="628"/>
      <c r="AX1234" s="82"/>
      <c r="AY1234" s="82"/>
      <c r="AZ1234" s="82"/>
      <c r="BA1234" s="82"/>
      <c r="BB1234" s="82"/>
      <c r="BC1234" s="82"/>
    </row>
    <row r="1235" spans="1:55" ht="12" customHeight="1">
      <c r="A1235" s="1"/>
      <c r="B1235" s="1"/>
      <c r="C1235" s="585"/>
      <c r="D1235" s="1"/>
      <c r="E1235" s="1"/>
      <c r="F1235" s="1"/>
      <c r="G1235" s="1"/>
      <c r="H1235" s="2"/>
      <c r="I1235" s="3"/>
      <c r="J1235" s="2"/>
      <c r="K1235" s="587"/>
      <c r="L1235" s="588" t="s">
        <v>773</v>
      </c>
      <c r="M1235" s="4"/>
      <c r="N1235" s="4"/>
      <c r="O1235" s="4"/>
      <c r="P1235" s="4"/>
      <c r="Q1235" s="4"/>
      <c r="R1235" s="587" t="s">
        <v>772</v>
      </c>
      <c r="S1235" s="206"/>
      <c r="T1235" s="206"/>
      <c r="U1235" s="206"/>
      <c r="V1235" s="4"/>
      <c r="W1235" s="4"/>
      <c r="X1235" s="206"/>
      <c r="Y1235" s="538"/>
      <c r="Z1235" s="538"/>
      <c r="AA1235" s="538"/>
      <c r="AB1235" s="538"/>
      <c r="AC1235" s="538"/>
      <c r="AD1235" s="538"/>
      <c r="AE1235" s="538"/>
      <c r="AF1235" s="538"/>
      <c r="AG1235" s="538"/>
      <c r="AH1235" s="538"/>
      <c r="AI1235" s="538"/>
      <c r="AJ1235" s="538"/>
      <c r="AK1235" s="538"/>
      <c r="AL1235" s="538"/>
      <c r="AM1235" s="8"/>
      <c r="AQ1235" s="4"/>
      <c r="AS1235" s="4"/>
      <c r="AT1235" s="624"/>
      <c r="AU1235" s="4"/>
      <c r="AV1235" s="628"/>
      <c r="AW1235" s="628"/>
      <c r="AX1235" s="82"/>
      <c r="AY1235" s="82"/>
      <c r="AZ1235" s="82"/>
      <c r="BA1235" s="82"/>
      <c r="BB1235" s="82"/>
      <c r="BC1235" s="82"/>
    </row>
    <row r="1236" spans="1:55" ht="12" customHeight="1">
      <c r="A1236" s="1"/>
      <c r="B1236" s="1"/>
      <c r="C1236" s="585"/>
      <c r="D1236" s="1"/>
      <c r="E1236" s="1"/>
      <c r="F1236" s="1"/>
      <c r="G1236" s="1"/>
      <c r="H1236" s="2"/>
      <c r="I1236" s="3"/>
      <c r="J1236" s="2"/>
      <c r="K1236" s="2"/>
      <c r="L1236" s="588" t="s">
        <v>774</v>
      </c>
      <c r="M1236" s="4"/>
      <c r="N1236" s="4"/>
      <c r="O1236" s="4"/>
      <c r="P1236" s="4"/>
      <c r="Q1236" s="4"/>
      <c r="R1236" s="4"/>
      <c r="S1236" s="206"/>
      <c r="T1236" s="206"/>
      <c r="U1236" s="206"/>
      <c r="V1236" s="4"/>
      <c r="W1236" s="4"/>
      <c r="X1236" s="206"/>
      <c r="Y1236" s="538"/>
      <c r="Z1236" s="538"/>
      <c r="AA1236" s="538"/>
      <c r="AB1236" s="538"/>
      <c r="AC1236" s="538"/>
      <c r="AD1236" s="538"/>
      <c r="AE1236" s="538"/>
      <c r="AF1236" s="538"/>
      <c r="AG1236" s="538"/>
      <c r="AH1236" s="538"/>
      <c r="AI1236" s="538"/>
      <c r="AJ1236" s="538"/>
      <c r="AK1236" s="538"/>
      <c r="AL1236" s="538"/>
      <c r="AM1236" s="207"/>
      <c r="AQ1236" s="4"/>
      <c r="AS1236" s="4"/>
      <c r="AT1236" s="624"/>
      <c r="AU1236" s="4"/>
      <c r="AV1236" s="628"/>
      <c r="AW1236" s="628"/>
      <c r="AX1236" s="82"/>
      <c r="AY1236" s="82"/>
      <c r="AZ1236" s="82"/>
      <c r="BA1236" s="82"/>
      <c r="BB1236" s="82"/>
      <c r="BC1236" s="82"/>
    </row>
    <row r="1237" spans="1:55" ht="12" customHeight="1">
      <c r="A1237" s="1"/>
      <c r="B1237" s="1"/>
      <c r="C1237" s="1"/>
      <c r="D1237" s="1"/>
      <c r="E1237" s="1"/>
      <c r="F1237" s="1"/>
      <c r="G1237" s="1"/>
      <c r="H1237" s="2"/>
      <c r="I1237" s="3"/>
      <c r="J1237" s="2"/>
      <c r="K1237" s="2"/>
      <c r="L1237" s="587" t="s">
        <v>775</v>
      </c>
      <c r="M1237" s="4"/>
      <c r="N1237" s="4"/>
      <c r="O1237" s="4"/>
      <c r="P1237" s="4"/>
      <c r="Q1237" s="4"/>
      <c r="R1237" s="4"/>
      <c r="S1237" s="206"/>
      <c r="T1237" s="206"/>
      <c r="U1237" s="206"/>
      <c r="V1237" s="4"/>
      <c r="W1237" s="4"/>
      <c r="X1237" s="206"/>
      <c r="Y1237" s="538"/>
      <c r="Z1237" s="538"/>
      <c r="AA1237" s="538"/>
      <c r="AB1237" s="538"/>
      <c r="AC1237" s="538"/>
      <c r="AD1237" s="538"/>
      <c r="AE1237" s="538"/>
      <c r="AF1237" s="538"/>
      <c r="AG1237" s="538"/>
      <c r="AH1237" s="538"/>
      <c r="AI1237" s="538"/>
      <c r="AJ1237" s="538"/>
      <c r="AK1237" s="538"/>
      <c r="AL1237" s="538"/>
      <c r="AM1237" s="207"/>
      <c r="AQ1237" s="4"/>
      <c r="AS1237" s="4"/>
      <c r="AT1237" s="624"/>
      <c r="AU1237" s="4"/>
      <c r="AV1237" s="628"/>
      <c r="AW1237" s="628"/>
      <c r="AX1237" s="82"/>
      <c r="AY1237" s="82"/>
      <c r="AZ1237" s="82"/>
      <c r="BA1237" s="82"/>
      <c r="BB1237" s="82"/>
      <c r="BC1237" s="82"/>
    </row>
    <row r="1238" spans="1:55" ht="12" customHeight="1">
      <c r="A1238" s="1"/>
      <c r="B1238" s="1"/>
      <c r="C1238" s="1"/>
      <c r="D1238" s="1"/>
      <c r="E1238" s="1"/>
      <c r="F1238" s="1"/>
      <c r="G1238" s="1"/>
      <c r="H1238" s="2"/>
      <c r="I1238" s="3"/>
      <c r="J1238" s="2"/>
      <c r="K1238" s="2"/>
      <c r="L1238" s="589" t="s">
        <v>776</v>
      </c>
      <c r="M1238" s="8"/>
      <c r="N1238" s="8"/>
      <c r="O1238" s="8"/>
      <c r="P1238" s="8"/>
      <c r="S1238" s="206"/>
      <c r="T1238" s="206"/>
      <c r="U1238" s="206"/>
      <c r="V1238" s="4"/>
      <c r="W1238" s="4"/>
      <c r="X1238" s="206"/>
      <c r="Y1238" s="538"/>
      <c r="Z1238" s="538"/>
      <c r="AA1238" s="538"/>
      <c r="AB1238" s="538"/>
      <c r="AC1238" s="538"/>
      <c r="AD1238" s="538"/>
      <c r="AE1238" s="538"/>
      <c r="AF1238" s="538"/>
      <c r="AG1238" s="538"/>
      <c r="AH1238" s="538"/>
      <c r="AI1238" s="538"/>
      <c r="AJ1238" s="538"/>
      <c r="AK1238" s="538"/>
      <c r="AL1238" s="538"/>
      <c r="AM1238" s="207"/>
      <c r="AT1238" s="624"/>
      <c r="AU1238" s="4"/>
      <c r="AV1238" s="628"/>
      <c r="AW1238" s="628"/>
      <c r="AX1238" s="82"/>
      <c r="AY1238" s="82"/>
      <c r="AZ1238" s="82"/>
      <c r="BA1238" s="82"/>
      <c r="BB1238" s="82"/>
      <c r="BC1238" s="82"/>
    </row>
    <row r="1239" spans="1:55" ht="12" customHeight="1">
      <c r="A1239" s="1"/>
      <c r="B1239" s="1"/>
      <c r="C1239" s="1"/>
      <c r="D1239" s="1"/>
      <c r="E1239" s="1"/>
      <c r="F1239" s="1"/>
      <c r="G1239" s="1"/>
      <c r="H1239" s="2"/>
      <c r="I1239" s="583"/>
      <c r="J1239" s="2"/>
      <c r="K1239" s="2"/>
      <c r="Q1239" s="8" t="s">
        <v>618</v>
      </c>
      <c r="X1239" s="206"/>
      <c r="Y1239" s="538"/>
      <c r="Z1239" s="538"/>
      <c r="AA1239" s="538"/>
      <c r="AB1239" s="538"/>
      <c r="AC1239" s="538"/>
      <c r="AD1239" s="538"/>
      <c r="AE1239" s="538"/>
      <c r="AF1239" s="538"/>
      <c r="AG1239" s="538"/>
      <c r="AH1239" s="538"/>
      <c r="AI1239" s="538"/>
      <c r="AJ1239" s="538"/>
      <c r="AK1239" s="538"/>
      <c r="AL1239" s="538"/>
      <c r="AM1239" s="207"/>
      <c r="AT1239" s="624"/>
      <c r="AV1239" s="628"/>
      <c r="AW1239" s="628"/>
      <c r="AX1239" s="82"/>
      <c r="AY1239" s="82"/>
      <c r="AZ1239" s="82"/>
      <c r="BA1239" s="82"/>
      <c r="BB1239" s="82"/>
      <c r="BC1239" s="82"/>
    </row>
    <row r="1240" spans="1:55" ht="12" customHeight="1">
      <c r="A1240" s="1"/>
      <c r="B1240" s="1"/>
      <c r="C1240" s="1"/>
      <c r="D1240" s="1"/>
      <c r="E1240" s="1"/>
      <c r="F1240" s="1"/>
      <c r="K1240" s="2"/>
      <c r="Q1240" s="8" t="s">
        <v>609</v>
      </c>
      <c r="V1240" s="8" t="s">
        <v>618</v>
      </c>
      <c r="Y1240" s="538"/>
      <c r="Z1240" s="538"/>
      <c r="AA1240" s="538"/>
      <c r="AB1240" s="538"/>
      <c r="AC1240" s="538"/>
      <c r="AD1240" s="538"/>
      <c r="AE1240" s="538"/>
      <c r="AF1240" s="538"/>
      <c r="AG1240" s="538"/>
      <c r="AH1240" s="538"/>
      <c r="AI1240" s="538"/>
      <c r="AJ1240" s="538"/>
      <c r="AK1240" s="538"/>
      <c r="AL1240" s="538"/>
      <c r="AM1240" s="207"/>
      <c r="AT1240" s="625"/>
      <c r="AU1240" s="8"/>
      <c r="AV1240" s="626"/>
      <c r="AW1240" s="626"/>
      <c r="AX1240" s="82"/>
      <c r="AY1240" s="82"/>
      <c r="AZ1240" s="82"/>
      <c r="BA1240" s="82"/>
      <c r="BB1240" s="82"/>
      <c r="BC1240" s="82"/>
    </row>
    <row r="1241" spans="1:55" ht="12" customHeight="1">
      <c r="A1241" s="6" t="s">
        <v>911</v>
      </c>
      <c r="B1241" s="1"/>
      <c r="C1241" s="1"/>
      <c r="D1241" s="1"/>
      <c r="E1241" s="1"/>
      <c r="F1241" s="1"/>
      <c r="H1241" s="82"/>
      <c r="I1241" s="82"/>
      <c r="J1241" s="82"/>
      <c r="K1241" s="2"/>
      <c r="L1241" s="82"/>
      <c r="M1241" s="82"/>
      <c r="N1241" s="82"/>
      <c r="O1241" s="82"/>
      <c r="P1241" s="82"/>
      <c r="Q1241" s="82" t="s">
        <v>782</v>
      </c>
      <c r="R1241" s="82"/>
      <c r="S1241" s="82"/>
      <c r="T1241" s="82"/>
      <c r="U1241" s="82"/>
      <c r="V1241" s="82" t="s">
        <v>609</v>
      </c>
      <c r="W1241" s="82"/>
      <c r="X1241" s="82"/>
      <c r="Y1241" s="82"/>
      <c r="Z1241" s="82"/>
      <c r="AA1241" s="82"/>
      <c r="AB1241" s="82"/>
      <c r="AC1241" s="82"/>
      <c r="AD1241" s="82"/>
      <c r="AE1241" s="82"/>
      <c r="AF1241" s="82"/>
      <c r="AG1241" s="82"/>
      <c r="AH1241" s="82"/>
      <c r="AI1241" s="82"/>
      <c r="AJ1241" s="82"/>
      <c r="AK1241" s="82"/>
      <c r="AL1241" s="82"/>
      <c r="AM1241" s="82"/>
      <c r="AN1241" s="82"/>
      <c r="AO1241" s="82"/>
      <c r="AP1241" s="82"/>
      <c r="AQ1241" s="657"/>
      <c r="AR1241" s="657"/>
      <c r="AS1241" s="82"/>
      <c r="AT1241" s="82"/>
      <c r="AU1241" s="82"/>
      <c r="AV1241" s="82"/>
      <c r="AW1241" s="82"/>
      <c r="AX1241" s="82"/>
      <c r="AY1241" s="82"/>
      <c r="AZ1241" s="657" t="s">
        <v>913</v>
      </c>
      <c r="BA1241" s="657"/>
      <c r="BB1241" s="82"/>
      <c r="BC1241" s="82"/>
    </row>
    <row r="1242" spans="1:55" ht="18" customHeight="1">
      <c r="A1242" s="6" t="s">
        <v>912</v>
      </c>
      <c r="B1242" s="6"/>
      <c r="C1242" s="6"/>
      <c r="D1242" s="6"/>
      <c r="G1242" s="538"/>
      <c r="H1242" s="82"/>
      <c r="I1242" s="82"/>
      <c r="J1242" s="82"/>
      <c r="K1242" s="587"/>
      <c r="L1242" s="82"/>
      <c r="M1242" s="82"/>
      <c r="N1242" s="82"/>
      <c r="O1242" s="82"/>
      <c r="P1242" s="82"/>
      <c r="Q1242" s="82"/>
      <c r="R1242" s="587" t="s">
        <v>775</v>
      </c>
      <c r="S1242" s="82"/>
      <c r="T1242" s="82"/>
      <c r="U1242" s="82"/>
      <c r="V1242" s="82" t="s">
        <v>782</v>
      </c>
      <c r="W1242" s="82"/>
      <c r="X1242" s="82"/>
      <c r="Y1242" s="82"/>
      <c r="Z1242" s="82"/>
      <c r="AA1242" s="82"/>
      <c r="AB1242" s="82"/>
      <c r="AC1242" s="82"/>
      <c r="AD1242" s="82"/>
      <c r="AE1242" s="82"/>
      <c r="AF1242" s="82"/>
      <c r="AG1242" s="82"/>
      <c r="AH1242" s="82"/>
      <c r="AI1242" s="82"/>
      <c r="AJ1242" s="82"/>
      <c r="AK1242" s="82"/>
      <c r="AL1242" s="82"/>
      <c r="AM1242" s="82"/>
      <c r="AN1242" s="82"/>
      <c r="AO1242" s="82"/>
      <c r="AP1242" s="82"/>
      <c r="AQ1242" s="657"/>
      <c r="AR1242" s="657"/>
      <c r="AS1242" s="82"/>
      <c r="AT1242" s="82"/>
      <c r="AU1242" s="82"/>
      <c r="AV1242" s="82"/>
      <c r="AW1242" s="82"/>
      <c r="AX1242" s="82"/>
      <c r="AY1242" s="82"/>
      <c r="AZ1242" s="657" t="s">
        <v>609</v>
      </c>
      <c r="BA1242" s="657"/>
      <c r="BB1242" s="82"/>
      <c r="BC1242" s="82"/>
    </row>
    <row r="1243" spans="1:55" ht="12" customHeight="1">
      <c r="A1243" s="660" t="s">
        <v>915</v>
      </c>
      <c r="B1243" s="660"/>
      <c r="C1243" s="660"/>
      <c r="D1243" s="660"/>
      <c r="E1243" s="660"/>
      <c r="F1243" s="660"/>
      <c r="G1243" s="660"/>
      <c r="H1243" s="660"/>
      <c r="I1243" s="82"/>
      <c r="J1243" s="82"/>
      <c r="K1243" s="589"/>
      <c r="L1243" s="82"/>
      <c r="M1243" s="82"/>
      <c r="N1243" s="82"/>
      <c r="O1243" s="82"/>
      <c r="P1243" s="82"/>
      <c r="Q1243" s="82"/>
      <c r="R1243" s="589" t="s">
        <v>776</v>
      </c>
      <c r="S1243" s="82"/>
      <c r="T1243" s="82"/>
      <c r="U1243" s="82"/>
      <c r="V1243" s="82"/>
      <c r="W1243" s="82"/>
      <c r="X1243" s="82"/>
      <c r="Y1243" s="82"/>
      <c r="Z1243" s="82"/>
      <c r="AA1243" s="82"/>
      <c r="AB1243" s="82"/>
      <c r="AC1243" s="82"/>
      <c r="AD1243" s="82"/>
      <c r="AE1243" s="82"/>
      <c r="AF1243" s="82"/>
      <c r="AG1243" s="82"/>
      <c r="AH1243" s="82"/>
      <c r="AI1243" s="82"/>
      <c r="AJ1243" s="82"/>
      <c r="AK1243" s="82"/>
      <c r="AL1243" s="82"/>
      <c r="AM1243" s="82"/>
      <c r="AN1243" s="82"/>
      <c r="AO1243" s="82"/>
      <c r="AP1243" s="82"/>
      <c r="AQ1243" s="658"/>
      <c r="AR1243" s="658"/>
      <c r="AS1243" s="82"/>
      <c r="AT1243" s="82"/>
      <c r="AU1243" s="82"/>
      <c r="AV1243" s="82"/>
      <c r="AW1243" s="82"/>
      <c r="AX1243" s="82"/>
      <c r="AY1243" s="82"/>
      <c r="AZ1243" s="658" t="s">
        <v>914</v>
      </c>
      <c r="BA1243" s="658"/>
      <c r="BB1243" s="82"/>
      <c r="BC1243" s="82"/>
    </row>
  </sheetData>
  <mergeCells count="1">
    <mergeCell ref="A1243:H1243"/>
  </mergeCells>
  <phoneticPr fontId="32" type="noConversion"/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</vt:lpstr>
      <vt:lpstr>Sheet3!Print_Titles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nmiskovic</dc:creator>
  <cp:lastModifiedBy>korisnik</cp:lastModifiedBy>
  <cp:lastPrinted>2025-07-30T07:46:59Z</cp:lastPrinted>
  <dcterms:created xsi:type="dcterms:W3CDTF">2011-11-18T19:11:19Z</dcterms:created>
  <dcterms:modified xsi:type="dcterms:W3CDTF">2025-07-30T07:49:29Z</dcterms:modified>
</cp:coreProperties>
</file>