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showInkAnnotation="0"/>
  <bookViews>
    <workbookView xWindow="-120" yWindow="-120" windowWidth="24240" windowHeight="13140"/>
  </bookViews>
  <sheets>
    <sheet name="2024" sheetId="6" r:id="rId1"/>
  </sheets>
  <externalReferences>
    <externalReference r:id="rId2"/>
  </externalReferences>
  <definedNames>
    <definedName name="_xlnm.Print_Titles" localSheetId="0">'2024'!$194:$200</definedName>
  </definedNames>
  <calcPr calcId="114210" fullCalcOnLoad="1"/>
</workbook>
</file>

<file path=xl/calcChain.xml><?xml version="1.0" encoding="utf-8"?>
<calcChain xmlns="http://schemas.openxmlformats.org/spreadsheetml/2006/main">
  <c r="AP355" i="6"/>
  <c r="AO355"/>
  <c r="AP354"/>
  <c r="AP352"/>
  <c r="AP350"/>
  <c r="AP200"/>
  <c r="AO200"/>
  <c r="AP199"/>
  <c r="AP196"/>
  <c r="AP194"/>
  <c r="U201"/>
  <c r="AP201"/>
  <c r="U202"/>
  <c r="AP202"/>
  <c r="U203"/>
  <c r="AP203"/>
  <c r="BI203"/>
  <c r="BJ203"/>
  <c r="U204"/>
  <c r="U14"/>
  <c r="AP204"/>
  <c r="U205"/>
  <c r="AP205"/>
  <c r="BI205"/>
  <c r="BJ205"/>
  <c r="U206"/>
  <c r="AP206"/>
  <c r="U207"/>
  <c r="AP207"/>
  <c r="BI207"/>
  <c r="BJ207"/>
  <c r="BI1218"/>
  <c r="BH1225"/>
  <c r="AP1225"/>
  <c r="AM1225"/>
  <c r="BI1217"/>
  <c r="BH1224"/>
  <c r="AP1224"/>
  <c r="AM1224"/>
  <c r="BI1216"/>
  <c r="BJ1216"/>
  <c r="BH1223"/>
  <c r="AV1223"/>
  <c r="AV343"/>
  <c r="AV342"/>
  <c r="AV340"/>
  <c r="AT1223"/>
  <c r="AT343"/>
  <c r="AT342"/>
  <c r="AT340"/>
  <c r="AR1223"/>
  <c r="AR343"/>
  <c r="AR342"/>
  <c r="AR340"/>
  <c r="AP1223"/>
  <c r="AM1223"/>
  <c r="AK1223"/>
  <c r="AA1223"/>
  <c r="O1223"/>
  <c r="AF1223"/>
  <c r="M1223"/>
  <c r="M343"/>
  <c r="M342"/>
  <c r="M340"/>
  <c r="BI1215"/>
  <c r="BH1222"/>
  <c r="AQ1222"/>
  <c r="AP1222"/>
  <c r="AD1222"/>
  <c r="AD1221"/>
  <c r="AD1220"/>
  <c r="AD1218"/>
  <c r="AC1222"/>
  <c r="AC1221"/>
  <c r="AC1220"/>
  <c r="AC1218"/>
  <c r="AA1222"/>
  <c r="Z1222"/>
  <c r="Z1221"/>
  <c r="Z1220"/>
  <c r="Z1218"/>
  <c r="Y1222"/>
  <c r="X1222"/>
  <c r="X1221"/>
  <c r="X1220"/>
  <c r="X1218"/>
  <c r="W1222"/>
  <c r="V1222"/>
  <c r="V1221"/>
  <c r="S1222"/>
  <c r="S1221"/>
  <c r="S1220"/>
  <c r="S1218"/>
  <c r="R1222"/>
  <c r="Q1222"/>
  <c r="Q1221"/>
  <c r="Q1220"/>
  <c r="Q1218"/>
  <c r="P1222"/>
  <c r="N1222"/>
  <c r="N1221"/>
  <c r="N1220"/>
  <c r="N1218"/>
  <c r="L1222"/>
  <c r="L1221"/>
  <c r="L1220"/>
  <c r="L1218"/>
  <c r="BI1214"/>
  <c r="BH1221"/>
  <c r="AQ1221"/>
  <c r="AQ1220"/>
  <c r="AP1221"/>
  <c r="AA1221"/>
  <c r="W1221"/>
  <c r="BI1213"/>
  <c r="BH1220"/>
  <c r="AP1220"/>
  <c r="AA1220"/>
  <c r="BI1212"/>
  <c r="BH1219"/>
  <c r="AP1219"/>
  <c r="AA1219"/>
  <c r="BI1211"/>
  <c r="BH1218"/>
  <c r="AP1218"/>
  <c r="AA1218"/>
  <c r="BI1210"/>
  <c r="BH1217"/>
  <c r="AP1217"/>
  <c r="AA1217"/>
  <c r="AW1216"/>
  <c r="BH1216"/>
  <c r="AV1216"/>
  <c r="AU1216"/>
  <c r="AT1216"/>
  <c r="AS1216"/>
  <c r="AR1216"/>
  <c r="AP1216"/>
  <c r="AM1216"/>
  <c r="AL1216"/>
  <c r="AK1216"/>
  <c r="AA1216"/>
  <c r="BI1208"/>
  <c r="BH1215"/>
  <c r="AQ1215"/>
  <c r="AP1215"/>
  <c r="AD1215"/>
  <c r="AC1215"/>
  <c r="AA1215"/>
  <c r="Z1215"/>
  <c r="Y1215"/>
  <c r="X1215"/>
  <c r="W1215"/>
  <c r="V1215"/>
  <c r="S1215"/>
  <c r="R1215"/>
  <c r="Q1215"/>
  <c r="P1215"/>
  <c r="O1215"/>
  <c r="N1215"/>
  <c r="M1215"/>
  <c r="L1215"/>
  <c r="AW1214"/>
  <c r="AV1214"/>
  <c r="AT1214"/>
  <c r="AR1214"/>
  <c r="AP1214"/>
  <c r="AM1214"/>
  <c r="AK1214"/>
  <c r="AA1214"/>
  <c r="O1214"/>
  <c r="AW1213"/>
  <c r="BI1206"/>
  <c r="BJ1206"/>
  <c r="AU1213"/>
  <c r="AS1213"/>
  <c r="AP1213"/>
  <c r="AM1213"/>
  <c r="AL1213"/>
  <c r="AA1213"/>
  <c r="O1213"/>
  <c r="AF1213"/>
  <c r="BI1205"/>
  <c r="BH1212"/>
  <c r="AQ1212"/>
  <c r="AP1212"/>
  <c r="AD1212"/>
  <c r="AC1212"/>
  <c r="AA1212"/>
  <c r="Z1212"/>
  <c r="Y1212"/>
  <c r="X1212"/>
  <c r="W1212"/>
  <c r="V1212"/>
  <c r="S1212"/>
  <c r="R1212"/>
  <c r="Q1212"/>
  <c r="P1212"/>
  <c r="N1212"/>
  <c r="M1212"/>
  <c r="M1210"/>
  <c r="M1209"/>
  <c r="M1207"/>
  <c r="L1212"/>
  <c r="BI1204"/>
  <c r="BH1211"/>
  <c r="AP1211"/>
  <c r="AA1211"/>
  <c r="BI1203"/>
  <c r="BH1210"/>
  <c r="AP1210"/>
  <c r="AA1210"/>
  <c r="BI1202"/>
  <c r="BH1209"/>
  <c r="AP1209"/>
  <c r="AA1209"/>
  <c r="BI1201"/>
  <c r="BH1208"/>
  <c r="AP1208"/>
  <c r="AA1208"/>
  <c r="BI1200"/>
  <c r="BH1207"/>
  <c r="AP1207"/>
  <c r="AA1207"/>
  <c r="BI1199"/>
  <c r="BH1206"/>
  <c r="AP1206"/>
  <c r="AA1206"/>
  <c r="AW1205"/>
  <c r="BI1198"/>
  <c r="BJ1198"/>
  <c r="AV1205"/>
  <c r="AU1205"/>
  <c r="AT1205"/>
  <c r="AS1205"/>
  <c r="AR1205"/>
  <c r="AP1205"/>
  <c r="AM1205"/>
  <c r="AL1205"/>
  <c r="AK1205"/>
  <c r="AH1205"/>
  <c r="AG1205"/>
  <c r="AA1205"/>
  <c r="O1205"/>
  <c r="AF1205"/>
  <c r="M1205"/>
  <c r="M1204"/>
  <c r="BI1197"/>
  <c r="BH1204"/>
  <c r="AQ1204"/>
  <c r="AP1204"/>
  <c r="AD1204"/>
  <c r="AC1204"/>
  <c r="AA1204"/>
  <c r="Z1204"/>
  <c r="Y1204"/>
  <c r="X1204"/>
  <c r="W1204"/>
  <c r="V1204"/>
  <c r="S1204"/>
  <c r="R1204"/>
  <c r="Q1204"/>
  <c r="P1204"/>
  <c r="N1204"/>
  <c r="L1204"/>
  <c r="BI1196"/>
  <c r="BH1203"/>
  <c r="AP1203"/>
  <c r="AA1203"/>
  <c r="AW1202"/>
  <c r="BH1202"/>
  <c r="AV1202"/>
  <c r="AU1202"/>
  <c r="AT1202"/>
  <c r="AS1202"/>
  <c r="AR1202"/>
  <c r="AP1202"/>
  <c r="AM1202"/>
  <c r="AL1202"/>
  <c r="AK1202"/>
  <c r="AH1202"/>
  <c r="AG1202"/>
  <c r="AA1202"/>
  <c r="O1202"/>
  <c r="AF1202"/>
  <c r="M1202"/>
  <c r="AW1201"/>
  <c r="AV1201"/>
  <c r="AU1201"/>
  <c r="AT1201"/>
  <c r="AS1201"/>
  <c r="AR1201"/>
  <c r="AP1201"/>
  <c r="AM1201"/>
  <c r="AL1201"/>
  <c r="AK1201"/>
  <c r="AH1201"/>
  <c r="AG1201"/>
  <c r="AA1201"/>
  <c r="O1201"/>
  <c r="AF1201"/>
  <c r="M1201"/>
  <c r="BI1193"/>
  <c r="BH1200"/>
  <c r="AQ1200"/>
  <c r="AP1200"/>
  <c r="AD1200"/>
  <c r="AC1200"/>
  <c r="AA1200"/>
  <c r="Z1200"/>
  <c r="Y1200"/>
  <c r="X1200"/>
  <c r="W1200"/>
  <c r="V1200"/>
  <c r="S1200"/>
  <c r="R1200"/>
  <c r="Q1200"/>
  <c r="P1200"/>
  <c r="N1200"/>
  <c r="L1200"/>
  <c r="BI1192"/>
  <c r="BH1199"/>
  <c r="AP1199"/>
  <c r="AA1199"/>
  <c r="BI1191"/>
  <c r="BH1198"/>
  <c r="AP1198"/>
  <c r="AA1198"/>
  <c r="BI1190"/>
  <c r="BH1197"/>
  <c r="AP1197"/>
  <c r="AA1197"/>
  <c r="BI1189"/>
  <c r="BH1196"/>
  <c r="AP1196"/>
  <c r="AA1196"/>
  <c r="AW1195"/>
  <c r="BH1195"/>
  <c r="AV1195"/>
  <c r="AT1195"/>
  <c r="AR1195"/>
  <c r="AP1195"/>
  <c r="AK1195"/>
  <c r="AA1195"/>
  <c r="O1195"/>
  <c r="AW1194"/>
  <c r="BI1187"/>
  <c r="BJ1187"/>
  <c r="AP1194"/>
  <c r="AA1194"/>
  <c r="O1194"/>
  <c r="M1194"/>
  <c r="AW1193"/>
  <c r="BI1186"/>
  <c r="BJ1186"/>
  <c r="AP1193"/>
  <c r="AA1193"/>
  <c r="AW1192"/>
  <c r="BI1185"/>
  <c r="BJ1185"/>
  <c r="AP1192"/>
  <c r="AA1192"/>
  <c r="BI1184"/>
  <c r="BH1191"/>
  <c r="AQ1191"/>
  <c r="AQ1190"/>
  <c r="AP1191"/>
  <c r="AD1191"/>
  <c r="AD1190"/>
  <c r="AD1189"/>
  <c r="AD1187"/>
  <c r="AC1191"/>
  <c r="AA1191"/>
  <c r="Z1191"/>
  <c r="Y1191"/>
  <c r="Y1190"/>
  <c r="Y1189"/>
  <c r="Y1187"/>
  <c r="X1191"/>
  <c r="X1190"/>
  <c r="X1189"/>
  <c r="X1187"/>
  <c r="W1191"/>
  <c r="V1191"/>
  <c r="S1191"/>
  <c r="S1190"/>
  <c r="S1189"/>
  <c r="S1187"/>
  <c r="R1191"/>
  <c r="R1190"/>
  <c r="Q1191"/>
  <c r="Q1190"/>
  <c r="P1191"/>
  <c r="N1191"/>
  <c r="N1190"/>
  <c r="N1189"/>
  <c r="N1187"/>
  <c r="M1191"/>
  <c r="M1190"/>
  <c r="M1189"/>
  <c r="M1187"/>
  <c r="L1191"/>
  <c r="L1190"/>
  <c r="L1189"/>
  <c r="L1187"/>
  <c r="BI1183"/>
  <c r="BH1190"/>
  <c r="AP1190"/>
  <c r="AA1190"/>
  <c r="Z1190"/>
  <c r="Z1189"/>
  <c r="Z1187"/>
  <c r="P1190"/>
  <c r="P1189"/>
  <c r="P1187"/>
  <c r="BI1182"/>
  <c r="BH1189"/>
  <c r="AP1189"/>
  <c r="AA1189"/>
  <c r="BI1181"/>
  <c r="BH1188"/>
  <c r="AP1188"/>
  <c r="AA1188"/>
  <c r="BI1180"/>
  <c r="BH1187"/>
  <c r="AP1187"/>
  <c r="AA1187"/>
  <c r="BI1179"/>
  <c r="BH1186"/>
  <c r="AP1186"/>
  <c r="AA1186"/>
  <c r="AW1185"/>
  <c r="BH1185"/>
  <c r="AP1185"/>
  <c r="AA1185"/>
  <c r="O1185"/>
  <c r="AW1184"/>
  <c r="BI1177"/>
  <c r="BJ1177"/>
  <c r="AP1184"/>
  <c r="AA1184"/>
  <c r="O1184"/>
  <c r="AW1183"/>
  <c r="BI1176"/>
  <c r="BJ1176"/>
  <c r="AV1183"/>
  <c r="AU1183"/>
  <c r="AT1183"/>
  <c r="AS1183"/>
  <c r="AR1183"/>
  <c r="AP1183"/>
  <c r="AM1183"/>
  <c r="AL1183"/>
  <c r="AK1183"/>
  <c r="AH1183"/>
  <c r="AA1183"/>
  <c r="O1183"/>
  <c r="AW1182"/>
  <c r="BI1175"/>
  <c r="BJ1175"/>
  <c r="AP1182"/>
  <c r="AA1182"/>
  <c r="O1182"/>
  <c r="BI1174"/>
  <c r="BH1181"/>
  <c r="AQ1181"/>
  <c r="AQ1180"/>
  <c r="AP1181"/>
  <c r="AD1181"/>
  <c r="AD1180"/>
  <c r="AD1179"/>
  <c r="AD1177"/>
  <c r="AC1181"/>
  <c r="AA1181"/>
  <c r="Z1181"/>
  <c r="Z1180"/>
  <c r="Z1179"/>
  <c r="Z1177"/>
  <c r="Y1181"/>
  <c r="X1181"/>
  <c r="X1180"/>
  <c r="W1181"/>
  <c r="V1181"/>
  <c r="V1180"/>
  <c r="V1179"/>
  <c r="S1181"/>
  <c r="S1180"/>
  <c r="S1179"/>
  <c r="S1177"/>
  <c r="R1181"/>
  <c r="R1180"/>
  <c r="R1179"/>
  <c r="R1177"/>
  <c r="Q1181"/>
  <c r="P1181"/>
  <c r="P1180"/>
  <c r="N1181"/>
  <c r="N1180"/>
  <c r="N1179"/>
  <c r="N1177"/>
  <c r="M1181"/>
  <c r="M1180"/>
  <c r="M1179"/>
  <c r="M1177"/>
  <c r="L1181"/>
  <c r="L1180"/>
  <c r="L1179"/>
  <c r="L1177"/>
  <c r="BI1173"/>
  <c r="BH1180"/>
  <c r="AP1180"/>
  <c r="AA1180"/>
  <c r="BI1172"/>
  <c r="BH1179"/>
  <c r="AP1179"/>
  <c r="AA1179"/>
  <c r="BI1171"/>
  <c r="BH1178"/>
  <c r="AP1178"/>
  <c r="AA1178"/>
  <c r="BI1170"/>
  <c r="BH1177"/>
  <c r="AP1177"/>
  <c r="AA1177"/>
  <c r="BI1169"/>
  <c r="BH1176"/>
  <c r="AP1176"/>
  <c r="AA1176"/>
  <c r="AW1175"/>
  <c r="BH1175"/>
  <c r="AV1175"/>
  <c r="AU1175"/>
  <c r="AT1175"/>
  <c r="AS1175"/>
  <c r="AR1175"/>
  <c r="AP1175"/>
  <c r="AM1175"/>
  <c r="AL1175"/>
  <c r="AK1175"/>
  <c r="AH1175"/>
  <c r="AG1175"/>
  <c r="AA1175"/>
  <c r="O1175"/>
  <c r="M1175"/>
  <c r="BI1167"/>
  <c r="BH1174"/>
  <c r="AQ1174"/>
  <c r="AP1174"/>
  <c r="AD1174"/>
  <c r="AD1173"/>
  <c r="AC1174"/>
  <c r="AC1173"/>
  <c r="AA1174"/>
  <c r="Z1174"/>
  <c r="Z1173"/>
  <c r="Y1174"/>
  <c r="Y1173"/>
  <c r="X1174"/>
  <c r="W1174"/>
  <c r="W1173"/>
  <c r="V1174"/>
  <c r="V1173"/>
  <c r="S1174"/>
  <c r="S1173"/>
  <c r="R1174"/>
  <c r="R1173"/>
  <c r="Q1174"/>
  <c r="P1174"/>
  <c r="N1174"/>
  <c r="N1173"/>
  <c r="L1174"/>
  <c r="L1173"/>
  <c r="BI1166"/>
  <c r="BH1173"/>
  <c r="AP1173"/>
  <c r="AA1173"/>
  <c r="BI1165"/>
  <c r="BH1172"/>
  <c r="AP1172"/>
  <c r="AA1172"/>
  <c r="AW1171"/>
  <c r="BH1171"/>
  <c r="AV1171"/>
  <c r="AU1171"/>
  <c r="AT1171"/>
  <c r="AS1171"/>
  <c r="AR1171"/>
  <c r="AP1171"/>
  <c r="AM1171"/>
  <c r="AL1171"/>
  <c r="AK1171"/>
  <c r="AA1171"/>
  <c r="O1171"/>
  <c r="M1171"/>
  <c r="AW1170"/>
  <c r="BI1163"/>
  <c r="BJ1163"/>
  <c r="AV1170"/>
  <c r="AU1170"/>
  <c r="AT1170"/>
  <c r="AS1170"/>
  <c r="AR1170"/>
  <c r="AP1170"/>
  <c r="AM1170"/>
  <c r="AL1170"/>
  <c r="AK1170"/>
  <c r="AH1170"/>
  <c r="AG1170"/>
  <c r="AA1170"/>
  <c r="O1170"/>
  <c r="AF1170"/>
  <c r="M1170"/>
  <c r="AW1169"/>
  <c r="BI1162"/>
  <c r="BJ1162"/>
  <c r="AV1169"/>
  <c r="AU1169"/>
  <c r="AT1169"/>
  <c r="AS1169"/>
  <c r="AR1169"/>
  <c r="AP1169"/>
  <c r="AM1169"/>
  <c r="AL1169"/>
  <c r="AK1169"/>
  <c r="AH1169"/>
  <c r="AG1169"/>
  <c r="AA1169"/>
  <c r="O1169"/>
  <c r="M1169"/>
  <c r="BI1161"/>
  <c r="BH1168"/>
  <c r="AQ1168"/>
  <c r="AP1168"/>
  <c r="AD1168"/>
  <c r="AC1168"/>
  <c r="AA1168"/>
  <c r="Z1168"/>
  <c r="Y1168"/>
  <c r="X1168"/>
  <c r="W1168"/>
  <c r="V1168"/>
  <c r="S1168"/>
  <c r="R1168"/>
  <c r="Q1168"/>
  <c r="P1168"/>
  <c r="N1168"/>
  <c r="L1168"/>
  <c r="BI1160"/>
  <c r="BH1167"/>
  <c r="AP1167"/>
  <c r="AA1167"/>
  <c r="AW1166"/>
  <c r="AV1166"/>
  <c r="AU1166"/>
  <c r="AT1166"/>
  <c r="AS1166"/>
  <c r="AR1166"/>
  <c r="AP1166"/>
  <c r="AM1166"/>
  <c r="AL1166"/>
  <c r="AK1166"/>
  <c r="AH1166"/>
  <c r="AG1166"/>
  <c r="AA1166"/>
  <c r="O1166"/>
  <c r="M1166"/>
  <c r="AW1165"/>
  <c r="BI1158"/>
  <c r="BJ1158"/>
  <c r="AV1165"/>
  <c r="AU1165"/>
  <c r="AT1165"/>
  <c r="AS1165"/>
  <c r="AR1165"/>
  <c r="AP1165"/>
  <c r="AM1165"/>
  <c r="AL1165"/>
  <c r="AK1165"/>
  <c r="AH1165"/>
  <c r="AG1165"/>
  <c r="AA1165"/>
  <c r="O1165"/>
  <c r="M1165"/>
  <c r="AW1164"/>
  <c r="BI1157"/>
  <c r="BJ1157"/>
  <c r="AV1164"/>
  <c r="AU1164"/>
  <c r="AT1164"/>
  <c r="AS1164"/>
  <c r="AR1164"/>
  <c r="AP1164"/>
  <c r="AM1164"/>
  <c r="AL1164"/>
  <c r="AK1164"/>
  <c r="AH1164"/>
  <c r="AG1164"/>
  <c r="AA1164"/>
  <c r="O1164"/>
  <c r="M1164"/>
  <c r="AW1163"/>
  <c r="AV1163"/>
  <c r="AU1163"/>
  <c r="AT1163"/>
  <c r="AS1163"/>
  <c r="AR1163"/>
  <c r="AP1163"/>
  <c r="AM1163"/>
  <c r="AL1163"/>
  <c r="AK1163"/>
  <c r="AA1163"/>
  <c r="O1163"/>
  <c r="AW1162"/>
  <c r="BI1155"/>
  <c r="BJ1155"/>
  <c r="AV1162"/>
  <c r="AU1162"/>
  <c r="AT1162"/>
  <c r="AS1162"/>
  <c r="AR1162"/>
  <c r="AP1162"/>
  <c r="AM1162"/>
  <c r="AL1162"/>
  <c r="AK1162"/>
  <c r="AA1162"/>
  <c r="O1162"/>
  <c r="AW1161"/>
  <c r="AV1161"/>
  <c r="AU1161"/>
  <c r="AT1161"/>
  <c r="AS1161"/>
  <c r="AR1161"/>
  <c r="AP1161"/>
  <c r="AM1161"/>
  <c r="AL1161"/>
  <c r="AK1161"/>
  <c r="AH1161"/>
  <c r="AG1161"/>
  <c r="AA1161"/>
  <c r="O1161"/>
  <c r="M1161"/>
  <c r="BI1153"/>
  <c r="BH1160"/>
  <c r="AQ1160"/>
  <c r="AP1160"/>
  <c r="AD1160"/>
  <c r="AC1160"/>
  <c r="AA1160"/>
  <c r="Z1160"/>
  <c r="Y1160"/>
  <c r="AM1160"/>
  <c r="X1160"/>
  <c r="W1160"/>
  <c r="V1160"/>
  <c r="S1160"/>
  <c r="R1160"/>
  <c r="Q1160"/>
  <c r="P1160"/>
  <c r="N1160"/>
  <c r="L1160"/>
  <c r="BI1152"/>
  <c r="BH1159"/>
  <c r="AP1159"/>
  <c r="AA1159"/>
  <c r="AW1158"/>
  <c r="AV1158"/>
  <c r="AU1158"/>
  <c r="AT1158"/>
  <c r="AS1158"/>
  <c r="AR1158"/>
  <c r="AP1158"/>
  <c r="AM1158"/>
  <c r="AL1158"/>
  <c r="AK1158"/>
  <c r="AA1158"/>
  <c r="O1158"/>
  <c r="AW1157"/>
  <c r="BI1150"/>
  <c r="BJ1150"/>
  <c r="AV1157"/>
  <c r="AU1157"/>
  <c r="AT1157"/>
  <c r="AS1157"/>
  <c r="AR1157"/>
  <c r="AP1157"/>
  <c r="AM1157"/>
  <c r="AL1157"/>
  <c r="AK1157"/>
  <c r="AH1157"/>
  <c r="AG1157"/>
  <c r="AA1157"/>
  <c r="O1157"/>
  <c r="M1157"/>
  <c r="AW1156"/>
  <c r="BI1149"/>
  <c r="BJ1149"/>
  <c r="AV1156"/>
  <c r="AU1156"/>
  <c r="AT1156"/>
  <c r="AS1156"/>
  <c r="AR1156"/>
  <c r="AP1156"/>
  <c r="AM1156"/>
  <c r="AL1156"/>
  <c r="AK1156"/>
  <c r="AH1156"/>
  <c r="AG1156"/>
  <c r="AA1156"/>
  <c r="O1156"/>
  <c r="M1156"/>
  <c r="BI1148"/>
  <c r="BH1155"/>
  <c r="AQ1155"/>
  <c r="AP1155"/>
  <c r="AD1155"/>
  <c r="AC1155"/>
  <c r="AA1155"/>
  <c r="Z1155"/>
  <c r="Y1155"/>
  <c r="X1155"/>
  <c r="W1155"/>
  <c r="V1155"/>
  <c r="S1155"/>
  <c r="R1155"/>
  <c r="Q1155"/>
  <c r="P1155"/>
  <c r="N1155"/>
  <c r="L1155"/>
  <c r="BI1147"/>
  <c r="BH1154"/>
  <c r="AP1154"/>
  <c r="AA1154"/>
  <c r="AW1153"/>
  <c r="BH1153"/>
  <c r="AU1153"/>
  <c r="AS1153"/>
  <c r="AP1153"/>
  <c r="AM1153"/>
  <c r="AL1153"/>
  <c r="AA1153"/>
  <c r="O1153"/>
  <c r="AW1152"/>
  <c r="AP1152"/>
  <c r="AA1152"/>
  <c r="O1152"/>
  <c r="AW1151"/>
  <c r="BI1144"/>
  <c r="BJ1144"/>
  <c r="AV1151"/>
  <c r="AU1151"/>
  <c r="AT1151"/>
  <c r="AS1151"/>
  <c r="AR1151"/>
  <c r="AP1151"/>
  <c r="AM1151"/>
  <c r="AL1151"/>
  <c r="AK1151"/>
  <c r="AH1151"/>
  <c r="AG1151"/>
  <c r="AA1151"/>
  <c r="O1151"/>
  <c r="AF1151"/>
  <c r="M1151"/>
  <c r="AW1150"/>
  <c r="AV1150"/>
  <c r="AU1150"/>
  <c r="AT1150"/>
  <c r="AS1150"/>
  <c r="AR1150"/>
  <c r="AP1150"/>
  <c r="AM1150"/>
  <c r="AL1150"/>
  <c r="AK1150"/>
  <c r="AH1150"/>
  <c r="AG1150"/>
  <c r="AA1150"/>
  <c r="O1150"/>
  <c r="AF1150"/>
  <c r="M1150"/>
  <c r="BI1142"/>
  <c r="BH1149"/>
  <c r="AQ1149"/>
  <c r="AP1149"/>
  <c r="AD1149"/>
  <c r="AC1149"/>
  <c r="AA1149"/>
  <c r="Z1149"/>
  <c r="Y1149"/>
  <c r="X1149"/>
  <c r="W1149"/>
  <c r="V1149"/>
  <c r="S1149"/>
  <c r="R1149"/>
  <c r="Q1149"/>
  <c r="P1149"/>
  <c r="N1149"/>
  <c r="L1149"/>
  <c r="BI1141"/>
  <c r="BH1148"/>
  <c r="AP1148"/>
  <c r="AA1148"/>
  <c r="BI1140"/>
  <c r="BH1147"/>
  <c r="AP1147"/>
  <c r="AA1147"/>
  <c r="AW1146"/>
  <c r="AP1146"/>
  <c r="AA1146"/>
  <c r="AW1145"/>
  <c r="BI1138"/>
  <c r="BJ1138"/>
  <c r="AV1145"/>
  <c r="AU1145"/>
  <c r="AT1145"/>
  <c r="AS1145"/>
  <c r="AR1145"/>
  <c r="AP1145"/>
  <c r="AM1145"/>
  <c r="AL1145"/>
  <c r="AK1145"/>
  <c r="AH1145"/>
  <c r="AG1145"/>
  <c r="AA1145"/>
  <c r="O1145"/>
  <c r="M1145"/>
  <c r="M1144"/>
  <c r="BI1137"/>
  <c r="BH1144"/>
  <c r="AQ1144"/>
  <c r="AP1144"/>
  <c r="AD1144"/>
  <c r="AC1144"/>
  <c r="AA1144"/>
  <c r="Z1144"/>
  <c r="Y1144"/>
  <c r="X1144"/>
  <c r="W1144"/>
  <c r="V1144"/>
  <c r="S1144"/>
  <c r="R1144"/>
  <c r="Q1144"/>
  <c r="P1144"/>
  <c r="N1144"/>
  <c r="L1144"/>
  <c r="BI1136"/>
  <c r="BH1143"/>
  <c r="AP1143"/>
  <c r="AA1143"/>
  <c r="AW1142"/>
  <c r="BI1135"/>
  <c r="BJ1135"/>
  <c r="AV1142"/>
  <c r="AU1142"/>
  <c r="AT1142"/>
  <c r="AS1142"/>
  <c r="AR1142"/>
  <c r="AP1142"/>
  <c r="AM1142"/>
  <c r="AL1142"/>
  <c r="AK1142"/>
  <c r="AH1142"/>
  <c r="AG1142"/>
  <c r="AA1142"/>
  <c r="O1142"/>
  <c r="M1142"/>
  <c r="M1141"/>
  <c r="BI1134"/>
  <c r="BH1141"/>
  <c r="AQ1141"/>
  <c r="AP1141"/>
  <c r="AD1141"/>
  <c r="AC1141"/>
  <c r="AA1141"/>
  <c r="Z1141"/>
  <c r="Y1141"/>
  <c r="X1141"/>
  <c r="W1141"/>
  <c r="V1141"/>
  <c r="S1141"/>
  <c r="R1141"/>
  <c r="Q1141"/>
  <c r="P1141"/>
  <c r="N1141"/>
  <c r="L1141"/>
  <c r="BI1133"/>
  <c r="BH1140"/>
  <c r="AP1140"/>
  <c r="AA1140"/>
  <c r="AW1139"/>
  <c r="AV1139"/>
  <c r="AU1139"/>
  <c r="AT1139"/>
  <c r="AS1139"/>
  <c r="AR1139"/>
  <c r="AP1139"/>
  <c r="AM1139"/>
  <c r="AL1139"/>
  <c r="AK1139"/>
  <c r="AH1139"/>
  <c r="AG1139"/>
  <c r="AA1139"/>
  <c r="O1139"/>
  <c r="O1138"/>
  <c r="M1139"/>
  <c r="M1138"/>
  <c r="BI1131"/>
  <c r="BH1138"/>
  <c r="AP1138"/>
  <c r="AD1138"/>
  <c r="AC1138"/>
  <c r="AA1138"/>
  <c r="Z1138"/>
  <c r="Y1138"/>
  <c r="X1138"/>
  <c r="W1138"/>
  <c r="AU1138"/>
  <c r="V1138"/>
  <c r="S1138"/>
  <c r="R1138"/>
  <c r="Q1138"/>
  <c r="P1138"/>
  <c r="N1138"/>
  <c r="L1138"/>
  <c r="BI1130"/>
  <c r="BH1137"/>
  <c r="AP1137"/>
  <c r="AA1137"/>
  <c r="BI1129"/>
  <c r="BH1136"/>
  <c r="AP1136"/>
  <c r="AA1136"/>
  <c r="BI1128"/>
  <c r="BH1135"/>
  <c r="AP1135"/>
  <c r="AA1135"/>
  <c r="BI1127"/>
  <c r="BH1134"/>
  <c r="AP1134"/>
  <c r="AA1134"/>
  <c r="BI1126"/>
  <c r="BH1133"/>
  <c r="AQ1133"/>
  <c r="AP1133"/>
  <c r="AA1133"/>
  <c r="BI1125"/>
  <c r="BH1132"/>
  <c r="AP1132"/>
  <c r="AA1132"/>
  <c r="BI1124"/>
  <c r="BJ1124"/>
  <c r="BH1131"/>
  <c r="AP1131"/>
  <c r="AA1131"/>
  <c r="BI1123"/>
  <c r="BH1130"/>
  <c r="AP1130"/>
  <c r="AA1130"/>
  <c r="BI1122"/>
  <c r="BH1129"/>
  <c r="AP1129"/>
  <c r="AA1129"/>
  <c r="BI1121"/>
  <c r="BH1128"/>
  <c r="AP1128"/>
  <c r="AA1128"/>
  <c r="BI1120"/>
  <c r="BH1127"/>
  <c r="AQ1127"/>
  <c r="AQ1126"/>
  <c r="AP1127"/>
  <c r="AD1127"/>
  <c r="AD1126"/>
  <c r="AC1127"/>
  <c r="AC1126"/>
  <c r="AA1127"/>
  <c r="Z1127"/>
  <c r="Z1126"/>
  <c r="Y1127"/>
  <c r="Y1126"/>
  <c r="X1127"/>
  <c r="X1126"/>
  <c r="W1127"/>
  <c r="W1126"/>
  <c r="V1127"/>
  <c r="V1126"/>
  <c r="S1127"/>
  <c r="S1126"/>
  <c r="R1127"/>
  <c r="R1126"/>
  <c r="Q1127"/>
  <c r="Q1126"/>
  <c r="P1127"/>
  <c r="P1126"/>
  <c r="O1127"/>
  <c r="O1126"/>
  <c r="N1127"/>
  <c r="N1126"/>
  <c r="M1127"/>
  <c r="M1126"/>
  <c r="L1127"/>
  <c r="L1126"/>
  <c r="BI1119"/>
  <c r="BH1126"/>
  <c r="AP1126"/>
  <c r="AA1126"/>
  <c r="BI1118"/>
  <c r="BH1125"/>
  <c r="AP1125"/>
  <c r="AA1125"/>
  <c r="AW1124"/>
  <c r="BH1124"/>
  <c r="BH334"/>
  <c r="BH333"/>
  <c r="AV1124"/>
  <c r="AV334"/>
  <c r="AV333"/>
  <c r="AU1124"/>
  <c r="AU334"/>
  <c r="AU333"/>
  <c r="AT1124"/>
  <c r="AT334"/>
  <c r="AT333"/>
  <c r="AS1124"/>
  <c r="AR1124"/>
  <c r="AR334"/>
  <c r="AR333"/>
  <c r="AP1124"/>
  <c r="AM1124"/>
  <c r="AL1124"/>
  <c r="AK1124"/>
  <c r="AH1124"/>
  <c r="AG1124"/>
  <c r="AA1124"/>
  <c r="AA334"/>
  <c r="AA333"/>
  <c r="O1124"/>
  <c r="AF1124"/>
  <c r="M1124"/>
  <c r="M1123"/>
  <c r="BI1116"/>
  <c r="BH1123"/>
  <c r="AQ1123"/>
  <c r="AP1123"/>
  <c r="AD1123"/>
  <c r="AC1123"/>
  <c r="AA1123"/>
  <c r="Z1123"/>
  <c r="Y1123"/>
  <c r="X1123"/>
  <c r="W1123"/>
  <c r="V1123"/>
  <c r="S1123"/>
  <c r="R1123"/>
  <c r="Q1123"/>
  <c r="P1123"/>
  <c r="N1123"/>
  <c r="L1123"/>
  <c r="BI1115"/>
  <c r="BH1122"/>
  <c r="AP1122"/>
  <c r="AA1122"/>
  <c r="AW1121"/>
  <c r="BH1121"/>
  <c r="AW1120"/>
  <c r="BI1113"/>
  <c r="AW1119"/>
  <c r="AU1119"/>
  <c r="AS1119"/>
  <c r="AP1119"/>
  <c r="AM1119"/>
  <c r="AL1119"/>
  <c r="AA1119"/>
  <c r="O1119"/>
  <c r="O1118"/>
  <c r="BI1111"/>
  <c r="BH1118"/>
  <c r="AQ1118"/>
  <c r="AP1118"/>
  <c r="AD1118"/>
  <c r="AC1118"/>
  <c r="AA1118"/>
  <c r="Z1118"/>
  <c r="Y1118"/>
  <c r="X1118"/>
  <c r="W1118"/>
  <c r="V1118"/>
  <c r="S1118"/>
  <c r="R1118"/>
  <c r="Q1118"/>
  <c r="P1118"/>
  <c r="N1118"/>
  <c r="M1118"/>
  <c r="L1118"/>
  <c r="BI1110"/>
  <c r="BH1117"/>
  <c r="AP1117"/>
  <c r="AA1117"/>
  <c r="BI1109"/>
  <c r="BH1116"/>
  <c r="AP1116"/>
  <c r="AA1116"/>
  <c r="BI1108"/>
  <c r="BH1115"/>
  <c r="AP1115"/>
  <c r="AA1115"/>
  <c r="BI1107"/>
  <c r="BH1114"/>
  <c r="AP1114"/>
  <c r="AA1114"/>
  <c r="BI1106"/>
  <c r="BH1113"/>
  <c r="AP1113"/>
  <c r="AA1113"/>
  <c r="BI1105"/>
  <c r="BH1112"/>
  <c r="AP1112"/>
  <c r="AA1112"/>
  <c r="AW1111"/>
  <c r="BI1104"/>
  <c r="AV1111"/>
  <c r="AU1111"/>
  <c r="AT1111"/>
  <c r="AS1111"/>
  <c r="AR1111"/>
  <c r="AP1111"/>
  <c r="AM1111"/>
  <c r="AL1111"/>
  <c r="AK1111"/>
  <c r="AH1111"/>
  <c r="AG1111"/>
  <c r="AA1111"/>
  <c r="O1111"/>
  <c r="AF1111"/>
  <c r="M1111"/>
  <c r="BI1103"/>
  <c r="BH1110"/>
  <c r="AQ1110"/>
  <c r="AQ1109"/>
  <c r="AP1110"/>
  <c r="AD1110"/>
  <c r="AD1109"/>
  <c r="AC1110"/>
  <c r="AA1110"/>
  <c r="Z1110"/>
  <c r="Z1109"/>
  <c r="Y1110"/>
  <c r="Y1109"/>
  <c r="X1110"/>
  <c r="W1110"/>
  <c r="W1109"/>
  <c r="V1110"/>
  <c r="V1109"/>
  <c r="S1110"/>
  <c r="S1109"/>
  <c r="R1110"/>
  <c r="Q1110"/>
  <c r="P1110"/>
  <c r="N1110"/>
  <c r="N1109"/>
  <c r="L1110"/>
  <c r="L1109"/>
  <c r="BI1102"/>
  <c r="BH1109"/>
  <c r="AP1109"/>
  <c r="AA1109"/>
  <c r="BI1101"/>
  <c r="BH1108"/>
  <c r="AP1108"/>
  <c r="AA1108"/>
  <c r="AW1107"/>
  <c r="BH1107"/>
  <c r="AV1107"/>
  <c r="AU1107"/>
  <c r="AT1107"/>
  <c r="AS1107"/>
  <c r="AR1107"/>
  <c r="AP1107"/>
  <c r="AM1107"/>
  <c r="AL1107"/>
  <c r="AK1107"/>
  <c r="AA1107"/>
  <c r="O1107"/>
  <c r="AW1106"/>
  <c r="AV1106"/>
  <c r="AU1106"/>
  <c r="AT1106"/>
  <c r="AS1106"/>
  <c r="AR1106"/>
  <c r="AP1106"/>
  <c r="AM1106"/>
  <c r="AL1106"/>
  <c r="AK1106"/>
  <c r="AH1106"/>
  <c r="AG1106"/>
  <c r="AA1106"/>
  <c r="O1106"/>
  <c r="M1106"/>
  <c r="M1105"/>
  <c r="BI1098"/>
  <c r="BH1105"/>
  <c r="AQ1105"/>
  <c r="AP1105"/>
  <c r="AD1105"/>
  <c r="AC1105"/>
  <c r="AA1105"/>
  <c r="Z1105"/>
  <c r="Y1105"/>
  <c r="AM1105"/>
  <c r="X1105"/>
  <c r="W1105"/>
  <c r="V1105"/>
  <c r="S1105"/>
  <c r="R1105"/>
  <c r="Q1105"/>
  <c r="P1105"/>
  <c r="N1105"/>
  <c r="L1105"/>
  <c r="BI1097"/>
  <c r="BH1104"/>
  <c r="AP1104"/>
  <c r="AA1104"/>
  <c r="AW1103"/>
  <c r="AV1103"/>
  <c r="AU1103"/>
  <c r="AT1103"/>
  <c r="AS1103"/>
  <c r="AR1103"/>
  <c r="AP1103"/>
  <c r="AM1103"/>
  <c r="AL1103"/>
  <c r="AK1103"/>
  <c r="AH1103"/>
  <c r="AG1103"/>
  <c r="AA1103"/>
  <c r="O1103"/>
  <c r="M1103"/>
  <c r="AW1102"/>
  <c r="AV1102"/>
  <c r="AU1102"/>
  <c r="AT1102"/>
  <c r="AS1102"/>
  <c r="AR1102"/>
  <c r="AP1102"/>
  <c r="AM1102"/>
  <c r="AL1102"/>
  <c r="AK1102"/>
  <c r="AH1102"/>
  <c r="AG1102"/>
  <c r="AA1102"/>
  <c r="O1102"/>
  <c r="AF1102"/>
  <c r="M1102"/>
  <c r="AW1101"/>
  <c r="BI1094"/>
  <c r="AV1101"/>
  <c r="AU1101"/>
  <c r="AT1101"/>
  <c r="AS1101"/>
  <c r="AR1101"/>
  <c r="AP1101"/>
  <c r="AM1101"/>
  <c r="AL1101"/>
  <c r="AK1101"/>
  <c r="AH1101"/>
  <c r="AG1101"/>
  <c r="AA1101"/>
  <c r="O1101"/>
  <c r="M1101"/>
  <c r="AW1100"/>
  <c r="BH1100"/>
  <c r="AV1100"/>
  <c r="AU1100"/>
  <c r="AT1100"/>
  <c r="AS1100"/>
  <c r="AR1100"/>
  <c r="AP1100"/>
  <c r="AM1100"/>
  <c r="AL1100"/>
  <c r="AK1100"/>
  <c r="AH1100"/>
  <c r="AG1100"/>
  <c r="AA1100"/>
  <c r="O1100"/>
  <c r="M1100"/>
  <c r="AW1099"/>
  <c r="BI1092"/>
  <c r="AV1099"/>
  <c r="AU1099"/>
  <c r="AT1099"/>
  <c r="AS1099"/>
  <c r="AR1099"/>
  <c r="AP1099"/>
  <c r="AM1099"/>
  <c r="AL1099"/>
  <c r="AK1099"/>
  <c r="AA1099"/>
  <c r="O1099"/>
  <c r="M1099"/>
  <c r="AW1098"/>
  <c r="BI1091"/>
  <c r="AV1098"/>
  <c r="AU1098"/>
  <c r="AT1098"/>
  <c r="AS1098"/>
  <c r="AR1098"/>
  <c r="AP1098"/>
  <c r="AM1098"/>
  <c r="AL1098"/>
  <c r="AK1098"/>
  <c r="AH1098"/>
  <c r="AG1098"/>
  <c r="AA1098"/>
  <c r="O1098"/>
  <c r="AF1098"/>
  <c r="M1098"/>
  <c r="BI1090"/>
  <c r="BH1097"/>
  <c r="AQ1097"/>
  <c r="AP1097"/>
  <c r="AD1097"/>
  <c r="AC1097"/>
  <c r="AA1097"/>
  <c r="Z1097"/>
  <c r="Y1097"/>
  <c r="X1097"/>
  <c r="W1097"/>
  <c r="V1097"/>
  <c r="S1097"/>
  <c r="R1097"/>
  <c r="Q1097"/>
  <c r="P1097"/>
  <c r="N1097"/>
  <c r="L1097"/>
  <c r="BI1089"/>
  <c r="BH1096"/>
  <c r="AP1096"/>
  <c r="AA1096"/>
  <c r="AW1095"/>
  <c r="BH1095"/>
  <c r="AV1095"/>
  <c r="AU1095"/>
  <c r="AT1095"/>
  <c r="AS1095"/>
  <c r="AR1095"/>
  <c r="AP1095"/>
  <c r="AM1095"/>
  <c r="AL1095"/>
  <c r="AK1095"/>
  <c r="AH1095"/>
  <c r="AG1095"/>
  <c r="AA1095"/>
  <c r="O1095"/>
  <c r="AF1095"/>
  <c r="AW1094"/>
  <c r="BI1087"/>
  <c r="AV1094"/>
  <c r="AU1094"/>
  <c r="AT1094"/>
  <c r="AS1094"/>
  <c r="AR1094"/>
  <c r="AP1094"/>
  <c r="AM1094"/>
  <c r="AL1094"/>
  <c r="AK1094"/>
  <c r="AA1094"/>
  <c r="O1094"/>
  <c r="M1094"/>
  <c r="AW1093"/>
  <c r="BI1086"/>
  <c r="AU1093"/>
  <c r="AS1093"/>
  <c r="AP1093"/>
  <c r="AM1093"/>
  <c r="AL1093"/>
  <c r="AA1093"/>
  <c r="O1093"/>
  <c r="AW1092"/>
  <c r="BH1092"/>
  <c r="AV1092"/>
  <c r="AU1092"/>
  <c r="AT1092"/>
  <c r="AS1092"/>
  <c r="AR1092"/>
  <c r="AP1092"/>
  <c r="AM1092"/>
  <c r="AL1092"/>
  <c r="AK1092"/>
  <c r="AH1092"/>
  <c r="AG1092"/>
  <c r="AA1092"/>
  <c r="O1092"/>
  <c r="M1092"/>
  <c r="BI1084"/>
  <c r="BH1091"/>
  <c r="AQ1091"/>
  <c r="AP1091"/>
  <c r="AD1091"/>
  <c r="AC1091"/>
  <c r="AA1091"/>
  <c r="Z1091"/>
  <c r="Y1091"/>
  <c r="X1091"/>
  <c r="W1091"/>
  <c r="V1091"/>
  <c r="S1091"/>
  <c r="R1091"/>
  <c r="Q1091"/>
  <c r="P1091"/>
  <c r="N1091"/>
  <c r="L1091"/>
  <c r="BI1083"/>
  <c r="BH1090"/>
  <c r="AP1090"/>
  <c r="AA1090"/>
  <c r="AW1089"/>
  <c r="AP1089"/>
  <c r="AA1089"/>
  <c r="AW1088"/>
  <c r="BI1081"/>
  <c r="AU1088"/>
  <c r="AS1088"/>
  <c r="AP1088"/>
  <c r="AM1088"/>
  <c r="AL1088"/>
  <c r="AA1088"/>
  <c r="O1088"/>
  <c r="BI1080"/>
  <c r="BH1087"/>
  <c r="AQ1087"/>
  <c r="AP1087"/>
  <c r="AD1087"/>
  <c r="AC1087"/>
  <c r="AA1087"/>
  <c r="Z1087"/>
  <c r="Y1087"/>
  <c r="X1087"/>
  <c r="W1087"/>
  <c r="V1087"/>
  <c r="S1087"/>
  <c r="R1087"/>
  <c r="Q1087"/>
  <c r="P1087"/>
  <c r="O1087"/>
  <c r="N1087"/>
  <c r="M1087"/>
  <c r="L1087"/>
  <c r="BI1079"/>
  <c r="BH1086"/>
  <c r="AP1086"/>
  <c r="AA1086"/>
  <c r="BI1078"/>
  <c r="BH1085"/>
  <c r="AP1085"/>
  <c r="AA1085"/>
  <c r="BI1077"/>
  <c r="BH1084"/>
  <c r="AP1084"/>
  <c r="AA1084"/>
  <c r="AW1083"/>
  <c r="BI1076"/>
  <c r="AP1083"/>
  <c r="AA1083"/>
  <c r="O1083"/>
  <c r="AW1082"/>
  <c r="BI1075"/>
  <c r="AV1082"/>
  <c r="AU1082"/>
  <c r="AT1082"/>
  <c r="AS1082"/>
  <c r="AR1082"/>
  <c r="AP1082"/>
  <c r="AM1082"/>
  <c r="AL1082"/>
  <c r="AK1082"/>
  <c r="AH1082"/>
  <c r="AG1082"/>
  <c r="AA1082"/>
  <c r="O1082"/>
  <c r="AF1082"/>
  <c r="M1082"/>
  <c r="BI1074"/>
  <c r="BH1081"/>
  <c r="AQ1081"/>
  <c r="AP1081"/>
  <c r="AD1081"/>
  <c r="AC1081"/>
  <c r="AA1081"/>
  <c r="Z1081"/>
  <c r="Y1081"/>
  <c r="X1081"/>
  <c r="W1081"/>
  <c r="V1081"/>
  <c r="S1081"/>
  <c r="R1081"/>
  <c r="Q1081"/>
  <c r="P1081"/>
  <c r="O1081"/>
  <c r="N1081"/>
  <c r="L1081"/>
  <c r="BI1073"/>
  <c r="BH1080"/>
  <c r="AP1080"/>
  <c r="AA1080"/>
  <c r="AW1079"/>
  <c r="BI1072"/>
  <c r="AV1079"/>
  <c r="AU1079"/>
  <c r="AT1079"/>
  <c r="AS1079"/>
  <c r="AR1079"/>
  <c r="AP1079"/>
  <c r="AM1079"/>
  <c r="AL1079"/>
  <c r="AK1079"/>
  <c r="AH1079"/>
  <c r="AG1079"/>
  <c r="AA1079"/>
  <c r="O1079"/>
  <c r="AF1079"/>
  <c r="M1079"/>
  <c r="M1078"/>
  <c r="BI1071"/>
  <c r="BH1078"/>
  <c r="AQ1078"/>
  <c r="AP1078"/>
  <c r="AD1078"/>
  <c r="AC1078"/>
  <c r="AA1078"/>
  <c r="Z1078"/>
  <c r="Y1078"/>
  <c r="X1078"/>
  <c r="W1078"/>
  <c r="V1078"/>
  <c r="S1078"/>
  <c r="R1078"/>
  <c r="Q1078"/>
  <c r="P1078"/>
  <c r="N1078"/>
  <c r="L1078"/>
  <c r="BI1070"/>
  <c r="BH1077"/>
  <c r="AP1077"/>
  <c r="AA1077"/>
  <c r="AW1076"/>
  <c r="AV1076"/>
  <c r="AU1076"/>
  <c r="AT1076"/>
  <c r="AS1076"/>
  <c r="AR1076"/>
  <c r="AP1076"/>
  <c r="AM1076"/>
  <c r="AL1076"/>
  <c r="AK1076"/>
  <c r="AH1076"/>
  <c r="AG1076"/>
  <c r="AA1076"/>
  <c r="O1076"/>
  <c r="O1075"/>
  <c r="M1076"/>
  <c r="M1075"/>
  <c r="BI1068"/>
  <c r="BH1075"/>
  <c r="AQ1075"/>
  <c r="AP1075"/>
  <c r="AD1075"/>
  <c r="AC1075"/>
  <c r="AA1075"/>
  <c r="Z1075"/>
  <c r="Y1075"/>
  <c r="X1075"/>
  <c r="W1075"/>
  <c r="V1075"/>
  <c r="S1075"/>
  <c r="R1075"/>
  <c r="Q1075"/>
  <c r="P1075"/>
  <c r="N1075"/>
  <c r="L1075"/>
  <c r="BI1067"/>
  <c r="BH1074"/>
  <c r="AP1074"/>
  <c r="AA1074"/>
  <c r="BI1066"/>
  <c r="BH1073"/>
  <c r="AP1073"/>
  <c r="AA1073"/>
  <c r="BI1065"/>
  <c r="BH1072"/>
  <c r="AS1072"/>
  <c r="AP1072"/>
  <c r="AA1072"/>
  <c r="BI1064"/>
  <c r="BH1071"/>
  <c r="AP1071"/>
  <c r="AA1071"/>
  <c r="BI1063"/>
  <c r="BH1070"/>
  <c r="AP1070"/>
  <c r="AA1070"/>
  <c r="BI1062"/>
  <c r="BH1069"/>
  <c r="AP1069"/>
  <c r="AA1069"/>
  <c r="BI1061"/>
  <c r="BH1068"/>
  <c r="AP1068"/>
  <c r="AA1068"/>
  <c r="BI1060"/>
  <c r="BH1067"/>
  <c r="AP1067"/>
  <c r="AA1067"/>
  <c r="BI1059"/>
  <c r="BH1066"/>
  <c r="AP1066"/>
  <c r="AA1066"/>
  <c r="BI1058"/>
  <c r="BH1065"/>
  <c r="AP1065"/>
  <c r="AA1065"/>
  <c r="AW1064"/>
  <c r="BH1064"/>
  <c r="AV1064"/>
  <c r="AU1064"/>
  <c r="AT1064"/>
  <c r="AS1064"/>
  <c r="AR1064"/>
  <c r="AP1064"/>
  <c r="AM1064"/>
  <c r="AL1064"/>
  <c r="AK1064"/>
  <c r="AH1064"/>
  <c r="AG1064"/>
  <c r="AA1064"/>
  <c r="O1064"/>
  <c r="M1064"/>
  <c r="M331"/>
  <c r="AW1063"/>
  <c r="BI1056"/>
  <c r="AV1063"/>
  <c r="AT1063"/>
  <c r="AR1063"/>
  <c r="AP1063"/>
  <c r="AK1063"/>
  <c r="AA1063"/>
  <c r="M1063"/>
  <c r="AE1063"/>
  <c r="BI1055"/>
  <c r="BH1062"/>
  <c r="AQ1062"/>
  <c r="AQ1061"/>
  <c r="AP1062"/>
  <c r="AD1062"/>
  <c r="AD1061"/>
  <c r="AD1060"/>
  <c r="AD1058"/>
  <c r="AC1062"/>
  <c r="AC1061"/>
  <c r="AA1062"/>
  <c r="Z1062"/>
  <c r="Z1061"/>
  <c r="Z1060"/>
  <c r="Z1058"/>
  <c r="Y1062"/>
  <c r="Y1061"/>
  <c r="X1062"/>
  <c r="W1062"/>
  <c r="V1062"/>
  <c r="S1062"/>
  <c r="S1061"/>
  <c r="S1060"/>
  <c r="S1058"/>
  <c r="R1062"/>
  <c r="R1061"/>
  <c r="R1060"/>
  <c r="R1058"/>
  <c r="Q1062"/>
  <c r="Q1061"/>
  <c r="P1062"/>
  <c r="P1061"/>
  <c r="P1060"/>
  <c r="P1058"/>
  <c r="N1062"/>
  <c r="N1061"/>
  <c r="N1060"/>
  <c r="N1058"/>
  <c r="L1062"/>
  <c r="L1061"/>
  <c r="L1060"/>
  <c r="L1058"/>
  <c r="BI1054"/>
  <c r="BH1061"/>
  <c r="AP1061"/>
  <c r="AA1061"/>
  <c r="BI1053"/>
  <c r="BH1060"/>
  <c r="AP1060"/>
  <c r="AA1060"/>
  <c r="BI1052"/>
  <c r="BH1059"/>
  <c r="AP1059"/>
  <c r="AA1059"/>
  <c r="BI1051"/>
  <c r="BH1058"/>
  <c r="AP1058"/>
  <c r="AA1058"/>
  <c r="BI1050"/>
  <c r="BH1057"/>
  <c r="AP1057"/>
  <c r="AA1057"/>
  <c r="AW1056"/>
  <c r="BH1056"/>
  <c r="BH296"/>
  <c r="AV1056"/>
  <c r="AV296"/>
  <c r="AU1056"/>
  <c r="AU296"/>
  <c r="AT1056"/>
  <c r="AT296"/>
  <c r="AS1056"/>
  <c r="AS296"/>
  <c r="AR1056"/>
  <c r="AR296"/>
  <c r="AP1056"/>
  <c r="AM1056"/>
  <c r="AL1056"/>
  <c r="AK1056"/>
  <c r="AH1056"/>
  <c r="AG1056"/>
  <c r="AA1056"/>
  <c r="AA296"/>
  <c r="O1056"/>
  <c r="AF1056"/>
  <c r="M1056"/>
  <c r="M1054"/>
  <c r="M1053"/>
  <c r="M1052"/>
  <c r="M1050"/>
  <c r="BI1048"/>
  <c r="BH1055"/>
  <c r="AP1055"/>
  <c r="AA1055"/>
  <c r="BG1054"/>
  <c r="BF1054"/>
  <c r="BE1054"/>
  <c r="BD1054"/>
  <c r="BC1054"/>
  <c r="BB1054"/>
  <c r="BA1054"/>
  <c r="AZ1054"/>
  <c r="AY1054"/>
  <c r="AX1054"/>
  <c r="AQ1054"/>
  <c r="AQ1053"/>
  <c r="AP1054"/>
  <c r="AD1054"/>
  <c r="AD1053"/>
  <c r="AD1052"/>
  <c r="AD1050"/>
  <c r="AC1054"/>
  <c r="AA1054"/>
  <c r="Z1054"/>
  <c r="Z1053"/>
  <c r="Z1052"/>
  <c r="Z1050"/>
  <c r="Y1054"/>
  <c r="Y1053"/>
  <c r="X1054"/>
  <c r="X1053"/>
  <c r="X1052"/>
  <c r="X1050"/>
  <c r="W1054"/>
  <c r="V1054"/>
  <c r="S1054"/>
  <c r="S1053"/>
  <c r="S1052"/>
  <c r="S1050"/>
  <c r="R1054"/>
  <c r="R1053"/>
  <c r="R1052"/>
  <c r="R1050"/>
  <c r="Q1054"/>
  <c r="P1054"/>
  <c r="P1053"/>
  <c r="P1052"/>
  <c r="P1050"/>
  <c r="N1054"/>
  <c r="L1054"/>
  <c r="L1053"/>
  <c r="L1052"/>
  <c r="L1050"/>
  <c r="BI1046"/>
  <c r="BH1053"/>
  <c r="AP1053"/>
  <c r="AA1053"/>
  <c r="N1053"/>
  <c r="N1052"/>
  <c r="N1050"/>
  <c r="BI1045"/>
  <c r="BH1052"/>
  <c r="AP1052"/>
  <c r="AA1052"/>
  <c r="BI1044"/>
  <c r="BH1051"/>
  <c r="AP1051"/>
  <c r="AA1051"/>
  <c r="BI1043"/>
  <c r="BH1050"/>
  <c r="AP1050"/>
  <c r="AA1050"/>
  <c r="BI1042"/>
  <c r="BH1049"/>
  <c r="AP1049"/>
  <c r="AA1049"/>
  <c r="AW1048"/>
  <c r="BI1041"/>
  <c r="AV1048"/>
  <c r="AU1048"/>
  <c r="AT1048"/>
  <c r="AS1048"/>
  <c r="AR1048"/>
  <c r="AP1048"/>
  <c r="AM1048"/>
  <c r="AL1048"/>
  <c r="AK1048"/>
  <c r="AH1048"/>
  <c r="AG1048"/>
  <c r="AA1048"/>
  <c r="O1048"/>
  <c r="O1047"/>
  <c r="M1048"/>
  <c r="M1047"/>
  <c r="M1046"/>
  <c r="BI1040"/>
  <c r="BH1047"/>
  <c r="AQ1047"/>
  <c r="AQ1046"/>
  <c r="AP1047"/>
  <c r="AD1047"/>
  <c r="AD1046"/>
  <c r="AC1047"/>
  <c r="AC1046"/>
  <c r="AA1047"/>
  <c r="Z1047"/>
  <c r="Z1046"/>
  <c r="Y1047"/>
  <c r="X1047"/>
  <c r="W1047"/>
  <c r="W1046"/>
  <c r="V1047"/>
  <c r="V1046"/>
  <c r="S1047"/>
  <c r="S1046"/>
  <c r="R1047"/>
  <c r="R1046"/>
  <c r="Q1047"/>
  <c r="Q1046"/>
  <c r="P1047"/>
  <c r="N1047"/>
  <c r="N1046"/>
  <c r="L1047"/>
  <c r="L1046"/>
  <c r="BI1039"/>
  <c r="BH1046"/>
  <c r="AP1046"/>
  <c r="AA1046"/>
  <c r="BI1038"/>
  <c r="BH1045"/>
  <c r="AP1045"/>
  <c r="AA1045"/>
  <c r="AW1044"/>
  <c r="BI1037"/>
  <c r="AV1044"/>
  <c r="AU1044"/>
  <c r="AT1044"/>
  <c r="AS1044"/>
  <c r="AR1044"/>
  <c r="AP1044"/>
  <c r="AM1044"/>
  <c r="AL1044"/>
  <c r="AK1044"/>
  <c r="AA1044"/>
  <c r="O1044"/>
  <c r="AW1043"/>
  <c r="AP1043"/>
  <c r="AA1043"/>
  <c r="O1043"/>
  <c r="AW1042"/>
  <c r="BI1035"/>
  <c r="AU1042"/>
  <c r="AS1042"/>
  <c r="AP1042"/>
  <c r="AM1042"/>
  <c r="AL1042"/>
  <c r="AA1042"/>
  <c r="O1042"/>
  <c r="AW1041"/>
  <c r="BI1034"/>
  <c r="AV1041"/>
  <c r="AU1041"/>
  <c r="AT1041"/>
  <c r="AS1041"/>
  <c r="AR1041"/>
  <c r="AP1041"/>
  <c r="AM1041"/>
  <c r="AL1041"/>
  <c r="AK1041"/>
  <c r="AH1041"/>
  <c r="AG1041"/>
  <c r="AA1041"/>
  <c r="O1041"/>
  <c r="M1041"/>
  <c r="AW1040"/>
  <c r="BH1040"/>
  <c r="AV1040"/>
  <c r="AU1040"/>
  <c r="AT1040"/>
  <c r="AS1040"/>
  <c r="AR1040"/>
  <c r="AP1040"/>
  <c r="AM1040"/>
  <c r="AL1040"/>
  <c r="AK1040"/>
  <c r="AH1040"/>
  <c r="AG1040"/>
  <c r="AA1040"/>
  <c r="O1040"/>
  <c r="M1040"/>
  <c r="BI1032"/>
  <c r="BH1039"/>
  <c r="AQ1039"/>
  <c r="AP1039"/>
  <c r="AD1039"/>
  <c r="AC1039"/>
  <c r="AA1039"/>
  <c r="Z1039"/>
  <c r="Y1039"/>
  <c r="X1039"/>
  <c r="W1039"/>
  <c r="V1039"/>
  <c r="S1039"/>
  <c r="R1039"/>
  <c r="Q1039"/>
  <c r="P1039"/>
  <c r="N1039"/>
  <c r="L1039"/>
  <c r="BI1031"/>
  <c r="BH1038"/>
  <c r="AP1038"/>
  <c r="AA1038"/>
  <c r="BI1030"/>
  <c r="BH1037"/>
  <c r="AP1037"/>
  <c r="AA1037"/>
  <c r="BI1029"/>
  <c r="BH1036"/>
  <c r="AP1036"/>
  <c r="AA1036"/>
  <c r="BI1028"/>
  <c r="BH1035"/>
  <c r="AQ1035"/>
  <c r="AP1035"/>
  <c r="AD1035"/>
  <c r="AC1035"/>
  <c r="AA1035"/>
  <c r="Z1035"/>
  <c r="Y1035"/>
  <c r="X1035"/>
  <c r="W1035"/>
  <c r="V1035"/>
  <c r="S1035"/>
  <c r="R1035"/>
  <c r="Q1035"/>
  <c r="P1035"/>
  <c r="O1035"/>
  <c r="N1035"/>
  <c r="M1035"/>
  <c r="L1035"/>
  <c r="BI1027"/>
  <c r="BH1034"/>
  <c r="AP1034"/>
  <c r="AA1034"/>
  <c r="AW1033"/>
  <c r="BH1033"/>
  <c r="AV1033"/>
  <c r="AU1033"/>
  <c r="AT1033"/>
  <c r="AS1033"/>
  <c r="AR1033"/>
  <c r="AP1033"/>
  <c r="AM1033"/>
  <c r="AL1033"/>
  <c r="AK1033"/>
  <c r="AH1033"/>
  <c r="AG1033"/>
  <c r="AA1033"/>
  <c r="O1033"/>
  <c r="M1033"/>
  <c r="AW1032"/>
  <c r="BI1025"/>
  <c r="AV1032"/>
  <c r="AU1032"/>
  <c r="AT1032"/>
  <c r="AS1032"/>
  <c r="AR1032"/>
  <c r="AP1032"/>
  <c r="AM1032"/>
  <c r="AL1032"/>
  <c r="AK1032"/>
  <c r="AH1032"/>
  <c r="AG1032"/>
  <c r="AA1032"/>
  <c r="O1032"/>
  <c r="M1032"/>
  <c r="AW1031"/>
  <c r="BI1024"/>
  <c r="AV1031"/>
  <c r="AT1031"/>
  <c r="AR1031"/>
  <c r="AP1031"/>
  <c r="AK1031"/>
  <c r="AA1031"/>
  <c r="O1031"/>
  <c r="M1031"/>
  <c r="AW1030"/>
  <c r="AV1030"/>
  <c r="AU1030"/>
  <c r="AT1030"/>
  <c r="AS1030"/>
  <c r="AR1030"/>
  <c r="AP1030"/>
  <c r="AM1030"/>
  <c r="AL1030"/>
  <c r="AK1030"/>
  <c r="AH1030"/>
  <c r="AG1030"/>
  <c r="AA1030"/>
  <c r="O1030"/>
  <c r="M1030"/>
  <c r="AW1029"/>
  <c r="AV1029"/>
  <c r="AU1029"/>
  <c r="AT1029"/>
  <c r="AS1029"/>
  <c r="AR1029"/>
  <c r="AP1029"/>
  <c r="AM1029"/>
  <c r="AL1029"/>
  <c r="AK1029"/>
  <c r="AH1029"/>
  <c r="AG1029"/>
  <c r="AA1029"/>
  <c r="O1029"/>
  <c r="AF1029"/>
  <c r="M1029"/>
  <c r="AW1028"/>
  <c r="BI1021"/>
  <c r="AU1028"/>
  <c r="AS1028"/>
  <c r="AP1028"/>
  <c r="AM1028"/>
  <c r="AL1028"/>
  <c r="AA1028"/>
  <c r="O1028"/>
  <c r="AW1027"/>
  <c r="AP1027"/>
  <c r="AA1027"/>
  <c r="O1027"/>
  <c r="AW1026"/>
  <c r="BH1026"/>
  <c r="AV1026"/>
  <c r="AU1026"/>
  <c r="AT1026"/>
  <c r="AS1026"/>
  <c r="AR1026"/>
  <c r="AP1026"/>
  <c r="AM1026"/>
  <c r="AL1026"/>
  <c r="AK1026"/>
  <c r="AH1026"/>
  <c r="AG1026"/>
  <c r="AA1026"/>
  <c r="O1026"/>
  <c r="AF1026"/>
  <c r="M1026"/>
  <c r="AW1025"/>
  <c r="BI1018"/>
  <c r="AV1025"/>
  <c r="AU1025"/>
  <c r="AT1025"/>
  <c r="AS1025"/>
  <c r="AR1025"/>
  <c r="AP1025"/>
  <c r="AM1025"/>
  <c r="AL1025"/>
  <c r="AK1025"/>
  <c r="AH1025"/>
  <c r="AG1025"/>
  <c r="AA1025"/>
  <c r="O1025"/>
  <c r="AF1025"/>
  <c r="M1025"/>
  <c r="BI1017"/>
  <c r="BH1024"/>
  <c r="AQ1024"/>
  <c r="AP1024"/>
  <c r="AD1024"/>
  <c r="AC1024"/>
  <c r="AA1024"/>
  <c r="Z1024"/>
  <c r="Y1024"/>
  <c r="X1024"/>
  <c r="W1024"/>
  <c r="V1024"/>
  <c r="S1024"/>
  <c r="R1024"/>
  <c r="Q1024"/>
  <c r="P1024"/>
  <c r="N1024"/>
  <c r="L1024"/>
  <c r="BI1016"/>
  <c r="BH1023"/>
  <c r="AP1023"/>
  <c r="AA1023"/>
  <c r="AW1022"/>
  <c r="AV1022"/>
  <c r="AU1022"/>
  <c r="AT1022"/>
  <c r="AS1022"/>
  <c r="AR1022"/>
  <c r="AP1022"/>
  <c r="AM1022"/>
  <c r="AL1022"/>
  <c r="AK1022"/>
  <c r="AH1022"/>
  <c r="AG1022"/>
  <c r="AA1022"/>
  <c r="O1022"/>
  <c r="M1022"/>
  <c r="AW1021"/>
  <c r="AP1021"/>
  <c r="AA1021"/>
  <c r="O1021"/>
  <c r="AW1020"/>
  <c r="BI1013"/>
  <c r="AV1020"/>
  <c r="AU1020"/>
  <c r="AT1020"/>
  <c r="AS1020"/>
  <c r="AR1020"/>
  <c r="AP1020"/>
  <c r="AM1020"/>
  <c r="AL1020"/>
  <c r="AK1020"/>
  <c r="AH1020"/>
  <c r="AG1020"/>
  <c r="AA1020"/>
  <c r="O1020"/>
  <c r="AF1020"/>
  <c r="M1020"/>
  <c r="AW1019"/>
  <c r="AV1019"/>
  <c r="AU1019"/>
  <c r="AT1019"/>
  <c r="AS1019"/>
  <c r="AR1019"/>
  <c r="AP1019"/>
  <c r="AM1019"/>
  <c r="AL1019"/>
  <c r="AK1019"/>
  <c r="AH1019"/>
  <c r="AG1019"/>
  <c r="AA1019"/>
  <c r="O1019"/>
  <c r="M1019"/>
  <c r="AW1018"/>
  <c r="BI1011"/>
  <c r="AV1018"/>
  <c r="AV230"/>
  <c r="AU1018"/>
  <c r="AU230"/>
  <c r="AT1018"/>
  <c r="AT230"/>
  <c r="AS1018"/>
  <c r="AR1018"/>
  <c r="AR230"/>
  <c r="AP1018"/>
  <c r="AM1018"/>
  <c r="AL1018"/>
  <c r="AK1018"/>
  <c r="AH1018"/>
  <c r="AG1018"/>
  <c r="AA1018"/>
  <c r="AA230"/>
  <c r="O1018"/>
  <c r="AF1018"/>
  <c r="M1018"/>
  <c r="M230"/>
  <c r="AW1017"/>
  <c r="BI1010"/>
  <c r="AV1017"/>
  <c r="AU1017"/>
  <c r="AT1017"/>
  <c r="AS1017"/>
  <c r="AR1017"/>
  <c r="AP1017"/>
  <c r="AM1017"/>
  <c r="AL1017"/>
  <c r="AK1017"/>
  <c r="AH1017"/>
  <c r="AG1017"/>
  <c r="AA1017"/>
  <c r="O1017"/>
  <c r="AF1017"/>
  <c r="M1017"/>
  <c r="BI1009"/>
  <c r="BH1016"/>
  <c r="AQ1016"/>
  <c r="AP1016"/>
  <c r="AD1016"/>
  <c r="AC1016"/>
  <c r="AA1016"/>
  <c r="Z1016"/>
  <c r="Y1016"/>
  <c r="X1016"/>
  <c r="W1016"/>
  <c r="V1016"/>
  <c r="S1016"/>
  <c r="R1016"/>
  <c r="Q1016"/>
  <c r="P1016"/>
  <c r="N1016"/>
  <c r="L1016"/>
  <c r="BI1008"/>
  <c r="BH1015"/>
  <c r="AP1015"/>
  <c r="AA1015"/>
  <c r="BI1007"/>
  <c r="BH1014"/>
  <c r="AP1014"/>
  <c r="AA1014"/>
  <c r="BI1006"/>
  <c r="BH1013"/>
  <c r="AP1013"/>
  <c r="AA1013"/>
  <c r="BI1005"/>
  <c r="BH1012"/>
  <c r="AP1012"/>
  <c r="AA1012"/>
  <c r="BI1004"/>
  <c r="BH1011"/>
  <c r="AP1011"/>
  <c r="AA1011"/>
  <c r="BI1003"/>
  <c r="BH1010"/>
  <c r="AP1010"/>
  <c r="AA1010"/>
  <c r="AW1009"/>
  <c r="BI1002"/>
  <c r="AV1009"/>
  <c r="AT1009"/>
  <c r="AR1009"/>
  <c r="AP1009"/>
  <c r="AK1009"/>
  <c r="AA1009"/>
  <c r="O1009"/>
  <c r="AW1008"/>
  <c r="AV1008"/>
  <c r="AU1008"/>
  <c r="AT1008"/>
  <c r="AS1008"/>
  <c r="AR1008"/>
  <c r="AP1008"/>
  <c r="AM1008"/>
  <c r="AL1008"/>
  <c r="AK1008"/>
  <c r="AH1008"/>
  <c r="AG1008"/>
  <c r="AA1008"/>
  <c r="O1008"/>
  <c r="AF1008"/>
  <c r="M1008"/>
  <c r="AW1007"/>
  <c r="BH1007"/>
  <c r="AV1007"/>
  <c r="AU1007"/>
  <c r="AT1007"/>
  <c r="AS1007"/>
  <c r="AR1007"/>
  <c r="AP1007"/>
  <c r="AM1007"/>
  <c r="AL1007"/>
  <c r="AK1007"/>
  <c r="AH1007"/>
  <c r="AG1007"/>
  <c r="AA1007"/>
  <c r="O1007"/>
  <c r="AF1007"/>
  <c r="M1007"/>
  <c r="AW1006"/>
  <c r="BI999"/>
  <c r="AV1006"/>
  <c r="AU1006"/>
  <c r="AT1006"/>
  <c r="AS1006"/>
  <c r="AR1006"/>
  <c r="AP1006"/>
  <c r="AM1006"/>
  <c r="AL1006"/>
  <c r="AK1006"/>
  <c r="AH1006"/>
  <c r="AG1006"/>
  <c r="AA1006"/>
  <c r="O1006"/>
  <c r="AF1006"/>
  <c r="M1006"/>
  <c r="BI998"/>
  <c r="BH1005"/>
  <c r="AQ1005"/>
  <c r="AP1005"/>
  <c r="AD1005"/>
  <c r="AD1004"/>
  <c r="AC1005"/>
  <c r="AC1004"/>
  <c r="AA1005"/>
  <c r="Z1005"/>
  <c r="Z1004"/>
  <c r="Y1005"/>
  <c r="X1005"/>
  <c r="X1004"/>
  <c r="W1005"/>
  <c r="V1005"/>
  <c r="V1004"/>
  <c r="S1005"/>
  <c r="S1004"/>
  <c r="R1005"/>
  <c r="AR1005"/>
  <c r="Q1005"/>
  <c r="P1005"/>
  <c r="P1004"/>
  <c r="N1005"/>
  <c r="N1004"/>
  <c r="L1005"/>
  <c r="L1004"/>
  <c r="BI997"/>
  <c r="BH1004"/>
  <c r="AP1004"/>
  <c r="AA1004"/>
  <c r="BI996"/>
  <c r="BH1003"/>
  <c r="AP1003"/>
  <c r="AA1003"/>
  <c r="AW1002"/>
  <c r="BI995"/>
  <c r="AV1002"/>
  <c r="AV217"/>
  <c r="AU1002"/>
  <c r="AT1002"/>
  <c r="AT217"/>
  <c r="AS1002"/>
  <c r="AS217"/>
  <c r="AR1002"/>
  <c r="AP1002"/>
  <c r="AM1002"/>
  <c r="AL1002"/>
  <c r="AK1002"/>
  <c r="AH1002"/>
  <c r="AG1002"/>
  <c r="AA1002"/>
  <c r="O1002"/>
  <c r="AF1002"/>
  <c r="M1002"/>
  <c r="M217"/>
  <c r="AW1001"/>
  <c r="BI994"/>
  <c r="AV1001"/>
  <c r="AU1001"/>
  <c r="AT1001"/>
  <c r="AS1001"/>
  <c r="AR1001"/>
  <c r="AP1001"/>
  <c r="AM1001"/>
  <c r="AL1001"/>
  <c r="AK1001"/>
  <c r="AH1001"/>
  <c r="AG1001"/>
  <c r="AA1001"/>
  <c r="O1001"/>
  <c r="M1001"/>
  <c r="BI993"/>
  <c r="BH1000"/>
  <c r="AP1000"/>
  <c r="AA1000"/>
  <c r="BI992"/>
  <c r="BH999"/>
  <c r="AQ999"/>
  <c r="AP999"/>
  <c r="AD999"/>
  <c r="AC999"/>
  <c r="AA999"/>
  <c r="Z999"/>
  <c r="Y999"/>
  <c r="X999"/>
  <c r="W999"/>
  <c r="V999"/>
  <c r="S999"/>
  <c r="R999"/>
  <c r="Q999"/>
  <c r="P999"/>
  <c r="N999"/>
  <c r="L999"/>
  <c r="BI991"/>
  <c r="BH998"/>
  <c r="AP998"/>
  <c r="AA998"/>
  <c r="AW997"/>
  <c r="BH997"/>
  <c r="AV997"/>
  <c r="AU997"/>
  <c r="AT997"/>
  <c r="AS997"/>
  <c r="AR997"/>
  <c r="AP997"/>
  <c r="AM997"/>
  <c r="AL997"/>
  <c r="AK997"/>
  <c r="AH997"/>
  <c r="AG997"/>
  <c r="AA997"/>
  <c r="O997"/>
  <c r="AF997"/>
  <c r="M997"/>
  <c r="M996"/>
  <c r="BI989"/>
  <c r="BH996"/>
  <c r="AQ996"/>
  <c r="AP996"/>
  <c r="AD996"/>
  <c r="AC996"/>
  <c r="AA996"/>
  <c r="Z996"/>
  <c r="Y996"/>
  <c r="X996"/>
  <c r="W996"/>
  <c r="V996"/>
  <c r="S996"/>
  <c r="R996"/>
  <c r="Q996"/>
  <c r="P996"/>
  <c r="N996"/>
  <c r="L996"/>
  <c r="BI988"/>
  <c r="BH995"/>
  <c r="AP995"/>
  <c r="AA995"/>
  <c r="AW994"/>
  <c r="BI987"/>
  <c r="AV994"/>
  <c r="AU994"/>
  <c r="AT994"/>
  <c r="AS994"/>
  <c r="AR994"/>
  <c r="AP994"/>
  <c r="AM994"/>
  <c r="AL994"/>
  <c r="AK994"/>
  <c r="AH994"/>
  <c r="AG994"/>
  <c r="AA994"/>
  <c r="O994"/>
  <c r="M994"/>
  <c r="M993"/>
  <c r="BI986"/>
  <c r="BH993"/>
  <c r="AQ993"/>
  <c r="AP993"/>
  <c r="AD993"/>
  <c r="AC993"/>
  <c r="AA993"/>
  <c r="Z993"/>
  <c r="Y993"/>
  <c r="X993"/>
  <c r="W993"/>
  <c r="V993"/>
  <c r="S993"/>
  <c r="R993"/>
  <c r="Q993"/>
  <c r="P993"/>
  <c r="N993"/>
  <c r="L993"/>
  <c r="BI985"/>
  <c r="BH992"/>
  <c r="AP992"/>
  <c r="AA992"/>
  <c r="BI984"/>
  <c r="BH991"/>
  <c r="AP991"/>
  <c r="AA991"/>
  <c r="BI983"/>
  <c r="BH990"/>
  <c r="AP990"/>
  <c r="AA990"/>
  <c r="BI982"/>
  <c r="BH989"/>
  <c r="AP989"/>
  <c r="AA989"/>
  <c r="BI981"/>
  <c r="BH988"/>
  <c r="AP988"/>
  <c r="AA988"/>
  <c r="BI980"/>
  <c r="AP987"/>
  <c r="AA987"/>
  <c r="BI979"/>
  <c r="BH986"/>
  <c r="AP986"/>
  <c r="AA986"/>
  <c r="BH985"/>
  <c r="AP985"/>
  <c r="AA985"/>
  <c r="BI977"/>
  <c r="BJ977"/>
  <c r="BH984"/>
  <c r="AP984"/>
  <c r="AA984"/>
  <c r="BI976"/>
  <c r="BJ976"/>
  <c r="BH983"/>
  <c r="AP983"/>
  <c r="AA983"/>
  <c r="S983"/>
  <c r="BI975"/>
  <c r="BJ975"/>
  <c r="BH982"/>
  <c r="AV982"/>
  <c r="AU982"/>
  <c r="AT982"/>
  <c r="AS982"/>
  <c r="AR982"/>
  <c r="AP982"/>
  <c r="AM982"/>
  <c r="AL982"/>
  <c r="AK982"/>
  <c r="AA982"/>
  <c r="S982"/>
  <c r="O982"/>
  <c r="M982"/>
  <c r="M981"/>
  <c r="M980"/>
  <c r="M979"/>
  <c r="M977"/>
  <c r="M976"/>
  <c r="BI974"/>
  <c r="BH981"/>
  <c r="AQ981"/>
  <c r="AQ980"/>
  <c r="AP981"/>
  <c r="AD981"/>
  <c r="AD980"/>
  <c r="AD979"/>
  <c r="AD977"/>
  <c r="AD976"/>
  <c r="AC981"/>
  <c r="AC980"/>
  <c r="AC979"/>
  <c r="AC977"/>
  <c r="AC976"/>
  <c r="AA981"/>
  <c r="Z981"/>
  <c r="Z980"/>
  <c r="Z979"/>
  <c r="Z977"/>
  <c r="Z976"/>
  <c r="Y981"/>
  <c r="X981"/>
  <c r="W981"/>
  <c r="V981"/>
  <c r="V980"/>
  <c r="V979"/>
  <c r="V977"/>
  <c r="R981"/>
  <c r="R980"/>
  <c r="Q981"/>
  <c r="Q980"/>
  <c r="Q979"/>
  <c r="Q977"/>
  <c r="Q976"/>
  <c r="P981"/>
  <c r="P980"/>
  <c r="P979"/>
  <c r="P977"/>
  <c r="P976"/>
  <c r="N981"/>
  <c r="N980"/>
  <c r="N979"/>
  <c r="N977"/>
  <c r="N976"/>
  <c r="L981"/>
  <c r="L980"/>
  <c r="L979"/>
  <c r="L977"/>
  <c r="L976"/>
  <c r="BI973"/>
  <c r="BH980"/>
  <c r="AP980"/>
  <c r="AA980"/>
  <c r="BI972"/>
  <c r="BH979"/>
  <c r="AP979"/>
  <c r="AA979"/>
  <c r="BI971"/>
  <c r="BH978"/>
  <c r="AP978"/>
  <c r="AA978"/>
  <c r="S978"/>
  <c r="BI970"/>
  <c r="BH977"/>
  <c r="AP977"/>
  <c r="AA977"/>
  <c r="BI969"/>
  <c r="BH976"/>
  <c r="AP976"/>
  <c r="AA976"/>
  <c r="BI968"/>
  <c r="BJ968"/>
  <c r="BH975"/>
  <c r="AP975"/>
  <c r="AA975"/>
  <c r="S975"/>
  <c r="BI967"/>
  <c r="BJ967"/>
  <c r="BH974"/>
  <c r="AP974"/>
  <c r="AA974"/>
  <c r="S974"/>
  <c r="BI966"/>
  <c r="BJ966"/>
  <c r="BH973"/>
  <c r="AP973"/>
  <c r="AA973"/>
  <c r="S973"/>
  <c r="BI965"/>
  <c r="BH972"/>
  <c r="AQ972"/>
  <c r="AQ970"/>
  <c r="AP972"/>
  <c r="AD972"/>
  <c r="AD970"/>
  <c r="AD969"/>
  <c r="AC972"/>
  <c r="AC970"/>
  <c r="AA972"/>
  <c r="Z972"/>
  <c r="Z970"/>
  <c r="Z967"/>
  <c r="Y972"/>
  <c r="Y970"/>
  <c r="X972"/>
  <c r="X970"/>
  <c r="W972"/>
  <c r="W970"/>
  <c r="V972"/>
  <c r="V970"/>
  <c r="R972"/>
  <c r="R970"/>
  <c r="Q972"/>
  <c r="Q970"/>
  <c r="P972"/>
  <c r="P970"/>
  <c r="O972"/>
  <c r="O970"/>
  <c r="N972"/>
  <c r="N970"/>
  <c r="N967"/>
  <c r="M972"/>
  <c r="M970"/>
  <c r="L972"/>
  <c r="L970"/>
  <c r="BI964"/>
  <c r="BJ964"/>
  <c r="BH971"/>
  <c r="AP971"/>
  <c r="AA971"/>
  <c r="S971"/>
  <c r="BI963"/>
  <c r="BH970"/>
  <c r="AP970"/>
  <c r="AA970"/>
  <c r="BI962"/>
  <c r="BH969"/>
  <c r="AP969"/>
  <c r="AA969"/>
  <c r="BI961"/>
  <c r="BJ961"/>
  <c r="BH968"/>
  <c r="AP968"/>
  <c r="AA968"/>
  <c r="S968"/>
  <c r="BI960"/>
  <c r="BH967"/>
  <c r="AP967"/>
  <c r="AA967"/>
  <c r="BI959"/>
  <c r="BJ959"/>
  <c r="BH966"/>
  <c r="AP966"/>
  <c r="AA966"/>
  <c r="S966"/>
  <c r="BI958"/>
  <c r="BJ958"/>
  <c r="BH965"/>
  <c r="AP965"/>
  <c r="AA965"/>
  <c r="S965"/>
  <c r="BI957"/>
  <c r="BJ957"/>
  <c r="BH964"/>
  <c r="AU964"/>
  <c r="AS964"/>
  <c r="AP964"/>
  <c r="AM964"/>
  <c r="AL964"/>
  <c r="AA964"/>
  <c r="S964"/>
  <c r="M964"/>
  <c r="AE964"/>
  <c r="BI956"/>
  <c r="BJ956"/>
  <c r="BH963"/>
  <c r="AP963"/>
  <c r="AA963"/>
  <c r="S963"/>
  <c r="BI955"/>
  <c r="BJ955"/>
  <c r="BH962"/>
  <c r="AV962"/>
  <c r="AT962"/>
  <c r="AR962"/>
  <c r="AP962"/>
  <c r="AK962"/>
  <c r="AA962"/>
  <c r="S962"/>
  <c r="M962"/>
  <c r="AE962"/>
  <c r="BI954"/>
  <c r="BJ954"/>
  <c r="BH961"/>
  <c r="AV961"/>
  <c r="AT961"/>
  <c r="AR961"/>
  <c r="AP961"/>
  <c r="AK961"/>
  <c r="AA961"/>
  <c r="S961"/>
  <c r="M961"/>
  <c r="AE961"/>
  <c r="BI953"/>
  <c r="BJ953"/>
  <c r="BH960"/>
  <c r="AP960"/>
  <c r="AA960"/>
  <c r="S960"/>
  <c r="BI952"/>
  <c r="BJ952"/>
  <c r="BH959"/>
  <c r="AP959"/>
  <c r="AA959"/>
  <c r="S959"/>
  <c r="BI951"/>
  <c r="BJ951"/>
  <c r="BH958"/>
  <c r="AP958"/>
  <c r="AA958"/>
  <c r="S958"/>
  <c r="BI950"/>
  <c r="BJ950"/>
  <c r="BH957"/>
  <c r="AV957"/>
  <c r="AU957"/>
  <c r="AT957"/>
  <c r="AS957"/>
  <c r="AR957"/>
  <c r="AP957"/>
  <c r="AM957"/>
  <c r="AL957"/>
  <c r="AK957"/>
  <c r="AH957"/>
  <c r="AG957"/>
  <c r="AA957"/>
  <c r="S957"/>
  <c r="O957"/>
  <c r="AF957"/>
  <c r="M957"/>
  <c r="BG956"/>
  <c r="BF956"/>
  <c r="BE956"/>
  <c r="BE955"/>
  <c r="BD956"/>
  <c r="BC956"/>
  <c r="BC955"/>
  <c r="BB956"/>
  <c r="BB955"/>
  <c r="BA956"/>
  <c r="BA955"/>
  <c r="AZ956"/>
  <c r="AZ955"/>
  <c r="AY956"/>
  <c r="AX956"/>
  <c r="AX955"/>
  <c r="AW956"/>
  <c r="AQ956"/>
  <c r="AP956"/>
  <c r="AH956"/>
  <c r="AG956"/>
  <c r="AA956"/>
  <c r="Z956"/>
  <c r="Z955"/>
  <c r="Z954"/>
  <c r="Z953"/>
  <c r="Z951"/>
  <c r="Y956"/>
  <c r="Y955"/>
  <c r="X956"/>
  <c r="W956"/>
  <c r="V956"/>
  <c r="R956"/>
  <c r="O956"/>
  <c r="M956"/>
  <c r="M955"/>
  <c r="M954"/>
  <c r="M953"/>
  <c r="M951"/>
  <c r="BG955"/>
  <c r="BF955"/>
  <c r="AY955"/>
  <c r="AP955"/>
  <c r="AD955"/>
  <c r="AD954"/>
  <c r="AD953"/>
  <c r="AD951"/>
  <c r="AC955"/>
  <c r="AC954"/>
  <c r="AC953"/>
  <c r="AA955"/>
  <c r="Q955"/>
  <c r="P955"/>
  <c r="P954"/>
  <c r="P953"/>
  <c r="N955"/>
  <c r="N954"/>
  <c r="N953"/>
  <c r="N951"/>
  <c r="L955"/>
  <c r="L954"/>
  <c r="L953"/>
  <c r="L951"/>
  <c r="BI947"/>
  <c r="BH954"/>
  <c r="AP954"/>
  <c r="AA954"/>
  <c r="BI946"/>
  <c r="BH953"/>
  <c r="AP953"/>
  <c r="AA953"/>
  <c r="BI945"/>
  <c r="BH952"/>
  <c r="AP952"/>
  <c r="AA952"/>
  <c r="S952"/>
  <c r="BI944"/>
  <c r="BH951"/>
  <c r="AP951"/>
  <c r="AA951"/>
  <c r="BI943"/>
  <c r="BJ943"/>
  <c r="BH950"/>
  <c r="AP950"/>
  <c r="AA950"/>
  <c r="S950"/>
  <c r="AW949"/>
  <c r="BH949"/>
  <c r="AV949"/>
  <c r="AU949"/>
  <c r="AT949"/>
  <c r="AS949"/>
  <c r="AR949"/>
  <c r="AP949"/>
  <c r="AM949"/>
  <c r="AL949"/>
  <c r="AK949"/>
  <c r="AH949"/>
  <c r="AG949"/>
  <c r="AA949"/>
  <c r="S949"/>
  <c r="O949"/>
  <c r="AF949"/>
  <c r="M949"/>
  <c r="AW948"/>
  <c r="BH948"/>
  <c r="AV948"/>
  <c r="AU948"/>
  <c r="AT948"/>
  <c r="AT947"/>
  <c r="AT290"/>
  <c r="AS948"/>
  <c r="AS947"/>
  <c r="AS290"/>
  <c r="AR948"/>
  <c r="AR947"/>
  <c r="AR290"/>
  <c r="AP948"/>
  <c r="AM948"/>
  <c r="AL948"/>
  <c r="AK948"/>
  <c r="AH948"/>
  <c r="AG948"/>
  <c r="AA948"/>
  <c r="S948"/>
  <c r="O948"/>
  <c r="M948"/>
  <c r="M947"/>
  <c r="M290"/>
  <c r="AQ947"/>
  <c r="AQ290"/>
  <c r="AP947"/>
  <c r="AD947"/>
  <c r="AD290"/>
  <c r="AC947"/>
  <c r="AC290"/>
  <c r="AA947"/>
  <c r="AA290"/>
  <c r="Z947"/>
  <c r="Y947"/>
  <c r="Y290"/>
  <c r="X947"/>
  <c r="X290"/>
  <c r="W947"/>
  <c r="W290"/>
  <c r="V947"/>
  <c r="V290"/>
  <c r="R947"/>
  <c r="R290"/>
  <c r="Q947"/>
  <c r="Q290"/>
  <c r="P947"/>
  <c r="P290"/>
  <c r="N947"/>
  <c r="N290"/>
  <c r="L947"/>
  <c r="L290"/>
  <c r="BI939"/>
  <c r="BJ939"/>
  <c r="BH946"/>
  <c r="AP946"/>
  <c r="AA946"/>
  <c r="S946"/>
  <c r="AW945"/>
  <c r="AV945"/>
  <c r="AU945"/>
  <c r="AT945"/>
  <c r="AS945"/>
  <c r="AR945"/>
  <c r="AP945"/>
  <c r="AM945"/>
  <c r="AL945"/>
  <c r="AK945"/>
  <c r="AH945"/>
  <c r="AG945"/>
  <c r="AA945"/>
  <c r="S945"/>
  <c r="O945"/>
  <c r="AF945"/>
  <c r="M945"/>
  <c r="BI937"/>
  <c r="BJ937"/>
  <c r="BH944"/>
  <c r="AU944"/>
  <c r="AS944"/>
  <c r="AP944"/>
  <c r="AM944"/>
  <c r="AL944"/>
  <c r="AA944"/>
  <c r="S944"/>
  <c r="O944"/>
  <c r="BI936"/>
  <c r="BJ936"/>
  <c r="BH943"/>
  <c r="AU943"/>
  <c r="AS943"/>
  <c r="AP943"/>
  <c r="AM943"/>
  <c r="AL943"/>
  <c r="AH943"/>
  <c r="AG943"/>
  <c r="AA943"/>
  <c r="S943"/>
  <c r="O943"/>
  <c r="AW942"/>
  <c r="AV942"/>
  <c r="AU942"/>
  <c r="AT942"/>
  <c r="AS942"/>
  <c r="AR942"/>
  <c r="AP942"/>
  <c r="AM942"/>
  <c r="AL942"/>
  <c r="AK942"/>
  <c r="AH942"/>
  <c r="AG942"/>
  <c r="AA942"/>
  <c r="S942"/>
  <c r="O942"/>
  <c r="AF942"/>
  <c r="M942"/>
  <c r="AQ941"/>
  <c r="AQ289"/>
  <c r="AP941"/>
  <c r="AD941"/>
  <c r="AD289"/>
  <c r="AC941"/>
  <c r="AC289"/>
  <c r="AA941"/>
  <c r="AA289"/>
  <c r="Z941"/>
  <c r="Y941"/>
  <c r="Y289"/>
  <c r="Y288"/>
  <c r="Y285"/>
  <c r="X941"/>
  <c r="W941"/>
  <c r="W289"/>
  <c r="V941"/>
  <c r="V289"/>
  <c r="R941"/>
  <c r="Q941"/>
  <c r="Q289"/>
  <c r="P941"/>
  <c r="N941"/>
  <c r="L941"/>
  <c r="L289"/>
  <c r="BI933"/>
  <c r="BH940"/>
  <c r="AP940"/>
  <c r="AA940"/>
  <c r="S940"/>
  <c r="AP939"/>
  <c r="AA939"/>
  <c r="BI931"/>
  <c r="BH938"/>
  <c r="AP938"/>
  <c r="AA938"/>
  <c r="BI930"/>
  <c r="BH937"/>
  <c r="AP937"/>
  <c r="AA937"/>
  <c r="BI929"/>
  <c r="BH936"/>
  <c r="AP936"/>
  <c r="AA936"/>
  <c r="S936"/>
  <c r="BI928"/>
  <c r="BH935"/>
  <c r="AP935"/>
  <c r="AA935"/>
  <c r="BI927"/>
  <c r="BH934"/>
  <c r="AP934"/>
  <c r="AA934"/>
  <c r="BI926"/>
  <c r="BJ926"/>
  <c r="BH933"/>
  <c r="AP933"/>
  <c r="AA933"/>
  <c r="S933"/>
  <c r="BI925"/>
  <c r="BJ925"/>
  <c r="BH932"/>
  <c r="AP932"/>
  <c r="AA932"/>
  <c r="S932"/>
  <c r="S931"/>
  <c r="S930"/>
  <c r="S929"/>
  <c r="S928"/>
  <c r="S926"/>
  <c r="BI924"/>
  <c r="BH931"/>
  <c r="BH283"/>
  <c r="AQ931"/>
  <c r="AQ930"/>
  <c r="AP931"/>
  <c r="AD931"/>
  <c r="AD930"/>
  <c r="AD929"/>
  <c r="AD928"/>
  <c r="AD926"/>
  <c r="AC931"/>
  <c r="AC930"/>
  <c r="AC929"/>
  <c r="AC928"/>
  <c r="AC926"/>
  <c r="AA931"/>
  <c r="AA283"/>
  <c r="Z931"/>
  <c r="Z930"/>
  <c r="Z929"/>
  <c r="Z928"/>
  <c r="Z926"/>
  <c r="Y931"/>
  <c r="X931"/>
  <c r="X930"/>
  <c r="X929"/>
  <c r="X928"/>
  <c r="X926"/>
  <c r="W931"/>
  <c r="W930"/>
  <c r="W929"/>
  <c r="W928"/>
  <c r="W926"/>
  <c r="V931"/>
  <c r="V930"/>
  <c r="V929"/>
  <c r="V928"/>
  <c r="V926"/>
  <c r="R931"/>
  <c r="R930"/>
  <c r="R929"/>
  <c r="R928"/>
  <c r="R926"/>
  <c r="Q931"/>
  <c r="Q930"/>
  <c r="Q929"/>
  <c r="Q928"/>
  <c r="Q926"/>
  <c r="P931"/>
  <c r="P930"/>
  <c r="P929"/>
  <c r="P928"/>
  <c r="P926"/>
  <c r="O931"/>
  <c r="O930"/>
  <c r="O929"/>
  <c r="O928"/>
  <c r="O926"/>
  <c r="N931"/>
  <c r="N930"/>
  <c r="N929"/>
  <c r="N928"/>
  <c r="N926"/>
  <c r="M931"/>
  <c r="M930"/>
  <c r="M929"/>
  <c r="M928"/>
  <c r="M926"/>
  <c r="L931"/>
  <c r="L930"/>
  <c r="L929"/>
  <c r="L928"/>
  <c r="L926"/>
  <c r="BI923"/>
  <c r="BH930"/>
  <c r="AP930"/>
  <c r="AA930"/>
  <c r="Y930"/>
  <c r="Y929"/>
  <c r="Y928"/>
  <c r="Y926"/>
  <c r="BI922"/>
  <c r="BH929"/>
  <c r="AP929"/>
  <c r="AA929"/>
  <c r="BI921"/>
  <c r="BH928"/>
  <c r="AP928"/>
  <c r="AA928"/>
  <c r="BI920"/>
  <c r="BJ920"/>
  <c r="BH927"/>
  <c r="AP927"/>
  <c r="AA927"/>
  <c r="S927"/>
  <c r="BI919"/>
  <c r="BH926"/>
  <c r="AP926"/>
  <c r="AA926"/>
  <c r="BI918"/>
  <c r="BJ918"/>
  <c r="BH925"/>
  <c r="AP925"/>
  <c r="AA925"/>
  <c r="S925"/>
  <c r="BI917"/>
  <c r="BJ917"/>
  <c r="BH924"/>
  <c r="AP924"/>
  <c r="AA924"/>
  <c r="S924"/>
  <c r="BI916"/>
  <c r="BJ916"/>
  <c r="BH923"/>
  <c r="AP923"/>
  <c r="AA923"/>
  <c r="S923"/>
  <c r="BI915"/>
  <c r="BH922"/>
  <c r="AQ922"/>
  <c r="AQ921"/>
  <c r="AP922"/>
  <c r="AD922"/>
  <c r="AD921"/>
  <c r="AD920"/>
  <c r="AC922"/>
  <c r="AC921"/>
  <c r="AC920"/>
  <c r="AA922"/>
  <c r="Z922"/>
  <c r="Z921"/>
  <c r="Z920"/>
  <c r="Y922"/>
  <c r="Y921"/>
  <c r="Y920"/>
  <c r="X922"/>
  <c r="W922"/>
  <c r="W921"/>
  <c r="W920"/>
  <c r="V922"/>
  <c r="V921"/>
  <c r="V920"/>
  <c r="R922"/>
  <c r="R921"/>
  <c r="R920"/>
  <c r="Q922"/>
  <c r="Q921"/>
  <c r="Q920"/>
  <c r="P922"/>
  <c r="P921"/>
  <c r="P920"/>
  <c r="O922"/>
  <c r="O921"/>
  <c r="O920"/>
  <c r="N922"/>
  <c r="N921"/>
  <c r="N920"/>
  <c r="M922"/>
  <c r="M921"/>
  <c r="M920"/>
  <c r="L922"/>
  <c r="L921"/>
  <c r="L920"/>
  <c r="BI914"/>
  <c r="BH921"/>
  <c r="AP921"/>
  <c r="AA921"/>
  <c r="X921"/>
  <c r="X920"/>
  <c r="BI913"/>
  <c r="BH920"/>
  <c r="AP920"/>
  <c r="AA920"/>
  <c r="BI912"/>
  <c r="BJ912"/>
  <c r="BH919"/>
  <c r="AP919"/>
  <c r="AA919"/>
  <c r="S919"/>
  <c r="BI911"/>
  <c r="BJ911"/>
  <c r="BH918"/>
  <c r="AP918"/>
  <c r="AM918"/>
  <c r="AA918"/>
  <c r="S918"/>
  <c r="O918"/>
  <c r="AW917"/>
  <c r="AV917"/>
  <c r="AU917"/>
  <c r="AT917"/>
  <c r="AS917"/>
  <c r="AR917"/>
  <c r="AP917"/>
  <c r="AM917"/>
  <c r="AL917"/>
  <c r="AK917"/>
  <c r="AA917"/>
  <c r="S917"/>
  <c r="O917"/>
  <c r="AW916"/>
  <c r="AV916"/>
  <c r="AU916"/>
  <c r="AT916"/>
  <c r="AS916"/>
  <c r="AR916"/>
  <c r="AP916"/>
  <c r="AM916"/>
  <c r="AL916"/>
  <c r="AK916"/>
  <c r="AH916"/>
  <c r="AG916"/>
  <c r="AA916"/>
  <c r="S916"/>
  <c r="O916"/>
  <c r="M916"/>
  <c r="M915"/>
  <c r="M914"/>
  <c r="M913"/>
  <c r="M912"/>
  <c r="M910"/>
  <c r="AQ915"/>
  <c r="AQ914"/>
  <c r="AQ913"/>
  <c r="AP915"/>
  <c r="AD915"/>
  <c r="AD914"/>
  <c r="AD913"/>
  <c r="AD912"/>
  <c r="AD910"/>
  <c r="AC915"/>
  <c r="AC914"/>
  <c r="AC913"/>
  <c r="AC912"/>
  <c r="AC910"/>
  <c r="AA915"/>
  <c r="Z915"/>
  <c r="Z914"/>
  <c r="Z913"/>
  <c r="Z912"/>
  <c r="Z910"/>
  <c r="Y915"/>
  <c r="Y282"/>
  <c r="X915"/>
  <c r="X282"/>
  <c r="W915"/>
  <c r="W282"/>
  <c r="V915"/>
  <c r="V282"/>
  <c r="R915"/>
  <c r="R914"/>
  <c r="R913"/>
  <c r="R912"/>
  <c r="R910"/>
  <c r="Q915"/>
  <c r="Q914"/>
  <c r="P915"/>
  <c r="P914"/>
  <c r="P913"/>
  <c r="P912"/>
  <c r="N915"/>
  <c r="N914"/>
  <c r="N913"/>
  <c r="N912"/>
  <c r="N910"/>
  <c r="L915"/>
  <c r="L914"/>
  <c r="L913"/>
  <c r="L912"/>
  <c r="L910"/>
  <c r="AP914"/>
  <c r="AA914"/>
  <c r="BI906"/>
  <c r="BH913"/>
  <c r="AP913"/>
  <c r="AA913"/>
  <c r="BI905"/>
  <c r="BH912"/>
  <c r="AP912"/>
  <c r="AA912"/>
  <c r="BI904"/>
  <c r="BH911"/>
  <c r="AP911"/>
  <c r="AA911"/>
  <c r="S911"/>
  <c r="BI903"/>
  <c r="BH910"/>
  <c r="AP910"/>
  <c r="AA910"/>
  <c r="BI902"/>
  <c r="BH909"/>
  <c r="AP909"/>
  <c r="AA909"/>
  <c r="BI901"/>
  <c r="BJ901"/>
  <c r="BH908"/>
  <c r="AP908"/>
  <c r="AA908"/>
  <c r="S908"/>
  <c r="BI900"/>
  <c r="BJ900"/>
  <c r="BH907"/>
  <c r="AV907"/>
  <c r="AU907"/>
  <c r="AU899"/>
  <c r="AU898"/>
  <c r="AT907"/>
  <c r="AS907"/>
  <c r="AR907"/>
  <c r="AP907"/>
  <c r="AM907"/>
  <c r="AL907"/>
  <c r="AK907"/>
  <c r="AA907"/>
  <c r="S907"/>
  <c r="M907"/>
  <c r="AE907"/>
  <c r="BI899"/>
  <c r="BJ899"/>
  <c r="BH906"/>
  <c r="AP906"/>
  <c r="AA906"/>
  <c r="S906"/>
  <c r="BI898"/>
  <c r="BJ898"/>
  <c r="BH905"/>
  <c r="AV905"/>
  <c r="AT905"/>
  <c r="AR905"/>
  <c r="AP905"/>
  <c r="AK905"/>
  <c r="AA905"/>
  <c r="S905"/>
  <c r="M905"/>
  <c r="AE905"/>
  <c r="BI897"/>
  <c r="BJ897"/>
  <c r="BH904"/>
  <c r="AP904"/>
  <c r="AA904"/>
  <c r="S904"/>
  <c r="BI896"/>
  <c r="BJ896"/>
  <c r="BH903"/>
  <c r="AV903"/>
  <c r="AT903"/>
  <c r="AR903"/>
  <c r="AP903"/>
  <c r="AK903"/>
  <c r="AA903"/>
  <c r="S903"/>
  <c r="M903"/>
  <c r="AE903"/>
  <c r="BI895"/>
  <c r="BJ895"/>
  <c r="BH902"/>
  <c r="AV902"/>
  <c r="AT902"/>
  <c r="AR902"/>
  <c r="AP902"/>
  <c r="AK902"/>
  <c r="AA902"/>
  <c r="S902"/>
  <c r="M902"/>
  <c r="AE902"/>
  <c r="BI894"/>
  <c r="BJ894"/>
  <c r="BH901"/>
  <c r="AV901"/>
  <c r="AT901"/>
  <c r="AR901"/>
  <c r="AP901"/>
  <c r="AK901"/>
  <c r="AA901"/>
  <c r="S901"/>
  <c r="M901"/>
  <c r="AE901"/>
  <c r="BI893"/>
  <c r="BJ893"/>
  <c r="BH900"/>
  <c r="AV900"/>
  <c r="AT900"/>
  <c r="AR900"/>
  <c r="AP900"/>
  <c r="AK900"/>
  <c r="AA900"/>
  <c r="S900"/>
  <c r="S899"/>
  <c r="S898"/>
  <c r="S897"/>
  <c r="S896"/>
  <c r="S894"/>
  <c r="M900"/>
  <c r="AE900"/>
  <c r="AX899"/>
  <c r="AX898"/>
  <c r="AW899"/>
  <c r="AS899"/>
  <c r="AS898"/>
  <c r="AQ899"/>
  <c r="AQ898"/>
  <c r="AQ897"/>
  <c r="AP899"/>
  <c r="AH899"/>
  <c r="AG899"/>
  <c r="AA899"/>
  <c r="Z899"/>
  <c r="Z898"/>
  <c r="Z897"/>
  <c r="Z896"/>
  <c r="Z894"/>
  <c r="Y899"/>
  <c r="X899"/>
  <c r="W899"/>
  <c r="W898"/>
  <c r="V899"/>
  <c r="V898"/>
  <c r="V897"/>
  <c r="V896"/>
  <c r="V894"/>
  <c r="R899"/>
  <c r="O899"/>
  <c r="AF899"/>
  <c r="M899"/>
  <c r="M898"/>
  <c r="M897"/>
  <c r="M896"/>
  <c r="M894"/>
  <c r="AP898"/>
  <c r="AD898"/>
  <c r="AD897"/>
  <c r="AD896"/>
  <c r="AD894"/>
  <c r="AC898"/>
  <c r="AC897"/>
  <c r="AC896"/>
  <c r="AC894"/>
  <c r="AA898"/>
  <c r="Q898"/>
  <c r="Q897"/>
  <c r="P898"/>
  <c r="N898"/>
  <c r="N897"/>
  <c r="N896"/>
  <c r="N894"/>
  <c r="L898"/>
  <c r="L897"/>
  <c r="L896"/>
  <c r="L894"/>
  <c r="BI890"/>
  <c r="BH897"/>
  <c r="AP897"/>
  <c r="AA897"/>
  <c r="BI889"/>
  <c r="BH896"/>
  <c r="AP896"/>
  <c r="AA896"/>
  <c r="BI888"/>
  <c r="BH895"/>
  <c r="AS895"/>
  <c r="AP895"/>
  <c r="AA895"/>
  <c r="S895"/>
  <c r="BI887"/>
  <c r="BH894"/>
  <c r="AP894"/>
  <c r="AA894"/>
  <c r="BI886"/>
  <c r="BH893"/>
  <c r="AP893"/>
  <c r="AA893"/>
  <c r="S893"/>
  <c r="AW892"/>
  <c r="AW891"/>
  <c r="AV892"/>
  <c r="AV891"/>
  <c r="AV890"/>
  <c r="AU892"/>
  <c r="AU891"/>
  <c r="AU890"/>
  <c r="AT892"/>
  <c r="AT891"/>
  <c r="AT890"/>
  <c r="AS892"/>
  <c r="AS891"/>
  <c r="AS890"/>
  <c r="AR892"/>
  <c r="AR891"/>
  <c r="AR890"/>
  <c r="AP892"/>
  <c r="AM892"/>
  <c r="AL892"/>
  <c r="AK892"/>
  <c r="AA892"/>
  <c r="S892"/>
  <c r="S891"/>
  <c r="S890"/>
  <c r="S889"/>
  <c r="S888"/>
  <c r="S886"/>
  <c r="O892"/>
  <c r="O891"/>
  <c r="O890"/>
  <c r="O889"/>
  <c r="O888"/>
  <c r="O886"/>
  <c r="BB891"/>
  <c r="BB890"/>
  <c r="BA891"/>
  <c r="BA890"/>
  <c r="AZ891"/>
  <c r="AZ890"/>
  <c r="AY891"/>
  <c r="AY890"/>
  <c r="AX891"/>
  <c r="AX890"/>
  <c r="AQ891"/>
  <c r="AQ890"/>
  <c r="AQ889"/>
  <c r="AP891"/>
  <c r="AD891"/>
  <c r="AD890"/>
  <c r="AD889"/>
  <c r="AD888"/>
  <c r="AD886"/>
  <c r="AC891"/>
  <c r="AC890"/>
  <c r="AC889"/>
  <c r="AC888"/>
  <c r="AC886"/>
  <c r="AA891"/>
  <c r="Z891"/>
  <c r="Z890"/>
  <c r="Z889"/>
  <c r="Z888"/>
  <c r="Z886"/>
  <c r="Y891"/>
  <c r="X891"/>
  <c r="X890"/>
  <c r="X889"/>
  <c r="X888"/>
  <c r="W891"/>
  <c r="V891"/>
  <c r="V890"/>
  <c r="V889"/>
  <c r="R891"/>
  <c r="Q891"/>
  <c r="Q890"/>
  <c r="Q889"/>
  <c r="Q888"/>
  <c r="Q886"/>
  <c r="P891"/>
  <c r="P890"/>
  <c r="P889"/>
  <c r="P888"/>
  <c r="P886"/>
  <c r="N891"/>
  <c r="N890"/>
  <c r="N889"/>
  <c r="N888"/>
  <c r="N886"/>
  <c r="M891"/>
  <c r="M890"/>
  <c r="M889"/>
  <c r="M888"/>
  <c r="M886"/>
  <c r="L891"/>
  <c r="L890"/>
  <c r="L889"/>
  <c r="L888"/>
  <c r="L886"/>
  <c r="BE890"/>
  <c r="BD890"/>
  <c r="BC890"/>
  <c r="AP890"/>
  <c r="AA890"/>
  <c r="BI882"/>
  <c r="BH889"/>
  <c r="AP889"/>
  <c r="AA889"/>
  <c r="BI881"/>
  <c r="BH888"/>
  <c r="AP888"/>
  <c r="AA888"/>
  <c r="BI880"/>
  <c r="BJ880"/>
  <c r="BH887"/>
  <c r="AP887"/>
  <c r="AA887"/>
  <c r="S887"/>
  <c r="BI879"/>
  <c r="BH886"/>
  <c r="AP886"/>
  <c r="AA886"/>
  <c r="BI878"/>
  <c r="BJ878"/>
  <c r="BH885"/>
  <c r="AP885"/>
  <c r="AA885"/>
  <c r="S885"/>
  <c r="BI877"/>
  <c r="BJ877"/>
  <c r="BH884"/>
  <c r="AV884"/>
  <c r="AV883"/>
  <c r="AV882"/>
  <c r="AU884"/>
  <c r="AU883"/>
  <c r="AU882"/>
  <c r="AT884"/>
  <c r="AT883"/>
  <c r="AT882"/>
  <c r="AS884"/>
  <c r="AS883"/>
  <c r="AS882"/>
  <c r="AR884"/>
  <c r="AP884"/>
  <c r="AM884"/>
  <c r="AL884"/>
  <c r="AK884"/>
  <c r="AH884"/>
  <c r="AG884"/>
  <c r="AA884"/>
  <c r="S884"/>
  <c r="S883"/>
  <c r="S882"/>
  <c r="S881"/>
  <c r="S880"/>
  <c r="S878"/>
  <c r="O884"/>
  <c r="O883"/>
  <c r="M884"/>
  <c r="M883"/>
  <c r="M882"/>
  <c r="M881"/>
  <c r="M880"/>
  <c r="M878"/>
  <c r="BA883"/>
  <c r="BA882"/>
  <c r="AZ883"/>
  <c r="AZ882"/>
  <c r="AY883"/>
  <c r="AX883"/>
  <c r="AX882"/>
  <c r="AW883"/>
  <c r="AW882"/>
  <c r="AR883"/>
  <c r="AR882"/>
  <c r="AQ883"/>
  <c r="AQ882"/>
  <c r="AQ881"/>
  <c r="AQ880"/>
  <c r="AP883"/>
  <c r="AD883"/>
  <c r="AC883"/>
  <c r="AC882"/>
  <c r="AA883"/>
  <c r="Z883"/>
  <c r="Z882"/>
  <c r="Z881"/>
  <c r="Z880"/>
  <c r="Z878"/>
  <c r="Y883"/>
  <c r="Y882"/>
  <c r="X883"/>
  <c r="X882"/>
  <c r="W883"/>
  <c r="V883"/>
  <c r="V882"/>
  <c r="V881"/>
  <c r="R883"/>
  <c r="R882"/>
  <c r="R881"/>
  <c r="R880"/>
  <c r="Q883"/>
  <c r="Q882"/>
  <c r="Q881"/>
  <c r="Q880"/>
  <c r="Q878"/>
  <c r="P883"/>
  <c r="P882"/>
  <c r="N883"/>
  <c r="N882"/>
  <c r="N881"/>
  <c r="N880"/>
  <c r="N878"/>
  <c r="L883"/>
  <c r="L882"/>
  <c r="L881"/>
  <c r="L880"/>
  <c r="L878"/>
  <c r="BE882"/>
  <c r="BD882"/>
  <c r="BC882"/>
  <c r="BB882"/>
  <c r="AP882"/>
  <c r="AD882"/>
  <c r="AD881"/>
  <c r="AD880"/>
  <c r="AD878"/>
  <c r="AA882"/>
  <c r="BI874"/>
  <c r="BH881"/>
  <c r="AP881"/>
  <c r="AA881"/>
  <c r="BI873"/>
  <c r="BH880"/>
  <c r="AP880"/>
  <c r="AA880"/>
  <c r="BI872"/>
  <c r="BH879"/>
  <c r="AP879"/>
  <c r="AA879"/>
  <c r="S879"/>
  <c r="BI871"/>
  <c r="BH878"/>
  <c r="AP878"/>
  <c r="AA878"/>
  <c r="R878"/>
  <c r="BI870"/>
  <c r="BH877"/>
  <c r="AP877"/>
  <c r="AA877"/>
  <c r="BI869"/>
  <c r="BJ869"/>
  <c r="BH876"/>
  <c r="AU876"/>
  <c r="AS876"/>
  <c r="AP876"/>
  <c r="AM876"/>
  <c r="AL876"/>
  <c r="AA876"/>
  <c r="S876"/>
  <c r="S863"/>
  <c r="S862"/>
  <c r="S861"/>
  <c r="S860"/>
  <c r="S858"/>
  <c r="BI868"/>
  <c r="BJ868"/>
  <c r="BH875"/>
  <c r="AV875"/>
  <c r="AT875"/>
  <c r="AR875"/>
  <c r="AP875"/>
  <c r="AK875"/>
  <c r="AA875"/>
  <c r="S875"/>
  <c r="M875"/>
  <c r="AE875"/>
  <c r="BI867"/>
  <c r="BJ867"/>
  <c r="BH874"/>
  <c r="AP874"/>
  <c r="AA874"/>
  <c r="S874"/>
  <c r="BI866"/>
  <c r="BJ866"/>
  <c r="BH873"/>
  <c r="AV873"/>
  <c r="AT873"/>
  <c r="AR873"/>
  <c r="AP873"/>
  <c r="AK873"/>
  <c r="AA873"/>
  <c r="S873"/>
  <c r="M873"/>
  <c r="AE873"/>
  <c r="BI865"/>
  <c r="BJ865"/>
  <c r="BH872"/>
  <c r="AP872"/>
  <c r="AA872"/>
  <c r="S872"/>
  <c r="BI864"/>
  <c r="BJ864"/>
  <c r="BH871"/>
  <c r="AV871"/>
  <c r="AT871"/>
  <c r="AR871"/>
  <c r="AP871"/>
  <c r="AK871"/>
  <c r="AA871"/>
  <c r="S871"/>
  <c r="M871"/>
  <c r="AE871"/>
  <c r="BI863"/>
  <c r="BJ863"/>
  <c r="BH870"/>
  <c r="AV870"/>
  <c r="AT870"/>
  <c r="AR870"/>
  <c r="AP870"/>
  <c r="AK870"/>
  <c r="AA870"/>
  <c r="S870"/>
  <c r="BI862"/>
  <c r="BJ862"/>
  <c r="BH869"/>
  <c r="AV869"/>
  <c r="AT869"/>
  <c r="AR869"/>
  <c r="AP869"/>
  <c r="AK869"/>
  <c r="AA869"/>
  <c r="S869"/>
  <c r="M869"/>
  <c r="AE869"/>
  <c r="BI861"/>
  <c r="BJ861"/>
  <c r="BH868"/>
  <c r="AV868"/>
  <c r="AT868"/>
  <c r="AR868"/>
  <c r="AP868"/>
  <c r="AK868"/>
  <c r="AA868"/>
  <c r="S868"/>
  <c r="M868"/>
  <c r="AE868"/>
  <c r="BI860"/>
  <c r="BJ860"/>
  <c r="BH867"/>
  <c r="AV867"/>
  <c r="AT867"/>
  <c r="AR867"/>
  <c r="AP867"/>
  <c r="AK867"/>
  <c r="AA867"/>
  <c r="S867"/>
  <c r="M867"/>
  <c r="AE867"/>
  <c r="BI859"/>
  <c r="BJ859"/>
  <c r="BH866"/>
  <c r="AV866"/>
  <c r="AT866"/>
  <c r="AR866"/>
  <c r="AP866"/>
  <c r="AK866"/>
  <c r="AA866"/>
  <c r="S866"/>
  <c r="M866"/>
  <c r="AE866"/>
  <c r="BI858"/>
  <c r="BJ858"/>
  <c r="BH865"/>
  <c r="AP865"/>
  <c r="AA865"/>
  <c r="Z863"/>
  <c r="Z862"/>
  <c r="Z861"/>
  <c r="Z860"/>
  <c r="Z858"/>
  <c r="S865"/>
  <c r="BI857"/>
  <c r="BJ857"/>
  <c r="BH864"/>
  <c r="AV864"/>
  <c r="AT864"/>
  <c r="AR864"/>
  <c r="AP864"/>
  <c r="AK864"/>
  <c r="AA864"/>
  <c r="S864"/>
  <c r="AW863"/>
  <c r="AQ863"/>
  <c r="AP863"/>
  <c r="AH863"/>
  <c r="AG863"/>
  <c r="AA863"/>
  <c r="X863"/>
  <c r="W863"/>
  <c r="V863"/>
  <c r="U863"/>
  <c r="T863"/>
  <c r="R863"/>
  <c r="R862"/>
  <c r="R861"/>
  <c r="O863"/>
  <c r="AF863"/>
  <c r="M863"/>
  <c r="M862"/>
  <c r="AP862"/>
  <c r="AD862"/>
  <c r="AD861"/>
  <c r="AD860"/>
  <c r="AD858"/>
  <c r="AC862"/>
  <c r="AA862"/>
  <c r="Q862"/>
  <c r="Q861"/>
  <c r="Q860"/>
  <c r="P862"/>
  <c r="P861"/>
  <c r="N862"/>
  <c r="N861"/>
  <c r="N860"/>
  <c r="N858"/>
  <c r="L862"/>
  <c r="L861"/>
  <c r="L860"/>
  <c r="L858"/>
  <c r="BI854"/>
  <c r="BH861"/>
  <c r="AP861"/>
  <c r="AA861"/>
  <c r="BI853"/>
  <c r="BH860"/>
  <c r="AP860"/>
  <c r="AA860"/>
  <c r="BI852"/>
  <c r="BJ852"/>
  <c r="BH859"/>
  <c r="AP859"/>
  <c r="AA859"/>
  <c r="S859"/>
  <c r="BI851"/>
  <c r="BH858"/>
  <c r="AP858"/>
  <c r="AA858"/>
  <c r="BI850"/>
  <c r="BJ850"/>
  <c r="BH857"/>
  <c r="AP857"/>
  <c r="AA857"/>
  <c r="S857"/>
  <c r="BI849"/>
  <c r="BJ849"/>
  <c r="BH856"/>
  <c r="AP856"/>
  <c r="AA856"/>
  <c r="S856"/>
  <c r="BI848"/>
  <c r="BJ848"/>
  <c r="BH855"/>
  <c r="AP855"/>
  <c r="AA855"/>
  <c r="S855"/>
  <c r="M855"/>
  <c r="AW854"/>
  <c r="BI847"/>
  <c r="BJ847"/>
  <c r="AV854"/>
  <c r="AU854"/>
  <c r="AT854"/>
  <c r="AR854"/>
  <c r="AP854"/>
  <c r="AM854"/>
  <c r="AL854"/>
  <c r="AK854"/>
  <c r="AA854"/>
  <c r="S854"/>
  <c r="BI846"/>
  <c r="BH853"/>
  <c r="AQ853"/>
  <c r="AP853"/>
  <c r="AD853"/>
  <c r="AD852"/>
  <c r="AD851"/>
  <c r="AD849"/>
  <c r="AC853"/>
  <c r="AC852"/>
  <c r="AC851"/>
  <c r="AC849"/>
  <c r="AA853"/>
  <c r="Z853"/>
  <c r="Z852"/>
  <c r="Z851"/>
  <c r="Z849"/>
  <c r="Y853"/>
  <c r="Y852"/>
  <c r="Y851"/>
  <c r="Y849"/>
  <c r="X853"/>
  <c r="X852"/>
  <c r="W853"/>
  <c r="AU853"/>
  <c r="V853"/>
  <c r="R853"/>
  <c r="Q853"/>
  <c r="Q852"/>
  <c r="Q851"/>
  <c r="Q849"/>
  <c r="P853"/>
  <c r="P852"/>
  <c r="P851"/>
  <c r="P849"/>
  <c r="O853"/>
  <c r="O852"/>
  <c r="O851"/>
  <c r="O849"/>
  <c r="N853"/>
  <c r="N852"/>
  <c r="N851"/>
  <c r="N849"/>
  <c r="L853"/>
  <c r="L852"/>
  <c r="L851"/>
  <c r="L849"/>
  <c r="BI845"/>
  <c r="BH852"/>
  <c r="AQ852"/>
  <c r="AP852"/>
  <c r="AA852"/>
  <c r="BI844"/>
  <c r="BH851"/>
  <c r="AP851"/>
  <c r="AA851"/>
  <c r="BI843"/>
  <c r="BJ843"/>
  <c r="BH850"/>
  <c r="AP850"/>
  <c r="AA850"/>
  <c r="S850"/>
  <c r="BI842"/>
  <c r="BH849"/>
  <c r="AP849"/>
  <c r="AA849"/>
  <c r="BI841"/>
  <c r="BJ841"/>
  <c r="BH848"/>
  <c r="AP848"/>
  <c r="AA848"/>
  <c r="S848"/>
  <c r="BI840"/>
  <c r="BJ840"/>
  <c r="BH847"/>
  <c r="AP847"/>
  <c r="AA847"/>
  <c r="S847"/>
  <c r="AW846"/>
  <c r="AV846"/>
  <c r="AU846"/>
  <c r="AT846"/>
  <c r="AS846"/>
  <c r="AR846"/>
  <c r="AP846"/>
  <c r="AM846"/>
  <c r="AL846"/>
  <c r="AK846"/>
  <c r="AH846"/>
  <c r="AA846"/>
  <c r="S846"/>
  <c r="S845"/>
  <c r="S844"/>
  <c r="P846"/>
  <c r="AG846"/>
  <c r="O846"/>
  <c r="O845"/>
  <c r="M846"/>
  <c r="M845"/>
  <c r="M844"/>
  <c r="BI838"/>
  <c r="BH845"/>
  <c r="AQ845"/>
  <c r="AP845"/>
  <c r="AD845"/>
  <c r="AD844"/>
  <c r="AC845"/>
  <c r="AA845"/>
  <c r="Z845"/>
  <c r="Z844"/>
  <c r="Y845"/>
  <c r="X845"/>
  <c r="W845"/>
  <c r="W844"/>
  <c r="V845"/>
  <c r="V844"/>
  <c r="R845"/>
  <c r="Q845"/>
  <c r="N845"/>
  <c r="N844"/>
  <c r="L845"/>
  <c r="L844"/>
  <c r="BI837"/>
  <c r="BH844"/>
  <c r="AP844"/>
  <c r="AA844"/>
  <c r="Q844"/>
  <c r="BI836"/>
  <c r="BJ836"/>
  <c r="BH843"/>
  <c r="AP843"/>
  <c r="AA843"/>
  <c r="S843"/>
  <c r="BI835"/>
  <c r="BJ835"/>
  <c r="BH842"/>
  <c r="AU842"/>
  <c r="AS842"/>
  <c r="AP842"/>
  <c r="AM842"/>
  <c r="AL842"/>
  <c r="AA842"/>
  <c r="S842"/>
  <c r="O842"/>
  <c r="M842"/>
  <c r="BB841"/>
  <c r="BI834"/>
  <c r="BJ834"/>
  <c r="AP841"/>
  <c r="AA841"/>
  <c r="S841"/>
  <c r="BI833"/>
  <c r="BJ833"/>
  <c r="BH840"/>
  <c r="AV840"/>
  <c r="AU840"/>
  <c r="AT840"/>
  <c r="AS840"/>
  <c r="AR840"/>
  <c r="AP840"/>
  <c r="AM840"/>
  <c r="AL840"/>
  <c r="AK840"/>
  <c r="AH840"/>
  <c r="AG840"/>
  <c r="AA840"/>
  <c r="S840"/>
  <c r="O840"/>
  <c r="AF840"/>
  <c r="M840"/>
  <c r="BI832"/>
  <c r="BJ832"/>
  <c r="BH839"/>
  <c r="AV839"/>
  <c r="AU839"/>
  <c r="AT839"/>
  <c r="AS839"/>
  <c r="AR839"/>
  <c r="AP839"/>
  <c r="AL839"/>
  <c r="AK839"/>
  <c r="AH839"/>
  <c r="AG839"/>
  <c r="AA839"/>
  <c r="S839"/>
  <c r="O839"/>
  <c r="M839"/>
  <c r="BI831"/>
  <c r="BH838"/>
  <c r="AQ838"/>
  <c r="AQ837"/>
  <c r="AP838"/>
  <c r="AD838"/>
  <c r="AD837"/>
  <c r="AC838"/>
  <c r="AA838"/>
  <c r="Z838"/>
  <c r="Z837"/>
  <c r="Y838"/>
  <c r="X838"/>
  <c r="W838"/>
  <c r="W837"/>
  <c r="V838"/>
  <c r="V837"/>
  <c r="V836"/>
  <c r="V834"/>
  <c r="R838"/>
  <c r="Q838"/>
  <c r="P838"/>
  <c r="P837"/>
  <c r="N838"/>
  <c r="N837"/>
  <c r="L838"/>
  <c r="L837"/>
  <c r="BI830"/>
  <c r="BH837"/>
  <c r="AP837"/>
  <c r="AA837"/>
  <c r="BI829"/>
  <c r="BH836"/>
  <c r="AP836"/>
  <c r="AA836"/>
  <c r="BI828"/>
  <c r="BH835"/>
  <c r="AP835"/>
  <c r="AA835"/>
  <c r="S835"/>
  <c r="BI827"/>
  <c r="BH834"/>
  <c r="AP834"/>
  <c r="AA834"/>
  <c r="BI826"/>
  <c r="BJ826"/>
  <c r="BH833"/>
  <c r="AP833"/>
  <c r="AA833"/>
  <c r="S833"/>
  <c r="AW832"/>
  <c r="BI825"/>
  <c r="BJ825"/>
  <c r="AV832"/>
  <c r="AU832"/>
  <c r="AT832"/>
  <c r="AS832"/>
  <c r="AR832"/>
  <c r="AP832"/>
  <c r="AL832"/>
  <c r="AK832"/>
  <c r="AA832"/>
  <c r="S832"/>
  <c r="S831"/>
  <c r="S830"/>
  <c r="S828"/>
  <c r="S826"/>
  <c r="O832"/>
  <c r="O831"/>
  <c r="M832"/>
  <c r="M831"/>
  <c r="M830"/>
  <c r="M828"/>
  <c r="M826"/>
  <c r="BI824"/>
  <c r="BH831"/>
  <c r="AQ831"/>
  <c r="AQ830"/>
  <c r="AQ828"/>
  <c r="AP831"/>
  <c r="AD831"/>
  <c r="AD830"/>
  <c r="AD828"/>
  <c r="AD826"/>
  <c r="AC831"/>
  <c r="AC830"/>
  <c r="AC828"/>
  <c r="AC826"/>
  <c r="AA831"/>
  <c r="Z831"/>
  <c r="Z830"/>
  <c r="Z828"/>
  <c r="Z826"/>
  <c r="Y831"/>
  <c r="Y830"/>
  <c r="Y828"/>
  <c r="Y826"/>
  <c r="X831"/>
  <c r="X830"/>
  <c r="X828"/>
  <c r="W831"/>
  <c r="W830"/>
  <c r="V831"/>
  <c r="V830"/>
  <c r="V828"/>
  <c r="V826"/>
  <c r="R831"/>
  <c r="Q831"/>
  <c r="Q830"/>
  <c r="Q828"/>
  <c r="Q826"/>
  <c r="P831"/>
  <c r="P830"/>
  <c r="P828"/>
  <c r="P826"/>
  <c r="N831"/>
  <c r="N830"/>
  <c r="N828"/>
  <c r="N826"/>
  <c r="L831"/>
  <c r="L830"/>
  <c r="L828"/>
  <c r="L826"/>
  <c r="BI823"/>
  <c r="BH830"/>
  <c r="AP830"/>
  <c r="AA830"/>
  <c r="BI822"/>
  <c r="BH829"/>
  <c r="AP829"/>
  <c r="AA829"/>
  <c r="S829"/>
  <c r="BI821"/>
  <c r="BH828"/>
  <c r="AP828"/>
  <c r="AA828"/>
  <c r="BI820"/>
  <c r="BH827"/>
  <c r="AP827"/>
  <c r="AA827"/>
  <c r="S827"/>
  <c r="BI819"/>
  <c r="BH826"/>
  <c r="AP826"/>
  <c r="AA826"/>
  <c r="BI818"/>
  <c r="BH825"/>
  <c r="AP825"/>
  <c r="AA825"/>
  <c r="BI817"/>
  <c r="BJ817"/>
  <c r="BH824"/>
  <c r="AP824"/>
  <c r="AA824"/>
  <c r="S824"/>
  <c r="BI816"/>
  <c r="BJ816"/>
  <c r="BH823"/>
  <c r="AP823"/>
  <c r="AA823"/>
  <c r="S823"/>
  <c r="BI815"/>
  <c r="BJ815"/>
  <c r="BH822"/>
  <c r="AU822"/>
  <c r="AU820"/>
  <c r="AS822"/>
  <c r="AS820"/>
  <c r="AP822"/>
  <c r="AM822"/>
  <c r="AL822"/>
  <c r="AA822"/>
  <c r="S822"/>
  <c r="S820"/>
  <c r="S819"/>
  <c r="S818"/>
  <c r="S816"/>
  <c r="Q822"/>
  <c r="Q820"/>
  <c r="Q819"/>
  <c r="Q818"/>
  <c r="Q816"/>
  <c r="P822"/>
  <c r="P820"/>
  <c r="P819"/>
  <c r="P818"/>
  <c r="P816"/>
  <c r="O822"/>
  <c r="O820"/>
  <c r="O819"/>
  <c r="O818"/>
  <c r="M822"/>
  <c r="BI814"/>
  <c r="BH821"/>
  <c r="AP821"/>
  <c r="AA821"/>
  <c r="S821"/>
  <c r="BG820"/>
  <c r="BF820"/>
  <c r="BE820"/>
  <c r="BD820"/>
  <c r="BC820"/>
  <c r="BB820"/>
  <c r="BA820"/>
  <c r="AZ820"/>
  <c r="AY820"/>
  <c r="AX820"/>
  <c r="AW820"/>
  <c r="AV820"/>
  <c r="AT820"/>
  <c r="AR820"/>
  <c r="AQ820"/>
  <c r="AQ819"/>
  <c r="AP820"/>
  <c r="AD820"/>
  <c r="AD819"/>
  <c r="AD818"/>
  <c r="AD816"/>
  <c r="AC820"/>
  <c r="AC819"/>
  <c r="AC818"/>
  <c r="AC816"/>
  <c r="AA820"/>
  <c r="Z820"/>
  <c r="Z819"/>
  <c r="Z818"/>
  <c r="Z816"/>
  <c r="Y820"/>
  <c r="Y819"/>
  <c r="X820"/>
  <c r="W820"/>
  <c r="W819"/>
  <c r="V820"/>
  <c r="R820"/>
  <c r="R819"/>
  <c r="R818"/>
  <c r="R816"/>
  <c r="N820"/>
  <c r="N819"/>
  <c r="N818"/>
  <c r="N816"/>
  <c r="L820"/>
  <c r="L819"/>
  <c r="L818"/>
  <c r="L816"/>
  <c r="BI812"/>
  <c r="BH819"/>
  <c r="AP819"/>
  <c r="AA819"/>
  <c r="V819"/>
  <c r="V818"/>
  <c r="V816"/>
  <c r="BI811"/>
  <c r="BH818"/>
  <c r="AP818"/>
  <c r="AA818"/>
  <c r="BI810"/>
  <c r="BH817"/>
  <c r="AP817"/>
  <c r="AA817"/>
  <c r="S817"/>
  <c r="BI809"/>
  <c r="BH816"/>
  <c r="AP816"/>
  <c r="AA816"/>
  <c r="BI808"/>
  <c r="BJ808"/>
  <c r="BH815"/>
  <c r="AP815"/>
  <c r="AA815"/>
  <c r="S815"/>
  <c r="BI807"/>
  <c r="BJ807"/>
  <c r="BH814"/>
  <c r="AV814"/>
  <c r="AU814"/>
  <c r="AT814"/>
  <c r="AS814"/>
  <c r="AS806"/>
  <c r="AS805"/>
  <c r="AS804"/>
  <c r="AR814"/>
  <c r="AP814"/>
  <c r="AM814"/>
  <c r="AL814"/>
  <c r="AK814"/>
  <c r="AA814"/>
  <c r="S814"/>
  <c r="M814"/>
  <c r="AE814"/>
  <c r="BI806"/>
  <c r="BJ806"/>
  <c r="BH813"/>
  <c r="AV813"/>
  <c r="AT813"/>
  <c r="AR813"/>
  <c r="AP813"/>
  <c r="AK813"/>
  <c r="AA813"/>
  <c r="S813"/>
  <c r="M813"/>
  <c r="AE813"/>
  <c r="BI805"/>
  <c r="BJ805"/>
  <c r="BH812"/>
  <c r="AV812"/>
  <c r="AT812"/>
  <c r="AR812"/>
  <c r="AP812"/>
  <c r="AK812"/>
  <c r="AA812"/>
  <c r="S812"/>
  <c r="M812"/>
  <c r="AE812"/>
  <c r="BI804"/>
  <c r="BJ804"/>
  <c r="BH811"/>
  <c r="AV811"/>
  <c r="AT811"/>
  <c r="AR811"/>
  <c r="AP811"/>
  <c r="AK811"/>
  <c r="AA811"/>
  <c r="S811"/>
  <c r="M811"/>
  <c r="AE811"/>
  <c r="BI803"/>
  <c r="BJ803"/>
  <c r="BH810"/>
  <c r="AV810"/>
  <c r="AT810"/>
  <c r="AR810"/>
  <c r="AP810"/>
  <c r="AK810"/>
  <c r="AA810"/>
  <c r="S810"/>
  <c r="M810"/>
  <c r="AE810"/>
  <c r="BI802"/>
  <c r="BJ802"/>
  <c r="BH809"/>
  <c r="AV809"/>
  <c r="AT809"/>
  <c r="AR809"/>
  <c r="AP809"/>
  <c r="AK809"/>
  <c r="AA809"/>
  <c r="S809"/>
  <c r="M809"/>
  <c r="AE809"/>
  <c r="BI801"/>
  <c r="BJ801"/>
  <c r="BH808"/>
  <c r="AV808"/>
  <c r="AT808"/>
  <c r="AR808"/>
  <c r="AP808"/>
  <c r="AK808"/>
  <c r="AA808"/>
  <c r="S808"/>
  <c r="M808"/>
  <c r="AE808"/>
  <c r="BI800"/>
  <c r="BJ800"/>
  <c r="BH807"/>
  <c r="AV807"/>
  <c r="AT807"/>
  <c r="AR807"/>
  <c r="AP807"/>
  <c r="AK807"/>
  <c r="AA807"/>
  <c r="S807"/>
  <c r="S806"/>
  <c r="S805"/>
  <c r="S804"/>
  <c r="S803"/>
  <c r="S802"/>
  <c r="S800"/>
  <c r="M807"/>
  <c r="AE807"/>
  <c r="BD806"/>
  <c r="BD805"/>
  <c r="BD804"/>
  <c r="BC806"/>
  <c r="BC805"/>
  <c r="BC804"/>
  <c r="BB806"/>
  <c r="BB805"/>
  <c r="BB804"/>
  <c r="BA806"/>
  <c r="BA805"/>
  <c r="BA804"/>
  <c r="AZ806"/>
  <c r="AZ805"/>
  <c r="AZ804"/>
  <c r="AY806"/>
  <c r="AY805"/>
  <c r="AY804"/>
  <c r="AX806"/>
  <c r="AX805"/>
  <c r="AX804"/>
  <c r="AW806"/>
  <c r="AU806"/>
  <c r="AU805"/>
  <c r="AU804"/>
  <c r="AQ806"/>
  <c r="AQ805"/>
  <c r="AQ804"/>
  <c r="AQ803"/>
  <c r="AQ802"/>
  <c r="AP806"/>
  <c r="AH806"/>
  <c r="AG806"/>
  <c r="AA806"/>
  <c r="Z806"/>
  <c r="Z805"/>
  <c r="Z804"/>
  <c r="Z803"/>
  <c r="Z802"/>
  <c r="Z800"/>
  <c r="Y806"/>
  <c r="Y805"/>
  <c r="X806"/>
  <c r="X805"/>
  <c r="X804"/>
  <c r="W806"/>
  <c r="W805"/>
  <c r="V806"/>
  <c r="V805"/>
  <c r="R806"/>
  <c r="R805"/>
  <c r="R804"/>
  <c r="R803"/>
  <c r="O806"/>
  <c r="O805"/>
  <c r="O804"/>
  <c r="O803"/>
  <c r="O802"/>
  <c r="O800"/>
  <c r="M806"/>
  <c r="BE805"/>
  <c r="BE804"/>
  <c r="AP805"/>
  <c r="AD805"/>
  <c r="AD804"/>
  <c r="AD803"/>
  <c r="AD802"/>
  <c r="AD800"/>
  <c r="AC805"/>
  <c r="AC804"/>
  <c r="AA805"/>
  <c r="Q805"/>
  <c r="Q804"/>
  <c r="P805"/>
  <c r="P804"/>
  <c r="N805"/>
  <c r="N804"/>
  <c r="N803"/>
  <c r="N802"/>
  <c r="N800"/>
  <c r="M805"/>
  <c r="L805"/>
  <c r="L804"/>
  <c r="L803"/>
  <c r="L802"/>
  <c r="L800"/>
  <c r="AP804"/>
  <c r="AA804"/>
  <c r="BI796"/>
  <c r="BH803"/>
  <c r="AP803"/>
  <c r="AA803"/>
  <c r="BI795"/>
  <c r="BH802"/>
  <c r="AP802"/>
  <c r="AA802"/>
  <c r="BI794"/>
  <c r="BH801"/>
  <c r="AP801"/>
  <c r="AA801"/>
  <c r="S801"/>
  <c r="BI793"/>
  <c r="BH800"/>
  <c r="AP800"/>
  <c r="AA800"/>
  <c r="BI792"/>
  <c r="BJ792"/>
  <c r="BH799"/>
  <c r="AP799"/>
  <c r="AA799"/>
  <c r="S799"/>
  <c r="AW798"/>
  <c r="AV798"/>
  <c r="AV797"/>
  <c r="AU798"/>
  <c r="AU797"/>
  <c r="AT798"/>
  <c r="AT797"/>
  <c r="AS798"/>
  <c r="AS797"/>
  <c r="AR798"/>
  <c r="AR797"/>
  <c r="AP798"/>
  <c r="AL798"/>
  <c r="AK798"/>
  <c r="AH798"/>
  <c r="AG798"/>
  <c r="AA798"/>
  <c r="S798"/>
  <c r="S797"/>
  <c r="S796"/>
  <c r="S795"/>
  <c r="S793"/>
  <c r="O798"/>
  <c r="M798"/>
  <c r="M797"/>
  <c r="M796"/>
  <c r="M795"/>
  <c r="M793"/>
  <c r="BG797"/>
  <c r="BF797"/>
  <c r="BE797"/>
  <c r="BD797"/>
  <c r="BC797"/>
  <c r="BB797"/>
  <c r="BA797"/>
  <c r="AZ797"/>
  <c r="AY797"/>
  <c r="AX797"/>
  <c r="AQ797"/>
  <c r="AQ796"/>
  <c r="AP797"/>
  <c r="AD797"/>
  <c r="AD796"/>
  <c r="AD795"/>
  <c r="AD793"/>
  <c r="AC797"/>
  <c r="AA797"/>
  <c r="Z797"/>
  <c r="Z796"/>
  <c r="Z795"/>
  <c r="Z793"/>
  <c r="Y797"/>
  <c r="Y796"/>
  <c r="Y795"/>
  <c r="Y793"/>
  <c r="X797"/>
  <c r="X796"/>
  <c r="W797"/>
  <c r="W796"/>
  <c r="W795"/>
  <c r="V797"/>
  <c r="V796"/>
  <c r="R797"/>
  <c r="R796"/>
  <c r="R795"/>
  <c r="R793"/>
  <c r="Q797"/>
  <c r="P797"/>
  <c r="P796"/>
  <c r="P795"/>
  <c r="P793"/>
  <c r="N797"/>
  <c r="N796"/>
  <c r="N795"/>
  <c r="N793"/>
  <c r="L797"/>
  <c r="L796"/>
  <c r="L795"/>
  <c r="L793"/>
  <c r="BI789"/>
  <c r="BH796"/>
  <c r="AP796"/>
  <c r="AA796"/>
  <c r="BI788"/>
  <c r="BH795"/>
  <c r="AP795"/>
  <c r="AA795"/>
  <c r="BI787"/>
  <c r="BH794"/>
  <c r="AP794"/>
  <c r="AA794"/>
  <c r="S794"/>
  <c r="BI786"/>
  <c r="BH793"/>
  <c r="AP793"/>
  <c r="AA793"/>
  <c r="BI785"/>
  <c r="BH792"/>
  <c r="AP792"/>
  <c r="AA792"/>
  <c r="BI784"/>
  <c r="BJ784"/>
  <c r="BH791"/>
  <c r="AP791"/>
  <c r="AA791"/>
  <c r="S791"/>
  <c r="BI783"/>
  <c r="BJ783"/>
  <c r="BH790"/>
  <c r="AP790"/>
  <c r="AA790"/>
  <c r="S790"/>
  <c r="BI782"/>
  <c r="BJ782"/>
  <c r="BH789"/>
  <c r="AU789"/>
  <c r="AS789"/>
  <c r="AP789"/>
  <c r="AM789"/>
  <c r="AL789"/>
  <c r="AA789"/>
  <c r="S789"/>
  <c r="M789"/>
  <c r="AE789"/>
  <c r="BI781"/>
  <c r="BJ781"/>
  <c r="BH788"/>
  <c r="AV788"/>
  <c r="AV785"/>
  <c r="AV784"/>
  <c r="AV782"/>
  <c r="AT788"/>
  <c r="AR788"/>
  <c r="AR785"/>
  <c r="AR784"/>
  <c r="AR782"/>
  <c r="AP788"/>
  <c r="AK788"/>
  <c r="AA788"/>
  <c r="S788"/>
  <c r="M788"/>
  <c r="AE788"/>
  <c r="BI780"/>
  <c r="BJ780"/>
  <c r="BH787"/>
  <c r="AU787"/>
  <c r="AS787"/>
  <c r="AP787"/>
  <c r="AM787"/>
  <c r="AL787"/>
  <c r="AA787"/>
  <c r="S787"/>
  <c r="O787"/>
  <c r="BI779"/>
  <c r="BJ779"/>
  <c r="BH786"/>
  <c r="AP786"/>
  <c r="AA786"/>
  <c r="S786"/>
  <c r="BG785"/>
  <c r="BG784"/>
  <c r="BG782"/>
  <c r="BF785"/>
  <c r="BF784"/>
  <c r="BF782"/>
  <c r="BE785"/>
  <c r="BD785"/>
  <c r="BD784"/>
  <c r="BD782"/>
  <c r="BC785"/>
  <c r="BC784"/>
  <c r="BC782"/>
  <c r="BB785"/>
  <c r="BB784"/>
  <c r="BB782"/>
  <c r="BA785"/>
  <c r="BA784"/>
  <c r="BA782"/>
  <c r="AZ785"/>
  <c r="AY785"/>
  <c r="AY784"/>
  <c r="AY782"/>
  <c r="AX785"/>
  <c r="AW785"/>
  <c r="AW784"/>
  <c r="AW782"/>
  <c r="AT785"/>
  <c r="AT784"/>
  <c r="AT782"/>
  <c r="AQ785"/>
  <c r="AQ784"/>
  <c r="AQ782"/>
  <c r="AQ780"/>
  <c r="AP785"/>
  <c r="AH785"/>
  <c r="AG785"/>
  <c r="AA785"/>
  <c r="Z785"/>
  <c r="Z784"/>
  <c r="Z782"/>
  <c r="Z780"/>
  <c r="Y785"/>
  <c r="X785"/>
  <c r="W785"/>
  <c r="V785"/>
  <c r="V784"/>
  <c r="V782"/>
  <c r="V780"/>
  <c r="R785"/>
  <c r="R784"/>
  <c r="R782"/>
  <c r="R780"/>
  <c r="O785"/>
  <c r="M785"/>
  <c r="M784"/>
  <c r="M782"/>
  <c r="M780"/>
  <c r="AX784"/>
  <c r="AX782"/>
  <c r="AP784"/>
  <c r="AD784"/>
  <c r="AD782"/>
  <c r="AD780"/>
  <c r="AC784"/>
  <c r="AC782"/>
  <c r="AC780"/>
  <c r="AA784"/>
  <c r="Q784"/>
  <c r="Q782"/>
  <c r="Q780"/>
  <c r="P784"/>
  <c r="P782"/>
  <c r="N784"/>
  <c r="N782"/>
  <c r="N780"/>
  <c r="L784"/>
  <c r="L782"/>
  <c r="L780"/>
  <c r="BI776"/>
  <c r="BJ776"/>
  <c r="BH783"/>
  <c r="AP783"/>
  <c r="AA783"/>
  <c r="S783"/>
  <c r="AP782"/>
  <c r="AA782"/>
  <c r="BI774"/>
  <c r="BJ774"/>
  <c r="BH781"/>
  <c r="AP781"/>
  <c r="AA781"/>
  <c r="S781"/>
  <c r="BI773"/>
  <c r="BH780"/>
  <c r="AP780"/>
  <c r="AA780"/>
  <c r="BI772"/>
  <c r="BJ772"/>
  <c r="BH779"/>
  <c r="AP779"/>
  <c r="AA779"/>
  <c r="S779"/>
  <c r="AW778"/>
  <c r="BH778"/>
  <c r="AV778"/>
  <c r="AU778"/>
  <c r="AT778"/>
  <c r="AS778"/>
  <c r="AR778"/>
  <c r="AP778"/>
  <c r="AM778"/>
  <c r="AL778"/>
  <c r="AK778"/>
  <c r="AH778"/>
  <c r="AG778"/>
  <c r="AA778"/>
  <c r="S778"/>
  <c r="S777"/>
  <c r="S776"/>
  <c r="S775"/>
  <c r="S773"/>
  <c r="O778"/>
  <c r="M778"/>
  <c r="M777"/>
  <c r="M776"/>
  <c r="M775"/>
  <c r="M773"/>
  <c r="BI770"/>
  <c r="BH777"/>
  <c r="AQ777"/>
  <c r="AQ776"/>
  <c r="AP777"/>
  <c r="AD777"/>
  <c r="AD776"/>
  <c r="AD775"/>
  <c r="AD773"/>
  <c r="AC777"/>
  <c r="AC776"/>
  <c r="AA777"/>
  <c r="Z777"/>
  <c r="Z776"/>
  <c r="Z775"/>
  <c r="Z773"/>
  <c r="Y777"/>
  <c r="Y776"/>
  <c r="X777"/>
  <c r="X776"/>
  <c r="X775"/>
  <c r="X773"/>
  <c r="W777"/>
  <c r="V777"/>
  <c r="R777"/>
  <c r="R776"/>
  <c r="R775"/>
  <c r="R773"/>
  <c r="Q777"/>
  <c r="Q776"/>
  <c r="Q775"/>
  <c r="Q773"/>
  <c r="P777"/>
  <c r="P776"/>
  <c r="N777"/>
  <c r="N776"/>
  <c r="N775"/>
  <c r="N773"/>
  <c r="L777"/>
  <c r="L776"/>
  <c r="L775"/>
  <c r="L773"/>
  <c r="BI769"/>
  <c r="BH776"/>
  <c r="AP776"/>
  <c r="AA776"/>
  <c r="BI768"/>
  <c r="BH775"/>
  <c r="AP775"/>
  <c r="AA775"/>
  <c r="BI767"/>
  <c r="BJ767"/>
  <c r="BH774"/>
  <c r="AP774"/>
  <c r="AA774"/>
  <c r="S774"/>
  <c r="BI766"/>
  <c r="BH773"/>
  <c r="AP773"/>
  <c r="AA773"/>
  <c r="BI765"/>
  <c r="BH772"/>
  <c r="AP772"/>
  <c r="AA772"/>
  <c r="BI764"/>
  <c r="BJ764"/>
  <c r="BH771"/>
  <c r="AP771"/>
  <c r="AA771"/>
  <c r="S771"/>
  <c r="BE770"/>
  <c r="BI763"/>
  <c r="BJ763"/>
  <c r="AV770"/>
  <c r="AU770"/>
  <c r="AT770"/>
  <c r="AR770"/>
  <c r="AP770"/>
  <c r="AL770"/>
  <c r="AK770"/>
  <c r="AA770"/>
  <c r="S770"/>
  <c r="S769"/>
  <c r="S768"/>
  <c r="S767"/>
  <c r="S765"/>
  <c r="O770"/>
  <c r="BI762"/>
  <c r="BH769"/>
  <c r="AQ769"/>
  <c r="AP769"/>
  <c r="AD769"/>
  <c r="AD768"/>
  <c r="AD767"/>
  <c r="AD765"/>
  <c r="AC769"/>
  <c r="AC768"/>
  <c r="AC767"/>
  <c r="AC765"/>
  <c r="AA769"/>
  <c r="Z769"/>
  <c r="Z768"/>
  <c r="Z767"/>
  <c r="Z765"/>
  <c r="Y769"/>
  <c r="Y768"/>
  <c r="Y767"/>
  <c r="Y765"/>
  <c r="X769"/>
  <c r="X768"/>
  <c r="W769"/>
  <c r="W768"/>
  <c r="W767"/>
  <c r="V769"/>
  <c r="R769"/>
  <c r="Q769"/>
  <c r="Q768"/>
  <c r="Q767"/>
  <c r="Q765"/>
  <c r="P769"/>
  <c r="P768"/>
  <c r="P767"/>
  <c r="P765"/>
  <c r="N769"/>
  <c r="N768"/>
  <c r="N767"/>
  <c r="N765"/>
  <c r="M769"/>
  <c r="M768"/>
  <c r="M767"/>
  <c r="M765"/>
  <c r="L769"/>
  <c r="L768"/>
  <c r="L767"/>
  <c r="L765"/>
  <c r="BI761"/>
  <c r="BH768"/>
  <c r="AP768"/>
  <c r="AA768"/>
  <c r="BI760"/>
  <c r="BH767"/>
  <c r="AP767"/>
  <c r="AA767"/>
  <c r="BI759"/>
  <c r="BJ759"/>
  <c r="BH766"/>
  <c r="AP766"/>
  <c r="AA766"/>
  <c r="S766"/>
  <c r="BI758"/>
  <c r="BH765"/>
  <c r="AP765"/>
  <c r="AA765"/>
  <c r="BI757"/>
  <c r="BJ757"/>
  <c r="BH764"/>
  <c r="AP764"/>
  <c r="AA764"/>
  <c r="S764"/>
  <c r="AW763"/>
  <c r="BI756"/>
  <c r="BJ756"/>
  <c r="AV763"/>
  <c r="AU763"/>
  <c r="AT763"/>
  <c r="AS763"/>
  <c r="AR763"/>
  <c r="AP763"/>
  <c r="AL763"/>
  <c r="AK763"/>
  <c r="AA763"/>
  <c r="S763"/>
  <c r="O763"/>
  <c r="O761"/>
  <c r="BI755"/>
  <c r="BJ755"/>
  <c r="BH762"/>
  <c r="AP762"/>
  <c r="AA762"/>
  <c r="S762"/>
  <c r="M762"/>
  <c r="AE762"/>
  <c r="BI754"/>
  <c r="BH761"/>
  <c r="AQ761"/>
  <c r="AP761"/>
  <c r="AD761"/>
  <c r="AD760"/>
  <c r="AD759"/>
  <c r="AD757"/>
  <c r="AC761"/>
  <c r="AA761"/>
  <c r="Z761"/>
  <c r="Z760"/>
  <c r="Z759"/>
  <c r="Z757"/>
  <c r="Y761"/>
  <c r="Y760"/>
  <c r="Y759"/>
  <c r="Y757"/>
  <c r="X761"/>
  <c r="W761"/>
  <c r="V761"/>
  <c r="R761"/>
  <c r="R760"/>
  <c r="Q761"/>
  <c r="Q760"/>
  <c r="Q759"/>
  <c r="Q757"/>
  <c r="P761"/>
  <c r="P760"/>
  <c r="P759"/>
  <c r="P757"/>
  <c r="N761"/>
  <c r="N760"/>
  <c r="N759"/>
  <c r="N757"/>
  <c r="M761"/>
  <c r="M760"/>
  <c r="M759"/>
  <c r="M757"/>
  <c r="L761"/>
  <c r="L760"/>
  <c r="L759"/>
  <c r="L757"/>
  <c r="BI753"/>
  <c r="BH760"/>
  <c r="AP760"/>
  <c r="AC760"/>
  <c r="AC759"/>
  <c r="AC757"/>
  <c r="AA760"/>
  <c r="BI752"/>
  <c r="BH759"/>
  <c r="AP759"/>
  <c r="AA759"/>
  <c r="BI751"/>
  <c r="BH758"/>
  <c r="AP758"/>
  <c r="AA758"/>
  <c r="S758"/>
  <c r="BI750"/>
  <c r="BH757"/>
  <c r="AP757"/>
  <c r="AA757"/>
  <c r="BI749"/>
  <c r="BJ749"/>
  <c r="BH756"/>
  <c r="AP756"/>
  <c r="AA756"/>
  <c r="S756"/>
  <c r="BI748"/>
  <c r="BJ748"/>
  <c r="BH755"/>
  <c r="AP755"/>
  <c r="AA755"/>
  <c r="S755"/>
  <c r="BI747"/>
  <c r="BH754"/>
  <c r="AQ754"/>
  <c r="AQ753"/>
  <c r="AP754"/>
  <c r="AD754"/>
  <c r="AD753"/>
  <c r="AD752"/>
  <c r="AC754"/>
  <c r="AC753"/>
  <c r="AC752"/>
  <c r="AA754"/>
  <c r="Z754"/>
  <c r="Z753"/>
  <c r="Z752"/>
  <c r="Y754"/>
  <c r="Y753"/>
  <c r="Y752"/>
  <c r="X754"/>
  <c r="X753"/>
  <c r="X752"/>
  <c r="W754"/>
  <c r="W753"/>
  <c r="W752"/>
  <c r="V754"/>
  <c r="V753"/>
  <c r="V752"/>
  <c r="R754"/>
  <c r="R753"/>
  <c r="R752"/>
  <c r="Q754"/>
  <c r="Q753"/>
  <c r="Q752"/>
  <c r="P754"/>
  <c r="P753"/>
  <c r="P752"/>
  <c r="O754"/>
  <c r="O753"/>
  <c r="O752"/>
  <c r="N754"/>
  <c r="N753"/>
  <c r="N752"/>
  <c r="M754"/>
  <c r="M753"/>
  <c r="M752"/>
  <c r="L754"/>
  <c r="L753"/>
  <c r="L752"/>
  <c r="BI746"/>
  <c r="BH753"/>
  <c r="AP753"/>
  <c r="AA753"/>
  <c r="BI745"/>
  <c r="BH752"/>
  <c r="AP752"/>
  <c r="AA752"/>
  <c r="BI744"/>
  <c r="BJ744"/>
  <c r="BH751"/>
  <c r="AP751"/>
  <c r="AA751"/>
  <c r="S751"/>
  <c r="BI743"/>
  <c r="BJ743"/>
  <c r="BH750"/>
  <c r="AU750"/>
  <c r="AU749"/>
  <c r="AS750"/>
  <c r="AS749"/>
  <c r="AP750"/>
  <c r="AM750"/>
  <c r="AL750"/>
  <c r="AA750"/>
  <c r="S750"/>
  <c r="S749"/>
  <c r="S748"/>
  <c r="S747"/>
  <c r="BG749"/>
  <c r="BF749"/>
  <c r="BE749"/>
  <c r="BD749"/>
  <c r="BC749"/>
  <c r="BB749"/>
  <c r="BA749"/>
  <c r="AZ749"/>
  <c r="AY749"/>
  <c r="AX749"/>
  <c r="AW749"/>
  <c r="AV749"/>
  <c r="AT749"/>
  <c r="AR749"/>
  <c r="AQ749"/>
  <c r="AQ748"/>
  <c r="AP749"/>
  <c r="AD749"/>
  <c r="AD748"/>
  <c r="AD747"/>
  <c r="AC749"/>
  <c r="AC748"/>
  <c r="AC747"/>
  <c r="AA749"/>
  <c r="Z749"/>
  <c r="Y749"/>
  <c r="X749"/>
  <c r="W749"/>
  <c r="W748"/>
  <c r="W747"/>
  <c r="V749"/>
  <c r="V748"/>
  <c r="V747"/>
  <c r="R749"/>
  <c r="R748"/>
  <c r="R747"/>
  <c r="Q749"/>
  <c r="Q748"/>
  <c r="Q747"/>
  <c r="P749"/>
  <c r="P748"/>
  <c r="P747"/>
  <c r="O749"/>
  <c r="O748"/>
  <c r="O747"/>
  <c r="N749"/>
  <c r="N748"/>
  <c r="N747"/>
  <c r="M749"/>
  <c r="M748"/>
  <c r="M747"/>
  <c r="L749"/>
  <c r="L748"/>
  <c r="L747"/>
  <c r="BI741"/>
  <c r="BH748"/>
  <c r="AP748"/>
  <c r="AA748"/>
  <c r="Z748"/>
  <c r="Z747"/>
  <c r="BI740"/>
  <c r="BH747"/>
  <c r="AP747"/>
  <c r="AA747"/>
  <c r="BI739"/>
  <c r="BH746"/>
  <c r="AP746"/>
  <c r="AA746"/>
  <c r="S746"/>
  <c r="BI738"/>
  <c r="BH745"/>
  <c r="AP745"/>
  <c r="AA745"/>
  <c r="BI737"/>
  <c r="BJ737"/>
  <c r="BH744"/>
  <c r="AP744"/>
  <c r="AA744"/>
  <c r="S744"/>
  <c r="BI736"/>
  <c r="BJ736"/>
  <c r="BH743"/>
  <c r="AP743"/>
  <c r="AM743"/>
  <c r="AA743"/>
  <c r="S743"/>
  <c r="S742"/>
  <c r="S741"/>
  <c r="S740"/>
  <c r="S738"/>
  <c r="BI735"/>
  <c r="BH742"/>
  <c r="AQ742"/>
  <c r="AQ741"/>
  <c r="AQ740"/>
  <c r="AP742"/>
  <c r="AD742"/>
  <c r="AD741"/>
  <c r="AD740"/>
  <c r="AC742"/>
  <c r="AC741"/>
  <c r="AC740"/>
  <c r="AC738"/>
  <c r="AA742"/>
  <c r="Z742"/>
  <c r="Z741"/>
  <c r="Z740"/>
  <c r="Z738"/>
  <c r="Y742"/>
  <c r="Y741"/>
  <c r="X742"/>
  <c r="X741"/>
  <c r="X740"/>
  <c r="X738"/>
  <c r="W742"/>
  <c r="W741"/>
  <c r="W740"/>
  <c r="W738"/>
  <c r="V742"/>
  <c r="V741"/>
  <c r="V740"/>
  <c r="V738"/>
  <c r="R742"/>
  <c r="R741"/>
  <c r="R740"/>
  <c r="R738"/>
  <c r="Q742"/>
  <c r="Q741"/>
  <c r="Q740"/>
  <c r="Q738"/>
  <c r="P742"/>
  <c r="P741"/>
  <c r="P740"/>
  <c r="P738"/>
  <c r="O742"/>
  <c r="O741"/>
  <c r="O740"/>
  <c r="O738"/>
  <c r="N742"/>
  <c r="N741"/>
  <c r="N740"/>
  <c r="N738"/>
  <c r="M742"/>
  <c r="M741"/>
  <c r="M740"/>
  <c r="M738"/>
  <c r="L742"/>
  <c r="L741"/>
  <c r="L740"/>
  <c r="L738"/>
  <c r="BI734"/>
  <c r="BH741"/>
  <c r="AP741"/>
  <c r="AA741"/>
  <c r="BI733"/>
  <c r="BH740"/>
  <c r="AP740"/>
  <c r="AA740"/>
  <c r="BI732"/>
  <c r="BJ732"/>
  <c r="BH739"/>
  <c r="AP739"/>
  <c r="AA739"/>
  <c r="S739"/>
  <c r="BI731"/>
  <c r="BH738"/>
  <c r="AP738"/>
  <c r="AD738"/>
  <c r="AA738"/>
  <c r="BI730"/>
  <c r="BJ730"/>
  <c r="BH737"/>
  <c r="AP737"/>
  <c r="AA737"/>
  <c r="S737"/>
  <c r="BI729"/>
  <c r="BJ729"/>
  <c r="BH736"/>
  <c r="AP736"/>
  <c r="AA736"/>
  <c r="S736"/>
  <c r="BI728"/>
  <c r="BJ728"/>
  <c r="BH735"/>
  <c r="AP735"/>
  <c r="AA735"/>
  <c r="S735"/>
  <c r="BI727"/>
  <c r="BJ727"/>
  <c r="BH734"/>
  <c r="AP734"/>
  <c r="AA734"/>
  <c r="S734"/>
  <c r="BI726"/>
  <c r="BJ726"/>
  <c r="BH733"/>
  <c r="AP733"/>
  <c r="AA733"/>
  <c r="S733"/>
  <c r="AW732"/>
  <c r="BI725"/>
  <c r="BJ725"/>
  <c r="AV732"/>
  <c r="AU732"/>
  <c r="AT732"/>
  <c r="AS732"/>
  <c r="AR732"/>
  <c r="AP732"/>
  <c r="AM732"/>
  <c r="AL732"/>
  <c r="AK732"/>
  <c r="AA732"/>
  <c r="S732"/>
  <c r="S731"/>
  <c r="Q732"/>
  <c r="AH732"/>
  <c r="P732"/>
  <c r="P238"/>
  <c r="O732"/>
  <c r="M732"/>
  <c r="M731"/>
  <c r="BI724"/>
  <c r="BH731"/>
  <c r="AQ731"/>
  <c r="AP731"/>
  <c r="AD731"/>
  <c r="AC731"/>
  <c r="AA731"/>
  <c r="Z731"/>
  <c r="Y731"/>
  <c r="X731"/>
  <c r="W731"/>
  <c r="V731"/>
  <c r="R731"/>
  <c r="P731"/>
  <c r="N731"/>
  <c r="L731"/>
  <c r="BI723"/>
  <c r="BJ723"/>
  <c r="BH730"/>
  <c r="AP730"/>
  <c r="AA730"/>
  <c r="S730"/>
  <c r="BI722"/>
  <c r="BJ722"/>
  <c r="BH729"/>
  <c r="AV729"/>
  <c r="AU729"/>
  <c r="AT729"/>
  <c r="AS729"/>
  <c r="AR729"/>
  <c r="AP729"/>
  <c r="AM729"/>
  <c r="AL729"/>
  <c r="AK729"/>
  <c r="AA729"/>
  <c r="S729"/>
  <c r="S728"/>
  <c r="O729"/>
  <c r="O728"/>
  <c r="BI721"/>
  <c r="BH728"/>
  <c r="AQ728"/>
  <c r="AP728"/>
  <c r="AD728"/>
  <c r="AC728"/>
  <c r="AA728"/>
  <c r="Z728"/>
  <c r="Y728"/>
  <c r="X728"/>
  <c r="W728"/>
  <c r="V728"/>
  <c r="R728"/>
  <c r="Q728"/>
  <c r="P728"/>
  <c r="N728"/>
  <c r="N727"/>
  <c r="N726"/>
  <c r="N724"/>
  <c r="M728"/>
  <c r="L728"/>
  <c r="BI720"/>
  <c r="BH727"/>
  <c r="AP727"/>
  <c r="AA727"/>
  <c r="BI719"/>
  <c r="BH726"/>
  <c r="AP726"/>
  <c r="AA726"/>
  <c r="BI718"/>
  <c r="BH725"/>
  <c r="AP725"/>
  <c r="AA725"/>
  <c r="S725"/>
  <c r="BI717"/>
  <c r="BH724"/>
  <c r="AP724"/>
  <c r="AA724"/>
  <c r="BI716"/>
  <c r="BJ716"/>
  <c r="BH723"/>
  <c r="AP723"/>
  <c r="AA723"/>
  <c r="S723"/>
  <c r="AW722"/>
  <c r="BI715"/>
  <c r="BJ715"/>
  <c r="AV722"/>
  <c r="AU722"/>
  <c r="AT722"/>
  <c r="AS722"/>
  <c r="AR722"/>
  <c r="AP722"/>
  <c r="AM722"/>
  <c r="AL722"/>
  <c r="AK722"/>
  <c r="AH722"/>
  <c r="AG722"/>
  <c r="AA722"/>
  <c r="S722"/>
  <c r="S721"/>
  <c r="S720"/>
  <c r="S719"/>
  <c r="S717"/>
  <c r="O722"/>
  <c r="O721"/>
  <c r="M722"/>
  <c r="M721"/>
  <c r="M720"/>
  <c r="M719"/>
  <c r="M717"/>
  <c r="BI714"/>
  <c r="BH721"/>
  <c r="AQ721"/>
  <c r="AP721"/>
  <c r="AD721"/>
  <c r="AD720"/>
  <c r="AD719"/>
  <c r="AD717"/>
  <c r="AC721"/>
  <c r="AC720"/>
  <c r="AC719"/>
  <c r="AC717"/>
  <c r="AA721"/>
  <c r="Z721"/>
  <c r="Z720"/>
  <c r="Z719"/>
  <c r="Z717"/>
  <c r="Y721"/>
  <c r="Y720"/>
  <c r="Y719"/>
  <c r="Y717"/>
  <c r="X721"/>
  <c r="X720"/>
  <c r="W721"/>
  <c r="W720"/>
  <c r="V721"/>
  <c r="R721"/>
  <c r="R720"/>
  <c r="R719"/>
  <c r="R717"/>
  <c r="Q721"/>
  <c r="Q720"/>
  <c r="P721"/>
  <c r="P720"/>
  <c r="P719"/>
  <c r="P717"/>
  <c r="N721"/>
  <c r="N720"/>
  <c r="N719"/>
  <c r="N717"/>
  <c r="L721"/>
  <c r="L720"/>
  <c r="L719"/>
  <c r="L717"/>
  <c r="BI713"/>
  <c r="BH720"/>
  <c r="AP720"/>
  <c r="AA720"/>
  <c r="BI712"/>
  <c r="BH719"/>
  <c r="AP719"/>
  <c r="AA719"/>
  <c r="BI711"/>
  <c r="BH718"/>
  <c r="AP718"/>
  <c r="AA718"/>
  <c r="S718"/>
  <c r="BI710"/>
  <c r="BH717"/>
  <c r="AP717"/>
  <c r="AA717"/>
  <c r="BI709"/>
  <c r="BJ709"/>
  <c r="BH716"/>
  <c r="AP716"/>
  <c r="AA716"/>
  <c r="S716"/>
  <c r="AW715"/>
  <c r="BI708"/>
  <c r="BJ708"/>
  <c r="AV715"/>
  <c r="AU715"/>
  <c r="AT715"/>
  <c r="AS715"/>
  <c r="AR715"/>
  <c r="AP715"/>
  <c r="AM715"/>
  <c r="AL715"/>
  <c r="AK715"/>
  <c r="AH715"/>
  <c r="AG715"/>
  <c r="AA715"/>
  <c r="S715"/>
  <c r="S714"/>
  <c r="S713"/>
  <c r="S712"/>
  <c r="S710"/>
  <c r="O715"/>
  <c r="O714"/>
  <c r="M715"/>
  <c r="M714"/>
  <c r="M713"/>
  <c r="M712"/>
  <c r="M710"/>
  <c r="BI707"/>
  <c r="BH714"/>
  <c r="AQ714"/>
  <c r="AP714"/>
  <c r="AD714"/>
  <c r="AD713"/>
  <c r="AD712"/>
  <c r="AD710"/>
  <c r="AC714"/>
  <c r="AC713"/>
  <c r="AC712"/>
  <c r="AC710"/>
  <c r="AA714"/>
  <c r="Z714"/>
  <c r="Z713"/>
  <c r="Z712"/>
  <c r="Z710"/>
  <c r="Y714"/>
  <c r="X714"/>
  <c r="W714"/>
  <c r="V714"/>
  <c r="R714"/>
  <c r="R713"/>
  <c r="R712"/>
  <c r="R710"/>
  <c r="Q714"/>
  <c r="P714"/>
  <c r="P713"/>
  <c r="P712"/>
  <c r="P710"/>
  <c r="N714"/>
  <c r="N713"/>
  <c r="N712"/>
  <c r="N710"/>
  <c r="L714"/>
  <c r="L713"/>
  <c r="L712"/>
  <c r="L710"/>
  <c r="BI706"/>
  <c r="BH713"/>
  <c r="AP713"/>
  <c r="AA713"/>
  <c r="BI705"/>
  <c r="BH712"/>
  <c r="AP712"/>
  <c r="AA712"/>
  <c r="BI704"/>
  <c r="BH711"/>
  <c r="AP711"/>
  <c r="AA711"/>
  <c r="S711"/>
  <c r="BI703"/>
  <c r="BH710"/>
  <c r="AP710"/>
  <c r="AA710"/>
  <c r="BI702"/>
  <c r="BJ702"/>
  <c r="BH709"/>
  <c r="AP709"/>
  <c r="AA709"/>
  <c r="S709"/>
  <c r="BI701"/>
  <c r="BJ701"/>
  <c r="BH708"/>
  <c r="AP708"/>
  <c r="AA708"/>
  <c r="S708"/>
  <c r="S707"/>
  <c r="S706"/>
  <c r="S705"/>
  <c r="S703"/>
  <c r="BI700"/>
  <c r="BH707"/>
  <c r="AQ707"/>
  <c r="AP707"/>
  <c r="AD707"/>
  <c r="AD706"/>
  <c r="AD705"/>
  <c r="AD703"/>
  <c r="AC707"/>
  <c r="AC706"/>
  <c r="AC705"/>
  <c r="AC703"/>
  <c r="AA707"/>
  <c r="Z707"/>
  <c r="Y707"/>
  <c r="Y706"/>
  <c r="Y705"/>
  <c r="Y703"/>
  <c r="X707"/>
  <c r="X706"/>
  <c r="X705"/>
  <c r="X703"/>
  <c r="W707"/>
  <c r="W706"/>
  <c r="W705"/>
  <c r="W703"/>
  <c r="V707"/>
  <c r="V706"/>
  <c r="V705"/>
  <c r="V703"/>
  <c r="R707"/>
  <c r="R706"/>
  <c r="R705"/>
  <c r="R703"/>
  <c r="Q707"/>
  <c r="Q706"/>
  <c r="Q705"/>
  <c r="Q703"/>
  <c r="P707"/>
  <c r="P706"/>
  <c r="P705"/>
  <c r="P703"/>
  <c r="O707"/>
  <c r="O706"/>
  <c r="O705"/>
  <c r="O703"/>
  <c r="N707"/>
  <c r="N706"/>
  <c r="N705"/>
  <c r="N703"/>
  <c r="M707"/>
  <c r="M706"/>
  <c r="M705"/>
  <c r="M703"/>
  <c r="L707"/>
  <c r="L706"/>
  <c r="L705"/>
  <c r="L703"/>
  <c r="BI699"/>
  <c r="BH706"/>
  <c r="AP706"/>
  <c r="AA706"/>
  <c r="Z706"/>
  <c r="Z705"/>
  <c r="Z703"/>
  <c r="BI698"/>
  <c r="BH705"/>
  <c r="AP705"/>
  <c r="AA705"/>
  <c r="BI697"/>
  <c r="BJ697"/>
  <c r="BH704"/>
  <c r="AP704"/>
  <c r="AA704"/>
  <c r="S704"/>
  <c r="BI696"/>
  <c r="BH703"/>
  <c r="AP703"/>
  <c r="AA703"/>
  <c r="BI695"/>
  <c r="BJ695"/>
  <c r="BH702"/>
  <c r="AP702"/>
  <c r="AA702"/>
  <c r="S702"/>
  <c r="BI694"/>
  <c r="BJ694"/>
  <c r="BH701"/>
  <c r="BH300"/>
  <c r="AP701"/>
  <c r="AA701"/>
  <c r="AA300"/>
  <c r="S701"/>
  <c r="S700"/>
  <c r="S699"/>
  <c r="S698"/>
  <c r="S696"/>
  <c r="BI693"/>
  <c r="BH700"/>
  <c r="AQ700"/>
  <c r="AP700"/>
  <c r="AD700"/>
  <c r="AD699"/>
  <c r="AD698"/>
  <c r="AD696"/>
  <c r="AC700"/>
  <c r="AC699"/>
  <c r="AC698"/>
  <c r="AC696"/>
  <c r="AA700"/>
  <c r="Z700"/>
  <c r="Z699"/>
  <c r="Z698"/>
  <c r="Z696"/>
  <c r="Y700"/>
  <c r="Y699"/>
  <c r="Y698"/>
  <c r="Y696"/>
  <c r="X700"/>
  <c r="X699"/>
  <c r="X698"/>
  <c r="X696"/>
  <c r="W700"/>
  <c r="W699"/>
  <c r="W698"/>
  <c r="W696"/>
  <c r="V700"/>
  <c r="V699"/>
  <c r="V698"/>
  <c r="V696"/>
  <c r="R700"/>
  <c r="R699"/>
  <c r="R698"/>
  <c r="R696"/>
  <c r="Q700"/>
  <c r="Q699"/>
  <c r="Q698"/>
  <c r="Q696"/>
  <c r="P700"/>
  <c r="P699"/>
  <c r="P698"/>
  <c r="P696"/>
  <c r="O700"/>
  <c r="O699"/>
  <c r="O698"/>
  <c r="O696"/>
  <c r="N700"/>
  <c r="N699"/>
  <c r="N698"/>
  <c r="N696"/>
  <c r="M700"/>
  <c r="M699"/>
  <c r="M698"/>
  <c r="M696"/>
  <c r="L700"/>
  <c r="L699"/>
  <c r="L698"/>
  <c r="L696"/>
  <c r="BI692"/>
  <c r="BH699"/>
  <c r="AP699"/>
  <c r="AA699"/>
  <c r="BI691"/>
  <c r="BH698"/>
  <c r="AP698"/>
  <c r="AA698"/>
  <c r="BI690"/>
  <c r="BJ690"/>
  <c r="BH697"/>
  <c r="AP697"/>
  <c r="AA697"/>
  <c r="S697"/>
  <c r="BI689"/>
  <c r="BH696"/>
  <c r="AP696"/>
  <c r="AA696"/>
  <c r="BI688"/>
  <c r="BJ688"/>
  <c r="BH695"/>
  <c r="AP695"/>
  <c r="AA695"/>
  <c r="S695"/>
  <c r="BI687"/>
  <c r="BJ687"/>
  <c r="BH694"/>
  <c r="AV694"/>
  <c r="AV693"/>
  <c r="AU694"/>
  <c r="AU693"/>
  <c r="AT694"/>
  <c r="AT693"/>
  <c r="AS694"/>
  <c r="AS693"/>
  <c r="AR694"/>
  <c r="AR693"/>
  <c r="AP694"/>
  <c r="AM694"/>
  <c r="AL694"/>
  <c r="AK694"/>
  <c r="AH694"/>
  <c r="AG694"/>
  <c r="AA694"/>
  <c r="S694"/>
  <c r="S693"/>
  <c r="S692"/>
  <c r="S691"/>
  <c r="S689"/>
  <c r="O694"/>
  <c r="AF694"/>
  <c r="M694"/>
  <c r="BG693"/>
  <c r="BF693"/>
  <c r="BE693"/>
  <c r="BD693"/>
  <c r="BC693"/>
  <c r="BB693"/>
  <c r="BA693"/>
  <c r="AZ693"/>
  <c r="AY693"/>
  <c r="AX693"/>
  <c r="AW693"/>
  <c r="AQ693"/>
  <c r="AQ692"/>
  <c r="AP693"/>
  <c r="AD693"/>
  <c r="AD692"/>
  <c r="AD691"/>
  <c r="AD689"/>
  <c r="AC693"/>
  <c r="AA693"/>
  <c r="Z693"/>
  <c r="Z692"/>
  <c r="Z691"/>
  <c r="Z689"/>
  <c r="Y693"/>
  <c r="X693"/>
  <c r="W693"/>
  <c r="V693"/>
  <c r="V692"/>
  <c r="R693"/>
  <c r="R692"/>
  <c r="R691"/>
  <c r="R689"/>
  <c r="Q693"/>
  <c r="Q692"/>
  <c r="Q691"/>
  <c r="Q689"/>
  <c r="P693"/>
  <c r="P692"/>
  <c r="P691"/>
  <c r="P689"/>
  <c r="N693"/>
  <c r="N692"/>
  <c r="N691"/>
  <c r="N689"/>
  <c r="L693"/>
  <c r="L692"/>
  <c r="L691"/>
  <c r="L689"/>
  <c r="BI685"/>
  <c r="BH692"/>
  <c r="AP692"/>
  <c r="AC692"/>
  <c r="AC691"/>
  <c r="AA692"/>
  <c r="BI684"/>
  <c r="BH691"/>
  <c r="AP691"/>
  <c r="AA691"/>
  <c r="BI683"/>
  <c r="BJ683"/>
  <c r="BH690"/>
  <c r="AP690"/>
  <c r="AA690"/>
  <c r="S690"/>
  <c r="BI682"/>
  <c r="BH689"/>
  <c r="AP689"/>
  <c r="AA689"/>
  <c r="BI681"/>
  <c r="BJ681"/>
  <c r="BH688"/>
  <c r="AP688"/>
  <c r="AA688"/>
  <c r="S688"/>
  <c r="BI680"/>
  <c r="BJ680"/>
  <c r="BH687"/>
  <c r="AV687"/>
  <c r="AU687"/>
  <c r="AT687"/>
  <c r="AS687"/>
  <c r="AR687"/>
  <c r="AP687"/>
  <c r="AM687"/>
  <c r="AL687"/>
  <c r="AK687"/>
  <c r="AH687"/>
  <c r="AG687"/>
  <c r="AA687"/>
  <c r="S687"/>
  <c r="S686"/>
  <c r="O687"/>
  <c r="M687"/>
  <c r="M686"/>
  <c r="BI679"/>
  <c r="BH686"/>
  <c r="AQ686"/>
  <c r="AP686"/>
  <c r="AD686"/>
  <c r="AC686"/>
  <c r="AA686"/>
  <c r="Z686"/>
  <c r="Y686"/>
  <c r="X686"/>
  <c r="W686"/>
  <c r="V686"/>
  <c r="R686"/>
  <c r="Q686"/>
  <c r="P686"/>
  <c r="N686"/>
  <c r="L686"/>
  <c r="BI678"/>
  <c r="BJ678"/>
  <c r="BH685"/>
  <c r="AP685"/>
  <c r="AA685"/>
  <c r="S685"/>
  <c r="BE684"/>
  <c r="BI677"/>
  <c r="BJ677"/>
  <c r="AV684"/>
  <c r="AU684"/>
  <c r="AT684"/>
  <c r="AS684"/>
  <c r="AR684"/>
  <c r="AP684"/>
  <c r="AM684"/>
  <c r="AL684"/>
  <c r="AK684"/>
  <c r="AH684"/>
  <c r="AG684"/>
  <c r="AA684"/>
  <c r="S684"/>
  <c r="S683"/>
  <c r="O684"/>
  <c r="AF684"/>
  <c r="M684"/>
  <c r="BI676"/>
  <c r="BH683"/>
  <c r="AQ683"/>
  <c r="AP683"/>
  <c r="AD683"/>
  <c r="AC683"/>
  <c r="AA683"/>
  <c r="Z683"/>
  <c r="Y683"/>
  <c r="X683"/>
  <c r="W683"/>
  <c r="V683"/>
  <c r="R683"/>
  <c r="Q683"/>
  <c r="P683"/>
  <c r="O683"/>
  <c r="N683"/>
  <c r="L683"/>
  <c r="BI675"/>
  <c r="BH682"/>
  <c r="AP682"/>
  <c r="AA682"/>
  <c r="BI674"/>
  <c r="BH681"/>
  <c r="AP681"/>
  <c r="AA681"/>
  <c r="BI673"/>
  <c r="BH680"/>
  <c r="AP680"/>
  <c r="AA680"/>
  <c r="S680"/>
  <c r="BI672"/>
  <c r="BH679"/>
  <c r="AP679"/>
  <c r="AA679"/>
  <c r="BI671"/>
  <c r="BJ671"/>
  <c r="BH678"/>
  <c r="AP678"/>
  <c r="AA678"/>
  <c r="S678"/>
  <c r="BI670"/>
  <c r="BJ670"/>
  <c r="BH677"/>
  <c r="AP677"/>
  <c r="AA677"/>
  <c r="S677"/>
  <c r="S676"/>
  <c r="S675"/>
  <c r="S674"/>
  <c r="S672"/>
  <c r="BI669"/>
  <c r="BH676"/>
  <c r="AQ676"/>
  <c r="AQ675"/>
  <c r="AP676"/>
  <c r="AD676"/>
  <c r="AD675"/>
  <c r="AD674"/>
  <c r="AD672"/>
  <c r="AC676"/>
  <c r="AC675"/>
  <c r="AC674"/>
  <c r="AC672"/>
  <c r="AA676"/>
  <c r="Z676"/>
  <c r="Z675"/>
  <c r="Z674"/>
  <c r="Z672"/>
  <c r="Y676"/>
  <c r="Y675"/>
  <c r="Y674"/>
  <c r="Y672"/>
  <c r="X676"/>
  <c r="X675"/>
  <c r="X674"/>
  <c r="X672"/>
  <c r="W676"/>
  <c r="W675"/>
  <c r="W674"/>
  <c r="W672"/>
  <c r="V676"/>
  <c r="V675"/>
  <c r="V674"/>
  <c r="V672"/>
  <c r="R676"/>
  <c r="R675"/>
  <c r="R674"/>
  <c r="R672"/>
  <c r="Q676"/>
  <c r="Q675"/>
  <c r="Q674"/>
  <c r="Q672"/>
  <c r="P676"/>
  <c r="P675"/>
  <c r="P674"/>
  <c r="P672"/>
  <c r="O676"/>
  <c r="O675"/>
  <c r="O674"/>
  <c r="O672"/>
  <c r="N676"/>
  <c r="N675"/>
  <c r="N674"/>
  <c r="N672"/>
  <c r="M676"/>
  <c r="M675"/>
  <c r="M674"/>
  <c r="M672"/>
  <c r="L676"/>
  <c r="L675"/>
  <c r="L674"/>
  <c r="L672"/>
  <c r="BI668"/>
  <c r="BH675"/>
  <c r="AP675"/>
  <c r="AA675"/>
  <c r="BI667"/>
  <c r="BH674"/>
  <c r="AP674"/>
  <c r="AA674"/>
  <c r="BI666"/>
  <c r="BJ666"/>
  <c r="BH673"/>
  <c r="AP673"/>
  <c r="AA673"/>
  <c r="S673"/>
  <c r="BI665"/>
  <c r="BH672"/>
  <c r="AP672"/>
  <c r="AA672"/>
  <c r="BI664"/>
  <c r="BJ664"/>
  <c r="BH671"/>
  <c r="AP671"/>
  <c r="AA671"/>
  <c r="S671"/>
  <c r="BE670"/>
  <c r="AU670"/>
  <c r="AU338"/>
  <c r="AS670"/>
  <c r="AP670"/>
  <c r="AM670"/>
  <c r="AL670"/>
  <c r="AH670"/>
  <c r="AG670"/>
  <c r="AA670"/>
  <c r="AA338"/>
  <c r="S670"/>
  <c r="S669"/>
  <c r="S668"/>
  <c r="S667"/>
  <c r="O670"/>
  <c r="O669"/>
  <c r="O668"/>
  <c r="M670"/>
  <c r="BI662"/>
  <c r="BH669"/>
  <c r="AQ669"/>
  <c r="AQ668"/>
  <c r="AQ667"/>
  <c r="AP669"/>
  <c r="AD669"/>
  <c r="AD668"/>
  <c r="AD667"/>
  <c r="AC669"/>
  <c r="AA669"/>
  <c r="Z669"/>
  <c r="Z668"/>
  <c r="Z667"/>
  <c r="Y669"/>
  <c r="Y668"/>
  <c r="X669"/>
  <c r="X668"/>
  <c r="W669"/>
  <c r="V669"/>
  <c r="R669"/>
  <c r="R668"/>
  <c r="R667"/>
  <c r="Q669"/>
  <c r="Q668"/>
  <c r="Q667"/>
  <c r="P669"/>
  <c r="N669"/>
  <c r="N668"/>
  <c r="N667"/>
  <c r="L669"/>
  <c r="L668"/>
  <c r="L667"/>
  <c r="BI661"/>
  <c r="BH668"/>
  <c r="AP668"/>
  <c r="AA668"/>
  <c r="BI660"/>
  <c r="BH667"/>
  <c r="AP667"/>
  <c r="AA667"/>
  <c r="BI659"/>
  <c r="BJ659"/>
  <c r="BH666"/>
  <c r="AP666"/>
  <c r="AA666"/>
  <c r="S666"/>
  <c r="BI658"/>
  <c r="BJ658"/>
  <c r="BH665"/>
  <c r="AP665"/>
  <c r="AA665"/>
  <c r="S665"/>
  <c r="BI657"/>
  <c r="BJ657"/>
  <c r="BH664"/>
  <c r="AP664"/>
  <c r="AM664"/>
  <c r="AA664"/>
  <c r="S664"/>
  <c r="S663"/>
  <c r="S662"/>
  <c r="S661"/>
  <c r="BI656"/>
  <c r="BH663"/>
  <c r="AQ663"/>
  <c r="AQ662"/>
  <c r="AQ661"/>
  <c r="AP663"/>
  <c r="AD663"/>
  <c r="AD662"/>
  <c r="AD661"/>
  <c r="AC663"/>
  <c r="AC662"/>
  <c r="AC661"/>
  <c r="AA663"/>
  <c r="Z663"/>
  <c r="Z662"/>
  <c r="Z661"/>
  <c r="Y663"/>
  <c r="Y662"/>
  <c r="X663"/>
  <c r="X662"/>
  <c r="X661"/>
  <c r="W663"/>
  <c r="W662"/>
  <c r="W661"/>
  <c r="V663"/>
  <c r="V662"/>
  <c r="V661"/>
  <c r="R663"/>
  <c r="R662"/>
  <c r="R661"/>
  <c r="Q663"/>
  <c r="Q662"/>
  <c r="Q661"/>
  <c r="P663"/>
  <c r="P662"/>
  <c r="P661"/>
  <c r="O663"/>
  <c r="O662"/>
  <c r="O661"/>
  <c r="N663"/>
  <c r="N662"/>
  <c r="N661"/>
  <c r="M663"/>
  <c r="M662"/>
  <c r="M661"/>
  <c r="L663"/>
  <c r="L662"/>
  <c r="L661"/>
  <c r="BI655"/>
  <c r="BH662"/>
  <c r="AP662"/>
  <c r="AA662"/>
  <c r="BI654"/>
  <c r="BH661"/>
  <c r="AP661"/>
  <c r="AA661"/>
  <c r="BI653"/>
  <c r="BJ653"/>
  <c r="BH660"/>
  <c r="AP660"/>
  <c r="AA660"/>
  <c r="S660"/>
  <c r="BI652"/>
  <c r="BH659"/>
  <c r="AP659"/>
  <c r="AA659"/>
  <c r="BI651"/>
  <c r="BH658"/>
  <c r="AP658"/>
  <c r="AA658"/>
  <c r="BI650"/>
  <c r="BJ650"/>
  <c r="BH657"/>
  <c r="AP657"/>
  <c r="AA657"/>
  <c r="S657"/>
  <c r="BI649"/>
  <c r="BJ649"/>
  <c r="BH656"/>
  <c r="AP656"/>
  <c r="AA656"/>
  <c r="S656"/>
  <c r="BI648"/>
  <c r="BH655"/>
  <c r="AQ655"/>
  <c r="AP655"/>
  <c r="AD655"/>
  <c r="AD654"/>
  <c r="AD653"/>
  <c r="AD651"/>
  <c r="AC655"/>
  <c r="AC654"/>
  <c r="AC653"/>
  <c r="AC651"/>
  <c r="AA655"/>
  <c r="Z655"/>
  <c r="Z654"/>
  <c r="Z653"/>
  <c r="Z651"/>
  <c r="Y655"/>
  <c r="Y654"/>
  <c r="Y653"/>
  <c r="Y651"/>
  <c r="X655"/>
  <c r="X654"/>
  <c r="X653"/>
  <c r="X651"/>
  <c r="W655"/>
  <c r="W654"/>
  <c r="W653"/>
  <c r="W651"/>
  <c r="V655"/>
  <c r="V654"/>
  <c r="V653"/>
  <c r="V651"/>
  <c r="R655"/>
  <c r="R654"/>
  <c r="R653"/>
  <c r="R651"/>
  <c r="Q655"/>
  <c r="Q654"/>
  <c r="Q653"/>
  <c r="Q651"/>
  <c r="P655"/>
  <c r="P654"/>
  <c r="P653"/>
  <c r="P651"/>
  <c r="O655"/>
  <c r="O654"/>
  <c r="O653"/>
  <c r="O651"/>
  <c r="N655"/>
  <c r="N654"/>
  <c r="N653"/>
  <c r="N651"/>
  <c r="M655"/>
  <c r="L655"/>
  <c r="L654"/>
  <c r="L653"/>
  <c r="L651"/>
  <c r="BI647"/>
  <c r="BH654"/>
  <c r="AP654"/>
  <c r="AA654"/>
  <c r="M654"/>
  <c r="M653"/>
  <c r="M651"/>
  <c r="BI646"/>
  <c r="BH653"/>
  <c r="AP653"/>
  <c r="AA653"/>
  <c r="BI645"/>
  <c r="BJ645"/>
  <c r="BH652"/>
  <c r="AP652"/>
  <c r="AA652"/>
  <c r="S652"/>
  <c r="BI644"/>
  <c r="BH651"/>
  <c r="AP651"/>
  <c r="AA651"/>
  <c r="BI643"/>
  <c r="BJ643"/>
  <c r="BH650"/>
  <c r="AP650"/>
  <c r="AA650"/>
  <c r="S650"/>
  <c r="BI642"/>
  <c r="BJ642"/>
  <c r="BH649"/>
  <c r="AP649"/>
  <c r="AM649"/>
  <c r="AG649"/>
  <c r="AA649"/>
  <c r="S649"/>
  <c r="O649"/>
  <c r="AF649"/>
  <c r="BI641"/>
  <c r="BH648"/>
  <c r="AQ648"/>
  <c r="AP648"/>
  <c r="AD648"/>
  <c r="AC648"/>
  <c r="AA648"/>
  <c r="Z648"/>
  <c r="Y648"/>
  <c r="X648"/>
  <c r="W648"/>
  <c r="V648"/>
  <c r="R648"/>
  <c r="Q648"/>
  <c r="P648"/>
  <c r="O648"/>
  <c r="N648"/>
  <c r="M648"/>
  <c r="L648"/>
  <c r="BI640"/>
  <c r="BJ640"/>
  <c r="BH647"/>
  <c r="AP647"/>
  <c r="AA647"/>
  <c r="S647"/>
  <c r="BI639"/>
  <c r="BJ639"/>
  <c r="BH646"/>
  <c r="AP646"/>
  <c r="AA646"/>
  <c r="S646"/>
  <c r="M646"/>
  <c r="AE646"/>
  <c r="BI638"/>
  <c r="BJ638"/>
  <c r="BH645"/>
  <c r="AV645"/>
  <c r="AU645"/>
  <c r="AT645"/>
  <c r="AS645"/>
  <c r="AR645"/>
  <c r="AP645"/>
  <c r="AM645"/>
  <c r="AL645"/>
  <c r="AK645"/>
  <c r="AA645"/>
  <c r="S645"/>
  <c r="O645"/>
  <c r="M645"/>
  <c r="BI637"/>
  <c r="BH644"/>
  <c r="AQ644"/>
  <c r="AP644"/>
  <c r="AD644"/>
  <c r="AC644"/>
  <c r="AA644"/>
  <c r="Z644"/>
  <c r="Y644"/>
  <c r="X644"/>
  <c r="W644"/>
  <c r="AU644"/>
  <c r="V644"/>
  <c r="R644"/>
  <c r="Q644"/>
  <c r="P644"/>
  <c r="N644"/>
  <c r="L644"/>
  <c r="BI636"/>
  <c r="BH643"/>
  <c r="AP643"/>
  <c r="AA643"/>
  <c r="BI635"/>
  <c r="BH642"/>
  <c r="AP642"/>
  <c r="AA642"/>
  <c r="BI634"/>
  <c r="BJ634"/>
  <c r="BH641"/>
  <c r="AP641"/>
  <c r="AA641"/>
  <c r="S641"/>
  <c r="BI633"/>
  <c r="BJ633"/>
  <c r="BH640"/>
  <c r="AV640"/>
  <c r="AV636"/>
  <c r="AU640"/>
  <c r="AU636"/>
  <c r="AT640"/>
  <c r="AT636"/>
  <c r="AS640"/>
  <c r="AS636"/>
  <c r="AR640"/>
  <c r="AR636"/>
  <c r="AP640"/>
  <c r="AM640"/>
  <c r="AL640"/>
  <c r="AK640"/>
  <c r="AA640"/>
  <c r="S640"/>
  <c r="O640"/>
  <c r="O636"/>
  <c r="O635"/>
  <c r="M640"/>
  <c r="BI632"/>
  <c r="BJ632"/>
  <c r="BH639"/>
  <c r="AP639"/>
  <c r="AA639"/>
  <c r="S639"/>
  <c r="BI631"/>
  <c r="BJ631"/>
  <c r="BH638"/>
  <c r="AP638"/>
  <c r="AA638"/>
  <c r="S638"/>
  <c r="BI630"/>
  <c r="BJ630"/>
  <c r="BH637"/>
  <c r="AP637"/>
  <c r="AA637"/>
  <c r="S637"/>
  <c r="BG636"/>
  <c r="BF636"/>
  <c r="BE636"/>
  <c r="BD636"/>
  <c r="BC636"/>
  <c r="BB636"/>
  <c r="BA636"/>
  <c r="AZ636"/>
  <c r="AY636"/>
  <c r="AX636"/>
  <c r="AW636"/>
  <c r="AQ636"/>
  <c r="AQ635"/>
  <c r="AP636"/>
  <c r="AD636"/>
  <c r="AC636"/>
  <c r="AA636"/>
  <c r="Z636"/>
  <c r="Z635"/>
  <c r="Y636"/>
  <c r="Y635"/>
  <c r="X636"/>
  <c r="X635"/>
  <c r="W636"/>
  <c r="W635"/>
  <c r="V636"/>
  <c r="V635"/>
  <c r="R636"/>
  <c r="Q636"/>
  <c r="P636"/>
  <c r="P635"/>
  <c r="P634"/>
  <c r="N636"/>
  <c r="N635"/>
  <c r="N634"/>
  <c r="L636"/>
  <c r="L635"/>
  <c r="L634"/>
  <c r="BI628"/>
  <c r="BH635"/>
  <c r="AP635"/>
  <c r="AA635"/>
  <c r="BI627"/>
  <c r="BH634"/>
  <c r="AP634"/>
  <c r="AA634"/>
  <c r="Z634"/>
  <c r="BI626"/>
  <c r="BH633"/>
  <c r="AP633"/>
  <c r="AA633"/>
  <c r="S633"/>
  <c r="BI625"/>
  <c r="BH632"/>
  <c r="AP632"/>
  <c r="AA632"/>
  <c r="BI624"/>
  <c r="BJ624"/>
  <c r="BH631"/>
  <c r="AP631"/>
  <c r="AA631"/>
  <c r="S631"/>
  <c r="BI623"/>
  <c r="BJ623"/>
  <c r="BH630"/>
  <c r="AP630"/>
  <c r="AA630"/>
  <c r="S630"/>
  <c r="M630"/>
  <c r="AE630"/>
  <c r="BI622"/>
  <c r="BJ622"/>
  <c r="BH629"/>
  <c r="AP629"/>
  <c r="AA629"/>
  <c r="S629"/>
  <c r="BI621"/>
  <c r="BJ621"/>
  <c r="BH628"/>
  <c r="AP628"/>
  <c r="AA628"/>
  <c r="S628"/>
  <c r="AZ627"/>
  <c r="BI620"/>
  <c r="BJ620"/>
  <c r="AV627"/>
  <c r="AU627"/>
  <c r="AT627"/>
  <c r="AS627"/>
  <c r="AR627"/>
  <c r="AP627"/>
  <c r="AM627"/>
  <c r="AL627"/>
  <c r="AK627"/>
  <c r="AH627"/>
  <c r="AG627"/>
  <c r="AA627"/>
  <c r="O627"/>
  <c r="AF627"/>
  <c r="M627"/>
  <c r="BE626"/>
  <c r="BI619"/>
  <c r="BJ619"/>
  <c r="AV626"/>
  <c r="AU626"/>
  <c r="AT626"/>
  <c r="AS626"/>
  <c r="AR626"/>
  <c r="AP626"/>
  <c r="AM626"/>
  <c r="AL626"/>
  <c r="AK626"/>
  <c r="AH626"/>
  <c r="AG626"/>
  <c r="AA626"/>
  <c r="O626"/>
  <c r="M626"/>
  <c r="BE625"/>
  <c r="BI618"/>
  <c r="BJ618"/>
  <c r="AU625"/>
  <c r="AS625"/>
  <c r="AP625"/>
  <c r="AM625"/>
  <c r="AL625"/>
  <c r="AH625"/>
  <c r="AG625"/>
  <c r="AA625"/>
  <c r="S625"/>
  <c r="O625"/>
  <c r="M625"/>
  <c r="BE624"/>
  <c r="BH624"/>
  <c r="AV624"/>
  <c r="AU624"/>
  <c r="AT624"/>
  <c r="AS624"/>
  <c r="AR624"/>
  <c r="AP624"/>
  <c r="AM624"/>
  <c r="AL624"/>
  <c r="AK624"/>
  <c r="AH624"/>
  <c r="AG624"/>
  <c r="AA624"/>
  <c r="S624"/>
  <c r="O624"/>
  <c r="M624"/>
  <c r="BG623"/>
  <c r="BG622"/>
  <c r="BF623"/>
  <c r="BF622"/>
  <c r="BD623"/>
  <c r="BD622"/>
  <c r="BC623"/>
  <c r="BC622"/>
  <c r="BB623"/>
  <c r="BB622"/>
  <c r="BA623"/>
  <c r="BA622"/>
  <c r="AZ623"/>
  <c r="AZ622"/>
  <c r="AY623"/>
  <c r="AY622"/>
  <c r="AX623"/>
  <c r="AW623"/>
  <c r="AW622"/>
  <c r="AQ623"/>
  <c r="AQ622"/>
  <c r="AQ621"/>
  <c r="AQ620"/>
  <c r="AP623"/>
  <c r="AD623"/>
  <c r="AD622"/>
  <c r="AD621"/>
  <c r="AD620"/>
  <c r="AD618"/>
  <c r="AC623"/>
  <c r="AC622"/>
  <c r="AA623"/>
  <c r="Z623"/>
  <c r="Z622"/>
  <c r="Z621"/>
  <c r="Z620"/>
  <c r="Z618"/>
  <c r="Y623"/>
  <c r="Y240"/>
  <c r="X623"/>
  <c r="X622"/>
  <c r="X621"/>
  <c r="X620"/>
  <c r="W623"/>
  <c r="W622"/>
  <c r="W621"/>
  <c r="W620"/>
  <c r="W618"/>
  <c r="V623"/>
  <c r="V622"/>
  <c r="V621"/>
  <c r="R623"/>
  <c r="R622"/>
  <c r="R621"/>
  <c r="Q623"/>
  <c r="P623"/>
  <c r="P622"/>
  <c r="P621"/>
  <c r="P620"/>
  <c r="N623"/>
  <c r="N622"/>
  <c r="N621"/>
  <c r="N620"/>
  <c r="N618"/>
  <c r="L623"/>
  <c r="L622"/>
  <c r="L621"/>
  <c r="L620"/>
  <c r="L618"/>
  <c r="AP622"/>
  <c r="AA622"/>
  <c r="BI614"/>
  <c r="BH621"/>
  <c r="AP621"/>
  <c r="AA621"/>
  <c r="BI613"/>
  <c r="BH620"/>
  <c r="AP620"/>
  <c r="AA620"/>
  <c r="BI612"/>
  <c r="BH619"/>
  <c r="AP619"/>
  <c r="AA619"/>
  <c r="S619"/>
  <c r="BI611"/>
  <c r="BH618"/>
  <c r="AP618"/>
  <c r="AA618"/>
  <c r="BI610"/>
  <c r="BH617"/>
  <c r="AP617"/>
  <c r="AA617"/>
  <c r="BI609"/>
  <c r="BJ609"/>
  <c r="BH616"/>
  <c r="AP616"/>
  <c r="AA616"/>
  <c r="S616"/>
  <c r="BI608"/>
  <c r="BJ608"/>
  <c r="BH615"/>
  <c r="BH299"/>
  <c r="AP615"/>
  <c r="AM615"/>
  <c r="AA615"/>
  <c r="AA299"/>
  <c r="S615"/>
  <c r="S614"/>
  <c r="S613"/>
  <c r="S612"/>
  <c r="S610"/>
  <c r="BI607"/>
  <c r="BH614"/>
  <c r="AQ614"/>
  <c r="AQ613"/>
  <c r="AP614"/>
  <c r="AD614"/>
  <c r="AD613"/>
  <c r="AD612"/>
  <c r="AD610"/>
  <c r="AC614"/>
  <c r="AC613"/>
  <c r="AC612"/>
  <c r="AC610"/>
  <c r="AA614"/>
  <c r="Z614"/>
  <c r="Z613"/>
  <c r="Z612"/>
  <c r="Z610"/>
  <c r="Y614"/>
  <c r="Y613"/>
  <c r="Y612"/>
  <c r="Y610"/>
  <c r="X614"/>
  <c r="X613"/>
  <c r="X612"/>
  <c r="W614"/>
  <c r="W613"/>
  <c r="W612"/>
  <c r="W610"/>
  <c r="V614"/>
  <c r="V613"/>
  <c r="V612"/>
  <c r="V610"/>
  <c r="R614"/>
  <c r="R613"/>
  <c r="R612"/>
  <c r="R610"/>
  <c r="Q614"/>
  <c r="Q613"/>
  <c r="Q612"/>
  <c r="Q610"/>
  <c r="P614"/>
  <c r="P613"/>
  <c r="P612"/>
  <c r="P610"/>
  <c r="O614"/>
  <c r="O613"/>
  <c r="O612"/>
  <c r="O610"/>
  <c r="N614"/>
  <c r="N613"/>
  <c r="N612"/>
  <c r="N610"/>
  <c r="M614"/>
  <c r="M613"/>
  <c r="M612"/>
  <c r="M610"/>
  <c r="L614"/>
  <c r="L613"/>
  <c r="L612"/>
  <c r="L610"/>
  <c r="BI606"/>
  <c r="BH613"/>
  <c r="AP613"/>
  <c r="AA613"/>
  <c r="BI605"/>
  <c r="BH612"/>
  <c r="AP612"/>
  <c r="AA612"/>
  <c r="BI604"/>
  <c r="BJ604"/>
  <c r="BH611"/>
  <c r="AP611"/>
  <c r="AA611"/>
  <c r="S611"/>
  <c r="BI603"/>
  <c r="BH610"/>
  <c r="AP610"/>
  <c r="AA610"/>
  <c r="BI602"/>
  <c r="BJ602"/>
  <c r="BH609"/>
  <c r="AP609"/>
  <c r="AA609"/>
  <c r="S609"/>
  <c r="BI601"/>
  <c r="BJ601"/>
  <c r="BH608"/>
  <c r="AP608"/>
  <c r="AM608"/>
  <c r="AA608"/>
  <c r="S608"/>
  <c r="S607"/>
  <c r="S606"/>
  <c r="S605"/>
  <c r="S603"/>
  <c r="M608"/>
  <c r="AE608"/>
  <c r="BI600"/>
  <c r="BH607"/>
  <c r="AQ607"/>
  <c r="AQ239"/>
  <c r="AP607"/>
  <c r="AD607"/>
  <c r="AD606"/>
  <c r="AD605"/>
  <c r="AD603"/>
  <c r="AC607"/>
  <c r="AC606"/>
  <c r="AC605"/>
  <c r="AC603"/>
  <c r="AA607"/>
  <c r="Z607"/>
  <c r="Z606"/>
  <c r="Z605"/>
  <c r="Z603"/>
  <c r="Y607"/>
  <c r="Y606"/>
  <c r="X607"/>
  <c r="X606"/>
  <c r="X605"/>
  <c r="X603"/>
  <c r="W607"/>
  <c r="W606"/>
  <c r="W605"/>
  <c r="W603"/>
  <c r="V607"/>
  <c r="V606"/>
  <c r="V605"/>
  <c r="V603"/>
  <c r="R607"/>
  <c r="R606"/>
  <c r="R605"/>
  <c r="R603"/>
  <c r="Q607"/>
  <c r="Q606"/>
  <c r="Q605"/>
  <c r="Q603"/>
  <c r="P607"/>
  <c r="P606"/>
  <c r="P605"/>
  <c r="P603"/>
  <c r="O607"/>
  <c r="O606"/>
  <c r="N607"/>
  <c r="N606"/>
  <c r="N605"/>
  <c r="N603"/>
  <c r="L607"/>
  <c r="L606"/>
  <c r="L605"/>
  <c r="L603"/>
  <c r="BI599"/>
  <c r="BH606"/>
  <c r="AP606"/>
  <c r="AA606"/>
  <c r="BI598"/>
  <c r="BH605"/>
  <c r="AP605"/>
  <c r="AA605"/>
  <c r="BI597"/>
  <c r="BJ597"/>
  <c r="BH604"/>
  <c r="AP604"/>
  <c r="AA604"/>
  <c r="S604"/>
  <c r="BI596"/>
  <c r="BH603"/>
  <c r="AP603"/>
  <c r="AA603"/>
  <c r="BI595"/>
  <c r="BH602"/>
  <c r="AP602"/>
  <c r="AA602"/>
  <c r="BI594"/>
  <c r="BJ594"/>
  <c r="BH601"/>
  <c r="AP601"/>
  <c r="AA601"/>
  <c r="S601"/>
  <c r="BI593"/>
  <c r="BJ593"/>
  <c r="BH600"/>
  <c r="AP600"/>
  <c r="AA600"/>
  <c r="S600"/>
  <c r="BI592"/>
  <c r="BH599"/>
  <c r="AQ599"/>
  <c r="AP599"/>
  <c r="AD599"/>
  <c r="AD598"/>
  <c r="AD597"/>
  <c r="AC599"/>
  <c r="AC598"/>
  <c r="AC597"/>
  <c r="AA599"/>
  <c r="Z599"/>
  <c r="Z598"/>
  <c r="Y599"/>
  <c r="Y598"/>
  <c r="Y597"/>
  <c r="X599"/>
  <c r="X598"/>
  <c r="X597"/>
  <c r="W599"/>
  <c r="W598"/>
  <c r="W597"/>
  <c r="V599"/>
  <c r="V598"/>
  <c r="V597"/>
  <c r="R599"/>
  <c r="R598"/>
  <c r="R597"/>
  <c r="Q599"/>
  <c r="Q598"/>
  <c r="Q597"/>
  <c r="P599"/>
  <c r="P598"/>
  <c r="O599"/>
  <c r="O598"/>
  <c r="O597"/>
  <c r="N599"/>
  <c r="N598"/>
  <c r="N597"/>
  <c r="M599"/>
  <c r="M598"/>
  <c r="M597"/>
  <c r="L599"/>
  <c r="L598"/>
  <c r="L597"/>
  <c r="BI591"/>
  <c r="BH598"/>
  <c r="AP598"/>
  <c r="AA598"/>
  <c r="BI590"/>
  <c r="BH597"/>
  <c r="AP597"/>
  <c r="AA597"/>
  <c r="BI589"/>
  <c r="BJ589"/>
  <c r="BH596"/>
  <c r="AP596"/>
  <c r="AA596"/>
  <c r="S596"/>
  <c r="BI588"/>
  <c r="BJ588"/>
  <c r="BH595"/>
  <c r="AV595"/>
  <c r="AV594"/>
  <c r="AU595"/>
  <c r="AU594"/>
  <c r="AT595"/>
  <c r="AT594"/>
  <c r="AS595"/>
  <c r="AS594"/>
  <c r="AR595"/>
  <c r="AR594"/>
  <c r="AP595"/>
  <c r="AM595"/>
  <c r="AL595"/>
  <c r="AK595"/>
  <c r="AH595"/>
  <c r="AG595"/>
  <c r="AA595"/>
  <c r="S595"/>
  <c r="S594"/>
  <c r="S593"/>
  <c r="S592"/>
  <c r="O595"/>
  <c r="BG594"/>
  <c r="BF594"/>
  <c r="BE594"/>
  <c r="BD594"/>
  <c r="BC594"/>
  <c r="BB594"/>
  <c r="BA594"/>
  <c r="AZ594"/>
  <c r="AY594"/>
  <c r="AX594"/>
  <c r="AW594"/>
  <c r="AQ594"/>
  <c r="AQ593"/>
  <c r="AP594"/>
  <c r="AD594"/>
  <c r="AD593"/>
  <c r="AD592"/>
  <c r="AC594"/>
  <c r="AC593"/>
  <c r="AC592"/>
  <c r="AA594"/>
  <c r="Z594"/>
  <c r="Z593"/>
  <c r="Z592"/>
  <c r="Y594"/>
  <c r="X594"/>
  <c r="W594"/>
  <c r="W593"/>
  <c r="V594"/>
  <c r="V593"/>
  <c r="R594"/>
  <c r="AK594"/>
  <c r="Q594"/>
  <c r="P594"/>
  <c r="N594"/>
  <c r="M594"/>
  <c r="M593"/>
  <c r="M592"/>
  <c r="L594"/>
  <c r="L593"/>
  <c r="L592"/>
  <c r="BI586"/>
  <c r="BH593"/>
  <c r="AP593"/>
  <c r="AA593"/>
  <c r="BI585"/>
  <c r="BH592"/>
  <c r="AP592"/>
  <c r="AA592"/>
  <c r="W592"/>
  <c r="BI584"/>
  <c r="BJ584"/>
  <c r="BH591"/>
  <c r="AP591"/>
  <c r="AA591"/>
  <c r="S591"/>
  <c r="BI583"/>
  <c r="BH590"/>
  <c r="AP590"/>
  <c r="AA590"/>
  <c r="BI582"/>
  <c r="BJ582"/>
  <c r="BH589"/>
  <c r="AP589"/>
  <c r="AA589"/>
  <c r="S589"/>
  <c r="BI581"/>
  <c r="BJ581"/>
  <c r="BH588"/>
  <c r="AV588"/>
  <c r="AT588"/>
  <c r="AR588"/>
  <c r="AP588"/>
  <c r="AK588"/>
  <c r="AA588"/>
  <c r="S588"/>
  <c r="O588"/>
  <c r="M588"/>
  <c r="BE587"/>
  <c r="BE323"/>
  <c r="AV587"/>
  <c r="AU587"/>
  <c r="AU323"/>
  <c r="AT587"/>
  <c r="AS587"/>
  <c r="AR587"/>
  <c r="AP587"/>
  <c r="AM587"/>
  <c r="AL587"/>
  <c r="AK587"/>
  <c r="AA587"/>
  <c r="S587"/>
  <c r="O587"/>
  <c r="BI579"/>
  <c r="BJ579"/>
  <c r="BH586"/>
  <c r="AP586"/>
  <c r="AA586"/>
  <c r="S586"/>
  <c r="O586"/>
  <c r="BI578"/>
  <c r="BJ578"/>
  <c r="BH585"/>
  <c r="AP585"/>
  <c r="AA585"/>
  <c r="S585"/>
  <c r="O585"/>
  <c r="AW584"/>
  <c r="BI577"/>
  <c r="BJ577"/>
  <c r="AU584"/>
  <c r="AU322"/>
  <c r="AS584"/>
  <c r="AP584"/>
  <c r="AM584"/>
  <c r="AL584"/>
  <c r="AG584"/>
  <c r="AA584"/>
  <c r="S584"/>
  <c r="O584"/>
  <c r="AE584"/>
  <c r="M584"/>
  <c r="BI576"/>
  <c r="BH583"/>
  <c r="AQ583"/>
  <c r="AP583"/>
  <c r="AD583"/>
  <c r="AD582"/>
  <c r="AD581"/>
  <c r="AC583"/>
  <c r="AC582"/>
  <c r="AC581"/>
  <c r="AA583"/>
  <c r="Z583"/>
  <c r="Z582"/>
  <c r="Z581"/>
  <c r="Y583"/>
  <c r="X583"/>
  <c r="W583"/>
  <c r="V583"/>
  <c r="V582"/>
  <c r="V581"/>
  <c r="R583"/>
  <c r="R582"/>
  <c r="R581"/>
  <c r="Q583"/>
  <c r="P583"/>
  <c r="P582"/>
  <c r="P581"/>
  <c r="N583"/>
  <c r="N582"/>
  <c r="N581"/>
  <c r="L583"/>
  <c r="L582"/>
  <c r="L581"/>
  <c r="BI575"/>
  <c r="BH582"/>
  <c r="AP582"/>
  <c r="AA582"/>
  <c r="BI574"/>
  <c r="BH581"/>
  <c r="AP581"/>
  <c r="AA581"/>
  <c r="BI573"/>
  <c r="BJ573"/>
  <c r="BH580"/>
  <c r="AV580"/>
  <c r="AT580"/>
  <c r="AR580"/>
  <c r="AP580"/>
  <c r="AK580"/>
  <c r="AA580"/>
  <c r="S580"/>
  <c r="O580"/>
  <c r="M580"/>
  <c r="BI572"/>
  <c r="BJ572"/>
  <c r="BH579"/>
  <c r="AV579"/>
  <c r="AU579"/>
  <c r="AT579"/>
  <c r="AS579"/>
  <c r="AR579"/>
  <c r="AP579"/>
  <c r="AL579"/>
  <c r="AK579"/>
  <c r="AH579"/>
  <c r="AG579"/>
  <c r="AA579"/>
  <c r="S579"/>
  <c r="O579"/>
  <c r="M579"/>
  <c r="BI571"/>
  <c r="BJ571"/>
  <c r="BH578"/>
  <c r="AP578"/>
  <c r="AA578"/>
  <c r="S578"/>
  <c r="O578"/>
  <c r="BI570"/>
  <c r="BJ570"/>
  <c r="BH577"/>
  <c r="AV577"/>
  <c r="AU577"/>
  <c r="AT577"/>
  <c r="AS577"/>
  <c r="AR577"/>
  <c r="AP577"/>
  <c r="AL577"/>
  <c r="AK577"/>
  <c r="AH577"/>
  <c r="AG577"/>
  <c r="AA577"/>
  <c r="S577"/>
  <c r="O577"/>
  <c r="M577"/>
  <c r="BG576"/>
  <c r="BF576"/>
  <c r="BE576"/>
  <c r="BD576"/>
  <c r="BC576"/>
  <c r="BB576"/>
  <c r="BA576"/>
  <c r="AZ576"/>
  <c r="AY576"/>
  <c r="AX576"/>
  <c r="AW576"/>
  <c r="AQ576"/>
  <c r="AQ575"/>
  <c r="AP576"/>
  <c r="AD576"/>
  <c r="AD575"/>
  <c r="AD574"/>
  <c r="AC576"/>
  <c r="AA576"/>
  <c r="Z576"/>
  <c r="Z575"/>
  <c r="Z574"/>
  <c r="Z572"/>
  <c r="Y576"/>
  <c r="Y575"/>
  <c r="Y574"/>
  <c r="X576"/>
  <c r="W576"/>
  <c r="V576"/>
  <c r="V575"/>
  <c r="R576"/>
  <c r="R575"/>
  <c r="R574"/>
  <c r="Q576"/>
  <c r="Q575"/>
  <c r="P576"/>
  <c r="P575"/>
  <c r="N576"/>
  <c r="N575"/>
  <c r="N574"/>
  <c r="L576"/>
  <c r="L575"/>
  <c r="L574"/>
  <c r="BI568"/>
  <c r="BH575"/>
  <c r="AP575"/>
  <c r="AA575"/>
  <c r="BI567"/>
  <c r="BH574"/>
  <c r="AP574"/>
  <c r="AA574"/>
  <c r="BI566"/>
  <c r="BJ566"/>
  <c r="BH573"/>
  <c r="AP573"/>
  <c r="AA573"/>
  <c r="S573"/>
  <c r="BI565"/>
  <c r="BH572"/>
  <c r="AP572"/>
  <c r="AA572"/>
  <c r="BI564"/>
  <c r="BJ564"/>
  <c r="BH571"/>
  <c r="AP571"/>
  <c r="AA571"/>
  <c r="S571"/>
  <c r="BI563"/>
  <c r="BJ563"/>
  <c r="BH570"/>
  <c r="AP570"/>
  <c r="AA570"/>
  <c r="S570"/>
  <c r="AZ569"/>
  <c r="BI562"/>
  <c r="BJ562"/>
  <c r="AV569"/>
  <c r="AU569"/>
  <c r="AT569"/>
  <c r="AS569"/>
  <c r="AR569"/>
  <c r="AP569"/>
  <c r="AM569"/>
  <c r="AL569"/>
  <c r="AK569"/>
  <c r="AH569"/>
  <c r="AG569"/>
  <c r="AA569"/>
  <c r="S569"/>
  <c r="O569"/>
  <c r="M569"/>
  <c r="M568"/>
  <c r="BI561"/>
  <c r="BH568"/>
  <c r="AQ568"/>
  <c r="AP568"/>
  <c r="AD568"/>
  <c r="AC568"/>
  <c r="AC564"/>
  <c r="AA568"/>
  <c r="Z568"/>
  <c r="Z567"/>
  <c r="Z566"/>
  <c r="Y568"/>
  <c r="X568"/>
  <c r="W568"/>
  <c r="W564"/>
  <c r="V568"/>
  <c r="V567"/>
  <c r="V566"/>
  <c r="R568"/>
  <c r="Q568"/>
  <c r="P568"/>
  <c r="P564"/>
  <c r="N568"/>
  <c r="N564"/>
  <c r="L568"/>
  <c r="L567"/>
  <c r="L566"/>
  <c r="BI560"/>
  <c r="BH567"/>
  <c r="AP567"/>
  <c r="AA567"/>
  <c r="BI559"/>
  <c r="BH566"/>
  <c r="AP566"/>
  <c r="AA566"/>
  <c r="BI558"/>
  <c r="BJ558"/>
  <c r="BH565"/>
  <c r="AP565"/>
  <c r="AA565"/>
  <c r="S565"/>
  <c r="BI557"/>
  <c r="BH564"/>
  <c r="AP564"/>
  <c r="AA564"/>
  <c r="X564"/>
  <c r="BI556"/>
  <c r="BJ556"/>
  <c r="BH563"/>
  <c r="AP563"/>
  <c r="AA563"/>
  <c r="S563"/>
  <c r="AW562"/>
  <c r="AV562"/>
  <c r="AU562"/>
  <c r="AT562"/>
  <c r="AS562"/>
  <c r="AR562"/>
  <c r="AP562"/>
  <c r="AM562"/>
  <c r="AL562"/>
  <c r="AK562"/>
  <c r="AH562"/>
  <c r="AG562"/>
  <c r="AA562"/>
  <c r="S562"/>
  <c r="O562"/>
  <c r="AF562"/>
  <c r="M562"/>
  <c r="BI554"/>
  <c r="BJ554"/>
  <c r="BH561"/>
  <c r="AP561"/>
  <c r="AA561"/>
  <c r="S561"/>
  <c r="AW560"/>
  <c r="AV560"/>
  <c r="AU560"/>
  <c r="AT560"/>
  <c r="AS560"/>
  <c r="AR560"/>
  <c r="AP560"/>
  <c r="AM560"/>
  <c r="AL560"/>
  <c r="AK560"/>
  <c r="AH560"/>
  <c r="AG560"/>
  <c r="AA560"/>
  <c r="S560"/>
  <c r="O560"/>
  <c r="M560"/>
  <c r="AW559"/>
  <c r="BI552"/>
  <c r="BJ552"/>
  <c r="AU559"/>
  <c r="AS559"/>
  <c r="AP559"/>
  <c r="AM559"/>
  <c r="AL559"/>
  <c r="AA559"/>
  <c r="S559"/>
  <c r="O559"/>
  <c r="M559"/>
  <c r="AW558"/>
  <c r="BI551"/>
  <c r="BJ551"/>
  <c r="AV558"/>
  <c r="AU558"/>
  <c r="AT558"/>
  <c r="AS558"/>
  <c r="AR558"/>
  <c r="AP558"/>
  <c r="AM558"/>
  <c r="AL558"/>
  <c r="AK558"/>
  <c r="AH558"/>
  <c r="AG558"/>
  <c r="AA558"/>
  <c r="S558"/>
  <c r="O558"/>
  <c r="AF558"/>
  <c r="M558"/>
  <c r="AW557"/>
  <c r="BI550"/>
  <c r="BJ550"/>
  <c r="AV557"/>
  <c r="AU557"/>
  <c r="AT557"/>
  <c r="AS557"/>
  <c r="AR557"/>
  <c r="AP557"/>
  <c r="AM557"/>
  <c r="AL557"/>
  <c r="AK557"/>
  <c r="AH557"/>
  <c r="AG557"/>
  <c r="AA557"/>
  <c r="O557"/>
  <c r="AF557"/>
  <c r="M557"/>
  <c r="BI549"/>
  <c r="BH556"/>
  <c r="AQ556"/>
  <c r="AP556"/>
  <c r="AD556"/>
  <c r="AC556"/>
  <c r="AA556"/>
  <c r="Z556"/>
  <c r="Y556"/>
  <c r="X556"/>
  <c r="W556"/>
  <c r="V556"/>
  <c r="R556"/>
  <c r="Q556"/>
  <c r="P556"/>
  <c r="P541"/>
  <c r="P540"/>
  <c r="N556"/>
  <c r="L556"/>
  <c r="BI548"/>
  <c r="BJ548"/>
  <c r="BH555"/>
  <c r="AP555"/>
  <c r="AA555"/>
  <c r="S555"/>
  <c r="BI547"/>
  <c r="BJ547"/>
  <c r="BH554"/>
  <c r="AV554"/>
  <c r="AT554"/>
  <c r="AR554"/>
  <c r="AP554"/>
  <c r="AK554"/>
  <c r="AA554"/>
  <c r="S554"/>
  <c r="BI546"/>
  <c r="BJ546"/>
  <c r="BH553"/>
  <c r="AP553"/>
  <c r="AA553"/>
  <c r="S553"/>
  <c r="BI545"/>
  <c r="BJ545"/>
  <c r="BH552"/>
  <c r="AP552"/>
  <c r="AA552"/>
  <c r="S552"/>
  <c r="BI544"/>
  <c r="BJ544"/>
  <c r="BH551"/>
  <c r="AP551"/>
  <c r="AA551"/>
  <c r="S551"/>
  <c r="BI543"/>
  <c r="BJ543"/>
  <c r="BH550"/>
  <c r="AP550"/>
  <c r="AA550"/>
  <c r="S550"/>
  <c r="BI542"/>
  <c r="BJ542"/>
  <c r="BH549"/>
  <c r="AP549"/>
  <c r="AA549"/>
  <c r="S549"/>
  <c r="BI541"/>
  <c r="BJ541"/>
  <c r="BH548"/>
  <c r="AP548"/>
  <c r="AA548"/>
  <c r="S548"/>
  <c r="BI540"/>
  <c r="BJ540"/>
  <c r="BH547"/>
  <c r="AP547"/>
  <c r="AA547"/>
  <c r="S547"/>
  <c r="BI539"/>
  <c r="BJ539"/>
  <c r="BH546"/>
  <c r="AP546"/>
  <c r="AA546"/>
  <c r="S546"/>
  <c r="BI538"/>
  <c r="BJ538"/>
  <c r="BH545"/>
  <c r="AP545"/>
  <c r="AA545"/>
  <c r="S545"/>
  <c r="BI537"/>
  <c r="BJ537"/>
  <c r="BH544"/>
  <c r="AV544"/>
  <c r="AU544"/>
  <c r="AT544"/>
  <c r="AS544"/>
  <c r="AR544"/>
  <c r="AP544"/>
  <c r="AM544"/>
  <c r="AL544"/>
  <c r="AK544"/>
  <c r="AA544"/>
  <c r="S544"/>
  <c r="O544"/>
  <c r="O543"/>
  <c r="BI536"/>
  <c r="BH543"/>
  <c r="AQ543"/>
  <c r="AP543"/>
  <c r="AD543"/>
  <c r="AD232"/>
  <c r="AC543"/>
  <c r="AC232"/>
  <c r="AA543"/>
  <c r="Z543"/>
  <c r="Y543"/>
  <c r="Y232"/>
  <c r="X543"/>
  <c r="X232"/>
  <c r="W543"/>
  <c r="W232"/>
  <c r="V543"/>
  <c r="R543"/>
  <c r="Q543"/>
  <c r="Q232"/>
  <c r="P543"/>
  <c r="N543"/>
  <c r="N232"/>
  <c r="M543"/>
  <c r="L543"/>
  <c r="L541"/>
  <c r="L540"/>
  <c r="L538"/>
  <c r="BI535"/>
  <c r="BJ535"/>
  <c r="BH542"/>
  <c r="AP542"/>
  <c r="AA542"/>
  <c r="S542"/>
  <c r="BI534"/>
  <c r="BH541"/>
  <c r="AP541"/>
  <c r="AA541"/>
  <c r="BI533"/>
  <c r="BH540"/>
  <c r="AP540"/>
  <c r="AA540"/>
  <c r="BI532"/>
  <c r="BH539"/>
  <c r="AP539"/>
  <c r="AA539"/>
  <c r="S539"/>
  <c r="BI531"/>
  <c r="BH538"/>
  <c r="AP538"/>
  <c r="AA538"/>
  <c r="BI530"/>
  <c r="BH537"/>
  <c r="AP537"/>
  <c r="AA537"/>
  <c r="BI529"/>
  <c r="BJ529"/>
  <c r="BH536"/>
  <c r="AP536"/>
  <c r="AA536"/>
  <c r="S536"/>
  <c r="BI528"/>
  <c r="BJ528"/>
  <c r="BH535"/>
  <c r="AP535"/>
  <c r="AM535"/>
  <c r="AA535"/>
  <c r="S535"/>
  <c r="BI527"/>
  <c r="BJ527"/>
  <c r="BH534"/>
  <c r="AP534"/>
  <c r="AA534"/>
  <c r="S534"/>
  <c r="BI526"/>
  <c r="BJ526"/>
  <c r="BH533"/>
  <c r="AP533"/>
  <c r="AA533"/>
  <c r="S533"/>
  <c r="BI525"/>
  <c r="BH532"/>
  <c r="AQ532"/>
  <c r="AQ531"/>
  <c r="AP532"/>
  <c r="AD532"/>
  <c r="AD531"/>
  <c r="AD530"/>
  <c r="AD528"/>
  <c r="AD527"/>
  <c r="AC532"/>
  <c r="AC531"/>
  <c r="AC530"/>
  <c r="AC528"/>
  <c r="AC527"/>
  <c r="AA532"/>
  <c r="Z532"/>
  <c r="Z531"/>
  <c r="Z530"/>
  <c r="Z528"/>
  <c r="Z527"/>
  <c r="Y532"/>
  <c r="X532"/>
  <c r="X531"/>
  <c r="X530"/>
  <c r="X528"/>
  <c r="X527"/>
  <c r="W532"/>
  <c r="W531"/>
  <c r="W530"/>
  <c r="W528"/>
  <c r="W527"/>
  <c r="V532"/>
  <c r="V531"/>
  <c r="V530"/>
  <c r="V528"/>
  <c r="V527"/>
  <c r="R532"/>
  <c r="R531"/>
  <c r="R530"/>
  <c r="R528"/>
  <c r="R527"/>
  <c r="Q532"/>
  <c r="Q531"/>
  <c r="Q530"/>
  <c r="Q528"/>
  <c r="Q527"/>
  <c r="P532"/>
  <c r="P531"/>
  <c r="P530"/>
  <c r="P528"/>
  <c r="P527"/>
  <c r="O532"/>
  <c r="O531"/>
  <c r="O530"/>
  <c r="O528"/>
  <c r="O527"/>
  <c r="N532"/>
  <c r="N531"/>
  <c r="N530"/>
  <c r="N528"/>
  <c r="N527"/>
  <c r="M532"/>
  <c r="M531"/>
  <c r="M530"/>
  <c r="M528"/>
  <c r="M527"/>
  <c r="L532"/>
  <c r="L531"/>
  <c r="L530"/>
  <c r="L528"/>
  <c r="L527"/>
  <c r="BI524"/>
  <c r="BH531"/>
  <c r="AP531"/>
  <c r="AA531"/>
  <c r="BI523"/>
  <c r="BH530"/>
  <c r="AP530"/>
  <c r="AA530"/>
  <c r="BI522"/>
  <c r="BJ522"/>
  <c r="BH529"/>
  <c r="AP529"/>
  <c r="AA529"/>
  <c r="S529"/>
  <c r="BI521"/>
  <c r="BH528"/>
  <c r="AP528"/>
  <c r="AA528"/>
  <c r="BI520"/>
  <c r="BH527"/>
  <c r="AP527"/>
  <c r="AA527"/>
  <c r="BI519"/>
  <c r="BJ519"/>
  <c r="BH526"/>
  <c r="AP526"/>
  <c r="AA526"/>
  <c r="S526"/>
  <c r="BI518"/>
  <c r="BJ518"/>
  <c r="BH525"/>
  <c r="AP525"/>
  <c r="AA525"/>
  <c r="S525"/>
  <c r="S524"/>
  <c r="S523"/>
  <c r="S522"/>
  <c r="S520"/>
  <c r="BI517"/>
  <c r="BH524"/>
  <c r="AQ524"/>
  <c r="AQ523"/>
  <c r="AP524"/>
  <c r="AD524"/>
  <c r="AD523"/>
  <c r="AD522"/>
  <c r="AD520"/>
  <c r="AC524"/>
  <c r="AC523"/>
  <c r="AC522"/>
  <c r="AC520"/>
  <c r="AA524"/>
  <c r="Z524"/>
  <c r="Z523"/>
  <c r="Z522"/>
  <c r="Z520"/>
  <c r="Y524"/>
  <c r="Y523"/>
  <c r="Y522"/>
  <c r="Y520"/>
  <c r="X524"/>
  <c r="X523"/>
  <c r="X522"/>
  <c r="X520"/>
  <c r="W524"/>
  <c r="W523"/>
  <c r="W522"/>
  <c r="W520"/>
  <c r="V524"/>
  <c r="V523"/>
  <c r="V522"/>
  <c r="V520"/>
  <c r="R524"/>
  <c r="R523"/>
  <c r="R522"/>
  <c r="R520"/>
  <c r="Q524"/>
  <c r="Q523"/>
  <c r="Q522"/>
  <c r="Q520"/>
  <c r="P524"/>
  <c r="P523"/>
  <c r="P522"/>
  <c r="P520"/>
  <c r="O524"/>
  <c r="O523"/>
  <c r="O522"/>
  <c r="O520"/>
  <c r="N524"/>
  <c r="N523"/>
  <c r="N522"/>
  <c r="N520"/>
  <c r="M524"/>
  <c r="M523"/>
  <c r="M522"/>
  <c r="M520"/>
  <c r="L524"/>
  <c r="L523"/>
  <c r="L522"/>
  <c r="L520"/>
  <c r="BI516"/>
  <c r="BH523"/>
  <c r="AP523"/>
  <c r="AA523"/>
  <c r="BI515"/>
  <c r="BH522"/>
  <c r="AP522"/>
  <c r="AA522"/>
  <c r="BI514"/>
  <c r="BJ514"/>
  <c r="BH521"/>
  <c r="AP521"/>
  <c r="AA521"/>
  <c r="S521"/>
  <c r="BI513"/>
  <c r="BH520"/>
  <c r="AP520"/>
  <c r="AA520"/>
  <c r="BI512"/>
  <c r="BJ512"/>
  <c r="BH519"/>
  <c r="AP519"/>
  <c r="AA519"/>
  <c r="S519"/>
  <c r="AW518"/>
  <c r="BI511"/>
  <c r="BJ511"/>
  <c r="AV518"/>
  <c r="AU518"/>
  <c r="AT518"/>
  <c r="AS518"/>
  <c r="AR518"/>
  <c r="AP518"/>
  <c r="AM518"/>
  <c r="AL518"/>
  <c r="AK518"/>
  <c r="AH518"/>
  <c r="AG518"/>
  <c r="AA518"/>
  <c r="S518"/>
  <c r="O518"/>
  <c r="AF518"/>
  <c r="M518"/>
  <c r="AW517"/>
  <c r="BI510"/>
  <c r="BJ510"/>
  <c r="AV517"/>
  <c r="AU517"/>
  <c r="AT517"/>
  <c r="AS517"/>
  <c r="AR517"/>
  <c r="AP517"/>
  <c r="AL517"/>
  <c r="AK517"/>
  <c r="AH517"/>
  <c r="AG517"/>
  <c r="AA517"/>
  <c r="S517"/>
  <c r="O517"/>
  <c r="M517"/>
  <c r="AW516"/>
  <c r="AV516"/>
  <c r="AU516"/>
  <c r="AT516"/>
  <c r="AS516"/>
  <c r="AR516"/>
  <c r="AP516"/>
  <c r="AM516"/>
  <c r="AL516"/>
  <c r="AK516"/>
  <c r="AH516"/>
  <c r="AG516"/>
  <c r="AA516"/>
  <c r="S516"/>
  <c r="O516"/>
  <c r="AF516"/>
  <c r="M516"/>
  <c r="BG515"/>
  <c r="BG514"/>
  <c r="BG513"/>
  <c r="BG512"/>
  <c r="BF515"/>
  <c r="BF514"/>
  <c r="BF513"/>
  <c r="BF512"/>
  <c r="BE515"/>
  <c r="BE514"/>
  <c r="BE513"/>
  <c r="BE512"/>
  <c r="BD515"/>
  <c r="BD514"/>
  <c r="BD513"/>
  <c r="BD512"/>
  <c r="BC515"/>
  <c r="BC514"/>
  <c r="BC513"/>
  <c r="BC512"/>
  <c r="BB515"/>
  <c r="BB514"/>
  <c r="BA515"/>
  <c r="BA514"/>
  <c r="BA513"/>
  <c r="BA512"/>
  <c r="AZ515"/>
  <c r="AZ514"/>
  <c r="AZ513"/>
  <c r="AZ512"/>
  <c r="AY515"/>
  <c r="AY514"/>
  <c r="AY513"/>
  <c r="AY512"/>
  <c r="AX515"/>
  <c r="AX514"/>
  <c r="AX513"/>
  <c r="AX512"/>
  <c r="AQ515"/>
  <c r="AQ514"/>
  <c r="AQ513"/>
  <c r="AQ512"/>
  <c r="AP515"/>
  <c r="AD515"/>
  <c r="AD514"/>
  <c r="AD513"/>
  <c r="AD512"/>
  <c r="AC515"/>
  <c r="AA515"/>
  <c r="Z515"/>
  <c r="Z514"/>
  <c r="Z513"/>
  <c r="Z512"/>
  <c r="Y515"/>
  <c r="Y514"/>
  <c r="Y513"/>
  <c r="X515"/>
  <c r="X514"/>
  <c r="W515"/>
  <c r="W514"/>
  <c r="V515"/>
  <c r="V514"/>
  <c r="V513"/>
  <c r="V512"/>
  <c r="R515"/>
  <c r="R514"/>
  <c r="R513"/>
  <c r="R512"/>
  <c r="Q515"/>
  <c r="P515"/>
  <c r="P514"/>
  <c r="P513"/>
  <c r="N515"/>
  <c r="N514"/>
  <c r="N513"/>
  <c r="N512"/>
  <c r="L515"/>
  <c r="L514"/>
  <c r="AP514"/>
  <c r="AA514"/>
  <c r="AP513"/>
  <c r="AA513"/>
  <c r="AP512"/>
  <c r="AA512"/>
  <c r="BI504"/>
  <c r="BJ504"/>
  <c r="BH511"/>
  <c r="AP511"/>
  <c r="AA511"/>
  <c r="S511"/>
  <c r="BI503"/>
  <c r="BJ503"/>
  <c r="BH510"/>
  <c r="AP510"/>
  <c r="AM510"/>
  <c r="AA510"/>
  <c r="S510"/>
  <c r="O510"/>
  <c r="AW509"/>
  <c r="AV509"/>
  <c r="AU509"/>
  <c r="AT509"/>
  <c r="AS509"/>
  <c r="AR509"/>
  <c r="AP509"/>
  <c r="AM509"/>
  <c r="AL509"/>
  <c r="AK509"/>
  <c r="AH509"/>
  <c r="AG509"/>
  <c r="AA509"/>
  <c r="S509"/>
  <c r="O509"/>
  <c r="AF509"/>
  <c r="M509"/>
  <c r="BI501"/>
  <c r="BH508"/>
  <c r="AQ508"/>
  <c r="AQ507"/>
  <c r="AP508"/>
  <c r="AD508"/>
  <c r="AC508"/>
  <c r="AC507"/>
  <c r="AA508"/>
  <c r="Z508"/>
  <c r="Z507"/>
  <c r="Y508"/>
  <c r="Y507"/>
  <c r="X508"/>
  <c r="W508"/>
  <c r="V508"/>
  <c r="R508"/>
  <c r="R507"/>
  <c r="Q508"/>
  <c r="P508"/>
  <c r="N508"/>
  <c r="N507"/>
  <c r="L508"/>
  <c r="L507"/>
  <c r="BI500"/>
  <c r="BH507"/>
  <c r="AP507"/>
  <c r="AD507"/>
  <c r="AA507"/>
  <c r="X507"/>
  <c r="BI499"/>
  <c r="BJ499"/>
  <c r="BH506"/>
  <c r="AP506"/>
  <c r="AA506"/>
  <c r="S506"/>
  <c r="BI498"/>
  <c r="BH505"/>
  <c r="AP505"/>
  <c r="AA505"/>
  <c r="BI497"/>
  <c r="BJ497"/>
  <c r="BH504"/>
  <c r="AP504"/>
  <c r="AA504"/>
  <c r="S504"/>
  <c r="BI496"/>
  <c r="BH503"/>
  <c r="AP503"/>
  <c r="AA503"/>
  <c r="BI495"/>
  <c r="BJ495"/>
  <c r="BH502"/>
  <c r="AP502"/>
  <c r="AA502"/>
  <c r="S502"/>
  <c r="BI494"/>
  <c r="BJ494"/>
  <c r="BH501"/>
  <c r="AP501"/>
  <c r="AA501"/>
  <c r="S501"/>
  <c r="S500"/>
  <c r="S499"/>
  <c r="S498"/>
  <c r="S496"/>
  <c r="BI493"/>
  <c r="BH500"/>
  <c r="AQ500"/>
  <c r="AP500"/>
  <c r="AD500"/>
  <c r="AD499"/>
  <c r="AD498"/>
  <c r="AD496"/>
  <c r="AC500"/>
  <c r="AC499"/>
  <c r="AC498"/>
  <c r="AC496"/>
  <c r="AA500"/>
  <c r="Z500"/>
  <c r="Y500"/>
  <c r="Y499"/>
  <c r="Y498"/>
  <c r="Y496"/>
  <c r="X500"/>
  <c r="W500"/>
  <c r="W499"/>
  <c r="W498"/>
  <c r="W496"/>
  <c r="V500"/>
  <c r="V499"/>
  <c r="V498"/>
  <c r="V496"/>
  <c r="R500"/>
  <c r="R499"/>
  <c r="R498"/>
  <c r="R496"/>
  <c r="Q500"/>
  <c r="Q499"/>
  <c r="Q498"/>
  <c r="Q496"/>
  <c r="P500"/>
  <c r="P499"/>
  <c r="P498"/>
  <c r="P496"/>
  <c r="O500"/>
  <c r="O499"/>
  <c r="O498"/>
  <c r="O496"/>
  <c r="N500"/>
  <c r="N499"/>
  <c r="N498"/>
  <c r="N496"/>
  <c r="M500"/>
  <c r="M499"/>
  <c r="M498"/>
  <c r="M496"/>
  <c r="L500"/>
  <c r="L499"/>
  <c r="L498"/>
  <c r="L496"/>
  <c r="BI492"/>
  <c r="BH499"/>
  <c r="AP499"/>
  <c r="AA499"/>
  <c r="Z499"/>
  <c r="Z498"/>
  <c r="Z496"/>
  <c r="X499"/>
  <c r="X498"/>
  <c r="X496"/>
  <c r="BI491"/>
  <c r="BH498"/>
  <c r="AP498"/>
  <c r="AA498"/>
  <c r="BI490"/>
  <c r="BJ490"/>
  <c r="BH497"/>
  <c r="AP497"/>
  <c r="AA497"/>
  <c r="S497"/>
  <c r="BI489"/>
  <c r="BH496"/>
  <c r="AP496"/>
  <c r="AA496"/>
  <c r="BI488"/>
  <c r="BH495"/>
  <c r="AP495"/>
  <c r="AA495"/>
  <c r="BI487"/>
  <c r="BJ487"/>
  <c r="BH494"/>
  <c r="AP494"/>
  <c r="AA494"/>
  <c r="S494"/>
  <c r="AW493"/>
  <c r="BI486"/>
  <c r="BJ486"/>
  <c r="AV493"/>
  <c r="AU493"/>
  <c r="AT493"/>
  <c r="AS493"/>
  <c r="AR493"/>
  <c r="AP493"/>
  <c r="AM493"/>
  <c r="AL493"/>
  <c r="AK493"/>
  <c r="AA493"/>
  <c r="S493"/>
  <c r="O493"/>
  <c r="M493"/>
  <c r="AW492"/>
  <c r="BI485"/>
  <c r="BJ485"/>
  <c r="AP492"/>
  <c r="AA492"/>
  <c r="S492"/>
  <c r="O492"/>
  <c r="AW491"/>
  <c r="BI484"/>
  <c r="BJ484"/>
  <c r="AV491"/>
  <c r="AU491"/>
  <c r="AT491"/>
  <c r="AS491"/>
  <c r="AR491"/>
  <c r="AP491"/>
  <c r="AM491"/>
  <c r="AL491"/>
  <c r="AK491"/>
  <c r="AA491"/>
  <c r="S491"/>
  <c r="O491"/>
  <c r="M491"/>
  <c r="AW490"/>
  <c r="AW268"/>
  <c r="AV490"/>
  <c r="AV268"/>
  <c r="AU490"/>
  <c r="AU268"/>
  <c r="AT490"/>
  <c r="AT268"/>
  <c r="AS490"/>
  <c r="AS268"/>
  <c r="AR490"/>
  <c r="AP490"/>
  <c r="AM490"/>
  <c r="AL490"/>
  <c r="AK490"/>
  <c r="AA490"/>
  <c r="AA268"/>
  <c r="S490"/>
  <c r="S268"/>
  <c r="O490"/>
  <c r="O268"/>
  <c r="M490"/>
  <c r="AW489"/>
  <c r="BI482"/>
  <c r="BJ482"/>
  <c r="AV489"/>
  <c r="AU489"/>
  <c r="AT489"/>
  <c r="AS489"/>
  <c r="AR489"/>
  <c r="AP489"/>
  <c r="AM489"/>
  <c r="AL489"/>
  <c r="AK489"/>
  <c r="AH489"/>
  <c r="AG489"/>
  <c r="AA489"/>
  <c r="O489"/>
  <c r="M489"/>
  <c r="BI481"/>
  <c r="BH488"/>
  <c r="AQ488"/>
  <c r="AP488"/>
  <c r="AD488"/>
  <c r="AC488"/>
  <c r="AA488"/>
  <c r="Z488"/>
  <c r="Y488"/>
  <c r="X488"/>
  <c r="W488"/>
  <c r="V488"/>
  <c r="R488"/>
  <c r="Q488"/>
  <c r="P488"/>
  <c r="N488"/>
  <c r="L488"/>
  <c r="BI480"/>
  <c r="BJ480"/>
  <c r="BH487"/>
  <c r="AP487"/>
  <c r="AA487"/>
  <c r="S487"/>
  <c r="AW486"/>
  <c r="BI479"/>
  <c r="BJ479"/>
  <c r="AV486"/>
  <c r="AV263"/>
  <c r="AV262"/>
  <c r="AU486"/>
  <c r="AT486"/>
  <c r="AT263"/>
  <c r="AT262"/>
  <c r="AS486"/>
  <c r="AS263"/>
  <c r="AS262"/>
  <c r="AR486"/>
  <c r="AR263"/>
  <c r="AR262"/>
  <c r="AP486"/>
  <c r="AM486"/>
  <c r="AL486"/>
  <c r="AK486"/>
  <c r="AH486"/>
  <c r="AG486"/>
  <c r="AA486"/>
  <c r="AA263"/>
  <c r="AA262"/>
  <c r="S486"/>
  <c r="S485"/>
  <c r="O486"/>
  <c r="O485"/>
  <c r="M486"/>
  <c r="M485"/>
  <c r="BI478"/>
  <c r="BH485"/>
  <c r="AQ485"/>
  <c r="AP485"/>
  <c r="AD485"/>
  <c r="AC485"/>
  <c r="AA485"/>
  <c r="Z485"/>
  <c r="Y485"/>
  <c r="Y483"/>
  <c r="X485"/>
  <c r="W485"/>
  <c r="V485"/>
  <c r="R485"/>
  <c r="Q485"/>
  <c r="P485"/>
  <c r="N485"/>
  <c r="L485"/>
  <c r="L483"/>
  <c r="L482"/>
  <c r="L480"/>
  <c r="L479"/>
  <c r="BI477"/>
  <c r="BJ477"/>
  <c r="BH484"/>
  <c r="AP484"/>
  <c r="AA484"/>
  <c r="S484"/>
  <c r="BI476"/>
  <c r="BH483"/>
  <c r="AP483"/>
  <c r="AA483"/>
  <c r="BI475"/>
  <c r="BH482"/>
  <c r="AP482"/>
  <c r="AA482"/>
  <c r="BI474"/>
  <c r="BH481"/>
  <c r="AP481"/>
  <c r="AA481"/>
  <c r="S481"/>
  <c r="BI473"/>
  <c r="BH480"/>
  <c r="AP480"/>
  <c r="AA480"/>
  <c r="BI472"/>
  <c r="BH479"/>
  <c r="AP479"/>
  <c r="AA479"/>
  <c r="BI471"/>
  <c r="BJ471"/>
  <c r="BH478"/>
  <c r="AP478"/>
  <c r="AA478"/>
  <c r="S478"/>
  <c r="BI470"/>
  <c r="BJ470"/>
  <c r="BH477"/>
  <c r="BH316"/>
  <c r="BH315"/>
  <c r="BH313"/>
  <c r="AP477"/>
  <c r="AA477"/>
  <c r="S477"/>
  <c r="S476"/>
  <c r="S475"/>
  <c r="S474"/>
  <c r="S472"/>
  <c r="BI469"/>
  <c r="BH476"/>
  <c r="AQ476"/>
  <c r="AP476"/>
  <c r="AD476"/>
  <c r="AD475"/>
  <c r="AD474"/>
  <c r="AD472"/>
  <c r="AC476"/>
  <c r="AC475"/>
  <c r="AC474"/>
  <c r="AC472"/>
  <c r="AA476"/>
  <c r="Z476"/>
  <c r="Z475"/>
  <c r="Z474"/>
  <c r="Z472"/>
  <c r="Y476"/>
  <c r="X476"/>
  <c r="X475"/>
  <c r="X474"/>
  <c r="X472"/>
  <c r="W476"/>
  <c r="W475"/>
  <c r="W474"/>
  <c r="W472"/>
  <c r="V476"/>
  <c r="V475"/>
  <c r="V474"/>
  <c r="V472"/>
  <c r="R476"/>
  <c r="R475"/>
  <c r="R474"/>
  <c r="R472"/>
  <c r="Q476"/>
  <c r="Q475"/>
  <c r="Q474"/>
  <c r="Q472"/>
  <c r="P476"/>
  <c r="P475"/>
  <c r="P474"/>
  <c r="P472"/>
  <c r="O476"/>
  <c r="O475"/>
  <c r="O474"/>
  <c r="O472"/>
  <c r="N476"/>
  <c r="M476"/>
  <c r="M475"/>
  <c r="M474"/>
  <c r="M472"/>
  <c r="L476"/>
  <c r="L475"/>
  <c r="L474"/>
  <c r="L472"/>
  <c r="BI468"/>
  <c r="BH475"/>
  <c r="AP475"/>
  <c r="AA475"/>
  <c r="Y475"/>
  <c r="Y474"/>
  <c r="Y472"/>
  <c r="N475"/>
  <c r="N474"/>
  <c r="N472"/>
  <c r="BI467"/>
  <c r="BH474"/>
  <c r="AP474"/>
  <c r="AA474"/>
  <c r="BI466"/>
  <c r="BJ466"/>
  <c r="BH473"/>
  <c r="AP473"/>
  <c r="AA473"/>
  <c r="S473"/>
  <c r="BI465"/>
  <c r="BH472"/>
  <c r="AP472"/>
  <c r="AA472"/>
  <c r="BI464"/>
  <c r="BJ464"/>
  <c r="BH471"/>
  <c r="AP471"/>
  <c r="AA471"/>
  <c r="S471"/>
  <c r="BI463"/>
  <c r="BJ463"/>
  <c r="BH470"/>
  <c r="AV470"/>
  <c r="AU470"/>
  <c r="AU337"/>
  <c r="AT470"/>
  <c r="AS470"/>
  <c r="AS337"/>
  <c r="AR470"/>
  <c r="AP470"/>
  <c r="AM470"/>
  <c r="AL470"/>
  <c r="AK470"/>
  <c r="AA470"/>
  <c r="S470"/>
  <c r="S469"/>
  <c r="O470"/>
  <c r="O337"/>
  <c r="M470"/>
  <c r="M469"/>
  <c r="BI462"/>
  <c r="BH469"/>
  <c r="AQ469"/>
  <c r="AP469"/>
  <c r="AD469"/>
  <c r="AC469"/>
  <c r="AA469"/>
  <c r="Z469"/>
  <c r="Y469"/>
  <c r="X469"/>
  <c r="W469"/>
  <c r="V469"/>
  <c r="R469"/>
  <c r="Q469"/>
  <c r="P469"/>
  <c r="N469"/>
  <c r="L469"/>
  <c r="BI461"/>
  <c r="BJ461"/>
  <c r="BH468"/>
  <c r="AP468"/>
  <c r="AA468"/>
  <c r="S468"/>
  <c r="AW467"/>
  <c r="BH467"/>
  <c r="AV467"/>
  <c r="AU467"/>
  <c r="AT467"/>
  <c r="AS467"/>
  <c r="AR467"/>
  <c r="AP467"/>
  <c r="AM467"/>
  <c r="AL467"/>
  <c r="AK467"/>
  <c r="AH467"/>
  <c r="AG467"/>
  <c r="AA467"/>
  <c r="S467"/>
  <c r="O467"/>
  <c r="AF467"/>
  <c r="BF466"/>
  <c r="BF330"/>
  <c r="AU466"/>
  <c r="AU330"/>
  <c r="AP466"/>
  <c r="AL466"/>
  <c r="AA466"/>
  <c r="S466"/>
  <c r="O466"/>
  <c r="AW465"/>
  <c r="AW329"/>
  <c r="AU465"/>
  <c r="AU329"/>
  <c r="AP465"/>
  <c r="AM465"/>
  <c r="AL465"/>
  <c r="AA465"/>
  <c r="AA329"/>
  <c r="O465"/>
  <c r="M465"/>
  <c r="M329"/>
  <c r="AW464"/>
  <c r="BI457"/>
  <c r="BJ457"/>
  <c r="AP464"/>
  <c r="AA464"/>
  <c r="AA328"/>
  <c r="S464"/>
  <c r="S328"/>
  <c r="O464"/>
  <c r="O328"/>
  <c r="AW463"/>
  <c r="BI456"/>
  <c r="BJ456"/>
  <c r="AV463"/>
  <c r="AV327"/>
  <c r="AU463"/>
  <c r="AT463"/>
  <c r="AS463"/>
  <c r="AR463"/>
  <c r="AP463"/>
  <c r="AM463"/>
  <c r="AL463"/>
  <c r="AK463"/>
  <c r="AH463"/>
  <c r="AG463"/>
  <c r="AA463"/>
  <c r="O463"/>
  <c r="AF463"/>
  <c r="M463"/>
  <c r="BI455"/>
  <c r="BH462"/>
  <c r="AQ462"/>
  <c r="AQ461"/>
  <c r="AQ460"/>
  <c r="AQ458"/>
  <c r="AP462"/>
  <c r="AD462"/>
  <c r="AC462"/>
  <c r="AC461"/>
  <c r="AA462"/>
  <c r="Z462"/>
  <c r="Z461"/>
  <c r="Z460"/>
  <c r="Z458"/>
  <c r="Y462"/>
  <c r="X462"/>
  <c r="X461"/>
  <c r="X460"/>
  <c r="X458"/>
  <c r="W462"/>
  <c r="V462"/>
  <c r="R462"/>
  <c r="Q462"/>
  <c r="Q461"/>
  <c r="Q460"/>
  <c r="Q458"/>
  <c r="P462"/>
  <c r="N462"/>
  <c r="N461"/>
  <c r="N460"/>
  <c r="N458"/>
  <c r="L462"/>
  <c r="BI454"/>
  <c r="BH461"/>
  <c r="AP461"/>
  <c r="AA461"/>
  <c r="BI453"/>
  <c r="BH460"/>
  <c r="AP460"/>
  <c r="AA460"/>
  <c r="BI452"/>
  <c r="BH459"/>
  <c r="AP459"/>
  <c r="AA459"/>
  <c r="S459"/>
  <c r="BI451"/>
  <c r="BH458"/>
  <c r="AP458"/>
  <c r="AA458"/>
  <c r="BI450"/>
  <c r="BJ450"/>
  <c r="BH457"/>
  <c r="AP457"/>
  <c r="AA457"/>
  <c r="S457"/>
  <c r="BI449"/>
  <c r="BJ449"/>
  <c r="BH456"/>
  <c r="BH306"/>
  <c r="BH305"/>
  <c r="AU456"/>
  <c r="AU306"/>
  <c r="AU305"/>
  <c r="AS456"/>
  <c r="AS306"/>
  <c r="AS305"/>
  <c r="AP456"/>
  <c r="AM456"/>
  <c r="AL456"/>
  <c r="AA456"/>
  <c r="AA306"/>
  <c r="AA305"/>
  <c r="S456"/>
  <c r="S455"/>
  <c r="O456"/>
  <c r="O455"/>
  <c r="BI448"/>
  <c r="BH455"/>
  <c r="AQ455"/>
  <c r="AP455"/>
  <c r="AD455"/>
  <c r="AC455"/>
  <c r="AA455"/>
  <c r="Z455"/>
  <c r="Y455"/>
  <c r="X455"/>
  <c r="W455"/>
  <c r="V455"/>
  <c r="R455"/>
  <c r="Q455"/>
  <c r="P455"/>
  <c r="N455"/>
  <c r="M455"/>
  <c r="L455"/>
  <c r="BI447"/>
  <c r="BJ447"/>
  <c r="BH454"/>
  <c r="AP454"/>
  <c r="AA454"/>
  <c r="S454"/>
  <c r="AW453"/>
  <c r="BI446"/>
  <c r="BJ446"/>
  <c r="AU453"/>
  <c r="AU303"/>
  <c r="AU302"/>
  <c r="AS453"/>
  <c r="AS303"/>
  <c r="AS302"/>
  <c r="AP453"/>
  <c r="AM453"/>
  <c r="AL453"/>
  <c r="AA453"/>
  <c r="AA303"/>
  <c r="AA302"/>
  <c r="S453"/>
  <c r="S452"/>
  <c r="O453"/>
  <c r="M453"/>
  <c r="M452"/>
  <c r="BI445"/>
  <c r="BH452"/>
  <c r="AQ452"/>
  <c r="AP452"/>
  <c r="AD452"/>
  <c r="AC452"/>
  <c r="AA452"/>
  <c r="Z452"/>
  <c r="Y452"/>
  <c r="X452"/>
  <c r="W452"/>
  <c r="V452"/>
  <c r="R452"/>
  <c r="Q452"/>
  <c r="P452"/>
  <c r="N452"/>
  <c r="L452"/>
  <c r="BI444"/>
  <c r="BJ444"/>
  <c r="BH451"/>
  <c r="AP451"/>
  <c r="AA451"/>
  <c r="S451"/>
  <c r="BI443"/>
  <c r="BJ443"/>
  <c r="BH450"/>
  <c r="AV450"/>
  <c r="AT450"/>
  <c r="AR450"/>
  <c r="AP450"/>
  <c r="AM450"/>
  <c r="AK450"/>
  <c r="AA450"/>
  <c r="S450"/>
  <c r="S449"/>
  <c r="BI442"/>
  <c r="BH449"/>
  <c r="AQ449"/>
  <c r="AP449"/>
  <c r="AD449"/>
  <c r="AC449"/>
  <c r="AA449"/>
  <c r="Z449"/>
  <c r="Y449"/>
  <c r="X449"/>
  <c r="W449"/>
  <c r="V449"/>
  <c r="R449"/>
  <c r="Q449"/>
  <c r="P449"/>
  <c r="O449"/>
  <c r="N449"/>
  <c r="M449"/>
  <c r="L449"/>
  <c r="BI441"/>
  <c r="BJ441"/>
  <c r="BH448"/>
  <c r="AP448"/>
  <c r="AA448"/>
  <c r="S448"/>
  <c r="BI440"/>
  <c r="BH447"/>
  <c r="AP447"/>
  <c r="AA447"/>
  <c r="BI439"/>
  <c r="BJ439"/>
  <c r="BH446"/>
  <c r="AP446"/>
  <c r="AA446"/>
  <c r="S446"/>
  <c r="BI438"/>
  <c r="BJ438"/>
  <c r="BH445"/>
  <c r="AV445"/>
  <c r="AU445"/>
  <c r="AT445"/>
  <c r="AS445"/>
  <c r="AR445"/>
  <c r="AP445"/>
  <c r="AM445"/>
  <c r="AL445"/>
  <c r="AK445"/>
  <c r="AH445"/>
  <c r="AG445"/>
  <c r="AA445"/>
  <c r="O445"/>
  <c r="M445"/>
  <c r="BI437"/>
  <c r="BJ437"/>
  <c r="BH444"/>
  <c r="AP444"/>
  <c r="AM444"/>
  <c r="AA444"/>
  <c r="S444"/>
  <c r="BI436"/>
  <c r="BJ436"/>
  <c r="BH443"/>
  <c r="AP443"/>
  <c r="AA443"/>
  <c r="S443"/>
  <c r="BI435"/>
  <c r="BJ435"/>
  <c r="BH442"/>
  <c r="AP442"/>
  <c r="AA442"/>
  <c r="S442"/>
  <c r="O442"/>
  <c r="AW441"/>
  <c r="AV441"/>
  <c r="AU441"/>
  <c r="AT441"/>
  <c r="AS441"/>
  <c r="AR441"/>
  <c r="AP441"/>
  <c r="AM441"/>
  <c r="AL441"/>
  <c r="AK441"/>
  <c r="AH441"/>
  <c r="AG441"/>
  <c r="AA441"/>
  <c r="S441"/>
  <c r="O441"/>
  <c r="AF441"/>
  <c r="M441"/>
  <c r="AW440"/>
  <c r="BI433"/>
  <c r="BJ433"/>
  <c r="AU440"/>
  <c r="AS440"/>
  <c r="AP440"/>
  <c r="AM440"/>
  <c r="AL440"/>
  <c r="AH440"/>
  <c r="AG440"/>
  <c r="AA440"/>
  <c r="S440"/>
  <c r="O440"/>
  <c r="AF440"/>
  <c r="M440"/>
  <c r="BI432"/>
  <c r="BJ432"/>
  <c r="BH439"/>
  <c r="AP439"/>
  <c r="AM439"/>
  <c r="AA439"/>
  <c r="S439"/>
  <c r="O439"/>
  <c r="BI431"/>
  <c r="BJ431"/>
  <c r="BH438"/>
  <c r="AP438"/>
  <c r="AM438"/>
  <c r="AA438"/>
  <c r="S438"/>
  <c r="O438"/>
  <c r="AW437"/>
  <c r="BI430"/>
  <c r="BJ430"/>
  <c r="AV437"/>
  <c r="AU437"/>
  <c r="AT437"/>
  <c r="AS437"/>
  <c r="AR437"/>
  <c r="AP437"/>
  <c r="AM437"/>
  <c r="AL437"/>
  <c r="AK437"/>
  <c r="AA437"/>
  <c r="S437"/>
  <c r="O437"/>
  <c r="M437"/>
  <c r="BI429"/>
  <c r="BJ429"/>
  <c r="BH436"/>
  <c r="AV436"/>
  <c r="AU436"/>
  <c r="AT436"/>
  <c r="AS436"/>
  <c r="AR436"/>
  <c r="AP436"/>
  <c r="AM436"/>
  <c r="AL436"/>
  <c r="AK436"/>
  <c r="AH436"/>
  <c r="AG436"/>
  <c r="AA436"/>
  <c r="S436"/>
  <c r="O436"/>
  <c r="AF436"/>
  <c r="M436"/>
  <c r="AW435"/>
  <c r="BI428"/>
  <c r="BJ428"/>
  <c r="AV435"/>
  <c r="AU435"/>
  <c r="AT435"/>
  <c r="AS435"/>
  <c r="AR435"/>
  <c r="AP435"/>
  <c r="AM435"/>
  <c r="AL435"/>
  <c r="AK435"/>
  <c r="AH435"/>
  <c r="AG435"/>
  <c r="AA435"/>
  <c r="S435"/>
  <c r="O435"/>
  <c r="AF435"/>
  <c r="M435"/>
  <c r="AW434"/>
  <c r="AV434"/>
  <c r="AU434"/>
  <c r="AT434"/>
  <c r="AS434"/>
  <c r="AR434"/>
  <c r="AP434"/>
  <c r="AM434"/>
  <c r="AL434"/>
  <c r="AK434"/>
  <c r="AH434"/>
  <c r="AG434"/>
  <c r="AA434"/>
  <c r="O434"/>
  <c r="M434"/>
  <c r="BI426"/>
  <c r="BJ426"/>
  <c r="BH433"/>
  <c r="AP433"/>
  <c r="AL433"/>
  <c r="AA433"/>
  <c r="S433"/>
  <c r="O433"/>
  <c r="M433"/>
  <c r="AW432"/>
  <c r="AV432"/>
  <c r="AV257"/>
  <c r="AU432"/>
  <c r="AU257"/>
  <c r="AT432"/>
  <c r="AT257"/>
  <c r="AS432"/>
  <c r="AS257"/>
  <c r="AR432"/>
  <c r="AR257"/>
  <c r="AP432"/>
  <c r="AM432"/>
  <c r="AL432"/>
  <c r="AK432"/>
  <c r="AH432"/>
  <c r="AG432"/>
  <c r="AA432"/>
  <c r="AA257"/>
  <c r="S432"/>
  <c r="S257"/>
  <c r="O432"/>
  <c r="O257"/>
  <c r="M432"/>
  <c r="M257"/>
  <c r="AW431"/>
  <c r="AV431"/>
  <c r="AV256"/>
  <c r="AU431"/>
  <c r="AU256"/>
  <c r="AT431"/>
  <c r="AT256"/>
  <c r="AS431"/>
  <c r="AS256"/>
  <c r="AR431"/>
  <c r="AR256"/>
  <c r="AP431"/>
  <c r="AM431"/>
  <c r="AL431"/>
  <c r="AK431"/>
  <c r="AA431"/>
  <c r="S431"/>
  <c r="S256"/>
  <c r="O431"/>
  <c r="M431"/>
  <c r="M256"/>
  <c r="AW430"/>
  <c r="BI423"/>
  <c r="BJ423"/>
  <c r="AV430"/>
  <c r="AU430"/>
  <c r="AT430"/>
  <c r="AS430"/>
  <c r="AR430"/>
  <c r="AP430"/>
  <c r="AM430"/>
  <c r="AL430"/>
  <c r="AK430"/>
  <c r="AH430"/>
  <c r="AG430"/>
  <c r="AA430"/>
  <c r="S430"/>
  <c r="O430"/>
  <c r="AF430"/>
  <c r="M430"/>
  <c r="AW429"/>
  <c r="AV429"/>
  <c r="AU429"/>
  <c r="AT429"/>
  <c r="AT255"/>
  <c r="AS429"/>
  <c r="AS255"/>
  <c r="AR429"/>
  <c r="AR255"/>
  <c r="AP429"/>
  <c r="AM429"/>
  <c r="AL429"/>
  <c r="AK429"/>
  <c r="AH429"/>
  <c r="AG429"/>
  <c r="AA429"/>
  <c r="S429"/>
  <c r="S255"/>
  <c r="O429"/>
  <c r="M429"/>
  <c r="AW428"/>
  <c r="AV428"/>
  <c r="AU428"/>
  <c r="AT428"/>
  <c r="AS428"/>
  <c r="AR428"/>
  <c r="AP428"/>
  <c r="AM428"/>
  <c r="AL428"/>
  <c r="AK428"/>
  <c r="AH428"/>
  <c r="AG428"/>
  <c r="AA428"/>
  <c r="O428"/>
  <c r="M428"/>
  <c r="AW427"/>
  <c r="BH427"/>
  <c r="BH252"/>
  <c r="AV427"/>
  <c r="AV252"/>
  <c r="AU427"/>
  <c r="AT427"/>
  <c r="AT252"/>
  <c r="AS427"/>
  <c r="AS252"/>
  <c r="AR427"/>
  <c r="AR252"/>
  <c r="AP427"/>
  <c r="AM427"/>
  <c r="AL427"/>
  <c r="AK427"/>
  <c r="AH427"/>
  <c r="AG427"/>
  <c r="AA427"/>
  <c r="AA252"/>
  <c r="O427"/>
  <c r="O252"/>
  <c r="M427"/>
  <c r="M252"/>
  <c r="BI419"/>
  <c r="BH426"/>
  <c r="AQ426"/>
  <c r="AP426"/>
  <c r="AD426"/>
  <c r="AC426"/>
  <c r="AA426"/>
  <c r="Z426"/>
  <c r="Y426"/>
  <c r="X426"/>
  <c r="W426"/>
  <c r="V426"/>
  <c r="R426"/>
  <c r="Q426"/>
  <c r="P426"/>
  <c r="N426"/>
  <c r="L426"/>
  <c r="BI418"/>
  <c r="BJ418"/>
  <c r="BH425"/>
  <c r="AP425"/>
  <c r="AA425"/>
  <c r="S425"/>
  <c r="BI417"/>
  <c r="BJ417"/>
  <c r="BH424"/>
  <c r="AV424"/>
  <c r="AU424"/>
  <c r="AT424"/>
  <c r="AS424"/>
  <c r="AR424"/>
  <c r="AP424"/>
  <c r="AM424"/>
  <c r="AL424"/>
  <c r="AK424"/>
  <c r="AH424"/>
  <c r="AG424"/>
  <c r="AA424"/>
  <c r="S424"/>
  <c r="O424"/>
  <c r="M424"/>
  <c r="BI416"/>
  <c r="BJ416"/>
  <c r="BH423"/>
  <c r="AP423"/>
  <c r="AA423"/>
  <c r="S423"/>
  <c r="O423"/>
  <c r="AW422"/>
  <c r="BI415"/>
  <c r="BJ415"/>
  <c r="AV422"/>
  <c r="AU422"/>
  <c r="AT422"/>
  <c r="AS422"/>
  <c r="AR422"/>
  <c r="AP422"/>
  <c r="AM422"/>
  <c r="AL422"/>
  <c r="AK422"/>
  <c r="AH422"/>
  <c r="AG422"/>
  <c r="AA422"/>
  <c r="S422"/>
  <c r="O422"/>
  <c r="AF422"/>
  <c r="M422"/>
  <c r="BI414"/>
  <c r="BJ414"/>
  <c r="BH421"/>
  <c r="AP421"/>
  <c r="AA421"/>
  <c r="S421"/>
  <c r="O421"/>
  <c r="AW420"/>
  <c r="BI413"/>
  <c r="BJ413"/>
  <c r="AV420"/>
  <c r="AV241"/>
  <c r="AU420"/>
  <c r="AT420"/>
  <c r="AT241"/>
  <c r="AS420"/>
  <c r="AR420"/>
  <c r="AP420"/>
  <c r="AM420"/>
  <c r="AL420"/>
  <c r="AK420"/>
  <c r="AA420"/>
  <c r="S420"/>
  <c r="O420"/>
  <c r="M420"/>
  <c r="AW419"/>
  <c r="BI412"/>
  <c r="BJ412"/>
  <c r="AV419"/>
  <c r="AV239"/>
  <c r="AU419"/>
  <c r="AU239"/>
  <c r="AT419"/>
  <c r="AT239"/>
  <c r="AS419"/>
  <c r="AR419"/>
  <c r="AR239"/>
  <c r="AP419"/>
  <c r="AM419"/>
  <c r="AL419"/>
  <c r="AK419"/>
  <c r="AH419"/>
  <c r="AG419"/>
  <c r="AA419"/>
  <c r="O419"/>
  <c r="AF419"/>
  <c r="M419"/>
  <c r="AQ418"/>
  <c r="AP418"/>
  <c r="AD418"/>
  <c r="AC418"/>
  <c r="AA418"/>
  <c r="Z418"/>
  <c r="Y418"/>
  <c r="X418"/>
  <c r="W418"/>
  <c r="V418"/>
  <c r="R418"/>
  <c r="Q418"/>
  <c r="P418"/>
  <c r="N418"/>
  <c r="L418"/>
  <c r="BI410"/>
  <c r="BJ410"/>
  <c r="BH417"/>
  <c r="AP417"/>
  <c r="AA417"/>
  <c r="S417"/>
  <c r="BI409"/>
  <c r="BH416"/>
  <c r="AP416"/>
  <c r="AA416"/>
  <c r="BI408"/>
  <c r="BH415"/>
  <c r="AP415"/>
  <c r="AA415"/>
  <c r="BI407"/>
  <c r="BJ407"/>
  <c r="BH414"/>
  <c r="AP414"/>
  <c r="AA414"/>
  <c r="S414"/>
  <c r="BI406"/>
  <c r="BH413"/>
  <c r="AP413"/>
  <c r="AA413"/>
  <c r="BI405"/>
  <c r="BH412"/>
  <c r="AU412"/>
  <c r="AS412"/>
  <c r="AP412"/>
  <c r="AM412"/>
  <c r="AL412"/>
  <c r="AA412"/>
  <c r="S412"/>
  <c r="O412"/>
  <c r="BI404"/>
  <c r="BH411"/>
  <c r="AU411"/>
  <c r="AS411"/>
  <c r="AP411"/>
  <c r="AM411"/>
  <c r="AL411"/>
  <c r="AA411"/>
  <c r="S411"/>
  <c r="O411"/>
  <c r="AW410"/>
  <c r="AV410"/>
  <c r="AU410"/>
  <c r="AU254"/>
  <c r="AT410"/>
  <c r="AS410"/>
  <c r="AR410"/>
  <c r="AP410"/>
  <c r="AM410"/>
  <c r="AL410"/>
  <c r="AK410"/>
  <c r="AH410"/>
  <c r="AG410"/>
  <c r="AA410"/>
  <c r="O410"/>
  <c r="M410"/>
  <c r="M409"/>
  <c r="AQ409"/>
  <c r="AP409"/>
  <c r="AD409"/>
  <c r="AC409"/>
  <c r="AA409"/>
  <c r="Z409"/>
  <c r="Y409"/>
  <c r="X409"/>
  <c r="W409"/>
  <c r="V409"/>
  <c r="S409"/>
  <c r="R409"/>
  <c r="Q409"/>
  <c r="P409"/>
  <c r="N409"/>
  <c r="L409"/>
  <c r="BI401"/>
  <c r="BH408"/>
  <c r="AP408"/>
  <c r="AA408"/>
  <c r="S408"/>
  <c r="BI400"/>
  <c r="BJ400"/>
  <c r="BH407"/>
  <c r="BH248"/>
  <c r="BH247"/>
  <c r="AP407"/>
  <c r="AA407"/>
  <c r="S407"/>
  <c r="S406"/>
  <c r="BI399"/>
  <c r="BH406"/>
  <c r="AQ406"/>
  <c r="AP406"/>
  <c r="AD406"/>
  <c r="AC406"/>
  <c r="AA406"/>
  <c r="Z406"/>
  <c r="Y406"/>
  <c r="X406"/>
  <c r="W406"/>
  <c r="V406"/>
  <c r="R406"/>
  <c r="Q406"/>
  <c r="P406"/>
  <c r="O406"/>
  <c r="N406"/>
  <c r="M406"/>
  <c r="L406"/>
  <c r="BI398"/>
  <c r="BH405"/>
  <c r="AP405"/>
  <c r="AA405"/>
  <c r="S405"/>
  <c r="AW404"/>
  <c r="BI397"/>
  <c r="BJ397"/>
  <c r="AV404"/>
  <c r="AU404"/>
  <c r="AT404"/>
  <c r="AS404"/>
  <c r="AR404"/>
  <c r="AP404"/>
  <c r="AM404"/>
  <c r="AL404"/>
  <c r="AK404"/>
  <c r="AH404"/>
  <c r="AG404"/>
  <c r="AA404"/>
  <c r="O404"/>
  <c r="M404"/>
  <c r="AW403"/>
  <c r="BI396"/>
  <c r="BJ396"/>
  <c r="AV403"/>
  <c r="AU403"/>
  <c r="AT403"/>
  <c r="AS403"/>
  <c r="AR403"/>
  <c r="AP403"/>
  <c r="AM403"/>
  <c r="AL403"/>
  <c r="AK403"/>
  <c r="AH403"/>
  <c r="AG403"/>
  <c r="AA403"/>
  <c r="O403"/>
  <c r="AF403"/>
  <c r="M403"/>
  <c r="AW402"/>
  <c r="BH402"/>
  <c r="AV402"/>
  <c r="AU402"/>
  <c r="AT402"/>
  <c r="AS402"/>
  <c r="AR402"/>
  <c r="AP402"/>
  <c r="AM402"/>
  <c r="AL402"/>
  <c r="AK402"/>
  <c r="AH402"/>
  <c r="AG402"/>
  <c r="AA402"/>
  <c r="O402"/>
  <c r="AF402"/>
  <c r="M402"/>
  <c r="AW401"/>
  <c r="BH401"/>
  <c r="AV401"/>
  <c r="AU401"/>
  <c r="AU242"/>
  <c r="AT401"/>
  <c r="AS401"/>
  <c r="AR401"/>
  <c r="AP401"/>
  <c r="AM401"/>
  <c r="AL401"/>
  <c r="AK401"/>
  <c r="AH401"/>
  <c r="AG401"/>
  <c r="AA401"/>
  <c r="S401"/>
  <c r="O401"/>
  <c r="M401"/>
  <c r="AW400"/>
  <c r="BI393"/>
  <c r="BJ393"/>
  <c r="AV400"/>
  <c r="AU400"/>
  <c r="AT400"/>
  <c r="AS400"/>
  <c r="AR400"/>
  <c r="AP400"/>
  <c r="AM400"/>
  <c r="AL400"/>
  <c r="AK400"/>
  <c r="AH400"/>
  <c r="AG400"/>
  <c r="AA400"/>
  <c r="O400"/>
  <c r="AF400"/>
  <c r="M400"/>
  <c r="AW399"/>
  <c r="AV399"/>
  <c r="AU399"/>
  <c r="AT399"/>
  <c r="AS399"/>
  <c r="AR399"/>
  <c r="AP399"/>
  <c r="AM399"/>
  <c r="AL399"/>
  <c r="AK399"/>
  <c r="AH399"/>
  <c r="AG399"/>
  <c r="AA399"/>
  <c r="O399"/>
  <c r="AF399"/>
  <c r="M399"/>
  <c r="AW398"/>
  <c r="AV398"/>
  <c r="AU398"/>
  <c r="AT398"/>
  <c r="AS398"/>
  <c r="AR398"/>
  <c r="AP398"/>
  <c r="AM398"/>
  <c r="AL398"/>
  <c r="AK398"/>
  <c r="AH398"/>
  <c r="AG398"/>
  <c r="AA398"/>
  <c r="O398"/>
  <c r="AF398"/>
  <c r="M398"/>
  <c r="BI390"/>
  <c r="BH397"/>
  <c r="AQ397"/>
  <c r="AP397"/>
  <c r="AD397"/>
  <c r="AC397"/>
  <c r="AA397"/>
  <c r="Z397"/>
  <c r="Y397"/>
  <c r="X397"/>
  <c r="W397"/>
  <c r="V397"/>
  <c r="R397"/>
  <c r="Q397"/>
  <c r="AH397"/>
  <c r="P397"/>
  <c r="N397"/>
  <c r="L397"/>
  <c r="BI389"/>
  <c r="BH396"/>
  <c r="AP396"/>
  <c r="AA396"/>
  <c r="S396"/>
  <c r="AW395"/>
  <c r="BI388"/>
  <c r="BJ388"/>
  <c r="AU395"/>
  <c r="AU234"/>
  <c r="AS395"/>
  <c r="AS234"/>
  <c r="AP395"/>
  <c r="AM395"/>
  <c r="AL395"/>
  <c r="AA395"/>
  <c r="AA234"/>
  <c r="S395"/>
  <c r="S234"/>
  <c r="O395"/>
  <c r="O234"/>
  <c r="AW394"/>
  <c r="AV394"/>
  <c r="AU394"/>
  <c r="AT394"/>
  <c r="AS394"/>
  <c r="AR394"/>
  <c r="AP394"/>
  <c r="AM394"/>
  <c r="AL394"/>
  <c r="AK394"/>
  <c r="AH394"/>
  <c r="AG394"/>
  <c r="AA394"/>
  <c r="O394"/>
  <c r="O233"/>
  <c r="M394"/>
  <c r="AW393"/>
  <c r="AV393"/>
  <c r="AU393"/>
  <c r="AT393"/>
  <c r="AS393"/>
  <c r="AR393"/>
  <c r="AP393"/>
  <c r="AM393"/>
  <c r="AL393"/>
  <c r="AK393"/>
  <c r="AH393"/>
  <c r="AG393"/>
  <c r="AA393"/>
  <c r="O393"/>
  <c r="M393"/>
  <c r="AW392"/>
  <c r="AV392"/>
  <c r="AU392"/>
  <c r="AT392"/>
  <c r="AS392"/>
  <c r="AR392"/>
  <c r="AP392"/>
  <c r="AM392"/>
  <c r="AL392"/>
  <c r="AK392"/>
  <c r="AH392"/>
  <c r="AG392"/>
  <c r="AA392"/>
  <c r="O392"/>
  <c r="AF392"/>
  <c r="M392"/>
  <c r="AW391"/>
  <c r="BI384"/>
  <c r="BJ384"/>
  <c r="AV391"/>
  <c r="AU391"/>
  <c r="AT391"/>
  <c r="AS391"/>
  <c r="AR391"/>
  <c r="AP391"/>
  <c r="AM391"/>
  <c r="AL391"/>
  <c r="AK391"/>
  <c r="AH391"/>
  <c r="AG391"/>
  <c r="AA391"/>
  <c r="O391"/>
  <c r="AF391"/>
  <c r="M391"/>
  <c r="BI383"/>
  <c r="BH390"/>
  <c r="AQ390"/>
  <c r="AP390"/>
  <c r="AD390"/>
  <c r="AC390"/>
  <c r="AA390"/>
  <c r="Z390"/>
  <c r="Y390"/>
  <c r="X390"/>
  <c r="W390"/>
  <c r="V390"/>
  <c r="R390"/>
  <c r="Q390"/>
  <c r="P390"/>
  <c r="N390"/>
  <c r="L390"/>
  <c r="BI382"/>
  <c r="BH389"/>
  <c r="AP389"/>
  <c r="AA389"/>
  <c r="S389"/>
  <c r="AW388"/>
  <c r="BI381"/>
  <c r="BJ381"/>
  <c r="AV388"/>
  <c r="AU388"/>
  <c r="AT388"/>
  <c r="AS388"/>
  <c r="AR388"/>
  <c r="AP388"/>
  <c r="AM388"/>
  <c r="AL388"/>
  <c r="AK388"/>
  <c r="AH388"/>
  <c r="AG388"/>
  <c r="AA388"/>
  <c r="S388"/>
  <c r="S384"/>
  <c r="O388"/>
  <c r="AF388"/>
  <c r="M388"/>
  <c r="M225"/>
  <c r="AW387"/>
  <c r="BI380"/>
  <c r="BJ380"/>
  <c r="AV387"/>
  <c r="AU387"/>
  <c r="AT387"/>
  <c r="AS387"/>
  <c r="AS224"/>
  <c r="AR387"/>
  <c r="AP387"/>
  <c r="AM387"/>
  <c r="AL387"/>
  <c r="AK387"/>
  <c r="AH387"/>
  <c r="AG387"/>
  <c r="AA387"/>
  <c r="O387"/>
  <c r="AF387"/>
  <c r="M387"/>
  <c r="AW386"/>
  <c r="AV386"/>
  <c r="AU386"/>
  <c r="AT386"/>
  <c r="AS386"/>
  <c r="AR386"/>
  <c r="AP386"/>
  <c r="AM386"/>
  <c r="AL386"/>
  <c r="AK386"/>
  <c r="AH386"/>
  <c r="AG386"/>
  <c r="AA386"/>
  <c r="O386"/>
  <c r="AF386"/>
  <c r="M386"/>
  <c r="AW385"/>
  <c r="BH385"/>
  <c r="AV385"/>
  <c r="AU385"/>
  <c r="AT385"/>
  <c r="AS385"/>
  <c r="AR385"/>
  <c r="AP385"/>
  <c r="AM385"/>
  <c r="AL385"/>
  <c r="AK385"/>
  <c r="AH385"/>
  <c r="AG385"/>
  <c r="AA385"/>
  <c r="O385"/>
  <c r="AF385"/>
  <c r="M385"/>
  <c r="BI377"/>
  <c r="BH384"/>
  <c r="AQ384"/>
  <c r="AP384"/>
  <c r="AD384"/>
  <c r="AC384"/>
  <c r="AA384"/>
  <c r="Z384"/>
  <c r="Y384"/>
  <c r="X384"/>
  <c r="W384"/>
  <c r="V384"/>
  <c r="R384"/>
  <c r="Q384"/>
  <c r="P384"/>
  <c r="N384"/>
  <c r="L384"/>
  <c r="BI376"/>
  <c r="BH383"/>
  <c r="AP383"/>
  <c r="AA383"/>
  <c r="S383"/>
  <c r="BI375"/>
  <c r="BH382"/>
  <c r="AP382"/>
  <c r="AA382"/>
  <c r="BI374"/>
  <c r="BH381"/>
  <c r="AP381"/>
  <c r="AA381"/>
  <c r="S381"/>
  <c r="BI373"/>
  <c r="BJ373"/>
  <c r="BH380"/>
  <c r="AP380"/>
  <c r="AA380"/>
  <c r="S380"/>
  <c r="BI372"/>
  <c r="BJ372"/>
  <c r="BH379"/>
  <c r="AP379"/>
  <c r="AA379"/>
  <c r="S379"/>
  <c r="BI371"/>
  <c r="BJ371"/>
  <c r="BH378"/>
  <c r="AP378"/>
  <c r="AA378"/>
  <c r="S378"/>
  <c r="AW377"/>
  <c r="BI370"/>
  <c r="BJ370"/>
  <c r="AV377"/>
  <c r="AU377"/>
  <c r="AT377"/>
  <c r="AS377"/>
  <c r="AR377"/>
  <c r="AP377"/>
  <c r="AM377"/>
  <c r="AL377"/>
  <c r="AK377"/>
  <c r="AH377"/>
  <c r="AG377"/>
  <c r="AA377"/>
  <c r="O377"/>
  <c r="AF377"/>
  <c r="M377"/>
  <c r="M376"/>
  <c r="BI369"/>
  <c r="BH376"/>
  <c r="AQ376"/>
  <c r="AP376"/>
  <c r="AD376"/>
  <c r="AC376"/>
  <c r="AA376"/>
  <c r="Z376"/>
  <c r="Y376"/>
  <c r="X376"/>
  <c r="W376"/>
  <c r="V376"/>
  <c r="R376"/>
  <c r="Q376"/>
  <c r="P376"/>
  <c r="N376"/>
  <c r="L376"/>
  <c r="BI368"/>
  <c r="BH375"/>
  <c r="AP375"/>
  <c r="AA375"/>
  <c r="S375"/>
  <c r="BI367"/>
  <c r="BJ367"/>
  <c r="BH374"/>
  <c r="AP374"/>
  <c r="AA374"/>
  <c r="S374"/>
  <c r="S372"/>
  <c r="AW373"/>
  <c r="AV373"/>
  <c r="AU373"/>
  <c r="AT373"/>
  <c r="AS373"/>
  <c r="AR373"/>
  <c r="AP373"/>
  <c r="AM373"/>
  <c r="AL373"/>
  <c r="AK373"/>
  <c r="AH373"/>
  <c r="AG373"/>
  <c r="AA373"/>
  <c r="O373"/>
  <c r="M373"/>
  <c r="M372"/>
  <c r="AQ372"/>
  <c r="AP372"/>
  <c r="AD372"/>
  <c r="AC372"/>
  <c r="AA372"/>
  <c r="Z372"/>
  <c r="Y372"/>
  <c r="X372"/>
  <c r="W372"/>
  <c r="V372"/>
  <c r="R372"/>
  <c r="Q372"/>
  <c r="P372"/>
  <c r="N372"/>
  <c r="L372"/>
  <c r="BI364"/>
  <c r="BH371"/>
  <c r="AP371"/>
  <c r="AA371"/>
  <c r="S371"/>
  <c r="BI363"/>
  <c r="BJ363"/>
  <c r="BH370"/>
  <c r="AP370"/>
  <c r="AA370"/>
  <c r="S370"/>
  <c r="S209"/>
  <c r="BI362"/>
  <c r="BJ362"/>
  <c r="BH369"/>
  <c r="BH210"/>
  <c r="AP369"/>
  <c r="AM369"/>
  <c r="AH369"/>
  <c r="AG369"/>
  <c r="AA369"/>
  <c r="AA210"/>
  <c r="S369"/>
  <c r="O369"/>
  <c r="O210"/>
  <c r="M369"/>
  <c r="M210"/>
  <c r="AW368"/>
  <c r="BI361"/>
  <c r="BJ361"/>
  <c r="AV368"/>
  <c r="AU368"/>
  <c r="AT368"/>
  <c r="AS368"/>
  <c r="AR368"/>
  <c r="AP368"/>
  <c r="AM368"/>
  <c r="AL368"/>
  <c r="AK368"/>
  <c r="AH368"/>
  <c r="AG368"/>
  <c r="AA368"/>
  <c r="O368"/>
  <c r="M368"/>
  <c r="BI360"/>
  <c r="BH367"/>
  <c r="AQ367"/>
  <c r="AP367"/>
  <c r="AD367"/>
  <c r="AC367"/>
  <c r="AA367"/>
  <c r="Z367"/>
  <c r="Y367"/>
  <c r="X367"/>
  <c r="W367"/>
  <c r="V367"/>
  <c r="R367"/>
  <c r="Q367"/>
  <c r="Q365"/>
  <c r="P367"/>
  <c r="N367"/>
  <c r="L367"/>
  <c r="BI359"/>
  <c r="BH366"/>
  <c r="AP366"/>
  <c r="AA366"/>
  <c r="BI358"/>
  <c r="BH365"/>
  <c r="AP365"/>
  <c r="AA365"/>
  <c r="BI357"/>
  <c r="BH364"/>
  <c r="AP364"/>
  <c r="AA364"/>
  <c r="BI356"/>
  <c r="BH363"/>
  <c r="AP363"/>
  <c r="AA363"/>
  <c r="BH362"/>
  <c r="AP362"/>
  <c r="AA362"/>
  <c r="BH361"/>
  <c r="AP361"/>
  <c r="AA361"/>
  <c r="BH360"/>
  <c r="AP360"/>
  <c r="AA360"/>
  <c r="BH359"/>
  <c r="AP359"/>
  <c r="AA359"/>
  <c r="BH358"/>
  <c r="AP358"/>
  <c r="AA358"/>
  <c r="BI355"/>
  <c r="BH357"/>
  <c r="AP357"/>
  <c r="AA357"/>
  <c r="BI354"/>
  <c r="BH356"/>
  <c r="AP356"/>
  <c r="BI352"/>
  <c r="BI351"/>
  <c r="AP349"/>
  <c r="AP348"/>
  <c r="AP347"/>
  <c r="AP346"/>
  <c r="AP345"/>
  <c r="AP344"/>
  <c r="BG343"/>
  <c r="BG342"/>
  <c r="BG340"/>
  <c r="BF343"/>
  <c r="BF342"/>
  <c r="BF340"/>
  <c r="BE343"/>
  <c r="BE342"/>
  <c r="BE340"/>
  <c r="BD343"/>
  <c r="BD342"/>
  <c r="BD340"/>
  <c r="BC343"/>
  <c r="BC342"/>
  <c r="BC340"/>
  <c r="BB343"/>
  <c r="BB342"/>
  <c r="BB340"/>
  <c r="BA343"/>
  <c r="BA342"/>
  <c r="BA340"/>
  <c r="AZ343"/>
  <c r="AY343"/>
  <c r="AY342"/>
  <c r="AY340"/>
  <c r="AX343"/>
  <c r="AX342"/>
  <c r="AX340"/>
  <c r="AW343"/>
  <c r="AW342"/>
  <c r="AU343"/>
  <c r="AU342"/>
  <c r="AU340"/>
  <c r="AS343"/>
  <c r="AS342"/>
  <c r="AS340"/>
  <c r="AQ343"/>
  <c r="AQ342"/>
  <c r="AQ340"/>
  <c r="AP343"/>
  <c r="AD343"/>
  <c r="AD342"/>
  <c r="AD340"/>
  <c r="AC343"/>
  <c r="AC342"/>
  <c r="AC340"/>
  <c r="AB343"/>
  <c r="AB342"/>
  <c r="AB340"/>
  <c r="Y343"/>
  <c r="Y342"/>
  <c r="X343"/>
  <c r="X342"/>
  <c r="X340"/>
  <c r="W343"/>
  <c r="W342"/>
  <c r="V343"/>
  <c r="V342"/>
  <c r="V340"/>
  <c r="U343"/>
  <c r="S343"/>
  <c r="S342"/>
  <c r="S340"/>
  <c r="R343"/>
  <c r="Q343"/>
  <c r="Q342"/>
  <c r="Q340"/>
  <c r="P343"/>
  <c r="P342"/>
  <c r="N343"/>
  <c r="N342"/>
  <c r="N340"/>
  <c r="L343"/>
  <c r="L342"/>
  <c r="L340"/>
  <c r="AP342"/>
  <c r="U342"/>
  <c r="BI341"/>
  <c r="AP341"/>
  <c r="U341"/>
  <c r="AP340"/>
  <c r="U340"/>
  <c r="BI339"/>
  <c r="AP339"/>
  <c r="U339"/>
  <c r="BG338"/>
  <c r="BF338"/>
  <c r="BD338"/>
  <c r="BC338"/>
  <c r="BB338"/>
  <c r="BA338"/>
  <c r="AZ338"/>
  <c r="AY338"/>
  <c r="AX338"/>
  <c r="AW338"/>
  <c r="AV338"/>
  <c r="AT338"/>
  <c r="AS338"/>
  <c r="AR338"/>
  <c r="AQ338"/>
  <c r="AP338"/>
  <c r="AD338"/>
  <c r="AC338"/>
  <c r="AB338"/>
  <c r="Y338"/>
  <c r="X338"/>
  <c r="W338"/>
  <c r="V338"/>
  <c r="U338"/>
  <c r="R338"/>
  <c r="Q338"/>
  <c r="P338"/>
  <c r="O338"/>
  <c r="N338"/>
  <c r="L338"/>
  <c r="BG337"/>
  <c r="BF337"/>
  <c r="BF336"/>
  <c r="BE337"/>
  <c r="BD337"/>
  <c r="BC337"/>
  <c r="BB337"/>
  <c r="BA337"/>
  <c r="AZ337"/>
  <c r="AY337"/>
  <c r="AX337"/>
  <c r="AX336"/>
  <c r="AQ337"/>
  <c r="AP337"/>
  <c r="AD337"/>
  <c r="AC337"/>
  <c r="AB337"/>
  <c r="Y337"/>
  <c r="X337"/>
  <c r="W337"/>
  <c r="V337"/>
  <c r="U337"/>
  <c r="R337"/>
  <c r="Q337"/>
  <c r="P337"/>
  <c r="N337"/>
  <c r="L337"/>
  <c r="AP336"/>
  <c r="U336"/>
  <c r="BI335"/>
  <c r="BJ335"/>
  <c r="AP335"/>
  <c r="U335"/>
  <c r="BG334"/>
  <c r="BG333"/>
  <c r="BF334"/>
  <c r="BF333"/>
  <c r="BE334"/>
  <c r="BE333"/>
  <c r="BD334"/>
  <c r="BD333"/>
  <c r="BC334"/>
  <c r="BC333"/>
  <c r="BB334"/>
  <c r="BB333"/>
  <c r="BA334"/>
  <c r="BA333"/>
  <c r="AZ334"/>
  <c r="AZ333"/>
  <c r="AY334"/>
  <c r="AY333"/>
  <c r="AX334"/>
  <c r="AX333"/>
  <c r="AS334"/>
  <c r="AS333"/>
  <c r="AQ334"/>
  <c r="AP334"/>
  <c r="AD334"/>
  <c r="AD333"/>
  <c r="AC334"/>
  <c r="AB334"/>
  <c r="AB333"/>
  <c r="Y334"/>
  <c r="X334"/>
  <c r="W334"/>
  <c r="W333"/>
  <c r="V334"/>
  <c r="U334"/>
  <c r="S334"/>
  <c r="S333"/>
  <c r="R334"/>
  <c r="Q334"/>
  <c r="Q333"/>
  <c r="P334"/>
  <c r="N334"/>
  <c r="N333"/>
  <c r="L334"/>
  <c r="L333"/>
  <c r="AQ333"/>
  <c r="AP333"/>
  <c r="V333"/>
  <c r="U333"/>
  <c r="BI332"/>
  <c r="BJ332"/>
  <c r="AP332"/>
  <c r="U332"/>
  <c r="BG331"/>
  <c r="BF331"/>
  <c r="BE331"/>
  <c r="BD331"/>
  <c r="BC331"/>
  <c r="BB331"/>
  <c r="BA331"/>
  <c r="AZ331"/>
  <c r="AY331"/>
  <c r="AX331"/>
  <c r="AQ331"/>
  <c r="AP331"/>
  <c r="AD331"/>
  <c r="AC331"/>
  <c r="AB331"/>
  <c r="Y331"/>
  <c r="X331"/>
  <c r="W331"/>
  <c r="V331"/>
  <c r="U331"/>
  <c r="R331"/>
  <c r="Q331"/>
  <c r="P331"/>
  <c r="N331"/>
  <c r="L331"/>
  <c r="BG330"/>
  <c r="BE330"/>
  <c r="BD330"/>
  <c r="BC330"/>
  <c r="BB330"/>
  <c r="BA330"/>
  <c r="AZ330"/>
  <c r="AY330"/>
  <c r="AX330"/>
  <c r="AW330"/>
  <c r="AV330"/>
  <c r="AT330"/>
  <c r="AS330"/>
  <c r="AR330"/>
  <c r="AQ330"/>
  <c r="AP330"/>
  <c r="U330"/>
  <c r="BG329"/>
  <c r="BF329"/>
  <c r="BE329"/>
  <c r="BD329"/>
  <c r="BC329"/>
  <c r="BB329"/>
  <c r="BA329"/>
  <c r="AZ329"/>
  <c r="AY329"/>
  <c r="AX329"/>
  <c r="AV329"/>
  <c r="AT329"/>
  <c r="AS329"/>
  <c r="AR329"/>
  <c r="AQ329"/>
  <c r="AP329"/>
  <c r="AD329"/>
  <c r="AC329"/>
  <c r="AB329"/>
  <c r="Y329"/>
  <c r="X329"/>
  <c r="W329"/>
  <c r="V329"/>
  <c r="U329"/>
  <c r="S329"/>
  <c r="R329"/>
  <c r="Q329"/>
  <c r="P329"/>
  <c r="N329"/>
  <c r="L329"/>
  <c r="BG328"/>
  <c r="BF328"/>
  <c r="BE328"/>
  <c r="BD328"/>
  <c r="BC328"/>
  <c r="BB328"/>
  <c r="BA328"/>
  <c r="AZ328"/>
  <c r="AY328"/>
  <c r="AX328"/>
  <c r="AV328"/>
  <c r="AU328"/>
  <c r="AT328"/>
  <c r="AS328"/>
  <c r="AR328"/>
  <c r="AQ328"/>
  <c r="AP328"/>
  <c r="AD328"/>
  <c r="AC328"/>
  <c r="AB328"/>
  <c r="Y328"/>
  <c r="X328"/>
  <c r="W328"/>
  <c r="V328"/>
  <c r="U328"/>
  <c r="R328"/>
  <c r="Q328"/>
  <c r="P328"/>
  <c r="N328"/>
  <c r="M328"/>
  <c r="L328"/>
  <c r="BG327"/>
  <c r="BF327"/>
  <c r="BE327"/>
  <c r="BD327"/>
  <c r="BC327"/>
  <c r="BB327"/>
  <c r="BA327"/>
  <c r="AZ327"/>
  <c r="AY327"/>
  <c r="AX327"/>
  <c r="AQ327"/>
  <c r="AP327"/>
  <c r="AD327"/>
  <c r="AC327"/>
  <c r="AB327"/>
  <c r="Y327"/>
  <c r="X327"/>
  <c r="AL327"/>
  <c r="W327"/>
  <c r="V327"/>
  <c r="U327"/>
  <c r="S327"/>
  <c r="R327"/>
  <c r="Q327"/>
  <c r="P327"/>
  <c r="N327"/>
  <c r="L327"/>
  <c r="BI326"/>
  <c r="BJ326"/>
  <c r="AP326"/>
  <c r="U326"/>
  <c r="AP325"/>
  <c r="U325"/>
  <c r="BI324"/>
  <c r="BJ324"/>
  <c r="AP324"/>
  <c r="U324"/>
  <c r="BG323"/>
  <c r="BF323"/>
  <c r="BD323"/>
  <c r="BC323"/>
  <c r="BB323"/>
  <c r="BA323"/>
  <c r="AZ323"/>
  <c r="AY323"/>
  <c r="AX323"/>
  <c r="AW323"/>
  <c r="AQ323"/>
  <c r="AP323"/>
  <c r="AD323"/>
  <c r="AC323"/>
  <c r="AB323"/>
  <c r="Y323"/>
  <c r="X323"/>
  <c r="W323"/>
  <c r="V323"/>
  <c r="U323"/>
  <c r="R323"/>
  <c r="Q323"/>
  <c r="P323"/>
  <c r="N323"/>
  <c r="L323"/>
  <c r="BG322"/>
  <c r="BF322"/>
  <c r="BE322"/>
  <c r="BD322"/>
  <c r="BC322"/>
  <c r="BB322"/>
  <c r="BA322"/>
  <c r="AZ322"/>
  <c r="AY322"/>
  <c r="AX322"/>
  <c r="AV322"/>
  <c r="AT322"/>
  <c r="AS322"/>
  <c r="AR322"/>
  <c r="AQ322"/>
  <c r="AP322"/>
  <c r="AD322"/>
  <c r="AC322"/>
  <c r="AB322"/>
  <c r="Y322"/>
  <c r="X322"/>
  <c r="W322"/>
  <c r="V322"/>
  <c r="U322"/>
  <c r="R322"/>
  <c r="Q322"/>
  <c r="P322"/>
  <c r="N322"/>
  <c r="M322"/>
  <c r="L322"/>
  <c r="BG321"/>
  <c r="BF321"/>
  <c r="BE321"/>
  <c r="BD321"/>
  <c r="BC321"/>
  <c r="BB321"/>
  <c r="BA321"/>
  <c r="AZ321"/>
  <c r="AY321"/>
  <c r="AX321"/>
  <c r="AQ321"/>
  <c r="AP321"/>
  <c r="AD321"/>
  <c r="AC321"/>
  <c r="AB321"/>
  <c r="Y321"/>
  <c r="AM321"/>
  <c r="X321"/>
  <c r="W321"/>
  <c r="V321"/>
  <c r="U321"/>
  <c r="R321"/>
  <c r="Q321"/>
  <c r="P321"/>
  <c r="N321"/>
  <c r="L321"/>
  <c r="AP320"/>
  <c r="U320"/>
  <c r="BI319"/>
  <c r="BJ319"/>
  <c r="AP319"/>
  <c r="U319"/>
  <c r="AP318"/>
  <c r="U318"/>
  <c r="BI317"/>
  <c r="BJ317"/>
  <c r="AP317"/>
  <c r="U317"/>
  <c r="BG316"/>
  <c r="BG315"/>
  <c r="BG313"/>
  <c r="BF316"/>
  <c r="BF315"/>
  <c r="BF313"/>
  <c r="BE316"/>
  <c r="BE315"/>
  <c r="BE313"/>
  <c r="BD316"/>
  <c r="BC316"/>
  <c r="BC315"/>
  <c r="BC313"/>
  <c r="BB316"/>
  <c r="BB315"/>
  <c r="BB313"/>
  <c r="BA316"/>
  <c r="BA315"/>
  <c r="BA313"/>
  <c r="AZ316"/>
  <c r="AZ315"/>
  <c r="AZ313"/>
  <c r="AY316"/>
  <c r="AX316"/>
  <c r="AX315"/>
  <c r="AX313"/>
  <c r="AW316"/>
  <c r="AW315"/>
  <c r="AW313"/>
  <c r="AV316"/>
  <c r="AV315"/>
  <c r="AV313"/>
  <c r="AU316"/>
  <c r="AU315"/>
  <c r="AU313"/>
  <c r="AT316"/>
  <c r="AT315"/>
  <c r="AT313"/>
  <c r="AS316"/>
  <c r="AS315"/>
  <c r="AS313"/>
  <c r="AR316"/>
  <c r="AR315"/>
  <c r="AR313"/>
  <c r="AQ316"/>
  <c r="AP316"/>
  <c r="AD316"/>
  <c r="AD315"/>
  <c r="AD313"/>
  <c r="AC316"/>
  <c r="AC315"/>
  <c r="AC313"/>
  <c r="Y316"/>
  <c r="Y315"/>
  <c r="Y313"/>
  <c r="X316"/>
  <c r="X315"/>
  <c r="X313"/>
  <c r="W316"/>
  <c r="W315"/>
  <c r="W313"/>
  <c r="V316"/>
  <c r="V315"/>
  <c r="V313"/>
  <c r="U316"/>
  <c r="U315"/>
  <c r="T316"/>
  <c r="T315"/>
  <c r="R316"/>
  <c r="R315"/>
  <c r="R313"/>
  <c r="BD315"/>
  <c r="BD313"/>
  <c r="AY315"/>
  <c r="AY313"/>
  <c r="AQ315"/>
  <c r="AQ313"/>
  <c r="AP315"/>
  <c r="AB315"/>
  <c r="AB313"/>
  <c r="AA315"/>
  <c r="AA313"/>
  <c r="Q315"/>
  <c r="Q313"/>
  <c r="P315"/>
  <c r="P313"/>
  <c r="O315"/>
  <c r="O313"/>
  <c r="N315"/>
  <c r="N313"/>
  <c r="M315"/>
  <c r="M313"/>
  <c r="L315"/>
  <c r="L313"/>
  <c r="BI314"/>
  <c r="BJ314"/>
  <c r="AP314"/>
  <c r="U314"/>
  <c r="AP313"/>
  <c r="U313"/>
  <c r="BI312"/>
  <c r="BJ312"/>
  <c r="AP312"/>
  <c r="U312"/>
  <c r="AP311"/>
  <c r="U311"/>
  <c r="U15"/>
  <c r="BI310"/>
  <c r="BJ310"/>
  <c r="AP310"/>
  <c r="U310"/>
  <c r="AP309"/>
  <c r="AB309"/>
  <c r="AB308"/>
  <c r="U309"/>
  <c r="AP308"/>
  <c r="U308"/>
  <c r="BI307"/>
  <c r="BJ307"/>
  <c r="AP307"/>
  <c r="U307"/>
  <c r="BG306"/>
  <c r="BG305"/>
  <c r="BF306"/>
  <c r="BF305"/>
  <c r="BE306"/>
  <c r="BE305"/>
  <c r="BD306"/>
  <c r="BD305"/>
  <c r="BC306"/>
  <c r="BC305"/>
  <c r="BB306"/>
  <c r="BB305"/>
  <c r="BA306"/>
  <c r="BA305"/>
  <c r="AZ306"/>
  <c r="AZ305"/>
  <c r="AY306"/>
  <c r="AY305"/>
  <c r="AX306"/>
  <c r="AX305"/>
  <c r="AW306"/>
  <c r="AV306"/>
  <c r="AV305"/>
  <c r="AT306"/>
  <c r="AT305"/>
  <c r="AR306"/>
  <c r="AR305"/>
  <c r="AQ306"/>
  <c r="AQ305"/>
  <c r="AP306"/>
  <c r="AD306"/>
  <c r="AD305"/>
  <c r="AC306"/>
  <c r="AC305"/>
  <c r="AB306"/>
  <c r="AB305"/>
  <c r="Y306"/>
  <c r="Y305"/>
  <c r="X306"/>
  <c r="W306"/>
  <c r="W305"/>
  <c r="V306"/>
  <c r="V305"/>
  <c r="U306"/>
  <c r="R306"/>
  <c r="R305"/>
  <c r="Q306"/>
  <c r="Q305"/>
  <c r="P306"/>
  <c r="P305"/>
  <c r="N306"/>
  <c r="N305"/>
  <c r="M306"/>
  <c r="M305"/>
  <c r="L306"/>
  <c r="L305"/>
  <c r="AP305"/>
  <c r="U305"/>
  <c r="BI304"/>
  <c r="BJ304"/>
  <c r="AP304"/>
  <c r="U304"/>
  <c r="BG303"/>
  <c r="BG302"/>
  <c r="BF303"/>
  <c r="BF302"/>
  <c r="BE303"/>
  <c r="BE302"/>
  <c r="BD303"/>
  <c r="BD302"/>
  <c r="BC303"/>
  <c r="BC302"/>
  <c r="BB303"/>
  <c r="BB302"/>
  <c r="BA303"/>
  <c r="BA302"/>
  <c r="AZ303"/>
  <c r="AY303"/>
  <c r="AY302"/>
  <c r="AX303"/>
  <c r="AX302"/>
  <c r="AV303"/>
  <c r="AV302"/>
  <c r="AT303"/>
  <c r="AT302"/>
  <c r="AR303"/>
  <c r="AR302"/>
  <c r="AQ303"/>
  <c r="AQ302"/>
  <c r="AP303"/>
  <c r="AD303"/>
  <c r="AD302"/>
  <c r="AC303"/>
  <c r="AC302"/>
  <c r="AB303"/>
  <c r="AB302"/>
  <c r="Y303"/>
  <c r="X303"/>
  <c r="X302"/>
  <c r="W303"/>
  <c r="W302"/>
  <c r="V303"/>
  <c r="V302"/>
  <c r="U303"/>
  <c r="R303"/>
  <c r="R302"/>
  <c r="Q303"/>
  <c r="Q302"/>
  <c r="P303"/>
  <c r="P302"/>
  <c r="N303"/>
  <c r="N302"/>
  <c r="L303"/>
  <c r="L302"/>
  <c r="AZ302"/>
  <c r="AP302"/>
  <c r="U302"/>
  <c r="BI301"/>
  <c r="BJ301"/>
  <c r="AP301"/>
  <c r="U301"/>
  <c r="BG300"/>
  <c r="BF300"/>
  <c r="BE300"/>
  <c r="BD300"/>
  <c r="BC300"/>
  <c r="BB300"/>
  <c r="BA300"/>
  <c r="AZ300"/>
  <c r="AY300"/>
  <c r="AX300"/>
  <c r="AW300"/>
  <c r="AV300"/>
  <c r="AU300"/>
  <c r="AT300"/>
  <c r="AS300"/>
  <c r="AR300"/>
  <c r="AQ300"/>
  <c r="AP300"/>
  <c r="AD300"/>
  <c r="AC300"/>
  <c r="AB300"/>
  <c r="Y300"/>
  <c r="X300"/>
  <c r="W300"/>
  <c r="V300"/>
  <c r="U300"/>
  <c r="R300"/>
  <c r="Q300"/>
  <c r="P300"/>
  <c r="O300"/>
  <c r="N300"/>
  <c r="M300"/>
  <c r="L300"/>
  <c r="BG299"/>
  <c r="BF299"/>
  <c r="BE299"/>
  <c r="BD299"/>
  <c r="BC299"/>
  <c r="BB299"/>
  <c r="BA299"/>
  <c r="AZ299"/>
  <c r="AY299"/>
  <c r="AX299"/>
  <c r="AW299"/>
  <c r="AV299"/>
  <c r="AU299"/>
  <c r="AT299"/>
  <c r="AS299"/>
  <c r="AR299"/>
  <c r="AQ299"/>
  <c r="AP299"/>
  <c r="AD299"/>
  <c r="AC299"/>
  <c r="AB299"/>
  <c r="Y299"/>
  <c r="X299"/>
  <c r="W299"/>
  <c r="V299"/>
  <c r="U299"/>
  <c r="R299"/>
  <c r="Q299"/>
  <c r="P299"/>
  <c r="O299"/>
  <c r="N299"/>
  <c r="M299"/>
  <c r="L299"/>
  <c r="AP298"/>
  <c r="U298"/>
  <c r="BI297"/>
  <c r="BJ297"/>
  <c r="AP297"/>
  <c r="U297"/>
  <c r="BG296"/>
  <c r="BF296"/>
  <c r="BE296"/>
  <c r="BD296"/>
  <c r="BC296"/>
  <c r="BB296"/>
  <c r="BA296"/>
  <c r="AZ296"/>
  <c r="AY296"/>
  <c r="AX296"/>
  <c r="AW296"/>
  <c r="AQ296"/>
  <c r="AP296"/>
  <c r="AD296"/>
  <c r="AC296"/>
  <c r="AB296"/>
  <c r="Y296"/>
  <c r="X296"/>
  <c r="W296"/>
  <c r="V296"/>
  <c r="U296"/>
  <c r="S296"/>
  <c r="Q296"/>
  <c r="P296"/>
  <c r="N296"/>
  <c r="L296"/>
  <c r="BF295"/>
  <c r="AP295"/>
  <c r="AB295"/>
  <c r="U295"/>
  <c r="AP294"/>
  <c r="U294"/>
  <c r="BI293"/>
  <c r="BJ293"/>
  <c r="AP293"/>
  <c r="U293"/>
  <c r="AP292"/>
  <c r="U292"/>
  <c r="BI291"/>
  <c r="BJ291"/>
  <c r="AP291"/>
  <c r="U291"/>
  <c r="BG290"/>
  <c r="BF290"/>
  <c r="BE290"/>
  <c r="BD290"/>
  <c r="BC290"/>
  <c r="BB290"/>
  <c r="BA290"/>
  <c r="AZ290"/>
  <c r="AY290"/>
  <c r="AX290"/>
  <c r="AP290"/>
  <c r="AB290"/>
  <c r="U290"/>
  <c r="BG289"/>
  <c r="BF289"/>
  <c r="BE289"/>
  <c r="BD289"/>
  <c r="BD288"/>
  <c r="BD285"/>
  <c r="BC289"/>
  <c r="BB289"/>
  <c r="BA289"/>
  <c r="AZ289"/>
  <c r="AY289"/>
  <c r="AX289"/>
  <c r="AP289"/>
  <c r="AB289"/>
  <c r="X289"/>
  <c r="U289"/>
  <c r="AP288"/>
  <c r="U288"/>
  <c r="BI287"/>
  <c r="BJ287"/>
  <c r="AP287"/>
  <c r="U287"/>
  <c r="BI286"/>
  <c r="BJ286"/>
  <c r="AP286"/>
  <c r="U286"/>
  <c r="AP285"/>
  <c r="U285"/>
  <c r="BI284"/>
  <c r="BJ284"/>
  <c r="AP284"/>
  <c r="U284"/>
  <c r="BG283"/>
  <c r="BF283"/>
  <c r="BE283"/>
  <c r="BD283"/>
  <c r="BC283"/>
  <c r="BB283"/>
  <c r="BA283"/>
  <c r="AZ283"/>
  <c r="AY283"/>
  <c r="AX283"/>
  <c r="AW283"/>
  <c r="AV283"/>
  <c r="AU283"/>
  <c r="AT283"/>
  <c r="AS283"/>
  <c r="AR283"/>
  <c r="AP283"/>
  <c r="AB283"/>
  <c r="Y283"/>
  <c r="U283"/>
  <c r="BG282"/>
  <c r="BG281"/>
  <c r="BF282"/>
  <c r="BE282"/>
  <c r="BD282"/>
  <c r="BC282"/>
  <c r="BB282"/>
  <c r="BA282"/>
  <c r="AZ282"/>
  <c r="AY282"/>
  <c r="AX282"/>
  <c r="AP282"/>
  <c r="AD282"/>
  <c r="AB282"/>
  <c r="U282"/>
  <c r="AP281"/>
  <c r="U281"/>
  <c r="BI280"/>
  <c r="BJ280"/>
  <c r="AP280"/>
  <c r="U280"/>
  <c r="BI279"/>
  <c r="BJ279"/>
  <c r="AP279"/>
  <c r="U279"/>
  <c r="BH278"/>
  <c r="BG278"/>
  <c r="BF278"/>
  <c r="BE278"/>
  <c r="BD278"/>
  <c r="BC278"/>
  <c r="BB278"/>
  <c r="BA278"/>
  <c r="AZ278"/>
  <c r="AY278"/>
  <c r="AX278"/>
  <c r="AW278"/>
  <c r="AV278"/>
  <c r="AU278"/>
  <c r="AT278"/>
  <c r="AS278"/>
  <c r="AR278"/>
  <c r="AQ278"/>
  <c r="AP278"/>
  <c r="AD278"/>
  <c r="AC278"/>
  <c r="AB278"/>
  <c r="AA278"/>
  <c r="Y278"/>
  <c r="X278"/>
  <c r="W278"/>
  <c r="V278"/>
  <c r="U278"/>
  <c r="S278"/>
  <c r="R278"/>
  <c r="Q278"/>
  <c r="P278"/>
  <c r="O278"/>
  <c r="N278"/>
  <c r="M278"/>
  <c r="L278"/>
  <c r="BI277"/>
  <c r="BJ277"/>
  <c r="AP277"/>
  <c r="U277"/>
  <c r="AP276"/>
  <c r="U276"/>
  <c r="BI275"/>
  <c r="BJ275"/>
  <c r="AP275"/>
  <c r="U275"/>
  <c r="BG274"/>
  <c r="BG273"/>
  <c r="BG271"/>
  <c r="BF274"/>
  <c r="BF273"/>
  <c r="BF271"/>
  <c r="BE274"/>
  <c r="BE273"/>
  <c r="BE271"/>
  <c r="BD274"/>
  <c r="BD273"/>
  <c r="BD271"/>
  <c r="BC274"/>
  <c r="BC273"/>
  <c r="BC271"/>
  <c r="BB274"/>
  <c r="BB273"/>
  <c r="BB271"/>
  <c r="BA274"/>
  <c r="BA273"/>
  <c r="BA271"/>
  <c r="AZ274"/>
  <c r="AZ273"/>
  <c r="AZ271"/>
  <c r="AY274"/>
  <c r="AY273"/>
  <c r="AY271"/>
  <c r="AX274"/>
  <c r="AX273"/>
  <c r="AX271"/>
  <c r="AW274"/>
  <c r="AW273"/>
  <c r="AV274"/>
  <c r="AV273"/>
  <c r="AV271"/>
  <c r="AU274"/>
  <c r="AU273"/>
  <c r="AU271"/>
  <c r="AT274"/>
  <c r="AT273"/>
  <c r="AT271"/>
  <c r="AS274"/>
  <c r="AS273"/>
  <c r="AS271"/>
  <c r="AR274"/>
  <c r="AR273"/>
  <c r="AR271"/>
  <c r="AQ274"/>
  <c r="AQ273"/>
  <c r="AQ271"/>
  <c r="AP274"/>
  <c r="AD274"/>
  <c r="AD273"/>
  <c r="AD271"/>
  <c r="AC274"/>
  <c r="AC273"/>
  <c r="AC271"/>
  <c r="AB274"/>
  <c r="AB273"/>
  <c r="AB271"/>
  <c r="Y274"/>
  <c r="Y273"/>
  <c r="X274"/>
  <c r="X273"/>
  <c r="X271"/>
  <c r="W274"/>
  <c r="W273"/>
  <c r="W271"/>
  <c r="V274"/>
  <c r="V273"/>
  <c r="V271"/>
  <c r="U274"/>
  <c r="R274"/>
  <c r="R273"/>
  <c r="R271"/>
  <c r="Q274"/>
  <c r="Q273"/>
  <c r="Q271"/>
  <c r="P274"/>
  <c r="P273"/>
  <c r="P271"/>
  <c r="O274"/>
  <c r="O273"/>
  <c r="O271"/>
  <c r="N274"/>
  <c r="N273"/>
  <c r="N271"/>
  <c r="M274"/>
  <c r="M273"/>
  <c r="M271"/>
  <c r="L274"/>
  <c r="L273"/>
  <c r="L271"/>
  <c r="AP273"/>
  <c r="U273"/>
  <c r="BI272"/>
  <c r="BJ272"/>
  <c r="AP272"/>
  <c r="U272"/>
  <c r="AP271"/>
  <c r="U271"/>
  <c r="BI270"/>
  <c r="BJ270"/>
  <c r="AP270"/>
  <c r="U270"/>
  <c r="BG269"/>
  <c r="BF269"/>
  <c r="BE269"/>
  <c r="BD269"/>
  <c r="BC269"/>
  <c r="BB269"/>
  <c r="BA269"/>
  <c r="AZ269"/>
  <c r="AY269"/>
  <c r="AX269"/>
  <c r="AQ269"/>
  <c r="AP269"/>
  <c r="AD269"/>
  <c r="AC269"/>
  <c r="AB269"/>
  <c r="Y269"/>
  <c r="X269"/>
  <c r="W269"/>
  <c r="V269"/>
  <c r="U269"/>
  <c r="R269"/>
  <c r="Q269"/>
  <c r="P269"/>
  <c r="N269"/>
  <c r="L269"/>
  <c r="BG268"/>
  <c r="BF268"/>
  <c r="BE268"/>
  <c r="BD268"/>
  <c r="BC268"/>
  <c r="BB268"/>
  <c r="BA268"/>
  <c r="AZ268"/>
  <c r="AY268"/>
  <c r="AX268"/>
  <c r="AR268"/>
  <c r="AQ268"/>
  <c r="AP268"/>
  <c r="AD268"/>
  <c r="AC268"/>
  <c r="AB268"/>
  <c r="Y268"/>
  <c r="X268"/>
  <c r="W268"/>
  <c r="V268"/>
  <c r="U268"/>
  <c r="R268"/>
  <c r="Q268"/>
  <c r="P268"/>
  <c r="N268"/>
  <c r="M268"/>
  <c r="L268"/>
  <c r="BI267"/>
  <c r="BJ267"/>
  <c r="AP267"/>
  <c r="U267"/>
  <c r="BG266"/>
  <c r="BF266"/>
  <c r="BE266"/>
  <c r="BD266"/>
  <c r="BC266"/>
  <c r="BB266"/>
  <c r="BA266"/>
  <c r="AZ266"/>
  <c r="AY266"/>
  <c r="AX266"/>
  <c r="AQ266"/>
  <c r="AP266"/>
  <c r="AD266"/>
  <c r="AC266"/>
  <c r="AB266"/>
  <c r="Y266"/>
  <c r="X266"/>
  <c r="W266"/>
  <c r="V266"/>
  <c r="U266"/>
  <c r="S266"/>
  <c r="R266"/>
  <c r="Q266"/>
  <c r="P266"/>
  <c r="N266"/>
  <c r="L266"/>
  <c r="AP265"/>
  <c r="U265"/>
  <c r="BI264"/>
  <c r="BJ264"/>
  <c r="AP264"/>
  <c r="U264"/>
  <c r="BG263"/>
  <c r="BG262"/>
  <c r="BF263"/>
  <c r="BF262"/>
  <c r="BE263"/>
  <c r="BE262"/>
  <c r="BD263"/>
  <c r="BD262"/>
  <c r="BC263"/>
  <c r="BC262"/>
  <c r="BB263"/>
  <c r="BA263"/>
  <c r="BA262"/>
  <c r="AZ263"/>
  <c r="AZ262"/>
  <c r="AY263"/>
  <c r="AY262"/>
  <c r="AX263"/>
  <c r="AX262"/>
  <c r="AU263"/>
  <c r="AU262"/>
  <c r="AQ263"/>
  <c r="AQ262"/>
  <c r="AP263"/>
  <c r="AD263"/>
  <c r="AD262"/>
  <c r="AC263"/>
  <c r="AB263"/>
  <c r="AB262"/>
  <c r="Y263"/>
  <c r="Y262"/>
  <c r="X263"/>
  <c r="X262"/>
  <c r="W263"/>
  <c r="V263"/>
  <c r="V262"/>
  <c r="U263"/>
  <c r="R263"/>
  <c r="R262"/>
  <c r="Q263"/>
  <c r="Q262"/>
  <c r="P263"/>
  <c r="N263"/>
  <c r="N262"/>
  <c r="L263"/>
  <c r="L262"/>
  <c r="BB262"/>
  <c r="AP262"/>
  <c r="U262"/>
  <c r="BI261"/>
  <c r="BJ261"/>
  <c r="AP261"/>
  <c r="U261"/>
  <c r="AP260"/>
  <c r="U260"/>
  <c r="BI259"/>
  <c r="BJ259"/>
  <c r="AP259"/>
  <c r="U259"/>
  <c r="BG258"/>
  <c r="BF258"/>
  <c r="BE258"/>
  <c r="BD258"/>
  <c r="BC258"/>
  <c r="BA258"/>
  <c r="AZ258"/>
  <c r="AY258"/>
  <c r="AX258"/>
  <c r="AQ258"/>
  <c r="AP258"/>
  <c r="AD258"/>
  <c r="AC258"/>
  <c r="AB258"/>
  <c r="Y258"/>
  <c r="X258"/>
  <c r="W258"/>
  <c r="V258"/>
  <c r="U258"/>
  <c r="R258"/>
  <c r="Q258"/>
  <c r="P258"/>
  <c r="N258"/>
  <c r="L258"/>
  <c r="BG257"/>
  <c r="BF257"/>
  <c r="BE257"/>
  <c r="BD257"/>
  <c r="BC257"/>
  <c r="BB257"/>
  <c r="BA257"/>
  <c r="AZ257"/>
  <c r="AY257"/>
  <c r="AX257"/>
  <c r="AQ257"/>
  <c r="AP257"/>
  <c r="AD257"/>
  <c r="AC257"/>
  <c r="AB257"/>
  <c r="Y257"/>
  <c r="X257"/>
  <c r="W257"/>
  <c r="V257"/>
  <c r="U257"/>
  <c r="R257"/>
  <c r="Q257"/>
  <c r="P257"/>
  <c r="N257"/>
  <c r="L257"/>
  <c r="BG256"/>
  <c r="BF256"/>
  <c r="BE256"/>
  <c r="BD256"/>
  <c r="BC256"/>
  <c r="BB256"/>
  <c r="BA256"/>
  <c r="AZ256"/>
  <c r="AY256"/>
  <c r="AX256"/>
  <c r="AQ256"/>
  <c r="AP256"/>
  <c r="AD256"/>
  <c r="AC256"/>
  <c r="AB256"/>
  <c r="Y256"/>
  <c r="X256"/>
  <c r="W256"/>
  <c r="V256"/>
  <c r="U256"/>
  <c r="R256"/>
  <c r="Q256"/>
  <c r="P256"/>
  <c r="N256"/>
  <c r="L256"/>
  <c r="BG255"/>
  <c r="BF255"/>
  <c r="BE255"/>
  <c r="BD255"/>
  <c r="BC255"/>
  <c r="BB255"/>
  <c r="BA255"/>
  <c r="AZ255"/>
  <c r="AY255"/>
  <c r="AX255"/>
  <c r="AV255"/>
  <c r="AQ255"/>
  <c r="AP255"/>
  <c r="AD255"/>
  <c r="AC255"/>
  <c r="AB255"/>
  <c r="Y255"/>
  <c r="X255"/>
  <c r="W255"/>
  <c r="V255"/>
  <c r="U255"/>
  <c r="R255"/>
  <c r="Q255"/>
  <c r="P255"/>
  <c r="N255"/>
  <c r="L255"/>
  <c r="BG254"/>
  <c r="BF254"/>
  <c r="BE254"/>
  <c r="BD254"/>
  <c r="BC254"/>
  <c r="BB254"/>
  <c r="BA254"/>
  <c r="AZ254"/>
  <c r="AY254"/>
  <c r="AX254"/>
  <c r="AQ254"/>
  <c r="AP254"/>
  <c r="AD254"/>
  <c r="AC254"/>
  <c r="AB254"/>
  <c r="Y254"/>
  <c r="X254"/>
  <c r="W254"/>
  <c r="V254"/>
  <c r="U254"/>
  <c r="S254"/>
  <c r="R254"/>
  <c r="Q254"/>
  <c r="P254"/>
  <c r="N254"/>
  <c r="L254"/>
  <c r="BG253"/>
  <c r="BF253"/>
  <c r="BE253"/>
  <c r="BD253"/>
  <c r="BC253"/>
  <c r="BB253"/>
  <c r="BA253"/>
  <c r="AZ253"/>
  <c r="AY253"/>
  <c r="AX253"/>
  <c r="AQ253"/>
  <c r="AP253"/>
  <c r="AD253"/>
  <c r="AC253"/>
  <c r="AB253"/>
  <c r="Y253"/>
  <c r="X253"/>
  <c r="W253"/>
  <c r="V253"/>
  <c r="U253"/>
  <c r="S253"/>
  <c r="R253"/>
  <c r="Q253"/>
  <c r="P253"/>
  <c r="N253"/>
  <c r="L253"/>
  <c r="BG252"/>
  <c r="BF252"/>
  <c r="BE252"/>
  <c r="BD252"/>
  <c r="BC252"/>
  <c r="BB252"/>
  <c r="BA252"/>
  <c r="AZ252"/>
  <c r="AY252"/>
  <c r="AX252"/>
  <c r="AU252"/>
  <c r="AQ252"/>
  <c r="AP252"/>
  <c r="AD252"/>
  <c r="AC252"/>
  <c r="AB252"/>
  <c r="Y252"/>
  <c r="X252"/>
  <c r="W252"/>
  <c r="V252"/>
  <c r="U252"/>
  <c r="S252"/>
  <c r="R252"/>
  <c r="Q252"/>
  <c r="P252"/>
  <c r="N252"/>
  <c r="L252"/>
  <c r="AP251"/>
  <c r="U251"/>
  <c r="BI250"/>
  <c r="BJ250"/>
  <c r="AP250"/>
  <c r="U250"/>
  <c r="BI249"/>
  <c r="BJ249"/>
  <c r="AP249"/>
  <c r="U249"/>
  <c r="BG248"/>
  <c r="BG247"/>
  <c r="BF248"/>
  <c r="BF247"/>
  <c r="BE248"/>
  <c r="BD248"/>
  <c r="BD247"/>
  <c r="BC248"/>
  <c r="BC247"/>
  <c r="BB248"/>
  <c r="BB247"/>
  <c r="BA248"/>
  <c r="BA247"/>
  <c r="AZ248"/>
  <c r="AZ247"/>
  <c r="AY248"/>
  <c r="AY247"/>
  <c r="AX248"/>
  <c r="AX247"/>
  <c r="AW248"/>
  <c r="AW247"/>
  <c r="AV248"/>
  <c r="AV247"/>
  <c r="AU248"/>
  <c r="AU247"/>
  <c r="AT248"/>
  <c r="AT247"/>
  <c r="AS248"/>
  <c r="AS247"/>
  <c r="AR248"/>
  <c r="AR247"/>
  <c r="AQ248"/>
  <c r="AQ247"/>
  <c r="AP248"/>
  <c r="AD248"/>
  <c r="AD247"/>
  <c r="AC248"/>
  <c r="AC247"/>
  <c r="AB248"/>
  <c r="AB247"/>
  <c r="Y248"/>
  <c r="Y247"/>
  <c r="X248"/>
  <c r="X247"/>
  <c r="W248"/>
  <c r="W247"/>
  <c r="V248"/>
  <c r="V247"/>
  <c r="U248"/>
  <c r="R248"/>
  <c r="R247"/>
  <c r="Q248"/>
  <c r="Q247"/>
  <c r="P248"/>
  <c r="P247"/>
  <c r="O248"/>
  <c r="O247"/>
  <c r="N248"/>
  <c r="N247"/>
  <c r="M248"/>
  <c r="M247"/>
  <c r="L248"/>
  <c r="L247"/>
  <c r="BE247"/>
  <c r="AP247"/>
  <c r="U247"/>
  <c r="BI246"/>
  <c r="BJ246"/>
  <c r="AP246"/>
  <c r="U246"/>
  <c r="BG245"/>
  <c r="BF245"/>
  <c r="BE245"/>
  <c r="BD245"/>
  <c r="BC245"/>
  <c r="BB245"/>
  <c r="BA245"/>
  <c r="AZ245"/>
  <c r="AY245"/>
  <c r="AX245"/>
  <c r="AQ245"/>
  <c r="AP245"/>
  <c r="AD245"/>
  <c r="AC245"/>
  <c r="AB245"/>
  <c r="Y245"/>
  <c r="X245"/>
  <c r="W245"/>
  <c r="V245"/>
  <c r="U245"/>
  <c r="R245"/>
  <c r="Q245"/>
  <c r="P245"/>
  <c r="N245"/>
  <c r="L245"/>
  <c r="BG244"/>
  <c r="BF244"/>
  <c r="BE244"/>
  <c r="BD244"/>
  <c r="BC244"/>
  <c r="BB244"/>
  <c r="BA244"/>
  <c r="AZ244"/>
  <c r="AY244"/>
  <c r="AX244"/>
  <c r="AQ244"/>
  <c r="AP244"/>
  <c r="AD244"/>
  <c r="AC244"/>
  <c r="AB244"/>
  <c r="Y244"/>
  <c r="X244"/>
  <c r="W244"/>
  <c r="V244"/>
  <c r="U244"/>
  <c r="S244"/>
  <c r="R244"/>
  <c r="Q244"/>
  <c r="P244"/>
  <c r="N244"/>
  <c r="L244"/>
  <c r="BG243"/>
  <c r="BF243"/>
  <c r="BE243"/>
  <c r="BD243"/>
  <c r="BC243"/>
  <c r="BB243"/>
  <c r="BA243"/>
  <c r="AZ243"/>
  <c r="AY243"/>
  <c r="AX243"/>
  <c r="AQ243"/>
  <c r="AP243"/>
  <c r="AD243"/>
  <c r="AC243"/>
  <c r="AB243"/>
  <c r="Y243"/>
  <c r="AM243"/>
  <c r="X243"/>
  <c r="W243"/>
  <c r="V243"/>
  <c r="U243"/>
  <c r="R243"/>
  <c r="Q243"/>
  <c r="P243"/>
  <c r="N243"/>
  <c r="L243"/>
  <c r="BG242"/>
  <c r="BF242"/>
  <c r="BE242"/>
  <c r="BD242"/>
  <c r="BC242"/>
  <c r="BB242"/>
  <c r="BA242"/>
  <c r="AZ242"/>
  <c r="AY242"/>
  <c r="AX242"/>
  <c r="AQ242"/>
  <c r="AP242"/>
  <c r="AD242"/>
  <c r="AC242"/>
  <c r="AB242"/>
  <c r="Y242"/>
  <c r="X242"/>
  <c r="W242"/>
  <c r="V242"/>
  <c r="U242"/>
  <c r="R242"/>
  <c r="Q242"/>
  <c r="P242"/>
  <c r="N242"/>
  <c r="L242"/>
  <c r="BG241"/>
  <c r="BF241"/>
  <c r="BE241"/>
  <c r="BD241"/>
  <c r="BC241"/>
  <c r="BB241"/>
  <c r="BA241"/>
  <c r="AZ241"/>
  <c r="AY241"/>
  <c r="AX241"/>
  <c r="AQ241"/>
  <c r="AP241"/>
  <c r="AD241"/>
  <c r="AC241"/>
  <c r="AB241"/>
  <c r="Y241"/>
  <c r="X241"/>
  <c r="W241"/>
  <c r="V241"/>
  <c r="U241"/>
  <c r="R241"/>
  <c r="Q241"/>
  <c r="P241"/>
  <c r="N241"/>
  <c r="L241"/>
  <c r="BA240"/>
  <c r="AX240"/>
  <c r="AP240"/>
  <c r="AC240"/>
  <c r="AB240"/>
  <c r="V240"/>
  <c r="U240"/>
  <c r="R240"/>
  <c r="Q240"/>
  <c r="BG239"/>
  <c r="BF239"/>
  <c r="BE239"/>
  <c r="BD239"/>
  <c r="BC239"/>
  <c r="BB239"/>
  <c r="BA239"/>
  <c r="AZ239"/>
  <c r="AY239"/>
  <c r="AX239"/>
  <c r="AP239"/>
  <c r="AB239"/>
  <c r="U239"/>
  <c r="Q239"/>
  <c r="L239"/>
  <c r="BG238"/>
  <c r="BF238"/>
  <c r="BE238"/>
  <c r="BD238"/>
  <c r="BC238"/>
  <c r="BB238"/>
  <c r="BA238"/>
  <c r="AY238"/>
  <c r="AX238"/>
  <c r="AQ238"/>
  <c r="AP238"/>
  <c r="AD238"/>
  <c r="AC238"/>
  <c r="AB238"/>
  <c r="Y238"/>
  <c r="X238"/>
  <c r="W238"/>
  <c r="V238"/>
  <c r="U238"/>
  <c r="R238"/>
  <c r="N238"/>
  <c r="L238"/>
  <c r="BG237"/>
  <c r="BF237"/>
  <c r="BE237"/>
  <c r="BD237"/>
  <c r="BC237"/>
  <c r="BB237"/>
  <c r="BA237"/>
  <c r="AZ237"/>
  <c r="AY237"/>
  <c r="AX237"/>
  <c r="AQ237"/>
  <c r="AP237"/>
  <c r="AD237"/>
  <c r="AC237"/>
  <c r="AB237"/>
  <c r="Y237"/>
  <c r="X237"/>
  <c r="W237"/>
  <c r="V237"/>
  <c r="U237"/>
  <c r="S237"/>
  <c r="R237"/>
  <c r="Q237"/>
  <c r="P237"/>
  <c r="N237"/>
  <c r="L237"/>
  <c r="AP236"/>
  <c r="U236"/>
  <c r="BI235"/>
  <c r="BJ235"/>
  <c r="AP235"/>
  <c r="U235"/>
  <c r="BG234"/>
  <c r="BF234"/>
  <c r="BE234"/>
  <c r="BD234"/>
  <c r="BC234"/>
  <c r="BB234"/>
  <c r="BA234"/>
  <c r="AZ234"/>
  <c r="AY234"/>
  <c r="AX234"/>
  <c r="AV234"/>
  <c r="AT234"/>
  <c r="AR234"/>
  <c r="AQ234"/>
  <c r="AP234"/>
  <c r="AD234"/>
  <c r="AC234"/>
  <c r="AB234"/>
  <c r="Y234"/>
  <c r="X234"/>
  <c r="W234"/>
  <c r="V234"/>
  <c r="U234"/>
  <c r="R234"/>
  <c r="Q234"/>
  <c r="P234"/>
  <c r="N234"/>
  <c r="M234"/>
  <c r="L234"/>
  <c r="BG233"/>
  <c r="BF233"/>
  <c r="BE233"/>
  <c r="BD233"/>
  <c r="BC233"/>
  <c r="BB233"/>
  <c r="BA233"/>
  <c r="AZ233"/>
  <c r="AY233"/>
  <c r="AX233"/>
  <c r="AQ233"/>
  <c r="AP233"/>
  <c r="AD233"/>
  <c r="AC233"/>
  <c r="AB233"/>
  <c r="Y233"/>
  <c r="X233"/>
  <c r="W233"/>
  <c r="V233"/>
  <c r="U233"/>
  <c r="S233"/>
  <c r="R233"/>
  <c r="Q233"/>
  <c r="P233"/>
  <c r="N233"/>
  <c r="L233"/>
  <c r="BG232"/>
  <c r="BF232"/>
  <c r="BE232"/>
  <c r="BD232"/>
  <c r="BC232"/>
  <c r="BB232"/>
  <c r="BA232"/>
  <c r="AZ232"/>
  <c r="AY232"/>
  <c r="AX232"/>
  <c r="AP232"/>
  <c r="AB232"/>
  <c r="U232"/>
  <c r="P232"/>
  <c r="BG231"/>
  <c r="BF231"/>
  <c r="BD231"/>
  <c r="BC231"/>
  <c r="BB231"/>
  <c r="BA231"/>
  <c r="AZ231"/>
  <c r="AY231"/>
  <c r="AX231"/>
  <c r="AQ231"/>
  <c r="AP231"/>
  <c r="AD231"/>
  <c r="AC231"/>
  <c r="AB231"/>
  <c r="Y231"/>
  <c r="X231"/>
  <c r="W231"/>
  <c r="V231"/>
  <c r="U231"/>
  <c r="R231"/>
  <c r="Q231"/>
  <c r="P231"/>
  <c r="N231"/>
  <c r="L231"/>
  <c r="BG230"/>
  <c r="BF230"/>
  <c r="BE230"/>
  <c r="BD230"/>
  <c r="BC230"/>
  <c r="BB230"/>
  <c r="BA230"/>
  <c r="AZ230"/>
  <c r="AY230"/>
  <c r="AX230"/>
  <c r="AW230"/>
  <c r="AS230"/>
  <c r="AQ230"/>
  <c r="AP230"/>
  <c r="AD230"/>
  <c r="AC230"/>
  <c r="AB230"/>
  <c r="Y230"/>
  <c r="X230"/>
  <c r="W230"/>
  <c r="V230"/>
  <c r="U230"/>
  <c r="S230"/>
  <c r="R230"/>
  <c r="Q230"/>
  <c r="P230"/>
  <c r="N230"/>
  <c r="L230"/>
  <c r="BG229"/>
  <c r="BF229"/>
  <c r="BE229"/>
  <c r="BD229"/>
  <c r="BC229"/>
  <c r="BB229"/>
  <c r="BA229"/>
  <c r="AZ229"/>
  <c r="AY229"/>
  <c r="AX229"/>
  <c r="AV229"/>
  <c r="AQ229"/>
  <c r="AP229"/>
  <c r="AD229"/>
  <c r="AC229"/>
  <c r="AB229"/>
  <c r="Y229"/>
  <c r="X229"/>
  <c r="W229"/>
  <c r="V229"/>
  <c r="U229"/>
  <c r="S229"/>
  <c r="R229"/>
  <c r="Q229"/>
  <c r="P229"/>
  <c r="N229"/>
  <c r="L229"/>
  <c r="BI228"/>
  <c r="BJ228"/>
  <c r="AP228"/>
  <c r="U228"/>
  <c r="AP227"/>
  <c r="U227"/>
  <c r="BI226"/>
  <c r="BJ226"/>
  <c r="AP226"/>
  <c r="U226"/>
  <c r="BG225"/>
  <c r="BF225"/>
  <c r="BE225"/>
  <c r="BD225"/>
  <c r="BC225"/>
  <c r="BB225"/>
  <c r="BA225"/>
  <c r="AZ225"/>
  <c r="AY225"/>
  <c r="AX225"/>
  <c r="AQ225"/>
  <c r="AP225"/>
  <c r="AD225"/>
  <c r="AC225"/>
  <c r="AB225"/>
  <c r="Y225"/>
  <c r="X225"/>
  <c r="W225"/>
  <c r="V225"/>
  <c r="U225"/>
  <c r="R225"/>
  <c r="Q225"/>
  <c r="P225"/>
  <c r="N225"/>
  <c r="L225"/>
  <c r="BG224"/>
  <c r="BF224"/>
  <c r="BE224"/>
  <c r="BD224"/>
  <c r="BC224"/>
  <c r="BB224"/>
  <c r="BA224"/>
  <c r="AZ224"/>
  <c r="AY224"/>
  <c r="AX224"/>
  <c r="AQ224"/>
  <c r="AP224"/>
  <c r="AD224"/>
  <c r="AC224"/>
  <c r="AB224"/>
  <c r="Y224"/>
  <c r="X224"/>
  <c r="W224"/>
  <c r="V224"/>
  <c r="U224"/>
  <c r="S224"/>
  <c r="R224"/>
  <c r="Q224"/>
  <c r="P224"/>
  <c r="N224"/>
  <c r="L224"/>
  <c r="BG223"/>
  <c r="BF223"/>
  <c r="BE223"/>
  <c r="BD223"/>
  <c r="BC223"/>
  <c r="BB223"/>
  <c r="BA223"/>
  <c r="AZ223"/>
  <c r="AY223"/>
  <c r="AX223"/>
  <c r="AQ223"/>
  <c r="AP223"/>
  <c r="AD223"/>
  <c r="AC223"/>
  <c r="AB223"/>
  <c r="Y223"/>
  <c r="X223"/>
  <c r="W223"/>
  <c r="V223"/>
  <c r="U223"/>
  <c r="S223"/>
  <c r="R223"/>
  <c r="Q223"/>
  <c r="P223"/>
  <c r="N223"/>
  <c r="L223"/>
  <c r="BG222"/>
  <c r="BF222"/>
  <c r="BE222"/>
  <c r="BD222"/>
  <c r="BC222"/>
  <c r="BB222"/>
  <c r="BA222"/>
  <c r="AZ222"/>
  <c r="AY222"/>
  <c r="AX222"/>
  <c r="AQ222"/>
  <c r="AP222"/>
  <c r="AD222"/>
  <c r="AC222"/>
  <c r="AB222"/>
  <c r="Y222"/>
  <c r="X222"/>
  <c r="W222"/>
  <c r="V222"/>
  <c r="U222"/>
  <c r="S222"/>
  <c r="R222"/>
  <c r="Q222"/>
  <c r="P222"/>
  <c r="N222"/>
  <c r="L222"/>
  <c r="AP221"/>
  <c r="U221"/>
  <c r="BI220"/>
  <c r="BJ220"/>
  <c r="AP220"/>
  <c r="U220"/>
  <c r="AP219"/>
  <c r="U219"/>
  <c r="BI218"/>
  <c r="BJ218"/>
  <c r="AP218"/>
  <c r="U218"/>
  <c r="BG217"/>
  <c r="BF217"/>
  <c r="BE217"/>
  <c r="BD217"/>
  <c r="BC217"/>
  <c r="BB217"/>
  <c r="BA217"/>
  <c r="AZ217"/>
  <c r="AY217"/>
  <c r="AX217"/>
  <c r="AU217"/>
  <c r="AR217"/>
  <c r="AQ217"/>
  <c r="AP217"/>
  <c r="AD217"/>
  <c r="AC217"/>
  <c r="AB217"/>
  <c r="Y217"/>
  <c r="X217"/>
  <c r="W217"/>
  <c r="V217"/>
  <c r="U217"/>
  <c r="R217"/>
  <c r="Q217"/>
  <c r="P217"/>
  <c r="N217"/>
  <c r="L217"/>
  <c r="BG216"/>
  <c r="BG215"/>
  <c r="BF216"/>
  <c r="BE216"/>
  <c r="BD216"/>
  <c r="BC216"/>
  <c r="BB216"/>
  <c r="BA216"/>
  <c r="AZ216"/>
  <c r="AY216"/>
  <c r="AY215"/>
  <c r="AX216"/>
  <c r="AQ216"/>
  <c r="AP216"/>
  <c r="AD216"/>
  <c r="AD215"/>
  <c r="AC216"/>
  <c r="AB216"/>
  <c r="Y216"/>
  <c r="X216"/>
  <c r="W216"/>
  <c r="V216"/>
  <c r="U216"/>
  <c r="R216"/>
  <c r="Q216"/>
  <c r="P216"/>
  <c r="N216"/>
  <c r="L216"/>
  <c r="AP215"/>
  <c r="U215"/>
  <c r="BI214"/>
  <c r="BJ214"/>
  <c r="AP214"/>
  <c r="U214"/>
  <c r="BG213"/>
  <c r="BG212"/>
  <c r="BF213"/>
  <c r="BF212"/>
  <c r="BE213"/>
  <c r="BE212"/>
  <c r="BD213"/>
  <c r="BD212"/>
  <c r="BC213"/>
  <c r="BC212"/>
  <c r="BB213"/>
  <c r="BB212"/>
  <c r="BA213"/>
  <c r="BA212"/>
  <c r="AZ213"/>
  <c r="AZ212"/>
  <c r="AY213"/>
  <c r="AY212"/>
  <c r="AX213"/>
  <c r="AQ213"/>
  <c r="AQ212"/>
  <c r="AP213"/>
  <c r="AD213"/>
  <c r="AD212"/>
  <c r="AC213"/>
  <c r="AB213"/>
  <c r="AB212"/>
  <c r="Y213"/>
  <c r="X213"/>
  <c r="W213"/>
  <c r="V213"/>
  <c r="V212"/>
  <c r="U213"/>
  <c r="R213"/>
  <c r="R212"/>
  <c r="Q213"/>
  <c r="P213"/>
  <c r="P212"/>
  <c r="N213"/>
  <c r="N212"/>
  <c r="L213"/>
  <c r="L212"/>
  <c r="AP212"/>
  <c r="Y212"/>
  <c r="U212"/>
  <c r="BI211"/>
  <c r="BJ211"/>
  <c r="AP211"/>
  <c r="U211"/>
  <c r="BG210"/>
  <c r="BF210"/>
  <c r="BE210"/>
  <c r="BD210"/>
  <c r="BC210"/>
  <c r="BB210"/>
  <c r="BA210"/>
  <c r="AZ210"/>
  <c r="AY210"/>
  <c r="AX210"/>
  <c r="AW210"/>
  <c r="AV210"/>
  <c r="AU210"/>
  <c r="AT210"/>
  <c r="AS210"/>
  <c r="AR210"/>
  <c r="AQ210"/>
  <c r="AP210"/>
  <c r="AD210"/>
  <c r="AC210"/>
  <c r="AB210"/>
  <c r="Y210"/>
  <c r="X210"/>
  <c r="W210"/>
  <c r="V210"/>
  <c r="U210"/>
  <c r="R210"/>
  <c r="Q210"/>
  <c r="P210"/>
  <c r="N210"/>
  <c r="L210"/>
  <c r="BG209"/>
  <c r="BG208"/>
  <c r="BF209"/>
  <c r="BE209"/>
  <c r="BD209"/>
  <c r="BD208"/>
  <c r="BC209"/>
  <c r="BB209"/>
  <c r="BA209"/>
  <c r="AZ209"/>
  <c r="AY209"/>
  <c r="AX209"/>
  <c r="AQ209"/>
  <c r="AP209"/>
  <c r="AD209"/>
  <c r="AC209"/>
  <c r="AB209"/>
  <c r="Y209"/>
  <c r="X209"/>
  <c r="W209"/>
  <c r="V209"/>
  <c r="U209"/>
  <c r="R209"/>
  <c r="Q209"/>
  <c r="P209"/>
  <c r="N209"/>
  <c r="L209"/>
  <c r="AP208"/>
  <c r="U208"/>
  <c r="AP193"/>
  <c r="U193"/>
  <c r="AP192"/>
  <c r="AO192"/>
  <c r="AN192"/>
  <c r="U192"/>
  <c r="AP191"/>
  <c r="AO191"/>
  <c r="AN191"/>
  <c r="AD191"/>
  <c r="AC191"/>
  <c r="U191"/>
  <c r="Q191"/>
  <c r="P191"/>
  <c r="O191"/>
  <c r="N191"/>
  <c r="M191"/>
  <c r="L191"/>
  <c r="AP190"/>
  <c r="AO190"/>
  <c r="AN190"/>
  <c r="U190"/>
  <c r="M190"/>
  <c r="AP189"/>
  <c r="AO189"/>
  <c r="AN189"/>
  <c r="AD189"/>
  <c r="AC189"/>
  <c r="U189"/>
  <c r="Q189"/>
  <c r="P189"/>
  <c r="O189"/>
  <c r="N189"/>
  <c r="L189"/>
  <c r="AP188"/>
  <c r="AO188"/>
  <c r="AN188"/>
  <c r="U188"/>
  <c r="AV187"/>
  <c r="AU187"/>
  <c r="AT187"/>
  <c r="AS187"/>
  <c r="AR187"/>
  <c r="AP187"/>
  <c r="AO187"/>
  <c r="AN187"/>
  <c r="AM187"/>
  <c r="AL187"/>
  <c r="AK187"/>
  <c r="AH187"/>
  <c r="AG187"/>
  <c r="U187"/>
  <c r="O187"/>
  <c r="M187"/>
  <c r="M186"/>
  <c r="AQ186"/>
  <c r="AQ184"/>
  <c r="AQ182"/>
  <c r="AP186"/>
  <c r="AO186"/>
  <c r="AN186"/>
  <c r="AD186"/>
  <c r="AC186"/>
  <c r="Y186"/>
  <c r="X186"/>
  <c r="X184"/>
  <c r="X182"/>
  <c r="W186"/>
  <c r="W184"/>
  <c r="V186"/>
  <c r="U186"/>
  <c r="Q186"/>
  <c r="P186"/>
  <c r="N186"/>
  <c r="L186"/>
  <c r="AP185"/>
  <c r="AO185"/>
  <c r="AN185"/>
  <c r="U185"/>
  <c r="AP184"/>
  <c r="AO184"/>
  <c r="AN184"/>
  <c r="U184"/>
  <c r="AP183"/>
  <c r="AO183"/>
  <c r="AN183"/>
  <c r="U183"/>
  <c r="AP182"/>
  <c r="AO182"/>
  <c r="AN182"/>
  <c r="U182"/>
  <c r="AU181"/>
  <c r="AP181"/>
  <c r="AO181"/>
  <c r="AN181"/>
  <c r="AL181"/>
  <c r="U181"/>
  <c r="AP180"/>
  <c r="AO180"/>
  <c r="AN180"/>
  <c r="U180"/>
  <c r="AV179"/>
  <c r="AT179"/>
  <c r="AS179"/>
  <c r="AR179"/>
  <c r="AP179"/>
  <c r="AO179"/>
  <c r="AN179"/>
  <c r="AK179"/>
  <c r="U179"/>
  <c r="M179"/>
  <c r="AE179"/>
  <c r="AQ178"/>
  <c r="AV178"/>
  <c r="AP178"/>
  <c r="AO178"/>
  <c r="AN178"/>
  <c r="AD178"/>
  <c r="AD177"/>
  <c r="AD175"/>
  <c r="AC178"/>
  <c r="AC177"/>
  <c r="AC175"/>
  <c r="Y178"/>
  <c r="Y177"/>
  <c r="Y175"/>
  <c r="X178"/>
  <c r="X177"/>
  <c r="W178"/>
  <c r="AU178"/>
  <c r="V178"/>
  <c r="AR178"/>
  <c r="U178"/>
  <c r="Q178"/>
  <c r="Q177"/>
  <c r="Q175"/>
  <c r="P178"/>
  <c r="P177"/>
  <c r="P175"/>
  <c r="O178"/>
  <c r="O177"/>
  <c r="N178"/>
  <c r="N177"/>
  <c r="N175"/>
  <c r="L178"/>
  <c r="L177"/>
  <c r="L175"/>
  <c r="AQ177"/>
  <c r="AP177"/>
  <c r="AO177"/>
  <c r="AN177"/>
  <c r="U177"/>
  <c r="AP176"/>
  <c r="AO176"/>
  <c r="AN176"/>
  <c r="U176"/>
  <c r="AP175"/>
  <c r="AO175"/>
  <c r="AN175"/>
  <c r="U175"/>
  <c r="AP174"/>
  <c r="AO174"/>
  <c r="AN174"/>
  <c r="U174"/>
  <c r="AP173"/>
  <c r="AO173"/>
  <c r="AN173"/>
  <c r="U173"/>
  <c r="U12"/>
  <c r="AP172"/>
  <c r="AO172"/>
  <c r="AN172"/>
  <c r="U172"/>
  <c r="AW171"/>
  <c r="AV171"/>
  <c r="AU171"/>
  <c r="AT171"/>
  <c r="AS171"/>
  <c r="AR171"/>
  <c r="AP171"/>
  <c r="AO171"/>
  <c r="AN171"/>
  <c r="AM171"/>
  <c r="AL171"/>
  <c r="AK171"/>
  <c r="AH171"/>
  <c r="AG171"/>
  <c r="U171"/>
  <c r="O171"/>
  <c r="M171"/>
  <c r="M170"/>
  <c r="AQ170"/>
  <c r="AP170"/>
  <c r="AO170"/>
  <c r="AN170"/>
  <c r="AD170"/>
  <c r="AC170"/>
  <c r="Y170"/>
  <c r="X170"/>
  <c r="W170"/>
  <c r="AK170"/>
  <c r="V170"/>
  <c r="AR170"/>
  <c r="U170"/>
  <c r="Q170"/>
  <c r="P170"/>
  <c r="N170"/>
  <c r="L170"/>
  <c r="AV169"/>
  <c r="AT169"/>
  <c r="AS169"/>
  <c r="AR169"/>
  <c r="AP169"/>
  <c r="AO169"/>
  <c r="AN169"/>
  <c r="AK169"/>
  <c r="U169"/>
  <c r="AP168"/>
  <c r="AO168"/>
  <c r="AN168"/>
  <c r="U168"/>
  <c r="AV167"/>
  <c r="AU167"/>
  <c r="AT167"/>
  <c r="AS167"/>
  <c r="AR167"/>
  <c r="AP167"/>
  <c r="AO167"/>
  <c r="AN167"/>
  <c r="AM167"/>
  <c r="AL167"/>
  <c r="AK167"/>
  <c r="AH167"/>
  <c r="AG167"/>
  <c r="U167"/>
  <c r="O167"/>
  <c r="M167"/>
  <c r="M166"/>
  <c r="AQ166"/>
  <c r="AP166"/>
  <c r="AO166"/>
  <c r="AN166"/>
  <c r="AD166"/>
  <c r="AC166"/>
  <c r="Y166"/>
  <c r="X166"/>
  <c r="W166"/>
  <c r="AK166"/>
  <c r="V166"/>
  <c r="AR166"/>
  <c r="U166"/>
  <c r="Q166"/>
  <c r="P166"/>
  <c r="N166"/>
  <c r="L166"/>
  <c r="AP165"/>
  <c r="AO165"/>
  <c r="AN165"/>
  <c r="U165"/>
  <c r="AP164"/>
  <c r="AO164"/>
  <c r="AN164"/>
  <c r="U164"/>
  <c r="AP163"/>
  <c r="AO163"/>
  <c r="AN163"/>
  <c r="U163"/>
  <c r="AU162"/>
  <c r="AS162"/>
  <c r="AP162"/>
  <c r="AO162"/>
  <c r="AN162"/>
  <c r="AL162"/>
  <c r="U162"/>
  <c r="O162"/>
  <c r="M162"/>
  <c r="AP161"/>
  <c r="AO161"/>
  <c r="AN161"/>
  <c r="AG161"/>
  <c r="U161"/>
  <c r="O161"/>
  <c r="M161"/>
  <c r="AQ160"/>
  <c r="BF160"/>
  <c r="BF193"/>
  <c r="AP160"/>
  <c r="AO160"/>
  <c r="AN160"/>
  <c r="AD160"/>
  <c r="AD157"/>
  <c r="AC160"/>
  <c r="AC157"/>
  <c r="Y160"/>
  <c r="Y157"/>
  <c r="X160"/>
  <c r="W160"/>
  <c r="W157"/>
  <c r="V160"/>
  <c r="V157"/>
  <c r="U160"/>
  <c r="Q160"/>
  <c r="Q157"/>
  <c r="P160"/>
  <c r="P157"/>
  <c r="N160"/>
  <c r="N157"/>
  <c r="L160"/>
  <c r="L157"/>
  <c r="AP159"/>
  <c r="AO159"/>
  <c r="AN159"/>
  <c r="U159"/>
  <c r="AP158"/>
  <c r="AO158"/>
  <c r="AN158"/>
  <c r="U158"/>
  <c r="AP157"/>
  <c r="AO157"/>
  <c r="AN157"/>
  <c r="X157"/>
  <c r="U157"/>
  <c r="AP156"/>
  <c r="AO156"/>
  <c r="AN156"/>
  <c r="U156"/>
  <c r="AV155"/>
  <c r="AU155"/>
  <c r="AT155"/>
  <c r="AS155"/>
  <c r="AR155"/>
  <c r="AP155"/>
  <c r="AO155"/>
  <c r="AN155"/>
  <c r="AM155"/>
  <c r="AL155"/>
  <c r="AK155"/>
  <c r="AH155"/>
  <c r="AG155"/>
  <c r="U155"/>
  <c r="O155"/>
  <c r="M155"/>
  <c r="AV154"/>
  <c r="AU154"/>
  <c r="AT154"/>
  <c r="AS154"/>
  <c r="AR154"/>
  <c r="AP154"/>
  <c r="AO154"/>
  <c r="AN154"/>
  <c r="AM154"/>
  <c r="AL154"/>
  <c r="AK154"/>
  <c r="AH154"/>
  <c r="AG154"/>
  <c r="U154"/>
  <c r="O154"/>
  <c r="M154"/>
  <c r="M153"/>
  <c r="AQ153"/>
  <c r="AP153"/>
  <c r="AO153"/>
  <c r="AN153"/>
  <c r="AD153"/>
  <c r="AC153"/>
  <c r="Y153"/>
  <c r="X153"/>
  <c r="W153"/>
  <c r="AT153"/>
  <c r="V153"/>
  <c r="AR153"/>
  <c r="U153"/>
  <c r="Q153"/>
  <c r="P153"/>
  <c r="N153"/>
  <c r="L153"/>
  <c r="AP152"/>
  <c r="AO152"/>
  <c r="AN152"/>
  <c r="U152"/>
  <c r="AX151"/>
  <c r="AX193"/>
  <c r="AV151"/>
  <c r="AU151"/>
  <c r="AT151"/>
  <c r="AS151"/>
  <c r="AR151"/>
  <c r="AP151"/>
  <c r="AO151"/>
  <c r="AN151"/>
  <c r="AM151"/>
  <c r="AL151"/>
  <c r="AK151"/>
  <c r="AH151"/>
  <c r="AG151"/>
  <c r="U151"/>
  <c r="O151"/>
  <c r="AF151"/>
  <c r="M151"/>
  <c r="AP150"/>
  <c r="AO150"/>
  <c r="AN150"/>
  <c r="U150"/>
  <c r="AP149"/>
  <c r="AO149"/>
  <c r="AN149"/>
  <c r="U149"/>
  <c r="AV148"/>
  <c r="AU148"/>
  <c r="AT148"/>
  <c r="AS148"/>
  <c r="AR148"/>
  <c r="AP148"/>
  <c r="AO148"/>
  <c r="AN148"/>
  <c r="AM148"/>
  <c r="AL148"/>
  <c r="AK148"/>
  <c r="AH148"/>
  <c r="AG148"/>
  <c r="U148"/>
  <c r="O148"/>
  <c r="M148"/>
  <c r="M147"/>
  <c r="M145"/>
  <c r="AQ147"/>
  <c r="AV147"/>
  <c r="AP147"/>
  <c r="AO147"/>
  <c r="AN147"/>
  <c r="AD147"/>
  <c r="AD145"/>
  <c r="AC147"/>
  <c r="AC145"/>
  <c r="Y147"/>
  <c r="Y145"/>
  <c r="X147"/>
  <c r="X145"/>
  <c r="W147"/>
  <c r="AT147"/>
  <c r="V147"/>
  <c r="V145"/>
  <c r="AR145"/>
  <c r="U147"/>
  <c r="Q147"/>
  <c r="Q145"/>
  <c r="P147"/>
  <c r="P145"/>
  <c r="N147"/>
  <c r="N145"/>
  <c r="L147"/>
  <c r="L145"/>
  <c r="AP146"/>
  <c r="AO146"/>
  <c r="AN146"/>
  <c r="U146"/>
  <c r="AP145"/>
  <c r="AO145"/>
  <c r="AN145"/>
  <c r="U145"/>
  <c r="BD144"/>
  <c r="BD193"/>
  <c r="AU144"/>
  <c r="AP144"/>
  <c r="AO144"/>
  <c r="AN144"/>
  <c r="AM144"/>
  <c r="AL144"/>
  <c r="U144"/>
  <c r="BC143"/>
  <c r="BC193"/>
  <c r="AV143"/>
  <c r="AU143"/>
  <c r="AT143"/>
  <c r="AS143"/>
  <c r="AR143"/>
  <c r="AP143"/>
  <c r="AO143"/>
  <c r="AN143"/>
  <c r="AM143"/>
  <c r="AL143"/>
  <c r="AK143"/>
  <c r="AH143"/>
  <c r="AG143"/>
  <c r="U143"/>
  <c r="O143"/>
  <c r="M143"/>
  <c r="BB142"/>
  <c r="BB193"/>
  <c r="AV142"/>
  <c r="AU142"/>
  <c r="AT142"/>
  <c r="AS142"/>
  <c r="AR142"/>
  <c r="AP142"/>
  <c r="AO142"/>
  <c r="AN142"/>
  <c r="AM142"/>
  <c r="AL142"/>
  <c r="AK142"/>
  <c r="AH142"/>
  <c r="AG142"/>
  <c r="U142"/>
  <c r="O142"/>
  <c r="M142"/>
  <c r="AQ141"/>
  <c r="AV141"/>
  <c r="AP141"/>
  <c r="AO141"/>
  <c r="AN141"/>
  <c r="AD141"/>
  <c r="AC141"/>
  <c r="Y141"/>
  <c r="X141"/>
  <c r="W141"/>
  <c r="V141"/>
  <c r="AR141"/>
  <c r="U141"/>
  <c r="Q141"/>
  <c r="P141"/>
  <c r="N141"/>
  <c r="L141"/>
  <c r="AW140"/>
  <c r="AP140"/>
  <c r="AO140"/>
  <c r="AN140"/>
  <c r="AE140"/>
  <c r="U140"/>
  <c r="AW139"/>
  <c r="AV139"/>
  <c r="AU139"/>
  <c r="AT139"/>
  <c r="AS139"/>
  <c r="AR139"/>
  <c r="AP139"/>
  <c r="AO139"/>
  <c r="AN139"/>
  <c r="AL139"/>
  <c r="AK139"/>
  <c r="AH139"/>
  <c r="AG139"/>
  <c r="U139"/>
  <c r="O139"/>
  <c r="AF139"/>
  <c r="M139"/>
  <c r="M138"/>
  <c r="AQ138"/>
  <c r="AW138"/>
  <c r="AP138"/>
  <c r="AO138"/>
  <c r="AN138"/>
  <c r="AD138"/>
  <c r="AC138"/>
  <c r="Y138"/>
  <c r="X138"/>
  <c r="W138"/>
  <c r="AU138"/>
  <c r="V138"/>
  <c r="AR138"/>
  <c r="U138"/>
  <c r="Q138"/>
  <c r="P138"/>
  <c r="N138"/>
  <c r="L138"/>
  <c r="AP137"/>
  <c r="AO137"/>
  <c r="AN137"/>
  <c r="U137"/>
  <c r="AP136"/>
  <c r="AO136"/>
  <c r="AN136"/>
  <c r="U136"/>
  <c r="AP135"/>
  <c r="AO135"/>
  <c r="AN135"/>
  <c r="U135"/>
  <c r="AP134"/>
  <c r="AO134"/>
  <c r="AN134"/>
  <c r="U134"/>
  <c r="AP133"/>
  <c r="AO133"/>
  <c r="AN133"/>
  <c r="U133"/>
  <c r="AV132"/>
  <c r="AU132"/>
  <c r="AT132"/>
  <c r="AS132"/>
  <c r="AR132"/>
  <c r="AP132"/>
  <c r="AO132"/>
  <c r="AN132"/>
  <c r="AL132"/>
  <c r="AK132"/>
  <c r="AH132"/>
  <c r="AG132"/>
  <c r="U132"/>
  <c r="O132"/>
  <c r="AF132"/>
  <c r="M132"/>
  <c r="M131"/>
  <c r="AQ131"/>
  <c r="AP131"/>
  <c r="AO131"/>
  <c r="AN131"/>
  <c r="AD131"/>
  <c r="AC131"/>
  <c r="Y131"/>
  <c r="X131"/>
  <c r="W131"/>
  <c r="V131"/>
  <c r="AR131"/>
  <c r="U131"/>
  <c r="Q131"/>
  <c r="P131"/>
  <c r="N131"/>
  <c r="L131"/>
  <c r="AZ130"/>
  <c r="AV130"/>
  <c r="AT130"/>
  <c r="AS130"/>
  <c r="AR130"/>
  <c r="AP130"/>
  <c r="AO130"/>
  <c r="AN130"/>
  <c r="AK130"/>
  <c r="U130"/>
  <c r="AZ129"/>
  <c r="AP129"/>
  <c r="AO129"/>
  <c r="AN129"/>
  <c r="U129"/>
  <c r="AV128"/>
  <c r="AU128"/>
  <c r="AT128"/>
  <c r="AS128"/>
  <c r="AR128"/>
  <c r="AP128"/>
  <c r="AO128"/>
  <c r="AN128"/>
  <c r="AM128"/>
  <c r="AL128"/>
  <c r="AK128"/>
  <c r="AH128"/>
  <c r="AG128"/>
  <c r="U128"/>
  <c r="O128"/>
  <c r="AF128"/>
  <c r="M128"/>
  <c r="AU127"/>
  <c r="AP127"/>
  <c r="AO127"/>
  <c r="AN127"/>
  <c r="AL127"/>
  <c r="U127"/>
  <c r="O127"/>
  <c r="M127"/>
  <c r="M125"/>
  <c r="AP126"/>
  <c r="AO126"/>
  <c r="AN126"/>
  <c r="U126"/>
  <c r="AQ125"/>
  <c r="AV125"/>
  <c r="AP125"/>
  <c r="AO125"/>
  <c r="AN125"/>
  <c r="AD125"/>
  <c r="AC125"/>
  <c r="Y125"/>
  <c r="X125"/>
  <c r="W125"/>
  <c r="AT125"/>
  <c r="V125"/>
  <c r="AR125"/>
  <c r="U125"/>
  <c r="Q125"/>
  <c r="P125"/>
  <c r="N125"/>
  <c r="L125"/>
  <c r="AZ124"/>
  <c r="AP124"/>
  <c r="AO124"/>
  <c r="AN124"/>
  <c r="U124"/>
  <c r="AV123"/>
  <c r="AU123"/>
  <c r="AT123"/>
  <c r="AS123"/>
  <c r="AR123"/>
  <c r="AP123"/>
  <c r="AO123"/>
  <c r="AN123"/>
  <c r="AM123"/>
  <c r="AL123"/>
  <c r="AK123"/>
  <c r="AH123"/>
  <c r="AG123"/>
  <c r="U123"/>
  <c r="O123"/>
  <c r="AF123"/>
  <c r="M123"/>
  <c r="AV122"/>
  <c r="AU122"/>
  <c r="AT122"/>
  <c r="AS122"/>
  <c r="AR122"/>
  <c r="AP122"/>
  <c r="AO122"/>
  <c r="AN122"/>
  <c r="AM122"/>
  <c r="AL122"/>
  <c r="AK122"/>
  <c r="AH122"/>
  <c r="AG122"/>
  <c r="U122"/>
  <c r="O122"/>
  <c r="AF122"/>
  <c r="M122"/>
  <c r="AV121"/>
  <c r="AU121"/>
  <c r="AT121"/>
  <c r="AS121"/>
  <c r="AR121"/>
  <c r="AP121"/>
  <c r="AO121"/>
  <c r="AN121"/>
  <c r="AM121"/>
  <c r="AL121"/>
  <c r="AK121"/>
  <c r="AH121"/>
  <c r="AG121"/>
  <c r="U121"/>
  <c r="O121"/>
  <c r="M121"/>
  <c r="AV120"/>
  <c r="AU120"/>
  <c r="AT120"/>
  <c r="AS120"/>
  <c r="AR120"/>
  <c r="AP120"/>
  <c r="AO120"/>
  <c r="AN120"/>
  <c r="AM120"/>
  <c r="AL120"/>
  <c r="AK120"/>
  <c r="AH120"/>
  <c r="AG120"/>
  <c r="U120"/>
  <c r="O120"/>
  <c r="O119"/>
  <c r="M120"/>
  <c r="AQ119"/>
  <c r="AP119"/>
  <c r="AO119"/>
  <c r="AN119"/>
  <c r="AD119"/>
  <c r="AC119"/>
  <c r="Y119"/>
  <c r="X119"/>
  <c r="W119"/>
  <c r="AT119"/>
  <c r="V119"/>
  <c r="AR119"/>
  <c r="U119"/>
  <c r="Q119"/>
  <c r="P119"/>
  <c r="N119"/>
  <c r="L119"/>
  <c r="AP118"/>
  <c r="AO118"/>
  <c r="AN118"/>
  <c r="U118"/>
  <c r="AP117"/>
  <c r="AO117"/>
  <c r="AN117"/>
  <c r="U117"/>
  <c r="O117"/>
  <c r="AZ116"/>
  <c r="AV116"/>
  <c r="AU116"/>
  <c r="AT116"/>
  <c r="AS116"/>
  <c r="AR116"/>
  <c r="AP116"/>
  <c r="AO116"/>
  <c r="AN116"/>
  <c r="AM116"/>
  <c r="AL116"/>
  <c r="AK116"/>
  <c r="AH116"/>
  <c r="AG116"/>
  <c r="U116"/>
  <c r="O116"/>
  <c r="AF116"/>
  <c r="M116"/>
  <c r="M115"/>
  <c r="AQ115"/>
  <c r="AP115"/>
  <c r="AO115"/>
  <c r="AN115"/>
  <c r="AD115"/>
  <c r="AC115"/>
  <c r="Y115"/>
  <c r="X115"/>
  <c r="W115"/>
  <c r="V115"/>
  <c r="U115"/>
  <c r="Q115"/>
  <c r="P115"/>
  <c r="O115"/>
  <c r="N115"/>
  <c r="L115"/>
  <c r="AP114"/>
  <c r="AO114"/>
  <c r="AN114"/>
  <c r="U114"/>
  <c r="AP113"/>
  <c r="AO113"/>
  <c r="AN113"/>
  <c r="U113"/>
  <c r="AP112"/>
  <c r="AO112"/>
  <c r="AN112"/>
  <c r="U112"/>
  <c r="AP111"/>
  <c r="AO111"/>
  <c r="AN111"/>
  <c r="AD111"/>
  <c r="AC111"/>
  <c r="U111"/>
  <c r="Q111"/>
  <c r="P111"/>
  <c r="O111"/>
  <c r="N111"/>
  <c r="M111"/>
  <c r="L111"/>
  <c r="AP110"/>
  <c r="AO110"/>
  <c r="AN110"/>
  <c r="U110"/>
  <c r="AV109"/>
  <c r="AT109"/>
  <c r="AS109"/>
  <c r="AR109"/>
  <c r="AP109"/>
  <c r="AO109"/>
  <c r="AN109"/>
  <c r="AK109"/>
  <c r="AH109"/>
  <c r="AG109"/>
  <c r="U109"/>
  <c r="O109"/>
  <c r="M109"/>
  <c r="AP108"/>
  <c r="AO108"/>
  <c r="AN108"/>
  <c r="U108"/>
  <c r="AV107"/>
  <c r="AU107"/>
  <c r="AT107"/>
  <c r="AS107"/>
  <c r="AR107"/>
  <c r="AP107"/>
  <c r="AO107"/>
  <c r="AN107"/>
  <c r="AL107"/>
  <c r="AK107"/>
  <c r="AH107"/>
  <c r="AG107"/>
  <c r="U107"/>
  <c r="O107"/>
  <c r="O106"/>
  <c r="M107"/>
  <c r="M106"/>
  <c r="AQ106"/>
  <c r="AV106"/>
  <c r="AP106"/>
  <c r="AO106"/>
  <c r="AN106"/>
  <c r="AD106"/>
  <c r="AD105"/>
  <c r="AC106"/>
  <c r="Y106"/>
  <c r="Y105"/>
  <c r="X106"/>
  <c r="X105"/>
  <c r="W106"/>
  <c r="V106"/>
  <c r="U106"/>
  <c r="Q106"/>
  <c r="P106"/>
  <c r="N106"/>
  <c r="L106"/>
  <c r="AP105"/>
  <c r="AO105"/>
  <c r="AN105"/>
  <c r="U105"/>
  <c r="AP104"/>
  <c r="AO104"/>
  <c r="AN104"/>
  <c r="U104"/>
  <c r="AP103"/>
  <c r="AO103"/>
  <c r="AN103"/>
  <c r="U103"/>
  <c r="AP102"/>
  <c r="AO102"/>
  <c r="AN102"/>
  <c r="U102"/>
  <c r="AP101"/>
  <c r="AO101"/>
  <c r="AN101"/>
  <c r="U101"/>
  <c r="O101"/>
  <c r="M101"/>
  <c r="AP100"/>
  <c r="AO100"/>
  <c r="AN100"/>
  <c r="U100"/>
  <c r="O100"/>
  <c r="M100"/>
  <c r="AU99"/>
  <c r="AS99"/>
  <c r="AP99"/>
  <c r="AO99"/>
  <c r="AN99"/>
  <c r="AM99"/>
  <c r="AL99"/>
  <c r="U99"/>
  <c r="O99"/>
  <c r="M99"/>
  <c r="AS98"/>
  <c r="AQ98"/>
  <c r="AU98"/>
  <c r="AP98"/>
  <c r="AO98"/>
  <c r="AN98"/>
  <c r="AD98"/>
  <c r="AC98"/>
  <c r="Y98"/>
  <c r="X98"/>
  <c r="AL98"/>
  <c r="U98"/>
  <c r="Q98"/>
  <c r="P98"/>
  <c r="N98"/>
  <c r="L98"/>
  <c r="AP97"/>
  <c r="AO97"/>
  <c r="AN97"/>
  <c r="U97"/>
  <c r="AP96"/>
  <c r="AO96"/>
  <c r="AN96"/>
  <c r="U96"/>
  <c r="AQ95"/>
  <c r="AP95"/>
  <c r="AO95"/>
  <c r="AN95"/>
  <c r="AD95"/>
  <c r="AC95"/>
  <c r="Y95"/>
  <c r="X95"/>
  <c r="W95"/>
  <c r="W94"/>
  <c r="V95"/>
  <c r="V94"/>
  <c r="U95"/>
  <c r="Q95"/>
  <c r="P95"/>
  <c r="O95"/>
  <c r="N95"/>
  <c r="N94"/>
  <c r="M95"/>
  <c r="L95"/>
  <c r="AP94"/>
  <c r="AO94"/>
  <c r="AN94"/>
  <c r="U94"/>
  <c r="AP93"/>
  <c r="AO93"/>
  <c r="AN93"/>
  <c r="U93"/>
  <c r="AV92"/>
  <c r="AU92"/>
  <c r="AT92"/>
  <c r="AS92"/>
  <c r="AR92"/>
  <c r="AP92"/>
  <c r="AO92"/>
  <c r="AN92"/>
  <c r="AL92"/>
  <c r="AK92"/>
  <c r="AH92"/>
  <c r="AG92"/>
  <c r="U92"/>
  <c r="O92"/>
  <c r="AF92"/>
  <c r="AQ91"/>
  <c r="AP91"/>
  <c r="AO91"/>
  <c r="AN91"/>
  <c r="AD91"/>
  <c r="AC91"/>
  <c r="Y91"/>
  <c r="X91"/>
  <c r="W91"/>
  <c r="AT91"/>
  <c r="V91"/>
  <c r="U91"/>
  <c r="Q91"/>
  <c r="P91"/>
  <c r="N91"/>
  <c r="M91"/>
  <c r="L91"/>
  <c r="AV90"/>
  <c r="AT90"/>
  <c r="AS90"/>
  <c r="AR90"/>
  <c r="AP90"/>
  <c r="AO90"/>
  <c r="AN90"/>
  <c r="AK90"/>
  <c r="U90"/>
  <c r="AP89"/>
  <c r="AO89"/>
  <c r="AN89"/>
  <c r="U89"/>
  <c r="O89"/>
  <c r="M89"/>
  <c r="AV88"/>
  <c r="AT88"/>
  <c r="AR88"/>
  <c r="AP88"/>
  <c r="AO88"/>
  <c r="AN88"/>
  <c r="AM88"/>
  <c r="AK88"/>
  <c r="AH88"/>
  <c r="AG88"/>
  <c r="U88"/>
  <c r="O88"/>
  <c r="AF88"/>
  <c r="AP87"/>
  <c r="AO87"/>
  <c r="AN87"/>
  <c r="U87"/>
  <c r="O87"/>
  <c r="AV86"/>
  <c r="AP86"/>
  <c r="AO86"/>
  <c r="AN86"/>
  <c r="AH86"/>
  <c r="AG86"/>
  <c r="X86"/>
  <c r="AM86"/>
  <c r="W86"/>
  <c r="AU86"/>
  <c r="V86"/>
  <c r="U86"/>
  <c r="O86"/>
  <c r="M86"/>
  <c r="AQ85"/>
  <c r="AV85"/>
  <c r="AP85"/>
  <c r="AO85"/>
  <c r="AN85"/>
  <c r="AD85"/>
  <c r="AC85"/>
  <c r="Y85"/>
  <c r="T85"/>
  <c r="S85"/>
  <c r="Q85"/>
  <c r="P85"/>
  <c r="N85"/>
  <c r="L85"/>
  <c r="AP84"/>
  <c r="AO84"/>
  <c r="AN84"/>
  <c r="U84"/>
  <c r="AV83"/>
  <c r="AU83"/>
  <c r="AT83"/>
  <c r="AR83"/>
  <c r="AP83"/>
  <c r="AO83"/>
  <c r="AN83"/>
  <c r="AM83"/>
  <c r="AL83"/>
  <c r="AK83"/>
  <c r="AH83"/>
  <c r="AG83"/>
  <c r="U83"/>
  <c r="O83"/>
  <c r="AF83"/>
  <c r="M83"/>
  <c r="AV82"/>
  <c r="AP82"/>
  <c r="AO82"/>
  <c r="AN82"/>
  <c r="AH82"/>
  <c r="X82"/>
  <c r="AM82"/>
  <c r="W82"/>
  <c r="W81"/>
  <c r="V82"/>
  <c r="V81"/>
  <c r="U82"/>
  <c r="O82"/>
  <c r="M82"/>
  <c r="AQ81"/>
  <c r="AP81"/>
  <c r="AO81"/>
  <c r="AN81"/>
  <c r="AD81"/>
  <c r="AC81"/>
  <c r="Y81"/>
  <c r="T81"/>
  <c r="S81"/>
  <c r="Q81"/>
  <c r="P81"/>
  <c r="N81"/>
  <c r="L81"/>
  <c r="AP80"/>
  <c r="AO80"/>
  <c r="AN80"/>
  <c r="AP79"/>
  <c r="AO79"/>
  <c r="AN79"/>
  <c r="AP78"/>
  <c r="AO78"/>
  <c r="AN78"/>
  <c r="AP77"/>
  <c r="AO77"/>
  <c r="AN77"/>
  <c r="AP76"/>
  <c r="AO76"/>
  <c r="AN76"/>
  <c r="U76"/>
  <c r="AP75"/>
  <c r="AO75"/>
  <c r="AN75"/>
  <c r="U75"/>
  <c r="AP74"/>
  <c r="AO74"/>
  <c r="AN74"/>
  <c r="AD74"/>
  <c r="AC74"/>
  <c r="U74"/>
  <c r="Q74"/>
  <c r="P74"/>
  <c r="O74"/>
  <c r="N74"/>
  <c r="M74"/>
  <c r="L74"/>
  <c r="AP73"/>
  <c r="AO73"/>
  <c r="AN73"/>
  <c r="U73"/>
  <c r="AV72"/>
  <c r="AU72"/>
  <c r="AT72"/>
  <c r="AS72"/>
  <c r="AR72"/>
  <c r="AP72"/>
  <c r="AO72"/>
  <c r="AN72"/>
  <c r="AM72"/>
  <c r="AL72"/>
  <c r="AK72"/>
  <c r="AH72"/>
  <c r="AG72"/>
  <c r="U72"/>
  <c r="U71"/>
  <c r="O72"/>
  <c r="AF72"/>
  <c r="M72"/>
  <c r="AQ71"/>
  <c r="AQ69"/>
  <c r="AW69"/>
  <c r="AP71"/>
  <c r="AO71"/>
  <c r="AN71"/>
  <c r="AD71"/>
  <c r="AC71"/>
  <c r="Y71"/>
  <c r="Y69"/>
  <c r="X71"/>
  <c r="W71"/>
  <c r="V71"/>
  <c r="V69"/>
  <c r="AR69"/>
  <c r="T71"/>
  <c r="T69"/>
  <c r="S71"/>
  <c r="S69"/>
  <c r="Q71"/>
  <c r="P71"/>
  <c r="N71"/>
  <c r="L71"/>
  <c r="AP70"/>
  <c r="AO70"/>
  <c r="AN70"/>
  <c r="AP69"/>
  <c r="AO69"/>
  <c r="AN69"/>
  <c r="AP68"/>
  <c r="AO68"/>
  <c r="AN68"/>
  <c r="U68"/>
  <c r="AV67"/>
  <c r="AU67"/>
  <c r="AT67"/>
  <c r="AS67"/>
  <c r="AR67"/>
  <c r="AP67"/>
  <c r="AO67"/>
  <c r="AN67"/>
  <c r="AM67"/>
  <c r="AL67"/>
  <c r="AK67"/>
  <c r="AH67"/>
  <c r="AG67"/>
  <c r="U67"/>
  <c r="U66"/>
  <c r="O67"/>
  <c r="AF67"/>
  <c r="M67"/>
  <c r="AQ66"/>
  <c r="AV66"/>
  <c r="AP66"/>
  <c r="AO66"/>
  <c r="AN66"/>
  <c r="AD66"/>
  <c r="AC66"/>
  <c r="Y66"/>
  <c r="X66"/>
  <c r="W66"/>
  <c r="AT66"/>
  <c r="V66"/>
  <c r="T66"/>
  <c r="S66"/>
  <c r="Q66"/>
  <c r="P66"/>
  <c r="O66"/>
  <c r="N66"/>
  <c r="L66"/>
  <c r="AP65"/>
  <c r="AO65"/>
  <c r="AN65"/>
  <c r="U65"/>
  <c r="AV64"/>
  <c r="AU64"/>
  <c r="AT64"/>
  <c r="AS64"/>
  <c r="AR64"/>
  <c r="AP64"/>
  <c r="AO64"/>
  <c r="AN64"/>
  <c r="AM64"/>
  <c r="AL64"/>
  <c r="AK64"/>
  <c r="AH64"/>
  <c r="AG64"/>
  <c r="U64"/>
  <c r="O64"/>
  <c r="M64"/>
  <c r="AV63"/>
  <c r="AU63"/>
  <c r="AT63"/>
  <c r="AS63"/>
  <c r="AR63"/>
  <c r="AP63"/>
  <c r="AO63"/>
  <c r="AN63"/>
  <c r="AM63"/>
  <c r="AL63"/>
  <c r="AK63"/>
  <c r="AH63"/>
  <c r="AG63"/>
  <c r="U63"/>
  <c r="U62"/>
  <c r="O63"/>
  <c r="AF63"/>
  <c r="M63"/>
  <c r="AQ62"/>
  <c r="AV62"/>
  <c r="AP62"/>
  <c r="AO62"/>
  <c r="AN62"/>
  <c r="AD62"/>
  <c r="AC62"/>
  <c r="Y62"/>
  <c r="X62"/>
  <c r="W62"/>
  <c r="AT62"/>
  <c r="V62"/>
  <c r="AR62"/>
  <c r="T62"/>
  <c r="S62"/>
  <c r="Q62"/>
  <c r="P62"/>
  <c r="P60"/>
  <c r="N62"/>
  <c r="M62"/>
  <c r="L62"/>
  <c r="AP61"/>
  <c r="AO61"/>
  <c r="AN61"/>
  <c r="AP60"/>
  <c r="AO60"/>
  <c r="AN60"/>
  <c r="AP59"/>
  <c r="AO59"/>
  <c r="AN59"/>
  <c r="U59"/>
  <c r="AV58"/>
  <c r="AT58"/>
  <c r="AR58"/>
  <c r="AP58"/>
  <c r="AO58"/>
  <c r="AN58"/>
  <c r="AK58"/>
  <c r="U58"/>
  <c r="U52"/>
  <c r="O58"/>
  <c r="AV57"/>
  <c r="AT57"/>
  <c r="AR57"/>
  <c r="AP57"/>
  <c r="AO57"/>
  <c r="AN57"/>
  <c r="AK57"/>
  <c r="AH57"/>
  <c r="AG57"/>
  <c r="O57"/>
  <c r="M57"/>
  <c r="AV56"/>
  <c r="AU56"/>
  <c r="AT56"/>
  <c r="AS56"/>
  <c r="AR56"/>
  <c r="AP56"/>
  <c r="AO56"/>
  <c r="AN56"/>
  <c r="AM56"/>
  <c r="AL56"/>
  <c r="AK56"/>
  <c r="AH56"/>
  <c r="AG56"/>
  <c r="O56"/>
  <c r="M56"/>
  <c r="AV55"/>
  <c r="AU55"/>
  <c r="AT55"/>
  <c r="AS55"/>
  <c r="AR55"/>
  <c r="AP55"/>
  <c r="AO55"/>
  <c r="AN55"/>
  <c r="AM55"/>
  <c r="AL55"/>
  <c r="AK55"/>
  <c r="AH55"/>
  <c r="AG55"/>
  <c r="O55"/>
  <c r="AF55"/>
  <c r="M55"/>
  <c r="AV54"/>
  <c r="AU54"/>
  <c r="AT54"/>
  <c r="AS54"/>
  <c r="AR54"/>
  <c r="AP54"/>
  <c r="AO54"/>
  <c r="AN54"/>
  <c r="AM54"/>
  <c r="AL54"/>
  <c r="AK54"/>
  <c r="AH54"/>
  <c r="AG54"/>
  <c r="O54"/>
  <c r="AF54"/>
  <c r="M54"/>
  <c r="AV53"/>
  <c r="AU53"/>
  <c r="AT53"/>
  <c r="AS53"/>
  <c r="AR53"/>
  <c r="AP53"/>
  <c r="AO53"/>
  <c r="AN53"/>
  <c r="AM53"/>
  <c r="AL53"/>
  <c r="AK53"/>
  <c r="AH53"/>
  <c r="AG53"/>
  <c r="O53"/>
  <c r="AF53"/>
  <c r="M53"/>
  <c r="AQ52"/>
  <c r="AP52"/>
  <c r="AO52"/>
  <c r="AN52"/>
  <c r="AD52"/>
  <c r="AC52"/>
  <c r="Y52"/>
  <c r="X52"/>
  <c r="W52"/>
  <c r="V52"/>
  <c r="T52"/>
  <c r="S52"/>
  <c r="R52"/>
  <c r="R50"/>
  <c r="R48"/>
  <c r="Q52"/>
  <c r="P52"/>
  <c r="N52"/>
  <c r="L52"/>
  <c r="AP51"/>
  <c r="AO51"/>
  <c r="AN51"/>
  <c r="AP50"/>
  <c r="AO50"/>
  <c r="AN50"/>
  <c r="AP49"/>
  <c r="AO49"/>
  <c r="AN49"/>
  <c r="AP48"/>
  <c r="AO48"/>
  <c r="AN48"/>
  <c r="AP47"/>
  <c r="AO47"/>
  <c r="AN47"/>
  <c r="AP46"/>
  <c r="AO46"/>
  <c r="AN46"/>
  <c r="AO45"/>
  <c r="AN45"/>
  <c r="U45"/>
  <c r="AP44"/>
  <c r="AO44"/>
  <c r="AP43"/>
  <c r="AP40"/>
  <c r="AP38"/>
  <c r="AP37"/>
  <c r="AP36"/>
  <c r="AP35"/>
  <c r="AP34"/>
  <c r="AP33"/>
  <c r="AP32"/>
  <c r="AP31"/>
  <c r="AP30"/>
  <c r="AO30"/>
  <c r="AK30"/>
  <c r="O30"/>
  <c r="M30"/>
  <c r="AP29"/>
  <c r="AO29"/>
  <c r="AK29"/>
  <c r="O29"/>
  <c r="M29"/>
  <c r="AP28"/>
  <c r="AO28"/>
  <c r="AK28"/>
  <c r="O28"/>
  <c r="M28"/>
  <c r="AP27"/>
  <c r="AO27"/>
  <c r="AK27"/>
  <c r="O27"/>
  <c r="M27"/>
  <c r="AP26"/>
  <c r="AO26"/>
  <c r="AP25"/>
  <c r="AO25"/>
  <c r="AP24"/>
  <c r="AO24"/>
  <c r="O23"/>
  <c r="M23"/>
  <c r="AP22"/>
  <c r="AO22"/>
  <c r="O22"/>
  <c r="AP21"/>
  <c r="AO21"/>
  <c r="AL21"/>
  <c r="O21"/>
  <c r="M21"/>
  <c r="AP20"/>
  <c r="AO20"/>
  <c r="O20"/>
  <c r="AP19"/>
  <c r="AO19"/>
  <c r="AP18"/>
  <c r="AO18"/>
  <c r="AP17"/>
  <c r="AO17"/>
  <c r="AP16"/>
  <c r="AO16"/>
  <c r="AP15"/>
  <c r="AO15"/>
  <c r="T15"/>
  <c r="AP14"/>
  <c r="AO14"/>
  <c r="T14"/>
  <c r="AP13"/>
  <c r="AO13"/>
  <c r="AP12"/>
  <c r="AO12"/>
  <c r="T12"/>
  <c r="S12"/>
  <c r="R12"/>
  <c r="AP11"/>
  <c r="AO11"/>
  <c r="AH224"/>
  <c r="L416"/>
  <c r="AV1123"/>
  <c r="V283"/>
  <c r="AS785"/>
  <c r="AS784"/>
  <c r="AS782"/>
  <c r="AW1054"/>
  <c r="AS216"/>
  <c r="R939"/>
  <c r="R938"/>
  <c r="R937"/>
  <c r="R935"/>
  <c r="AW298"/>
  <c r="N239"/>
  <c r="AS223"/>
  <c r="Y239"/>
  <c r="AS239"/>
  <c r="N772"/>
  <c r="AM225"/>
  <c r="AS331"/>
  <c r="AL209"/>
  <c r="AX208"/>
  <c r="BF208"/>
  <c r="BG240"/>
  <c r="R283"/>
  <c r="AQ416"/>
  <c r="M241"/>
  <c r="W602"/>
  <c r="AR321"/>
  <c r="AS1097"/>
  <c r="AC1148"/>
  <c r="M1200"/>
  <c r="M303"/>
  <c r="M302"/>
  <c r="AS241"/>
  <c r="AC643"/>
  <c r="AC642"/>
  <c r="AK1155"/>
  <c r="AW239"/>
  <c r="P295"/>
  <c r="AZ208"/>
  <c r="O343"/>
  <c r="AM838"/>
  <c r="AM1091"/>
  <c r="BE208"/>
  <c r="M999"/>
  <c r="M991"/>
  <c r="M233"/>
  <c r="BB258"/>
  <c r="AQ215"/>
  <c r="AL253"/>
  <c r="AU241"/>
  <c r="M269"/>
  <c r="AR269"/>
  <c r="AT323"/>
  <c r="AC727"/>
  <c r="AC726"/>
  <c r="AC724"/>
  <c r="AU669"/>
  <c r="M644"/>
  <c r="M643"/>
  <c r="M642"/>
  <c r="O217"/>
  <c r="N282"/>
  <c r="Q238"/>
  <c r="AH238"/>
  <c r="L240"/>
  <c r="L236"/>
  <c r="AR242"/>
  <c r="P240"/>
  <c r="AD283"/>
  <c r="BF294"/>
  <c r="AW334"/>
  <c r="AV376"/>
  <c r="M224"/>
  <c r="AS242"/>
  <c r="AY240"/>
  <c r="AY236"/>
  <c r="AG242"/>
  <c r="X283"/>
  <c r="M321"/>
  <c r="M320"/>
  <c r="AZ336"/>
  <c r="X727"/>
  <c r="O745"/>
  <c r="AR941"/>
  <c r="AR289"/>
  <c r="AR288"/>
  <c r="AR285"/>
  <c r="M1091"/>
  <c r="AV266"/>
  <c r="AW331"/>
  <c r="AY295"/>
  <c r="AZ240"/>
  <c r="M323"/>
  <c r="V416"/>
  <c r="R682"/>
  <c r="R681"/>
  <c r="R679"/>
  <c r="Y727"/>
  <c r="AM727"/>
  <c r="M223"/>
  <c r="AS225"/>
  <c r="AV253"/>
  <c r="AE982"/>
  <c r="M296"/>
  <c r="AW328"/>
  <c r="Q336"/>
  <c r="AR233"/>
  <c r="O255"/>
  <c r="O256"/>
  <c r="AT331"/>
  <c r="AE493"/>
  <c r="AL232"/>
  <c r="AD727"/>
  <c r="AD726"/>
  <c r="AD724"/>
  <c r="AC745"/>
  <c r="AV216"/>
  <c r="AV215"/>
  <c r="AR327"/>
  <c r="AU331"/>
  <c r="AR223"/>
  <c r="AV1215"/>
  <c r="AE645"/>
  <c r="X60"/>
  <c r="AL141"/>
  <c r="M213"/>
  <c r="M212"/>
  <c r="AE212"/>
  <c r="X239"/>
  <c r="L283"/>
  <c r="M231"/>
  <c r="AS233"/>
  <c r="AU237"/>
  <c r="Z483"/>
  <c r="Z482"/>
  <c r="Z480"/>
  <c r="Z479"/>
  <c r="AL594"/>
  <c r="AE842"/>
  <c r="O232"/>
  <c r="AR266"/>
  <c r="AT327"/>
  <c r="BH343"/>
  <c r="BH342"/>
  <c r="BH340"/>
  <c r="W283"/>
  <c r="AW222"/>
  <c r="O230"/>
  <c r="AF230"/>
  <c r="R282"/>
  <c r="AK282"/>
  <c r="AR231"/>
  <c r="AV237"/>
  <c r="AS323"/>
  <c r="BJ734"/>
  <c r="AK845"/>
  <c r="R1148"/>
  <c r="N240"/>
  <c r="N236"/>
  <c r="AQ283"/>
  <c r="W309"/>
  <c r="O334"/>
  <c r="AR216"/>
  <c r="AR215"/>
  <c r="AU222"/>
  <c r="AV223"/>
  <c r="AS231"/>
  <c r="AU233"/>
  <c r="AW237"/>
  <c r="BI237"/>
  <c r="BJ237"/>
  <c r="AS244"/>
  <c r="AT253"/>
  <c r="M583"/>
  <c r="M582"/>
  <c r="M581"/>
  <c r="W668"/>
  <c r="W667"/>
  <c r="AE840"/>
  <c r="AK883"/>
  <c r="AL1005"/>
  <c r="O1123"/>
  <c r="O1116"/>
  <c r="AT1212"/>
  <c r="AQ1210"/>
  <c r="AQ1209"/>
  <c r="AQ1207"/>
  <c r="AU384"/>
  <c r="O898"/>
  <c r="O897"/>
  <c r="O896"/>
  <c r="O894"/>
  <c r="AM229"/>
  <c r="AM397"/>
  <c r="AR243"/>
  <c r="L60"/>
  <c r="L221"/>
  <c r="AY320"/>
  <c r="BG320"/>
  <c r="AV209"/>
  <c r="AG372"/>
  <c r="AU223"/>
  <c r="AV224"/>
  <c r="AV225"/>
  <c r="AE391"/>
  <c r="AR244"/>
  <c r="AS245"/>
  <c r="AS253"/>
  <c r="M258"/>
  <c r="BA309"/>
  <c r="BA308"/>
  <c r="P939"/>
  <c r="P938"/>
  <c r="AT209"/>
  <c r="AT208"/>
  <c r="AU216"/>
  <c r="AU215"/>
  <c r="AR229"/>
  <c r="AV1180"/>
  <c r="AR683"/>
  <c r="AL222"/>
  <c r="AY288"/>
  <c r="AY285"/>
  <c r="BG288"/>
  <c r="BG285"/>
  <c r="BI378"/>
  <c r="BJ378"/>
  <c r="AT515"/>
  <c r="AT514"/>
  <c r="AT513"/>
  <c r="AT512"/>
  <c r="L564"/>
  <c r="AT683"/>
  <c r="AV941"/>
  <c r="AV289"/>
  <c r="AS1087"/>
  <c r="AM245"/>
  <c r="L282"/>
  <c r="L281"/>
  <c r="L276"/>
  <c r="X136"/>
  <c r="X134"/>
  <c r="AW216"/>
  <c r="M266"/>
  <c r="AB288"/>
  <c r="AB285"/>
  <c r="O327"/>
  <c r="R483"/>
  <c r="R482"/>
  <c r="R480"/>
  <c r="R479"/>
  <c r="N567"/>
  <c r="N566"/>
  <c r="O323"/>
  <c r="AE323"/>
  <c r="R745"/>
  <c r="AD745"/>
  <c r="AS915"/>
  <c r="AS914"/>
  <c r="AR999"/>
  <c r="L136"/>
  <c r="N215"/>
  <c r="AW217"/>
  <c r="AW215"/>
  <c r="X240"/>
  <c r="AM240"/>
  <c r="Z564"/>
  <c r="BE295"/>
  <c r="AL838"/>
  <c r="Y914"/>
  <c r="Y913"/>
  <c r="AT915"/>
  <c r="Q1136"/>
  <c r="AF257"/>
  <c r="AV233"/>
  <c r="AC239"/>
  <c r="AC236"/>
  <c r="M337"/>
  <c r="O213"/>
  <c r="O212"/>
  <c r="AR213"/>
  <c r="AR212"/>
  <c r="AS222"/>
  <c r="M232"/>
  <c r="AV242"/>
  <c r="M245"/>
  <c r="BH337"/>
  <c r="BH274"/>
  <c r="BH273"/>
  <c r="BH271"/>
  <c r="AM1097"/>
  <c r="BH435"/>
  <c r="AZ238"/>
  <c r="R289"/>
  <c r="X320"/>
  <c r="AS213"/>
  <c r="AS212"/>
  <c r="AT223"/>
  <c r="AU224"/>
  <c r="AU225"/>
  <c r="AV238"/>
  <c r="M244"/>
  <c r="AR245"/>
  <c r="N939"/>
  <c r="N938"/>
  <c r="N937"/>
  <c r="N935"/>
  <c r="N934"/>
  <c r="Z939"/>
  <c r="Z938"/>
  <c r="Z937"/>
  <c r="Z935"/>
  <c r="Z934"/>
  <c r="AT244"/>
  <c r="AU245"/>
  <c r="AE1094"/>
  <c r="AU266"/>
  <c r="V804"/>
  <c r="V803"/>
  <c r="V295"/>
  <c r="AR980"/>
  <c r="BD295"/>
  <c r="BD294"/>
  <c r="O216"/>
  <c r="BD215"/>
  <c r="AG245"/>
  <c r="X265"/>
  <c r="X260"/>
  <c r="Y298"/>
  <c r="AT298"/>
  <c r="BB298"/>
  <c r="V309"/>
  <c r="V308"/>
  <c r="AT225"/>
  <c r="AR241"/>
  <c r="Z447"/>
  <c r="AU231"/>
  <c r="M772"/>
  <c r="AT321"/>
  <c r="Z1116"/>
  <c r="Z1115"/>
  <c r="Z1113"/>
  <c r="N1148"/>
  <c r="AV208"/>
  <c r="AT213"/>
  <c r="AT212"/>
  <c r="V382"/>
  <c r="AR485"/>
  <c r="AY309"/>
  <c r="AY308"/>
  <c r="AL170"/>
  <c r="M209"/>
  <c r="M208"/>
  <c r="R215"/>
  <c r="AZ221"/>
  <c r="AL234"/>
  <c r="AD239"/>
  <c r="AM242"/>
  <c r="AM254"/>
  <c r="M283"/>
  <c r="AL323"/>
  <c r="AW337"/>
  <c r="AW336"/>
  <c r="AU213"/>
  <c r="AU212"/>
  <c r="AQ541"/>
  <c r="AZ309"/>
  <c r="AZ308"/>
  <c r="Z682"/>
  <c r="Z681"/>
  <c r="Z679"/>
  <c r="BH684"/>
  <c r="X837"/>
  <c r="AL837"/>
  <c r="M838"/>
  <c r="M837"/>
  <c r="Z877"/>
  <c r="AE1102"/>
  <c r="M1168"/>
  <c r="AW266"/>
  <c r="BI266"/>
  <c r="BJ266"/>
  <c r="AE465"/>
  <c r="AM648"/>
  <c r="Y682"/>
  <c r="Y681"/>
  <c r="Y679"/>
  <c r="L69"/>
  <c r="AD221"/>
  <c r="BE231"/>
  <c r="BE227"/>
  <c r="BD240"/>
  <c r="BD236"/>
  <c r="P282"/>
  <c r="N283"/>
  <c r="N281"/>
  <c r="AQ309"/>
  <c r="AQ308"/>
  <c r="M334"/>
  <c r="M333"/>
  <c r="AG409"/>
  <c r="X643"/>
  <c r="X642"/>
  <c r="AR1054"/>
  <c r="AK1105"/>
  <c r="AV213"/>
  <c r="AV212"/>
  <c r="AT222"/>
  <c r="AT237"/>
  <c r="AS254"/>
  <c r="S1210"/>
  <c r="S1209"/>
  <c r="S1207"/>
  <c r="AD1210"/>
  <c r="AD1209"/>
  <c r="AD1207"/>
  <c r="AR337"/>
  <c r="AR336"/>
  <c r="BG309"/>
  <c r="BG308"/>
  <c r="T79"/>
  <c r="T77"/>
  <c r="M229"/>
  <c r="R239"/>
  <c r="BF240"/>
  <c r="BF236"/>
  <c r="AK245"/>
  <c r="AK331"/>
  <c r="AS372"/>
  <c r="AV331"/>
  <c r="AV269"/>
  <c r="AV265"/>
  <c r="AV260"/>
  <c r="BH558"/>
  <c r="R572"/>
  <c r="AR323"/>
  <c r="AR320"/>
  <c r="AU915"/>
  <c r="AU914"/>
  <c r="N1085"/>
  <c r="AS327"/>
  <c r="R1136"/>
  <c r="AV1136"/>
  <c r="V1210"/>
  <c r="V1209"/>
  <c r="AW258"/>
  <c r="BI258"/>
  <c r="BJ258"/>
  <c r="AW238"/>
  <c r="BI942"/>
  <c r="BJ942"/>
  <c r="AL1081"/>
  <c r="AM62"/>
  <c r="M81"/>
  <c r="AE81"/>
  <c r="AE123"/>
  <c r="O223"/>
  <c r="AF223"/>
  <c r="AX221"/>
  <c r="AW243"/>
  <c r="AQ282"/>
  <c r="N289"/>
  <c r="N288"/>
  <c r="N285"/>
  <c r="V320"/>
  <c r="AQ320"/>
  <c r="AW322"/>
  <c r="BI322"/>
  <c r="BJ322"/>
  <c r="AV231"/>
  <c r="AT242"/>
  <c r="AW253"/>
  <c r="BI253"/>
  <c r="BJ253"/>
  <c r="O258"/>
  <c r="AF258"/>
  <c r="AC483"/>
  <c r="AC482"/>
  <c r="AC480"/>
  <c r="AC479"/>
  <c r="AS266"/>
  <c r="W567"/>
  <c r="W566"/>
  <c r="AS566"/>
  <c r="O693"/>
  <c r="O692"/>
  <c r="O691"/>
  <c r="AF691"/>
  <c r="V914"/>
  <c r="V913"/>
  <c r="V939"/>
  <c r="V938"/>
  <c r="Z991"/>
  <c r="Z990"/>
  <c r="Z988"/>
  <c r="AU253"/>
  <c r="AV254"/>
  <c r="X1116"/>
  <c r="X1115"/>
  <c r="X1113"/>
  <c r="L1210"/>
  <c r="L1209"/>
  <c r="L1207"/>
  <c r="BE784"/>
  <c r="BE782"/>
  <c r="BI1088"/>
  <c r="AG1149"/>
  <c r="AD69"/>
  <c r="O81"/>
  <c r="AF81"/>
  <c r="AH91"/>
  <c r="AL106"/>
  <c r="R208"/>
  <c r="AD208"/>
  <c r="AD206"/>
  <c r="AG223"/>
  <c r="AG233"/>
  <c r="AQ240"/>
  <c r="AQ236"/>
  <c r="BB265"/>
  <c r="BB260"/>
  <c r="AT266"/>
  <c r="AS623"/>
  <c r="AS622"/>
  <c r="AT231"/>
  <c r="AQ939"/>
  <c r="AQ938"/>
  <c r="AS321"/>
  <c r="AH993"/>
  <c r="AR224"/>
  <c r="AS237"/>
  <c r="N1116"/>
  <c r="N1115"/>
  <c r="N1113"/>
  <c r="AR1168"/>
  <c r="AU209"/>
  <c r="AU208"/>
  <c r="AU327"/>
  <c r="AU325"/>
  <c r="AR331"/>
  <c r="AR325"/>
  <c r="O266"/>
  <c r="AF266"/>
  <c r="AS269"/>
  <c r="P567"/>
  <c r="P566"/>
  <c r="AD602"/>
  <c r="V643"/>
  <c r="V642"/>
  <c r="AV323"/>
  <c r="R727"/>
  <c r="R726"/>
  <c r="R724"/>
  <c r="AE785"/>
  <c r="X939"/>
  <c r="X938"/>
  <c r="X937"/>
  <c r="X935"/>
  <c r="AS941"/>
  <c r="AS289"/>
  <c r="AS288"/>
  <c r="AS285"/>
  <c r="R991"/>
  <c r="AV999"/>
  <c r="BI1057"/>
  <c r="AK1078"/>
  <c r="O1110"/>
  <c r="O1109"/>
  <c r="AM1144"/>
  <c r="AT238"/>
  <c r="O245"/>
  <c r="AF245"/>
  <c r="AG1191"/>
  <c r="AS243"/>
  <c r="AT245"/>
  <c r="L1199"/>
  <c r="L1198"/>
  <c r="L1196"/>
  <c r="O1222"/>
  <c r="O1221"/>
  <c r="BB215"/>
  <c r="AG255"/>
  <c r="AM258"/>
  <c r="AM635"/>
  <c r="AM777"/>
  <c r="R295"/>
  <c r="R294"/>
  <c r="BH1079"/>
  <c r="AV258"/>
  <c r="AG52"/>
  <c r="AY265"/>
  <c r="AY260"/>
  <c r="AG71"/>
  <c r="M254"/>
  <c r="BB281"/>
  <c r="BB276"/>
  <c r="AH66"/>
  <c r="AL166"/>
  <c r="AQ164"/>
  <c r="AV164"/>
  <c r="O224"/>
  <c r="AE224"/>
  <c r="O229"/>
  <c r="AF229"/>
  <c r="O231"/>
  <c r="AH232"/>
  <c r="O283"/>
  <c r="R288"/>
  <c r="R285"/>
  <c r="AD288"/>
  <c r="AD285"/>
  <c r="AX295"/>
  <c r="AX294"/>
  <c r="BD320"/>
  <c r="AT216"/>
  <c r="AT215"/>
  <c r="AE400"/>
  <c r="M253"/>
  <c r="BJ442"/>
  <c r="W447"/>
  <c r="AQ447"/>
  <c r="AM469"/>
  <c r="AE518"/>
  <c r="AG648"/>
  <c r="AV721"/>
  <c r="W882"/>
  <c r="AK882"/>
  <c r="Z909"/>
  <c r="AT941"/>
  <c r="AT289"/>
  <c r="AT288"/>
  <c r="AT285"/>
  <c r="BD955"/>
  <c r="S991"/>
  <c r="AD991"/>
  <c r="AD990"/>
  <c r="AD988"/>
  <c r="AL1039"/>
  <c r="AL1087"/>
  <c r="AR1091"/>
  <c r="BI1093"/>
  <c r="BH1101"/>
  <c r="AM322"/>
  <c r="AL367"/>
  <c r="L79"/>
  <c r="X81"/>
  <c r="AM81"/>
  <c r="AG85"/>
  <c r="AH115"/>
  <c r="W164"/>
  <c r="L164"/>
  <c r="AM241"/>
  <c r="AW242"/>
  <c r="BG276"/>
  <c r="W281"/>
  <c r="W276"/>
  <c r="P283"/>
  <c r="AK290"/>
  <c r="AW321"/>
  <c r="AS229"/>
  <c r="AV243"/>
  <c r="Z416"/>
  <c r="O253"/>
  <c r="AF253"/>
  <c r="AR253"/>
  <c r="AU258"/>
  <c r="AS258"/>
  <c r="AR258"/>
  <c r="L447"/>
  <c r="L415"/>
  <c r="L413"/>
  <c r="AD483"/>
  <c r="AD482"/>
  <c r="AD480"/>
  <c r="AD479"/>
  <c r="AQ483"/>
  <c r="AE491"/>
  <c r="Y541"/>
  <c r="Y540"/>
  <c r="Y538"/>
  <c r="Z643"/>
  <c r="Z642"/>
  <c r="Z632"/>
  <c r="Z617"/>
  <c r="N682"/>
  <c r="N681"/>
  <c r="N679"/>
  <c r="AL785"/>
  <c r="AR993"/>
  <c r="AQ1085"/>
  <c r="AR1138"/>
  <c r="O71"/>
  <c r="AF71"/>
  <c r="BA281"/>
  <c r="BA276"/>
  <c r="AK66"/>
  <c r="N164"/>
  <c r="AC164"/>
  <c r="AW225"/>
  <c r="BI225"/>
  <c r="BJ225"/>
  <c r="V239"/>
  <c r="V236"/>
  <c r="AB251"/>
  <c r="BD265"/>
  <c r="BD260"/>
  <c r="N295"/>
  <c r="N294"/>
  <c r="BA295"/>
  <c r="BA294"/>
  <c r="O296"/>
  <c r="AK343"/>
  <c r="AR209"/>
  <c r="AR208"/>
  <c r="N382"/>
  <c r="AT229"/>
  <c r="AE398"/>
  <c r="AR238"/>
  <c r="AT243"/>
  <c r="AU244"/>
  <c r="AV245"/>
  <c r="AH409"/>
  <c r="N541"/>
  <c r="N540"/>
  <c r="N538"/>
  <c r="AU238"/>
  <c r="BC309"/>
  <c r="BC308"/>
  <c r="P643"/>
  <c r="P642"/>
  <c r="P632"/>
  <c r="AV321"/>
  <c r="Z836"/>
  <c r="Z834"/>
  <c r="AS282"/>
  <c r="AS281"/>
  <c r="M941"/>
  <c r="M289"/>
  <c r="M288"/>
  <c r="M285"/>
  <c r="V1014"/>
  <c r="V1013"/>
  <c r="BI1019"/>
  <c r="AR254"/>
  <c r="AE1165"/>
  <c r="Y1199"/>
  <c r="BH1213"/>
  <c r="AV337"/>
  <c r="AH81"/>
  <c r="AE142"/>
  <c r="M141"/>
  <c r="M136"/>
  <c r="M134"/>
  <c r="AQ145"/>
  <c r="AV145"/>
  <c r="AM147"/>
  <c r="AG222"/>
  <c r="AK229"/>
  <c r="AC227"/>
  <c r="W239"/>
  <c r="AL239"/>
  <c r="AW241"/>
  <c r="BI241"/>
  <c r="BJ241"/>
  <c r="AW252"/>
  <c r="O263"/>
  <c r="O262"/>
  <c r="M282"/>
  <c r="AX281"/>
  <c r="BF281"/>
  <c r="BF276"/>
  <c r="BC295"/>
  <c r="BC294"/>
  <c r="P298"/>
  <c r="AB298"/>
  <c r="AU298"/>
  <c r="BC298"/>
  <c r="AS298"/>
  <c r="AC365"/>
  <c r="AS209"/>
  <c r="AS208"/>
  <c r="AU390"/>
  <c r="AU229"/>
  <c r="AR237"/>
  <c r="AS238"/>
  <c r="AU243"/>
  <c r="AV244"/>
  <c r="P416"/>
  <c r="BH422"/>
  <c r="AG426"/>
  <c r="Q447"/>
  <c r="AC447"/>
  <c r="AV485"/>
  <c r="M590"/>
  <c r="AT623"/>
  <c r="AT622"/>
  <c r="AR728"/>
  <c r="AE732"/>
  <c r="Y837"/>
  <c r="AR915"/>
  <c r="P1199"/>
  <c r="P1198"/>
  <c r="P1196"/>
  <c r="Z1199"/>
  <c r="Z1198"/>
  <c r="Z1196"/>
  <c r="AG1212"/>
  <c r="AW240"/>
  <c r="AG376"/>
  <c r="P69"/>
  <c r="Q94"/>
  <c r="AE127"/>
  <c r="N114"/>
  <c r="AW209"/>
  <c r="BI209"/>
  <c r="BJ209"/>
  <c r="M216"/>
  <c r="M215"/>
  <c r="AK217"/>
  <c r="BF221"/>
  <c r="AW224"/>
  <c r="AL233"/>
  <c r="AD240"/>
  <c r="BB240"/>
  <c r="BB236"/>
  <c r="AX251"/>
  <c r="BF251"/>
  <c r="Q298"/>
  <c r="AF327"/>
  <c r="AK426"/>
  <c r="AU255"/>
  <c r="AG669"/>
  <c r="AW309"/>
  <c r="AW308"/>
  <c r="BE309"/>
  <c r="BE308"/>
  <c r="AH898"/>
  <c r="Q991"/>
  <c r="AV222"/>
  <c r="O225"/>
  <c r="AT1039"/>
  <c r="S1116"/>
  <c r="S1115"/>
  <c r="S1113"/>
  <c r="AD1116"/>
  <c r="AT1173"/>
  <c r="W1199"/>
  <c r="W1198"/>
  <c r="S283"/>
  <c r="AA225"/>
  <c r="R251"/>
  <c r="P483"/>
  <c r="P482"/>
  <c r="P480"/>
  <c r="P479"/>
  <c r="BI663"/>
  <c r="BJ663"/>
  <c r="BH670"/>
  <c r="BH338"/>
  <c r="BE338"/>
  <c r="BI338"/>
  <c r="BJ338"/>
  <c r="Q772"/>
  <c r="AV853"/>
  <c r="R852"/>
  <c r="R851"/>
  <c r="R849"/>
  <c r="L969"/>
  <c r="L967"/>
  <c r="W1004"/>
  <c r="AS1004"/>
  <c r="BI1095"/>
  <c r="BH1102"/>
  <c r="BH1119"/>
  <c r="AW327"/>
  <c r="BI327"/>
  <c r="BJ327"/>
  <c r="BI1112"/>
  <c r="AF1175"/>
  <c r="O1174"/>
  <c r="O1173"/>
  <c r="AH1191"/>
  <c r="AC1190"/>
  <c r="AH1190"/>
  <c r="AV1005"/>
  <c r="AQ1004"/>
  <c r="AE82"/>
  <c r="AT258"/>
  <c r="AL452"/>
  <c r="BH509"/>
  <c r="BI502"/>
  <c r="BJ502"/>
  <c r="BC240"/>
  <c r="BC236"/>
  <c r="AD295"/>
  <c r="AD294"/>
  <c r="AL390"/>
  <c r="V60"/>
  <c r="AR60"/>
  <c r="AG66"/>
  <c r="Q79"/>
  <c r="AH153"/>
  <c r="AQ157"/>
  <c r="AU157"/>
  <c r="M160"/>
  <c r="M157"/>
  <c r="P164"/>
  <c r="AQ208"/>
  <c r="AQ206"/>
  <c r="BA208"/>
  <c r="AK224"/>
  <c r="AL245"/>
  <c r="AB265"/>
  <c r="AB260"/>
  <c r="BC265"/>
  <c r="BC260"/>
  <c r="AQ265"/>
  <c r="AQ260"/>
  <c r="AK269"/>
  <c r="Y281"/>
  <c r="Y276"/>
  <c r="AW303"/>
  <c r="AW302"/>
  <c r="X309"/>
  <c r="X308"/>
  <c r="AL322"/>
  <c r="BI427"/>
  <c r="BJ427"/>
  <c r="BH434"/>
  <c r="O462"/>
  <c r="AF462"/>
  <c r="M462"/>
  <c r="M461"/>
  <c r="M460"/>
  <c r="M458"/>
  <c r="M327"/>
  <c r="AM515"/>
  <c r="BI617"/>
  <c r="BJ617"/>
  <c r="BE623"/>
  <c r="AR714"/>
  <c r="V713"/>
  <c r="AR713"/>
  <c r="BI1020"/>
  <c r="BH1027"/>
  <c r="BH1150"/>
  <c r="BI1143"/>
  <c r="BJ1143"/>
  <c r="N69"/>
  <c r="AL153"/>
  <c r="AE89"/>
  <c r="W240"/>
  <c r="AX215"/>
  <c r="BF215"/>
  <c r="BF206"/>
  <c r="AK256"/>
  <c r="M263"/>
  <c r="M262"/>
  <c r="Q283"/>
  <c r="L288"/>
  <c r="L285"/>
  <c r="BB288"/>
  <c r="BB285"/>
  <c r="O322"/>
  <c r="AE322"/>
  <c r="BA320"/>
  <c r="O329"/>
  <c r="AE329"/>
  <c r="BA325"/>
  <c r="R342"/>
  <c r="R340"/>
  <c r="BH431"/>
  <c r="BI424"/>
  <c r="BJ424"/>
  <c r="N643"/>
  <c r="N642"/>
  <c r="N632"/>
  <c r="N617"/>
  <c r="AU683"/>
  <c r="AU981"/>
  <c r="W980"/>
  <c r="AT980"/>
  <c r="BH1103"/>
  <c r="BI1096"/>
  <c r="AE57"/>
  <c r="AL125"/>
  <c r="AT52"/>
  <c r="AC94"/>
  <c r="AD94"/>
  <c r="AG153"/>
  <c r="Q184"/>
  <c r="Q182"/>
  <c r="BC221"/>
  <c r="AK230"/>
  <c r="AW234"/>
  <c r="BI234"/>
  <c r="BJ234"/>
  <c r="AG244"/>
  <c r="AL268"/>
  <c r="AM269"/>
  <c r="Q282"/>
  <c r="AC282"/>
  <c r="AX276"/>
  <c r="AC283"/>
  <c r="BD281"/>
  <c r="BD276"/>
  <c r="AM289"/>
  <c r="R298"/>
  <c r="O306"/>
  <c r="O305"/>
  <c r="AQ382"/>
  <c r="AF393"/>
  <c r="O390"/>
  <c r="AF390"/>
  <c r="Z541"/>
  <c r="Z540"/>
  <c r="Z538"/>
  <c r="AF595"/>
  <c r="O594"/>
  <c r="O593"/>
  <c r="O592"/>
  <c r="O590"/>
  <c r="BH846"/>
  <c r="BI839"/>
  <c r="BJ839"/>
  <c r="AR863"/>
  <c r="V862"/>
  <c r="V861"/>
  <c r="V860"/>
  <c r="V858"/>
  <c r="BI856"/>
  <c r="AW862"/>
  <c r="BI855"/>
  <c r="R890"/>
  <c r="R889"/>
  <c r="AR889"/>
  <c r="AG1075"/>
  <c r="Q1073"/>
  <c r="AV336"/>
  <c r="AW263"/>
  <c r="AW262"/>
  <c r="BI262"/>
  <c r="BJ262"/>
  <c r="X567"/>
  <c r="AL568"/>
  <c r="P79"/>
  <c r="BG265"/>
  <c r="BG260"/>
  <c r="W85"/>
  <c r="AT85"/>
  <c r="L208"/>
  <c r="AH85"/>
  <c r="BD206"/>
  <c r="AL216"/>
  <c r="O239"/>
  <c r="AH240"/>
  <c r="AW244"/>
  <c r="BI244"/>
  <c r="BJ244"/>
  <c r="AK254"/>
  <c r="AW269"/>
  <c r="AY281"/>
  <c r="AY276"/>
  <c r="AZ295"/>
  <c r="AZ294"/>
  <c r="M298"/>
  <c r="W298"/>
  <c r="AG322"/>
  <c r="BI434"/>
  <c r="BJ434"/>
  <c r="BH441"/>
  <c r="AL620"/>
  <c r="W836"/>
  <c r="W834"/>
  <c r="BI1151"/>
  <c r="BJ1151"/>
  <c r="BH1158"/>
  <c r="AQ1179"/>
  <c r="AV1179"/>
  <c r="AM273"/>
  <c r="V281"/>
  <c r="V276"/>
  <c r="AQ567"/>
  <c r="AQ566"/>
  <c r="AQ564"/>
  <c r="AU564"/>
  <c r="AG488"/>
  <c r="AE1040"/>
  <c r="AF1040"/>
  <c r="AG131"/>
  <c r="AM266"/>
  <c r="AM274"/>
  <c r="S79"/>
  <c r="S77"/>
  <c r="M85"/>
  <c r="M79"/>
  <c r="N79"/>
  <c r="N77"/>
  <c r="AD79"/>
  <c r="AD77"/>
  <c r="L105"/>
  <c r="Q105"/>
  <c r="AH119"/>
  <c r="AM217"/>
  <c r="O237"/>
  <c r="AF237"/>
  <c r="P239"/>
  <c r="AW245"/>
  <c r="BI245"/>
  <c r="BJ245"/>
  <c r="AH252"/>
  <c r="AM253"/>
  <c r="AG263"/>
  <c r="M265"/>
  <c r="P289"/>
  <c r="P288"/>
  <c r="P285"/>
  <c r="N298"/>
  <c r="BA298"/>
  <c r="V298"/>
  <c r="L309"/>
  <c r="L308"/>
  <c r="R320"/>
  <c r="M669"/>
  <c r="AE669"/>
  <c r="M338"/>
  <c r="M336"/>
  <c r="M683"/>
  <c r="M682"/>
  <c r="M681"/>
  <c r="M679"/>
  <c r="AE684"/>
  <c r="P991"/>
  <c r="P990"/>
  <c r="P988"/>
  <c r="AH1075"/>
  <c r="AV1078"/>
  <c r="R336"/>
  <c r="AW231"/>
  <c r="N416"/>
  <c r="L461"/>
  <c r="L460"/>
  <c r="L458"/>
  <c r="AT508"/>
  <c r="M515"/>
  <c r="M514"/>
  <c r="S644"/>
  <c r="BJ641"/>
  <c r="AV761"/>
  <c r="R1014"/>
  <c r="AE1030"/>
  <c r="AT254"/>
  <c r="AT251"/>
  <c r="V1053"/>
  <c r="BI1049"/>
  <c r="AG1062"/>
  <c r="AL1123"/>
  <c r="AU1123"/>
  <c r="AR1149"/>
  <c r="AE1170"/>
  <c r="L336"/>
  <c r="L382"/>
  <c r="AW223"/>
  <c r="BI223"/>
  <c r="BJ223"/>
  <c r="BH387"/>
  <c r="AH426"/>
  <c r="BJ448"/>
  <c r="AE517"/>
  <c r="BJ592"/>
  <c r="AH693"/>
  <c r="AU321"/>
  <c r="AQ295"/>
  <c r="AQ294"/>
  <c r="AC991"/>
  <c r="R1004"/>
  <c r="R990"/>
  <c r="R988"/>
  <c r="S1014"/>
  <c r="S1013"/>
  <c r="S1011"/>
  <c r="AD1014"/>
  <c r="AD1013"/>
  <c r="AD1011"/>
  <c r="AS1039"/>
  <c r="L1073"/>
  <c r="AF1076"/>
  <c r="AR1078"/>
  <c r="AL1097"/>
  <c r="O1181"/>
  <c r="O1180"/>
  <c r="O1179"/>
  <c r="O1177"/>
  <c r="AL337"/>
  <c r="AR222"/>
  <c r="AE386"/>
  <c r="AT233"/>
  <c r="M243"/>
  <c r="R416"/>
  <c r="AD416"/>
  <c r="V447"/>
  <c r="P447"/>
  <c r="P415"/>
  <c r="P413"/>
  <c r="AT485"/>
  <c r="Z505"/>
  <c r="Z503"/>
  <c r="Z495"/>
  <c r="AM568"/>
  <c r="AL683"/>
  <c r="M909"/>
  <c r="AG941"/>
  <c r="AG999"/>
  <c r="AV1016"/>
  <c r="AM1024"/>
  <c r="AK1047"/>
  <c r="N1073"/>
  <c r="AQ1073"/>
  <c r="AQ1071"/>
  <c r="AQ1069"/>
  <c r="V1116"/>
  <c r="V1115"/>
  <c r="AV1212"/>
  <c r="AC1210"/>
  <c r="AC1209"/>
  <c r="O1212"/>
  <c r="AF1212"/>
  <c r="AR225"/>
  <c r="BI460"/>
  <c r="BJ460"/>
  <c r="AU623"/>
  <c r="AU622"/>
  <c r="AT686"/>
  <c r="AK693"/>
  <c r="AH777"/>
  <c r="AV981"/>
  <c r="AM1005"/>
  <c r="AE1007"/>
  <c r="BH1041"/>
  <c r="L1085"/>
  <c r="L1116"/>
  <c r="L1115"/>
  <c r="L1113"/>
  <c r="AQ1116"/>
  <c r="AQ1115"/>
  <c r="AQ1113"/>
  <c r="AT1123"/>
  <c r="N1136"/>
  <c r="AH1141"/>
  <c r="AR1200"/>
  <c r="O1204"/>
  <c r="AF1204"/>
  <c r="AR1215"/>
  <c r="AB336"/>
  <c r="BD336"/>
  <c r="L365"/>
  <c r="L364"/>
  <c r="L362"/>
  <c r="AV384"/>
  <c r="AT224"/>
  <c r="M238"/>
  <c r="M418"/>
  <c r="AE435"/>
  <c r="N572"/>
  <c r="AX309"/>
  <c r="AX308"/>
  <c r="BF309"/>
  <c r="BF308"/>
  <c r="W659"/>
  <c r="AR686"/>
  <c r="BD309"/>
  <c r="BD308"/>
  <c r="AQ720"/>
  <c r="BJ735"/>
  <c r="AS747"/>
  <c r="BB309"/>
  <c r="BB308"/>
  <c r="BI1026"/>
  <c r="AG1039"/>
  <c r="AG1081"/>
  <c r="M1116"/>
  <c r="M1115"/>
  <c r="M1113"/>
  <c r="AL1118"/>
  <c r="AK1200"/>
  <c r="AH1212"/>
  <c r="P215"/>
  <c r="AF368"/>
  <c r="O209"/>
  <c r="O208"/>
  <c r="O242"/>
  <c r="AF242"/>
  <c r="AF401"/>
  <c r="AS66"/>
  <c r="AE86"/>
  <c r="AK86"/>
  <c r="AS91"/>
  <c r="O131"/>
  <c r="AE131"/>
  <c r="AH131"/>
  <c r="BB208"/>
  <c r="BG227"/>
  <c r="AH244"/>
  <c r="AM290"/>
  <c r="AT325"/>
  <c r="BB325"/>
  <c r="AD365"/>
  <c r="BI386"/>
  <c r="BJ386"/>
  <c r="AW232"/>
  <c r="BI232"/>
  <c r="BI387"/>
  <c r="BJ387"/>
  <c r="AW233"/>
  <c r="BI233"/>
  <c r="BJ233"/>
  <c r="R541"/>
  <c r="R540"/>
  <c r="R538"/>
  <c r="R232"/>
  <c r="R227"/>
  <c r="P593"/>
  <c r="P592"/>
  <c r="P590"/>
  <c r="P309"/>
  <c r="P308"/>
  <c r="Q969"/>
  <c r="Q967"/>
  <c r="AZ119"/>
  <c r="AV119"/>
  <c r="AF82"/>
  <c r="O98"/>
  <c r="O94"/>
  <c r="AH365"/>
  <c r="BI366"/>
  <c r="BJ366"/>
  <c r="AW213"/>
  <c r="AW212"/>
  <c r="AH71"/>
  <c r="AL86"/>
  <c r="AR106"/>
  <c r="V105"/>
  <c r="AR105"/>
  <c r="Y114"/>
  <c r="Y103"/>
  <c r="AG145"/>
  <c r="AT186"/>
  <c r="AK186"/>
  <c r="AB208"/>
  <c r="BA221"/>
  <c r="AL224"/>
  <c r="AZ265"/>
  <c r="AZ260"/>
  <c r="AY294"/>
  <c r="AR367"/>
  <c r="AH367"/>
  <c r="AE368"/>
  <c r="BH393"/>
  <c r="BH394"/>
  <c r="M384"/>
  <c r="M222"/>
  <c r="M221"/>
  <c r="AF89"/>
  <c r="O91"/>
  <c r="AF91"/>
  <c r="X94"/>
  <c r="AL94"/>
  <c r="AC136"/>
  <c r="AC134"/>
  <c r="AL223"/>
  <c r="AS221"/>
  <c r="Y271"/>
  <c r="AM271"/>
  <c r="V294"/>
  <c r="AG334"/>
  <c r="AM334"/>
  <c r="Y333"/>
  <c r="AU409"/>
  <c r="BI1036"/>
  <c r="AW256"/>
  <c r="BI256"/>
  <c r="BJ256"/>
  <c r="O1062"/>
  <c r="AF1062"/>
  <c r="AF1064"/>
  <c r="AE1064"/>
  <c r="O331"/>
  <c r="AF331"/>
  <c r="R265"/>
  <c r="R260"/>
  <c r="AK266"/>
  <c r="AM66"/>
  <c r="Q69"/>
  <c r="AU119"/>
  <c r="AG141"/>
  <c r="N221"/>
  <c r="Y60"/>
  <c r="Y50"/>
  <c r="AL62"/>
  <c r="AE67"/>
  <c r="AF86"/>
  <c r="AT86"/>
  <c r="AQ94"/>
  <c r="AU94"/>
  <c r="AD136"/>
  <c r="AD134"/>
  <c r="AG166"/>
  <c r="BB227"/>
  <c r="AZ288"/>
  <c r="AZ285"/>
  <c r="AE404"/>
  <c r="W818"/>
  <c r="AS818"/>
  <c r="AS819"/>
  <c r="AM232"/>
  <c r="AH253"/>
  <c r="R365"/>
  <c r="BI403"/>
  <c r="BJ403"/>
  <c r="BH410"/>
  <c r="AW254"/>
  <c r="BI254"/>
  <c r="BJ254"/>
  <c r="N60"/>
  <c r="P105"/>
  <c r="Q136"/>
  <c r="AL186"/>
  <c r="AD184"/>
  <c r="AD182"/>
  <c r="AD173"/>
  <c r="AD12"/>
  <c r="Y215"/>
  <c r="AM216"/>
  <c r="V288"/>
  <c r="V285"/>
  <c r="AQ288"/>
  <c r="AQ285"/>
  <c r="BA288"/>
  <c r="BA285"/>
  <c r="AU320"/>
  <c r="BC320"/>
  <c r="O336"/>
  <c r="AE401"/>
  <c r="M242"/>
  <c r="M861"/>
  <c r="M860"/>
  <c r="M858"/>
  <c r="AF1001"/>
  <c r="O999"/>
  <c r="P1221"/>
  <c r="P1220"/>
  <c r="P1218"/>
  <c r="AW515"/>
  <c r="AW514"/>
  <c r="BH514"/>
  <c r="BI509"/>
  <c r="BJ509"/>
  <c r="BH516"/>
  <c r="W634"/>
  <c r="AS635"/>
  <c r="AG804"/>
  <c r="Q803"/>
  <c r="Q802"/>
  <c r="Q800"/>
  <c r="P860"/>
  <c r="AG860"/>
  <c r="AF1103"/>
  <c r="AE1103"/>
  <c r="AL1110"/>
  <c r="X1109"/>
  <c r="AM1109"/>
  <c r="AC105"/>
  <c r="Q114"/>
  <c r="AM119"/>
  <c r="W136"/>
  <c r="AT136"/>
  <c r="AG157"/>
  <c r="AS170"/>
  <c r="AW208"/>
  <c r="BD221"/>
  <c r="AM223"/>
  <c r="AW229"/>
  <c r="BI229"/>
  <c r="BJ229"/>
  <c r="AM231"/>
  <c r="AE232"/>
  <c r="M237"/>
  <c r="AE237"/>
  <c r="AQ251"/>
  <c r="BG251"/>
  <c r="AM255"/>
  <c r="AM256"/>
  <c r="AK258"/>
  <c r="AK263"/>
  <c r="AK268"/>
  <c r="BA265"/>
  <c r="BA260"/>
  <c r="AD281"/>
  <c r="AD276"/>
  <c r="BE281"/>
  <c r="BE276"/>
  <c r="AM296"/>
  <c r="BE320"/>
  <c r="AV320"/>
  <c r="BE325"/>
  <c r="AD336"/>
  <c r="AM372"/>
  <c r="AM462"/>
  <c r="AK1173"/>
  <c r="AS1173"/>
  <c r="L184"/>
  <c r="L182"/>
  <c r="L173"/>
  <c r="L12"/>
  <c r="AE217"/>
  <c r="AS215"/>
  <c r="BA215"/>
  <c r="BA206"/>
  <c r="AK241"/>
  <c r="AL242"/>
  <c r="AK243"/>
  <c r="AH254"/>
  <c r="AF255"/>
  <c r="AM257"/>
  <c r="N265"/>
  <c r="N260"/>
  <c r="AC325"/>
  <c r="Z365"/>
  <c r="AE402"/>
  <c r="BI421"/>
  <c r="BJ421"/>
  <c r="BH428"/>
  <c r="AV483"/>
  <c r="AQ482"/>
  <c r="O623"/>
  <c r="O240"/>
  <c r="AF240"/>
  <c r="AF624"/>
  <c r="AR761"/>
  <c r="V760"/>
  <c r="V759"/>
  <c r="V757"/>
  <c r="BH899"/>
  <c r="BI892"/>
  <c r="AW898"/>
  <c r="BH898"/>
  <c r="AL1204"/>
  <c r="X1199"/>
  <c r="AM1199"/>
  <c r="AG119"/>
  <c r="AE120"/>
  <c r="AE121"/>
  <c r="AS131"/>
  <c r="AV138"/>
  <c r="AU147"/>
  <c r="AK209"/>
  <c r="BG206"/>
  <c r="AF217"/>
  <c r="AB215"/>
  <c r="W221"/>
  <c r="AL225"/>
  <c r="AG231"/>
  <c r="AM233"/>
  <c r="AL243"/>
  <c r="BD251"/>
  <c r="AG257"/>
  <c r="AX265"/>
  <c r="AX260"/>
  <c r="BF265"/>
  <c r="BF260"/>
  <c r="BE288"/>
  <c r="BE285"/>
  <c r="N325"/>
  <c r="W325"/>
  <c r="AL331"/>
  <c r="X336"/>
  <c r="AF1075"/>
  <c r="X164"/>
  <c r="N208"/>
  <c r="N206"/>
  <c r="X208"/>
  <c r="L215"/>
  <c r="V215"/>
  <c r="BE215"/>
  <c r="AG217"/>
  <c r="O222"/>
  <c r="AF222"/>
  <c r="X221"/>
  <c r="AQ221"/>
  <c r="BF227"/>
  <c r="AK231"/>
  <c r="O243"/>
  <c r="AK244"/>
  <c r="AM252"/>
  <c r="AX288"/>
  <c r="AX285"/>
  <c r="BF288"/>
  <c r="BF285"/>
  <c r="AX298"/>
  <c r="BF298"/>
  <c r="AV298"/>
  <c r="BD298"/>
  <c r="AK321"/>
  <c r="BA336"/>
  <c r="BA318"/>
  <c r="BA311"/>
  <c r="W745"/>
  <c r="BI938"/>
  <c r="BJ938"/>
  <c r="BH945"/>
  <c r="BH1106"/>
  <c r="BI1099"/>
  <c r="M1174"/>
  <c r="M1173"/>
  <c r="AE1175"/>
  <c r="AQ1199"/>
  <c r="AD164"/>
  <c r="V177"/>
  <c r="AR177"/>
  <c r="AF225"/>
  <c r="AL229"/>
  <c r="AH233"/>
  <c r="O238"/>
  <c r="AF238"/>
  <c r="O244"/>
  <c r="AE244"/>
  <c r="AL266"/>
  <c r="N276"/>
  <c r="BG295"/>
  <c r="BG294"/>
  <c r="AQ298"/>
  <c r="AY298"/>
  <c r="BG298"/>
  <c r="AD298"/>
  <c r="BI300"/>
  <c r="BJ300"/>
  <c r="BE298"/>
  <c r="BB320"/>
  <c r="AK323"/>
  <c r="AG327"/>
  <c r="N336"/>
  <c r="AS336"/>
  <c r="BB336"/>
  <c r="W336"/>
  <c r="AG367"/>
  <c r="BH404"/>
  <c r="BH465"/>
  <c r="BI458"/>
  <c r="BJ458"/>
  <c r="AF687"/>
  <c r="O686"/>
  <c r="AF686"/>
  <c r="AM1118"/>
  <c r="Y1116"/>
  <c r="AE257"/>
  <c r="AV576"/>
  <c r="AV309"/>
  <c r="AV308"/>
  <c r="AG594"/>
  <c r="AM728"/>
  <c r="Q731"/>
  <c r="AH731"/>
  <c r="Z745"/>
  <c r="AG784"/>
  <c r="AT899"/>
  <c r="AT898"/>
  <c r="N969"/>
  <c r="AV993"/>
  <c r="AE1002"/>
  <c r="L1014"/>
  <c r="AM1039"/>
  <c r="AV1061"/>
  <c r="AA237"/>
  <c r="AM1110"/>
  <c r="AH1138"/>
  <c r="AR1155"/>
  <c r="AF1165"/>
  <c r="N1199"/>
  <c r="N1198"/>
  <c r="N1196"/>
  <c r="AM1204"/>
  <c r="AE429"/>
  <c r="AS452"/>
  <c r="AD461"/>
  <c r="AD460"/>
  <c r="AD458"/>
  <c r="BH493"/>
  <c r="X541"/>
  <c r="X540"/>
  <c r="X538"/>
  <c r="AU576"/>
  <c r="AU309"/>
  <c r="AU308"/>
  <c r="AR576"/>
  <c r="AR309"/>
  <c r="AR308"/>
  <c r="O644"/>
  <c r="R659"/>
  <c r="AR721"/>
  <c r="P745"/>
  <c r="AH776"/>
  <c r="X784"/>
  <c r="AU838"/>
  <c r="N836"/>
  <c r="N834"/>
  <c r="N825"/>
  <c r="L836"/>
  <c r="L834"/>
  <c r="L825"/>
  <c r="O862"/>
  <c r="O861"/>
  <c r="AW941"/>
  <c r="Z969"/>
  <c r="BI990"/>
  <c r="O1078"/>
  <c r="O1073"/>
  <c r="AE1111"/>
  <c r="O1149"/>
  <c r="AF1149"/>
  <c r="AV1155"/>
  <c r="BI1188"/>
  <c r="BJ1188"/>
  <c r="O1200"/>
  <c r="AE1200"/>
  <c r="BI1195"/>
  <c r="BJ1195"/>
  <c r="P461"/>
  <c r="P460"/>
  <c r="P458"/>
  <c r="AG458"/>
  <c r="AS469"/>
  <c r="BH486"/>
  <c r="BH263"/>
  <c r="BH262"/>
  <c r="AE490"/>
  <c r="BH518"/>
  <c r="AL576"/>
  <c r="AT576"/>
  <c r="AT309"/>
  <c r="AT308"/>
  <c r="AC602"/>
  <c r="AU620"/>
  <c r="AL669"/>
  <c r="AH692"/>
  <c r="AT721"/>
  <c r="AG955"/>
  <c r="AU956"/>
  <c r="AH1047"/>
  <c r="AE1076"/>
  <c r="BI1085"/>
  <c r="AH1149"/>
  <c r="M1149"/>
  <c r="AK1174"/>
  <c r="BH437"/>
  <c r="M447"/>
  <c r="Y447"/>
  <c r="AU455"/>
  <c r="AM543"/>
  <c r="AK583"/>
  <c r="AM607"/>
  <c r="AV686"/>
  <c r="AS731"/>
  <c r="AV731"/>
  <c r="AC775"/>
  <c r="AT806"/>
  <c r="AT805"/>
  <c r="AT804"/>
  <c r="AD939"/>
  <c r="AD938"/>
  <c r="AD937"/>
  <c r="AD935"/>
  <c r="AL956"/>
  <c r="AL981"/>
  <c r="AG996"/>
  <c r="AG1016"/>
  <c r="AE1031"/>
  <c r="BI1033"/>
  <c r="AM1081"/>
  <c r="AS1123"/>
  <c r="AE1124"/>
  <c r="AM1141"/>
  <c r="BH1142"/>
  <c r="AG1144"/>
  <c r="BH1156"/>
  <c r="AL1174"/>
  <c r="AS1174"/>
  <c r="BH1182"/>
  <c r="BI1178"/>
  <c r="BJ1178"/>
  <c r="AV1191"/>
  <c r="AV1204"/>
  <c r="AE441"/>
  <c r="R447"/>
  <c r="R415"/>
  <c r="R413"/>
  <c r="AL485"/>
  <c r="AV488"/>
  <c r="AR515"/>
  <c r="AR514"/>
  <c r="AR513"/>
  <c r="AR512"/>
  <c r="BJ517"/>
  <c r="AE562"/>
  <c r="AM663"/>
  <c r="AL686"/>
  <c r="AT714"/>
  <c r="AF715"/>
  <c r="AM721"/>
  <c r="AL731"/>
  <c r="AG732"/>
  <c r="Q745"/>
  <c r="AT769"/>
  <c r="AM883"/>
  <c r="AM956"/>
  <c r="AV996"/>
  <c r="M1039"/>
  <c r="AE1150"/>
  <c r="AE1171"/>
  <c r="AT1174"/>
  <c r="S1199"/>
  <c r="S1198"/>
  <c r="S1196"/>
  <c r="AD1199"/>
  <c r="AD1198"/>
  <c r="AD1196"/>
  <c r="P1210"/>
  <c r="P1209"/>
  <c r="Z1210"/>
  <c r="Z1209"/>
  <c r="Z1207"/>
  <c r="AT337"/>
  <c r="AT336"/>
  <c r="AG462"/>
  <c r="AR488"/>
  <c r="O269"/>
  <c r="AF269"/>
  <c r="AT269"/>
  <c r="AT265"/>
  <c r="AT260"/>
  <c r="W507"/>
  <c r="AT507"/>
  <c r="AG556"/>
  <c r="AS576"/>
  <c r="AS309"/>
  <c r="AS308"/>
  <c r="AE588"/>
  <c r="Y309"/>
  <c r="Y308"/>
  <c r="BH626"/>
  <c r="BH627"/>
  <c r="R643"/>
  <c r="R642"/>
  <c r="AH797"/>
  <c r="AH999"/>
  <c r="AU1024"/>
  <c r="AM1054"/>
  <c r="AD1073"/>
  <c r="V1085"/>
  <c r="R1085"/>
  <c r="AL1105"/>
  <c r="AS1105"/>
  <c r="AU1118"/>
  <c r="BI1114"/>
  <c r="AV1149"/>
  <c r="BI1146"/>
  <c r="BJ1146"/>
  <c r="BH1184"/>
  <c r="Q1210"/>
  <c r="Q1209"/>
  <c r="AR409"/>
  <c r="BH453"/>
  <c r="BH303"/>
  <c r="BH302"/>
  <c r="AE463"/>
  <c r="AM485"/>
  <c r="AU269"/>
  <c r="AD541"/>
  <c r="AD540"/>
  <c r="AD538"/>
  <c r="AE557"/>
  <c r="AG576"/>
  <c r="AG623"/>
  <c r="AH623"/>
  <c r="L643"/>
  <c r="L642"/>
  <c r="AQ643"/>
  <c r="AQ642"/>
  <c r="AS683"/>
  <c r="W692"/>
  <c r="AK692"/>
  <c r="AL693"/>
  <c r="AS748"/>
  <c r="AD836"/>
  <c r="AD834"/>
  <c r="AD825"/>
  <c r="AF846"/>
  <c r="AU947"/>
  <c r="AU290"/>
  <c r="AE957"/>
  <c r="S990"/>
  <c r="S988"/>
  <c r="AL1024"/>
  <c r="AV1047"/>
  <c r="AC1073"/>
  <c r="AH1073"/>
  <c r="AE1098"/>
  <c r="AE1099"/>
  <c r="AT1105"/>
  <c r="AU1204"/>
  <c r="AM1222"/>
  <c r="S299"/>
  <c r="S300"/>
  <c r="S322"/>
  <c r="AA248"/>
  <c r="AA247"/>
  <c r="AA222"/>
  <c r="AA244"/>
  <c r="AA337"/>
  <c r="AA336"/>
  <c r="AA229"/>
  <c r="AA254"/>
  <c r="S242"/>
  <c r="R46"/>
  <c r="R11"/>
  <c r="R13"/>
  <c r="AS81"/>
  <c r="AT81"/>
  <c r="AG147"/>
  <c r="AF232"/>
  <c r="AG232"/>
  <c r="L251"/>
  <c r="W340"/>
  <c r="AG160"/>
  <c r="AK213"/>
  <c r="W212"/>
  <c r="AK212"/>
  <c r="AH217"/>
  <c r="AG138"/>
  <c r="AG210"/>
  <c r="AE100"/>
  <c r="AV177"/>
  <c r="AQ175"/>
  <c r="AV175"/>
  <c r="M189"/>
  <c r="AE189"/>
  <c r="AE190"/>
  <c r="AG225"/>
  <c r="AH231"/>
  <c r="AD251"/>
  <c r="AH210"/>
  <c r="AC208"/>
  <c r="AH237"/>
  <c r="AG237"/>
  <c r="AZ131"/>
  <c r="AV131"/>
  <c r="AL164"/>
  <c r="AK334"/>
  <c r="R333"/>
  <c r="AK333"/>
  <c r="AU52"/>
  <c r="AW52"/>
  <c r="AV52"/>
  <c r="AL52"/>
  <c r="AS82"/>
  <c r="AT115"/>
  <c r="AK115"/>
  <c r="AU115"/>
  <c r="AV115"/>
  <c r="AL131"/>
  <c r="L134"/>
  <c r="O170"/>
  <c r="AF170"/>
  <c r="AF171"/>
  <c r="O186"/>
  <c r="O184"/>
  <c r="O182"/>
  <c r="AF187"/>
  <c r="AB227"/>
  <c r="AE420"/>
  <c r="O241"/>
  <c r="BH429"/>
  <c r="AW255"/>
  <c r="BI255"/>
  <c r="BJ255"/>
  <c r="AR543"/>
  <c r="AR232"/>
  <c r="V541"/>
  <c r="V232"/>
  <c r="V227"/>
  <c r="P251"/>
  <c r="AG252"/>
  <c r="AL213"/>
  <c r="AE64"/>
  <c r="AF64"/>
  <c r="AT71"/>
  <c r="W69"/>
  <c r="AT69"/>
  <c r="AK71"/>
  <c r="AL82"/>
  <c r="AK82"/>
  <c r="AU82"/>
  <c r="AT82"/>
  <c r="AM115"/>
  <c r="X114"/>
  <c r="X103"/>
  <c r="AF161"/>
  <c r="AE161"/>
  <c r="O175"/>
  <c r="BD227"/>
  <c r="AF101"/>
  <c r="AE101"/>
  <c r="O141"/>
  <c r="AF143"/>
  <c r="AE143"/>
  <c r="AL238"/>
  <c r="AL71"/>
  <c r="AS106"/>
  <c r="AM153"/>
  <c r="O166"/>
  <c r="AF166"/>
  <c r="AF167"/>
  <c r="Q208"/>
  <c r="BC208"/>
  <c r="AC215"/>
  <c r="V221"/>
  <c r="AH223"/>
  <c r="Q221"/>
  <c r="X251"/>
  <c r="AL252"/>
  <c r="BA251"/>
  <c r="AH390"/>
  <c r="AF410"/>
  <c r="O409"/>
  <c r="AE409"/>
  <c r="AE410"/>
  <c r="O254"/>
  <c r="AL258"/>
  <c r="AR397"/>
  <c r="BJ536"/>
  <c r="AV543"/>
  <c r="AV232"/>
  <c r="AG797"/>
  <c r="Q796"/>
  <c r="AS52"/>
  <c r="AF57"/>
  <c r="S60"/>
  <c r="S50"/>
  <c r="AF66"/>
  <c r="AU66"/>
  <c r="AS71"/>
  <c r="AC79"/>
  <c r="AH79"/>
  <c r="AE99"/>
  <c r="V114"/>
  <c r="AR114"/>
  <c r="AF121"/>
  <c r="AE132"/>
  <c r="O138"/>
  <c r="AF138"/>
  <c r="AH138"/>
  <c r="W145"/>
  <c r="AS145"/>
  <c r="AR147"/>
  <c r="AT170"/>
  <c r="M184"/>
  <c r="AZ227"/>
  <c r="AD227"/>
  <c r="AQ232"/>
  <c r="AQ227"/>
  <c r="AK233"/>
  <c r="AK252"/>
  <c r="AZ251"/>
  <c r="W265"/>
  <c r="AQ325"/>
  <c r="BG325"/>
  <c r="AK376"/>
  <c r="AS376"/>
  <c r="Q382"/>
  <c r="Q364"/>
  <c r="AG384"/>
  <c r="AH384"/>
  <c r="AC382"/>
  <c r="AC364"/>
  <c r="AC362"/>
  <c r="AL1062"/>
  <c r="X1061"/>
  <c r="AM1061"/>
  <c r="AM1062"/>
  <c r="R382"/>
  <c r="AR390"/>
  <c r="AM52"/>
  <c r="T60"/>
  <c r="T50"/>
  <c r="AM71"/>
  <c r="AG91"/>
  <c r="AG98"/>
  <c r="N105"/>
  <c r="M105"/>
  <c r="M119"/>
  <c r="M114"/>
  <c r="AK138"/>
  <c r="AS141"/>
  <c r="AE148"/>
  <c r="AE155"/>
  <c r="AS157"/>
  <c r="AS166"/>
  <c r="W177"/>
  <c r="AS186"/>
  <c r="P184"/>
  <c r="P182"/>
  <c r="P173"/>
  <c r="P12"/>
  <c r="V208"/>
  <c r="AM213"/>
  <c r="BC227"/>
  <c r="AL230"/>
  <c r="AM238"/>
  <c r="AH245"/>
  <c r="AH255"/>
  <c r="AL256"/>
  <c r="AH257"/>
  <c r="AL290"/>
  <c r="X288"/>
  <c r="AM288"/>
  <c r="P365"/>
  <c r="AE428"/>
  <c r="AF428"/>
  <c r="O769"/>
  <c r="O768"/>
  <c r="O767"/>
  <c r="O765"/>
  <c r="O321"/>
  <c r="AC796"/>
  <c r="AC795"/>
  <c r="BF325"/>
  <c r="AH52"/>
  <c r="AU71"/>
  <c r="AQ79"/>
  <c r="O105"/>
  <c r="V136"/>
  <c r="AR136"/>
  <c r="BE221"/>
  <c r="BI238"/>
  <c r="BJ238"/>
  <c r="L265"/>
  <c r="L260"/>
  <c r="BI306"/>
  <c r="BJ306"/>
  <c r="AW305"/>
  <c r="BI305"/>
  <c r="BJ305"/>
  <c r="AF369"/>
  <c r="AE369"/>
  <c r="Q416"/>
  <c r="AG418"/>
  <c r="AH418"/>
  <c r="AF427"/>
  <c r="AE427"/>
  <c r="BB513"/>
  <c r="BB512"/>
  <c r="BB295"/>
  <c r="BB294"/>
  <c r="W295"/>
  <c r="P538"/>
  <c r="Q635"/>
  <c r="Q634"/>
  <c r="Q309"/>
  <c r="AC635"/>
  <c r="AC634"/>
  <c r="AC309"/>
  <c r="AQ654"/>
  <c r="BJ647"/>
  <c r="BJ648"/>
  <c r="AS669"/>
  <c r="V668"/>
  <c r="AS668"/>
  <c r="Y726"/>
  <c r="L320"/>
  <c r="AK52"/>
  <c r="AE54"/>
  <c r="AV71"/>
  <c r="P114"/>
  <c r="AD114"/>
  <c r="AD103"/>
  <c r="AM125"/>
  <c r="N136"/>
  <c r="N134"/>
  <c r="AF148"/>
  <c r="AF155"/>
  <c r="AL157"/>
  <c r="AL160"/>
  <c r="W208"/>
  <c r="AG213"/>
  <c r="AH213"/>
  <c r="AZ215"/>
  <c r="AZ206"/>
  <c r="AM222"/>
  <c r="AF224"/>
  <c r="AM224"/>
  <c r="AG230"/>
  <c r="AM239"/>
  <c r="BI239"/>
  <c r="BJ239"/>
  <c r="AG241"/>
  <c r="AZ236"/>
  <c r="AL244"/>
  <c r="AG258"/>
  <c r="V265"/>
  <c r="V260"/>
  <c r="AH289"/>
  <c r="AC288"/>
  <c r="BI391"/>
  <c r="BJ391"/>
  <c r="BH398"/>
  <c r="R635"/>
  <c r="R634"/>
  <c r="R309"/>
  <c r="R308"/>
  <c r="AD635"/>
  <c r="AD634"/>
  <c r="AD309"/>
  <c r="AD308"/>
  <c r="AT720"/>
  <c r="W719"/>
  <c r="AT719"/>
  <c r="P294"/>
  <c r="AF296"/>
  <c r="AD382"/>
  <c r="AM776"/>
  <c r="Y775"/>
  <c r="AM775"/>
  <c r="T16"/>
  <c r="AE56"/>
  <c r="AH62"/>
  <c r="AU62"/>
  <c r="AL66"/>
  <c r="AC69"/>
  <c r="AE72"/>
  <c r="AS86"/>
  <c r="AU91"/>
  <c r="AS94"/>
  <c r="Y94"/>
  <c r="AG106"/>
  <c r="AF120"/>
  <c r="AH125"/>
  <c r="AL138"/>
  <c r="AE139"/>
  <c r="AH141"/>
  <c r="AT141"/>
  <c r="AM145"/>
  <c r="AE151"/>
  <c r="AU160"/>
  <c r="AH166"/>
  <c r="AM170"/>
  <c r="AU170"/>
  <c r="M178"/>
  <c r="M177"/>
  <c r="M175"/>
  <c r="N184"/>
  <c r="N182"/>
  <c r="N173"/>
  <c r="N12"/>
  <c r="AU186"/>
  <c r="AM209"/>
  <c r="AE210"/>
  <c r="AC212"/>
  <c r="X215"/>
  <c r="AB221"/>
  <c r="AG224"/>
  <c r="AE225"/>
  <c r="AK225"/>
  <c r="N227"/>
  <c r="W227"/>
  <c r="L232"/>
  <c r="L227"/>
  <c r="AK238"/>
  <c r="BI247"/>
  <c r="BJ247"/>
  <c r="M255"/>
  <c r="AE255"/>
  <c r="BI379"/>
  <c r="BJ379"/>
  <c r="BH386"/>
  <c r="AC416"/>
  <c r="AR426"/>
  <c r="M567"/>
  <c r="M566"/>
  <c r="M564"/>
  <c r="AE55"/>
  <c r="AF56"/>
  <c r="AQ60"/>
  <c r="AW60"/>
  <c r="Q60"/>
  <c r="AD60"/>
  <c r="AL91"/>
  <c r="AV91"/>
  <c r="L94"/>
  <c r="M98"/>
  <c r="M94"/>
  <c r="L114"/>
  <c r="O147"/>
  <c r="AE147"/>
  <c r="AT166"/>
  <c r="AH209"/>
  <c r="Q212"/>
  <c r="AG212"/>
  <c r="Q215"/>
  <c r="AG215"/>
  <c r="AH216"/>
  <c r="AL217"/>
  <c r="R221"/>
  <c r="AH222"/>
  <c r="AK223"/>
  <c r="AE229"/>
  <c r="AH230"/>
  <c r="BA227"/>
  <c r="M227"/>
  <c r="P227"/>
  <c r="AG238"/>
  <c r="AH242"/>
  <c r="V251"/>
  <c r="AG254"/>
  <c r="AD320"/>
  <c r="AM337"/>
  <c r="AK367"/>
  <c r="W365"/>
  <c r="AT367"/>
  <c r="AT426"/>
  <c r="N593"/>
  <c r="N592"/>
  <c r="N590"/>
  <c r="N309"/>
  <c r="N308"/>
  <c r="BJ606"/>
  <c r="AQ612"/>
  <c r="AE268"/>
  <c r="AM268"/>
  <c r="AL269"/>
  <c r="AG296"/>
  <c r="AH296"/>
  <c r="AM299"/>
  <c r="L298"/>
  <c r="AL321"/>
  <c r="AM327"/>
  <c r="V325"/>
  <c r="AD325"/>
  <c r="BI329"/>
  <c r="BJ329"/>
  <c r="P333"/>
  <c r="AG333"/>
  <c r="AL338"/>
  <c r="AV367"/>
  <c r="AH372"/>
  <c r="AU376"/>
  <c r="AS397"/>
  <c r="AK397"/>
  <c r="AE422"/>
  <c r="AF433"/>
  <c r="AE433"/>
  <c r="AG460"/>
  <c r="AE569"/>
  <c r="O568"/>
  <c r="AE568"/>
  <c r="AF569"/>
  <c r="AC590"/>
  <c r="P881"/>
  <c r="P880"/>
  <c r="AY882"/>
  <c r="BH882"/>
  <c r="BI876"/>
  <c r="BH883"/>
  <c r="X898"/>
  <c r="X897"/>
  <c r="AL899"/>
  <c r="P265"/>
  <c r="AZ320"/>
  <c r="AB325"/>
  <c r="M325"/>
  <c r="L325"/>
  <c r="Y336"/>
  <c r="O367"/>
  <c r="AF367"/>
  <c r="AK372"/>
  <c r="AM376"/>
  <c r="AS390"/>
  <c r="AK390"/>
  <c r="BH391"/>
  <c r="BH400"/>
  <c r="AS409"/>
  <c r="AK409"/>
  <c r="AU418"/>
  <c r="AL426"/>
  <c r="AV426"/>
  <c r="AS462"/>
  <c r="V461"/>
  <c r="BH489"/>
  <c r="AR568"/>
  <c r="R564"/>
  <c r="AV568"/>
  <c r="R567"/>
  <c r="AD564"/>
  <c r="AD567"/>
  <c r="AD566"/>
  <c r="AQ606"/>
  <c r="BJ600"/>
  <c r="AR692"/>
  <c r="V691"/>
  <c r="AR691"/>
  <c r="AQ713"/>
  <c r="AV714"/>
  <c r="AU837"/>
  <c r="AL845"/>
  <c r="X844"/>
  <c r="AL844"/>
  <c r="AC265"/>
  <c r="AS276"/>
  <c r="AZ281"/>
  <c r="AZ276"/>
  <c r="AR298"/>
  <c r="AZ298"/>
  <c r="BH298"/>
  <c r="AL306"/>
  <c r="AB320"/>
  <c r="R325"/>
  <c r="AH327"/>
  <c r="P336"/>
  <c r="AU336"/>
  <c r="BC336"/>
  <c r="N365"/>
  <c r="N364"/>
  <c r="N362"/>
  <c r="AV397"/>
  <c r="AG461"/>
  <c r="AK462"/>
  <c r="W461"/>
  <c r="W460"/>
  <c r="AL460"/>
  <c r="BI555"/>
  <c r="BJ555"/>
  <c r="BH562"/>
  <c r="AG575"/>
  <c r="Q574"/>
  <c r="AL263"/>
  <c r="BE265"/>
  <c r="BE260"/>
  <c r="AG269"/>
  <c r="AH269"/>
  <c r="AB294"/>
  <c r="BE294"/>
  <c r="AC298"/>
  <c r="O298"/>
  <c r="X298"/>
  <c r="AM298"/>
  <c r="AL302"/>
  <c r="AL303"/>
  <c r="Q320"/>
  <c r="P320"/>
  <c r="AL334"/>
  <c r="AV372"/>
  <c r="BH377"/>
  <c r="AM390"/>
  <c r="AV390"/>
  <c r="AE394"/>
  <c r="O397"/>
  <c r="AF397"/>
  <c r="BI394"/>
  <c r="BJ394"/>
  <c r="AM409"/>
  <c r="AV409"/>
  <c r="AM418"/>
  <c r="AS418"/>
  <c r="BH420"/>
  <c r="AE430"/>
  <c r="AF489"/>
  <c r="AE489"/>
  <c r="P507"/>
  <c r="Q514"/>
  <c r="AG515"/>
  <c r="AH556"/>
  <c r="AC541"/>
  <c r="BI569"/>
  <c r="M576"/>
  <c r="M575"/>
  <c r="M574"/>
  <c r="AF579"/>
  <c r="AE579"/>
  <c r="AU583"/>
  <c r="AQ582"/>
  <c r="BI580"/>
  <c r="BJ580"/>
  <c r="BH587"/>
  <c r="BH323"/>
  <c r="AK621"/>
  <c r="BI274"/>
  <c r="BJ274"/>
  <c r="BC288"/>
  <c r="BC285"/>
  <c r="BI299"/>
  <c r="BJ299"/>
  <c r="BI321"/>
  <c r="BJ321"/>
  <c r="N320"/>
  <c r="AV325"/>
  <c r="BD325"/>
  <c r="BC325"/>
  <c r="AG331"/>
  <c r="AH331"/>
  <c r="V336"/>
  <c r="AQ336"/>
  <c r="AY336"/>
  <c r="BG336"/>
  <c r="M367"/>
  <c r="M365"/>
  <c r="AL372"/>
  <c r="AU372"/>
  <c r="BH373"/>
  <c r="AH376"/>
  <c r="AS384"/>
  <c r="Z382"/>
  <c r="AE393"/>
  <c r="AU397"/>
  <c r="W416"/>
  <c r="BH419"/>
  <c r="AE470"/>
  <c r="O469"/>
  <c r="AE469"/>
  <c r="AH508"/>
  <c r="Q507"/>
  <c r="AG508"/>
  <c r="V564"/>
  <c r="AS564"/>
  <c r="X566"/>
  <c r="AH576"/>
  <c r="AC575"/>
  <c r="AL583"/>
  <c r="X582"/>
  <c r="X581"/>
  <c r="AH686"/>
  <c r="AV806"/>
  <c r="AV805"/>
  <c r="AV804"/>
  <c r="AM262"/>
  <c r="AD265"/>
  <c r="AD260"/>
  <c r="AB281"/>
  <c r="AB276"/>
  <c r="BC281"/>
  <c r="BC276"/>
  <c r="AM303"/>
  <c r="AX320"/>
  <c r="BF320"/>
  <c r="BF318"/>
  <c r="BF311"/>
  <c r="AC320"/>
  <c r="AM323"/>
  <c r="Q325"/>
  <c r="AK337"/>
  <c r="AE388"/>
  <c r="AE403"/>
  <c r="Y382"/>
  <c r="O418"/>
  <c r="AE418"/>
  <c r="M426"/>
  <c r="M416"/>
  <c r="AT488"/>
  <c r="AU488"/>
  <c r="AS488"/>
  <c r="AK488"/>
  <c r="AD572"/>
  <c r="AM583"/>
  <c r="Y582"/>
  <c r="Y572"/>
  <c r="X726"/>
  <c r="AL728"/>
  <c r="W727"/>
  <c r="AU728"/>
  <c r="AV728"/>
  <c r="AK449"/>
  <c r="AS455"/>
  <c r="AH461"/>
  <c r="AL462"/>
  <c r="AK469"/>
  <c r="O488"/>
  <c r="AF488"/>
  <c r="BJ493"/>
  <c r="AM507"/>
  <c r="AD505"/>
  <c r="AD503"/>
  <c r="AD495"/>
  <c r="R505"/>
  <c r="R503"/>
  <c r="R495"/>
  <c r="AV515"/>
  <c r="AV514"/>
  <c r="AR556"/>
  <c r="AE559"/>
  <c r="AL564"/>
  <c r="AC567"/>
  <c r="AC566"/>
  <c r="AT568"/>
  <c r="X575"/>
  <c r="X574"/>
  <c r="AE577"/>
  <c r="Q593"/>
  <c r="AH593"/>
  <c r="L602"/>
  <c r="AM613"/>
  <c r="AV692"/>
  <c r="AQ691"/>
  <c r="AV691"/>
  <c r="AL714"/>
  <c r="X713"/>
  <c r="X719"/>
  <c r="AM719"/>
  <c r="AL720"/>
  <c r="BJ746"/>
  <c r="AQ752"/>
  <c r="BJ745"/>
  <c r="Z772"/>
  <c r="AU785"/>
  <c r="AU784"/>
  <c r="AU782"/>
  <c r="N792"/>
  <c r="AM449"/>
  <c r="AT449"/>
  <c r="AM455"/>
  <c r="AU462"/>
  <c r="AL469"/>
  <c r="AU469"/>
  <c r="M488"/>
  <c r="M483"/>
  <c r="M482"/>
  <c r="M480"/>
  <c r="M479"/>
  <c r="AL556"/>
  <c r="AV556"/>
  <c r="Y564"/>
  <c r="AM564"/>
  <c r="AK576"/>
  <c r="AR581"/>
  <c r="R593"/>
  <c r="AR593"/>
  <c r="AH594"/>
  <c r="AS621"/>
  <c r="V620"/>
  <c r="V618"/>
  <c r="AS618"/>
  <c r="P682"/>
  <c r="P681"/>
  <c r="P679"/>
  <c r="AM714"/>
  <c r="Y713"/>
  <c r="AM741"/>
  <c r="Y740"/>
  <c r="N745"/>
  <c r="AK769"/>
  <c r="R768"/>
  <c r="R767"/>
  <c r="AT767"/>
  <c r="AF785"/>
  <c r="AK863"/>
  <c r="W862"/>
  <c r="W861"/>
  <c r="W860"/>
  <c r="W858"/>
  <c r="AS858"/>
  <c r="Y461"/>
  <c r="AT469"/>
  <c r="AK508"/>
  <c r="L572"/>
  <c r="Z602"/>
  <c r="AL621"/>
  <c r="Q682"/>
  <c r="AG683"/>
  <c r="AH683"/>
  <c r="AC689"/>
  <c r="AH689"/>
  <c r="AH691"/>
  <c r="AE948"/>
  <c r="O947"/>
  <c r="AF947"/>
  <c r="AF948"/>
  <c r="AE1047"/>
  <c r="O1046"/>
  <c r="AE1046"/>
  <c r="AM1047"/>
  <c r="Y1046"/>
  <c r="AD447"/>
  <c r="AL508"/>
  <c r="AM556"/>
  <c r="X593"/>
  <c r="AL593"/>
  <c r="P602"/>
  <c r="AL622"/>
  <c r="AF626"/>
  <c r="AE626"/>
  <c r="AU731"/>
  <c r="AU748"/>
  <c r="AQ747"/>
  <c r="AU747"/>
  <c r="AF778"/>
  <c r="AE778"/>
  <c r="AR803"/>
  <c r="V802"/>
  <c r="V800"/>
  <c r="AF806"/>
  <c r="AG947"/>
  <c r="Q939"/>
  <c r="AH947"/>
  <c r="AC969"/>
  <c r="AC967"/>
  <c r="R969"/>
  <c r="R967"/>
  <c r="AR1191"/>
  <c r="V1190"/>
  <c r="V1189"/>
  <c r="V1187"/>
  <c r="AE436"/>
  <c r="AE440"/>
  <c r="AH462"/>
  <c r="AU485"/>
  <c r="AH488"/>
  <c r="AM508"/>
  <c r="O508"/>
  <c r="O507"/>
  <c r="BJ525"/>
  <c r="Q541"/>
  <c r="AG541"/>
  <c r="O556"/>
  <c r="O541"/>
  <c r="BH557"/>
  <c r="AR583"/>
  <c r="BH584"/>
  <c r="BH322"/>
  <c r="L727"/>
  <c r="L726"/>
  <c r="L724"/>
  <c r="AM731"/>
  <c r="AL749"/>
  <c r="X748"/>
  <c r="AV776"/>
  <c r="AQ775"/>
  <c r="AV775"/>
  <c r="AK785"/>
  <c r="BI791"/>
  <c r="BJ791"/>
  <c r="BH798"/>
  <c r="V969"/>
  <c r="V967"/>
  <c r="N1014"/>
  <c r="N1013"/>
  <c r="N1011"/>
  <c r="AM1016"/>
  <c r="Y1014"/>
  <c r="BI1015"/>
  <c r="BH1022"/>
  <c r="AF1110"/>
  <c r="P1109"/>
  <c r="AU452"/>
  <c r="AT462"/>
  <c r="V483"/>
  <c r="AS485"/>
  <c r="AF486"/>
  <c r="O515"/>
  <c r="AS515"/>
  <c r="AS514"/>
  <c r="AS513"/>
  <c r="AS512"/>
  <c r="BJ516"/>
  <c r="AE558"/>
  <c r="Y567"/>
  <c r="L590"/>
  <c r="R602"/>
  <c r="AU621"/>
  <c r="BH636"/>
  <c r="AG691"/>
  <c r="AQ719"/>
  <c r="AV720"/>
  <c r="AM749"/>
  <c r="Y748"/>
  <c r="R759"/>
  <c r="R757"/>
  <c r="AR777"/>
  <c r="V776"/>
  <c r="AQ844"/>
  <c r="AU844"/>
  <c r="AU845"/>
  <c r="AE883"/>
  <c r="O882"/>
  <c r="AE882"/>
  <c r="BI629"/>
  <c r="AR644"/>
  <c r="AF648"/>
  <c r="AM693"/>
  <c r="V720"/>
  <c r="AF722"/>
  <c r="M745"/>
  <c r="W784"/>
  <c r="W782"/>
  <c r="W780"/>
  <c r="AU780"/>
  <c r="BI778"/>
  <c r="AV838"/>
  <c r="R837"/>
  <c r="AV837"/>
  <c r="AV863"/>
  <c r="AQ862"/>
  <c r="AV862"/>
  <c r="AM981"/>
  <c r="Y980"/>
  <c r="Y979"/>
  <c r="Y977"/>
  <c r="Y976"/>
  <c r="AV1039"/>
  <c r="AU1039"/>
  <c r="AL1047"/>
  <c r="X1046"/>
  <c r="AL1046"/>
  <c r="AK1062"/>
  <c r="W1061"/>
  <c r="AU1061"/>
  <c r="AG1123"/>
  <c r="Q1116"/>
  <c r="AL1149"/>
  <c r="X1148"/>
  <c r="AE625"/>
  <c r="AR623"/>
  <c r="AL644"/>
  <c r="AF670"/>
  <c r="AD682"/>
  <c r="AD681"/>
  <c r="AD679"/>
  <c r="X692"/>
  <c r="AG693"/>
  <c r="W713"/>
  <c r="AK713"/>
  <c r="AM720"/>
  <c r="Z727"/>
  <c r="Z726"/>
  <c r="Z724"/>
  <c r="V745"/>
  <c r="AS777"/>
  <c r="AK777"/>
  <c r="AD792"/>
  <c r="AR831"/>
  <c r="AM845"/>
  <c r="Y844"/>
  <c r="AL863"/>
  <c r="AM891"/>
  <c r="Y890"/>
  <c r="AF898"/>
  <c r="P897"/>
  <c r="AG897"/>
  <c r="P951"/>
  <c r="AH996"/>
  <c r="AF1106"/>
  <c r="O1105"/>
  <c r="AE1105"/>
  <c r="AE1106"/>
  <c r="AK636"/>
  <c r="Y692"/>
  <c r="AL777"/>
  <c r="AT796"/>
  <c r="AK806"/>
  <c r="AL806"/>
  <c r="X967"/>
  <c r="X969"/>
  <c r="AV1174"/>
  <c r="AQ1173"/>
  <c r="AU1174"/>
  <c r="W682"/>
  <c r="AL721"/>
  <c r="M727"/>
  <c r="M726"/>
  <c r="M724"/>
  <c r="BH763"/>
  <c r="AL769"/>
  <c r="AU769"/>
  <c r="AV777"/>
  <c r="AK796"/>
  <c r="AK797"/>
  <c r="AF805"/>
  <c r="AM806"/>
  <c r="AL820"/>
  <c r="AK831"/>
  <c r="AT831"/>
  <c r="AU831"/>
  <c r="AV899"/>
  <c r="AV898"/>
  <c r="AC951"/>
  <c r="AF956"/>
  <c r="O955"/>
  <c r="O954"/>
  <c r="AF954"/>
  <c r="AU999"/>
  <c r="AT999"/>
  <c r="AS999"/>
  <c r="AK999"/>
  <c r="AR1075"/>
  <c r="V1073"/>
  <c r="AG1091"/>
  <c r="BI1194"/>
  <c r="BJ1194"/>
  <c r="BH1201"/>
  <c r="BH1205"/>
  <c r="BH625"/>
  <c r="Q659"/>
  <c r="L682"/>
  <c r="L681"/>
  <c r="L679"/>
  <c r="AG720"/>
  <c r="AK761"/>
  <c r="AU761"/>
  <c r="W765"/>
  <c r="AU777"/>
  <c r="AD772"/>
  <c r="AL797"/>
  <c r="AG805"/>
  <c r="AM820"/>
  <c r="AL830"/>
  <c r="AL831"/>
  <c r="AS831"/>
  <c r="AU941"/>
  <c r="AV956"/>
  <c r="R955"/>
  <c r="R954"/>
  <c r="R953"/>
  <c r="R951"/>
  <c r="AL999"/>
  <c r="W1073"/>
  <c r="AS1075"/>
  <c r="AL623"/>
  <c r="Q643"/>
  <c r="AM686"/>
  <c r="AG692"/>
  <c r="AR731"/>
  <c r="AK731"/>
  <c r="AF732"/>
  <c r="BH732"/>
  <c r="L745"/>
  <c r="BJ747"/>
  <c r="W760"/>
  <c r="AK760"/>
  <c r="AL761"/>
  <c r="AV769"/>
  <c r="W776"/>
  <c r="AT776"/>
  <c r="L792"/>
  <c r="Z792"/>
  <c r="AG838"/>
  <c r="Q837"/>
  <c r="AH838"/>
  <c r="AC837"/>
  <c r="AE839"/>
  <c r="AF839"/>
  <c r="AD877"/>
  <c r="L909"/>
  <c r="AM941"/>
  <c r="Y939"/>
  <c r="BI941"/>
  <c r="BJ941"/>
  <c r="AW947"/>
  <c r="BH947"/>
  <c r="BH290"/>
  <c r="Y954"/>
  <c r="L991"/>
  <c r="L990"/>
  <c r="L988"/>
  <c r="AS993"/>
  <c r="W991"/>
  <c r="L877"/>
  <c r="AV889"/>
  <c r="N909"/>
  <c r="AE949"/>
  <c r="AR956"/>
  <c r="Y1004"/>
  <c r="AM1004"/>
  <c r="AG1024"/>
  <c r="Q1014"/>
  <c r="Q1013"/>
  <c r="Q1011"/>
  <c r="AV1046"/>
  <c r="AU1046"/>
  <c r="AM1053"/>
  <c r="Y1052"/>
  <c r="Y1050"/>
  <c r="AM1050"/>
  <c r="AE1082"/>
  <c r="M1081"/>
  <c r="M1073"/>
  <c r="AH1091"/>
  <c r="AC1085"/>
  <c r="AF1100"/>
  <c r="AE1100"/>
  <c r="AG1110"/>
  <c r="Q1109"/>
  <c r="M1136"/>
  <c r="AM1149"/>
  <c r="Y1148"/>
  <c r="AF1156"/>
  <c r="AE1156"/>
  <c r="BH1163"/>
  <c r="BI1156"/>
  <c r="AK838"/>
  <c r="P845"/>
  <c r="AG845"/>
  <c r="AE863"/>
  <c r="BH863"/>
  <c r="AH914"/>
  <c r="AV915"/>
  <c r="AH941"/>
  <c r="AE942"/>
  <c r="AL947"/>
  <c r="Q954"/>
  <c r="AK956"/>
  <c r="AE1022"/>
  <c r="AF1022"/>
  <c r="BI1023"/>
  <c r="BH1030"/>
  <c r="BH242"/>
  <c r="Z1014"/>
  <c r="Z1013"/>
  <c r="Z1011"/>
  <c r="AS1046"/>
  <c r="AK1046"/>
  <c r="AT1046"/>
  <c r="AH1061"/>
  <c r="AC1060"/>
  <c r="AC1058"/>
  <c r="AU1078"/>
  <c r="AT1078"/>
  <c r="AS1078"/>
  <c r="AL1078"/>
  <c r="AT1081"/>
  <c r="R1073"/>
  <c r="AU1087"/>
  <c r="AV1105"/>
  <c r="AU1105"/>
  <c r="AK1110"/>
  <c r="R1109"/>
  <c r="AR1109"/>
  <c r="AH1110"/>
  <c r="AC1109"/>
  <c r="AL1138"/>
  <c r="X1136"/>
  <c r="BI1139"/>
  <c r="BJ1139"/>
  <c r="BH1146"/>
  <c r="Q1180"/>
  <c r="AG1181"/>
  <c r="AH1200"/>
  <c r="AG1200"/>
  <c r="AH845"/>
  <c r="AH897"/>
  <c r="AE899"/>
  <c r="AH955"/>
  <c r="AU996"/>
  <c r="AT996"/>
  <c r="AM1138"/>
  <c r="Y1136"/>
  <c r="AH1144"/>
  <c r="AC1136"/>
  <c r="AS1155"/>
  <c r="AT1155"/>
  <c r="W1148"/>
  <c r="AL1155"/>
  <c r="P1179"/>
  <c r="AH1181"/>
  <c r="AC1180"/>
  <c r="BI1207"/>
  <c r="BJ1207"/>
  <c r="BH1214"/>
  <c r="BH331"/>
  <c r="M1222"/>
  <c r="M1221"/>
  <c r="M1220"/>
  <c r="M1218"/>
  <c r="AE1223"/>
  <c r="M836"/>
  <c r="M834"/>
  <c r="AH883"/>
  <c r="AD909"/>
  <c r="AM947"/>
  <c r="BJ965"/>
  <c r="AV980"/>
  <c r="BH994"/>
  <c r="AL996"/>
  <c r="AE997"/>
  <c r="BI1012"/>
  <c r="BH1019"/>
  <c r="BH1028"/>
  <c r="AF1033"/>
  <c r="AE1033"/>
  <c r="AF1048"/>
  <c r="AE1048"/>
  <c r="BI1069"/>
  <c r="BH1076"/>
  <c r="AR1081"/>
  <c r="AG1097"/>
  <c r="BH1120"/>
  <c r="Z1136"/>
  <c r="AG1160"/>
  <c r="AG1174"/>
  <c r="Q1173"/>
  <c r="AH1173"/>
  <c r="AE831"/>
  <c r="AR853"/>
  <c r="BH854"/>
  <c r="AG861"/>
  <c r="AG862"/>
  <c r="AG915"/>
  <c r="AC939"/>
  <c r="AK941"/>
  <c r="AE945"/>
  <c r="V955"/>
  <c r="AQ955"/>
  <c r="AQ979"/>
  <c r="AQ977"/>
  <c r="O996"/>
  <c r="AE996"/>
  <c r="AG1005"/>
  <c r="AK1016"/>
  <c r="W1014"/>
  <c r="W1013"/>
  <c r="W1011"/>
  <c r="AE1032"/>
  <c r="AF1032"/>
  <c r="AG1054"/>
  <c r="Q1053"/>
  <c r="Q1060"/>
  <c r="AG1061"/>
  <c r="AH1097"/>
  <c r="AL1168"/>
  <c r="AH1174"/>
  <c r="AE1194"/>
  <c r="O1191"/>
  <c r="AE1191"/>
  <c r="V1199"/>
  <c r="V1198"/>
  <c r="V1196"/>
  <c r="N877"/>
  <c r="Q896"/>
  <c r="Q894"/>
  <c r="Q877"/>
  <c r="AK915"/>
  <c r="AH915"/>
  <c r="L939"/>
  <c r="L938"/>
  <c r="L937"/>
  <c r="L935"/>
  <c r="AL941"/>
  <c r="AV947"/>
  <c r="X955"/>
  <c r="X954"/>
  <c r="X953"/>
  <c r="X951"/>
  <c r="R979"/>
  <c r="R977"/>
  <c r="R976"/>
  <c r="V991"/>
  <c r="AG993"/>
  <c r="AS996"/>
  <c r="L1013"/>
  <c r="L1011"/>
  <c r="AL1016"/>
  <c r="X1014"/>
  <c r="BH1044"/>
  <c r="AS1047"/>
  <c r="AT1047"/>
  <c r="AV1053"/>
  <c r="AQ1052"/>
  <c r="AV1052"/>
  <c r="AH1054"/>
  <c r="AC1053"/>
  <c r="AR1062"/>
  <c r="V1061"/>
  <c r="S1073"/>
  <c r="AV1081"/>
  <c r="AG1105"/>
  <c r="AM999"/>
  <c r="AH1005"/>
  <c r="AV1024"/>
  <c r="AH1024"/>
  <c r="AE1025"/>
  <c r="AV1062"/>
  <c r="AS1081"/>
  <c r="AM1087"/>
  <c r="S1085"/>
  <c r="AD1085"/>
  <c r="AR1123"/>
  <c r="AK1123"/>
  <c r="AG1141"/>
  <c r="S1136"/>
  <c r="AM1155"/>
  <c r="AH1160"/>
  <c r="AM1168"/>
  <c r="AV1200"/>
  <c r="AU1212"/>
  <c r="BI1000"/>
  <c r="M1016"/>
  <c r="M1024"/>
  <c r="BH1054"/>
  <c r="Y1060"/>
  <c r="AQ1060"/>
  <c r="AV1060"/>
  <c r="AM1078"/>
  <c r="P1085"/>
  <c r="Z1085"/>
  <c r="AR1110"/>
  <c r="AR1144"/>
  <c r="Z1148"/>
  <c r="BH1157"/>
  <c r="M1160"/>
  <c r="BH1165"/>
  <c r="BH1169"/>
  <c r="BI1164"/>
  <c r="BJ1164"/>
  <c r="AR1174"/>
  <c r="AR1181"/>
  <c r="BH1183"/>
  <c r="AR1212"/>
  <c r="M1005"/>
  <c r="M1004"/>
  <c r="AH1016"/>
  <c r="AE1020"/>
  <c r="AR1024"/>
  <c r="O1024"/>
  <c r="AF1024"/>
  <c r="AR1039"/>
  <c r="AK1039"/>
  <c r="BH1043"/>
  <c r="AU1047"/>
  <c r="AV1075"/>
  <c r="Q1085"/>
  <c r="AK1097"/>
  <c r="AR1105"/>
  <c r="BI1100"/>
  <c r="AT1110"/>
  <c r="AU1155"/>
  <c r="M1155"/>
  <c r="V1148"/>
  <c r="BH1162"/>
  <c r="AG1168"/>
  <c r="AE1204"/>
  <c r="AT1005"/>
  <c r="AE1018"/>
  <c r="AE1026"/>
  <c r="AF1030"/>
  <c r="BH1031"/>
  <c r="AH1062"/>
  <c r="AE1079"/>
  <c r="AF1081"/>
  <c r="AU1081"/>
  <c r="AV1091"/>
  <c r="AM1123"/>
  <c r="BI1117"/>
  <c r="V1136"/>
  <c r="AH1168"/>
  <c r="AR1173"/>
  <c r="BH1193"/>
  <c r="BH1194"/>
  <c r="M1199"/>
  <c r="M1198"/>
  <c r="M1196"/>
  <c r="BI1209"/>
  <c r="BJ1209"/>
  <c r="Y1221"/>
  <c r="Y1220"/>
  <c r="AR1046"/>
  <c r="AR1047"/>
  <c r="AV1054"/>
  <c r="AV1097"/>
  <c r="AV1110"/>
  <c r="R1116"/>
  <c r="R1115"/>
  <c r="R1113"/>
  <c r="AC1116"/>
  <c r="AC1115"/>
  <c r="AS1138"/>
  <c r="L1136"/>
  <c r="BH1145"/>
  <c r="AK1149"/>
  <c r="BH1151"/>
  <c r="L1148"/>
  <c r="AL1160"/>
  <c r="S1148"/>
  <c r="AD1148"/>
  <c r="AM1174"/>
  <c r="BI1168"/>
  <c r="BJ1168"/>
  <c r="AV1181"/>
  <c r="AL1200"/>
  <c r="AL1215"/>
  <c r="S217"/>
  <c r="S915"/>
  <c r="S914"/>
  <c r="S913"/>
  <c r="S912"/>
  <c r="S910"/>
  <c r="S909"/>
  <c r="S337"/>
  <c r="AA231"/>
  <c r="AA239"/>
  <c r="AA213"/>
  <c r="AA212"/>
  <c r="S599"/>
  <c r="S598"/>
  <c r="S597"/>
  <c r="S245"/>
  <c r="S269"/>
  <c r="S265"/>
  <c r="S306"/>
  <c r="S305"/>
  <c r="S508"/>
  <c r="S507"/>
  <c r="S239"/>
  <c r="U85"/>
  <c r="AA242"/>
  <c r="S462"/>
  <c r="S461"/>
  <c r="S460"/>
  <c r="S458"/>
  <c r="S316"/>
  <c r="S315"/>
  <c r="S313"/>
  <c r="U81"/>
  <c r="AA253"/>
  <c r="AA266"/>
  <c r="AA327"/>
  <c r="S258"/>
  <c r="S251"/>
  <c r="AA269"/>
  <c r="S792"/>
  <c r="AA343"/>
  <c r="AA342"/>
  <c r="AA340"/>
  <c r="S367"/>
  <c r="S636"/>
  <c r="S635"/>
  <c r="S634"/>
  <c r="U69"/>
  <c r="S947"/>
  <c r="S290"/>
  <c r="S213"/>
  <c r="S212"/>
  <c r="AA282"/>
  <c r="AA281"/>
  <c r="AA276"/>
  <c r="AA255"/>
  <c r="AA256"/>
  <c r="AA216"/>
  <c r="AA223"/>
  <c r="S231"/>
  <c r="S390"/>
  <c r="S922"/>
  <c r="S921"/>
  <c r="S920"/>
  <c r="S981"/>
  <c r="S980"/>
  <c r="S979"/>
  <c r="S977"/>
  <c r="S976"/>
  <c r="AA298"/>
  <c r="AA241"/>
  <c r="AA217"/>
  <c r="AA240"/>
  <c r="AA209"/>
  <c r="AA208"/>
  <c r="AA322"/>
  <c r="AA258"/>
  <c r="AA309"/>
  <c r="AA308"/>
  <c r="AA233"/>
  <c r="AA331"/>
  <c r="S323"/>
  <c r="S241"/>
  <c r="S225"/>
  <c r="S221"/>
  <c r="S397"/>
  <c r="AA243"/>
  <c r="S418"/>
  <c r="S576"/>
  <c r="S838"/>
  <c r="S837"/>
  <c r="S836"/>
  <c r="S834"/>
  <c r="S941"/>
  <c r="S289"/>
  <c r="AA245"/>
  <c r="S556"/>
  <c r="S655"/>
  <c r="S654"/>
  <c r="S653"/>
  <c r="S651"/>
  <c r="S682"/>
  <c r="S681"/>
  <c r="S679"/>
  <c r="AA323"/>
  <c r="S210"/>
  <c r="S208"/>
  <c r="S376"/>
  <c r="S532"/>
  <c r="S531"/>
  <c r="S530"/>
  <c r="S528"/>
  <c r="S527"/>
  <c r="AA232"/>
  <c r="AA238"/>
  <c r="U60"/>
  <c r="S263"/>
  <c r="S262"/>
  <c r="AA274"/>
  <c r="AA273"/>
  <c r="AA271"/>
  <c r="S623"/>
  <c r="S622"/>
  <c r="S621"/>
  <c r="S620"/>
  <c r="S618"/>
  <c r="S853"/>
  <c r="S852"/>
  <c r="S851"/>
  <c r="S849"/>
  <c r="AA295"/>
  <c r="AA294"/>
  <c r="AA321"/>
  <c r="S331"/>
  <c r="S325"/>
  <c r="AA288"/>
  <c r="AA285"/>
  <c r="S303"/>
  <c r="S302"/>
  <c r="S321"/>
  <c r="S515"/>
  <c r="S514"/>
  <c r="S513"/>
  <c r="S512"/>
  <c r="S956"/>
  <c r="S955"/>
  <c r="S954"/>
  <c r="S953"/>
  <c r="S951"/>
  <c r="S274"/>
  <c r="S273"/>
  <c r="S271"/>
  <c r="S543"/>
  <c r="S248"/>
  <c r="S247"/>
  <c r="S447"/>
  <c r="S754"/>
  <c r="S753"/>
  <c r="S752"/>
  <c r="S745"/>
  <c r="S972"/>
  <c r="S970"/>
  <c r="S969"/>
  <c r="U16"/>
  <c r="S238"/>
  <c r="S243"/>
  <c r="S488"/>
  <c r="S483"/>
  <c r="S482"/>
  <c r="S480"/>
  <c r="S479"/>
  <c r="S568"/>
  <c r="S567"/>
  <c r="S566"/>
  <c r="S583"/>
  <c r="S582"/>
  <c r="S581"/>
  <c r="S648"/>
  <c r="Z825"/>
  <c r="S338"/>
  <c r="AA224"/>
  <c r="S216"/>
  <c r="S785"/>
  <c r="S784"/>
  <c r="S782"/>
  <c r="S780"/>
  <c r="S772"/>
  <c r="AE115"/>
  <c r="AG60"/>
  <c r="AR81"/>
  <c r="V50"/>
  <c r="AQ50"/>
  <c r="Q77"/>
  <c r="V85"/>
  <c r="AR85"/>
  <c r="P94"/>
  <c r="AZ125"/>
  <c r="AU125"/>
  <c r="AH145"/>
  <c r="AM166"/>
  <c r="Y164"/>
  <c r="AM164"/>
  <c r="AG229"/>
  <c r="Q227"/>
  <c r="AH227"/>
  <c r="AY227"/>
  <c r="AL255"/>
  <c r="AK255"/>
  <c r="P50"/>
  <c r="M52"/>
  <c r="W60"/>
  <c r="X69"/>
  <c r="Y79"/>
  <c r="AK81"/>
  <c r="O85"/>
  <c r="X85"/>
  <c r="AM85"/>
  <c r="AK85"/>
  <c r="W105"/>
  <c r="AC114"/>
  <c r="AF115"/>
  <c r="AE122"/>
  <c r="P136"/>
  <c r="AG136"/>
  <c r="AY153"/>
  <c r="AY193"/>
  <c r="AV153"/>
  <c r="AU153"/>
  <c r="AV182"/>
  <c r="AQ173"/>
  <c r="AF212"/>
  <c r="AK222"/>
  <c r="BI230"/>
  <c r="BJ230"/>
  <c r="AX227"/>
  <c r="AC251"/>
  <c r="AH263"/>
  <c r="AC262"/>
  <c r="AH334"/>
  <c r="AC333"/>
  <c r="AH333"/>
  <c r="M66"/>
  <c r="M71"/>
  <c r="AH106"/>
  <c r="AG115"/>
  <c r="AF119"/>
  <c r="AE162"/>
  <c r="O160"/>
  <c r="AF160"/>
  <c r="M164"/>
  <c r="AK184"/>
  <c r="W182"/>
  <c r="AT184"/>
  <c r="AU184"/>
  <c r="AL237"/>
  <c r="BG236"/>
  <c r="BI243"/>
  <c r="BJ243"/>
  <c r="AL257"/>
  <c r="AK257"/>
  <c r="BI425"/>
  <c r="BJ425"/>
  <c r="BH432"/>
  <c r="BH257"/>
  <c r="AW257"/>
  <c r="BI257"/>
  <c r="BJ257"/>
  <c r="AY251"/>
  <c r="BI252"/>
  <c r="BJ252"/>
  <c r="AH256"/>
  <c r="AG256"/>
  <c r="O52"/>
  <c r="AF52"/>
  <c r="AR52"/>
  <c r="AE53"/>
  <c r="AG62"/>
  <c r="AR66"/>
  <c r="AR71"/>
  <c r="AU81"/>
  <c r="AR91"/>
  <c r="AM98"/>
  <c r="AK106"/>
  <c r="AT106"/>
  <c r="AR115"/>
  <c r="AE116"/>
  <c r="AG125"/>
  <c r="O153"/>
  <c r="AE153"/>
  <c r="AF154"/>
  <c r="AE154"/>
  <c r="AH170"/>
  <c r="AG170"/>
  <c r="Q164"/>
  <c r="AL184"/>
  <c r="AE187"/>
  <c r="AF210"/>
  <c r="P208"/>
  <c r="Y208"/>
  <c r="AM210"/>
  <c r="BC215"/>
  <c r="AY221"/>
  <c r="BG221"/>
  <c r="BB221"/>
  <c r="BI224"/>
  <c r="BJ224"/>
  <c r="AE233"/>
  <c r="AM237"/>
  <c r="AK242"/>
  <c r="BI242"/>
  <c r="BJ242"/>
  <c r="BI248"/>
  <c r="BJ248"/>
  <c r="AE252"/>
  <c r="BB251"/>
  <c r="AM186"/>
  <c r="Y184"/>
  <c r="AC60"/>
  <c r="AE63"/>
  <c r="AV69"/>
  <c r="AV81"/>
  <c r="AR82"/>
  <c r="AE83"/>
  <c r="AU106"/>
  <c r="AS115"/>
  <c r="X175"/>
  <c r="BI210"/>
  <c r="BJ210"/>
  <c r="BA236"/>
  <c r="P236"/>
  <c r="AG240"/>
  <c r="Y236"/>
  <c r="AH241"/>
  <c r="AG243"/>
  <c r="Q236"/>
  <c r="N251"/>
  <c r="W251"/>
  <c r="AH258"/>
  <c r="Y365"/>
  <c r="AM367"/>
  <c r="P382"/>
  <c r="AX212"/>
  <c r="AV60"/>
  <c r="O62"/>
  <c r="AK62"/>
  <c r="AS62"/>
  <c r="AR86"/>
  <c r="AK91"/>
  <c r="AQ105"/>
  <c r="AQ114"/>
  <c r="AL115"/>
  <c r="AK119"/>
  <c r="AS119"/>
  <c r="AT131"/>
  <c r="AK131"/>
  <c r="Y136"/>
  <c r="AM141"/>
  <c r="AK216"/>
  <c r="W215"/>
  <c r="BI216"/>
  <c r="BJ216"/>
  <c r="AM234"/>
  <c r="Y227"/>
  <c r="AX236"/>
  <c r="R236"/>
  <c r="AB236"/>
  <c r="BC251"/>
  <c r="AG290"/>
  <c r="Q288"/>
  <c r="W114"/>
  <c r="AL119"/>
  <c r="O125"/>
  <c r="AE125"/>
  <c r="AE128"/>
  <c r="Q134"/>
  <c r="Q173"/>
  <c r="Q12"/>
  <c r="AC184"/>
  <c r="AC182"/>
  <c r="AC173"/>
  <c r="AC12"/>
  <c r="AY208"/>
  <c r="AY206"/>
  <c r="AH225"/>
  <c r="AC221"/>
  <c r="X227"/>
  <c r="AL231"/>
  <c r="AH243"/>
  <c r="BE251"/>
  <c r="AG253"/>
  <c r="AG266"/>
  <c r="Q265"/>
  <c r="Y340"/>
  <c r="AM340"/>
  <c r="AM342"/>
  <c r="AU131"/>
  <c r="AQ136"/>
  <c r="AK141"/>
  <c r="AF142"/>
  <c r="BA147"/>
  <c r="BA193"/>
  <c r="AT164"/>
  <c r="AE167"/>
  <c r="AV170"/>
  <c r="V184"/>
  <c r="AS184"/>
  <c r="AV186"/>
  <c r="AH229"/>
  <c r="AM230"/>
  <c r="AL241"/>
  <c r="AM244"/>
  <c r="Q251"/>
  <c r="AL254"/>
  <c r="W262"/>
  <c r="AL262"/>
  <c r="AM263"/>
  <c r="BI283"/>
  <c r="AC285"/>
  <c r="AL289"/>
  <c r="AK289"/>
  <c r="W288"/>
  <c r="AL296"/>
  <c r="AK296"/>
  <c r="BI296"/>
  <c r="BJ296"/>
  <c r="X305"/>
  <c r="AL305"/>
  <c r="BI316"/>
  <c r="BJ316"/>
  <c r="X325"/>
  <c r="AL329"/>
  <c r="P325"/>
  <c r="Y325"/>
  <c r="AM331"/>
  <c r="AS508"/>
  <c r="AR508"/>
  <c r="V507"/>
  <c r="AE509"/>
  <c r="M508"/>
  <c r="AS138"/>
  <c r="AU141"/>
  <c r="AU166"/>
  <c r="AS178"/>
  <c r="AV184"/>
  <c r="AG216"/>
  <c r="P221"/>
  <c r="Y221"/>
  <c r="AE230"/>
  <c r="AF233"/>
  <c r="AF252"/>
  <c r="AK253"/>
  <c r="P262"/>
  <c r="AE296"/>
  <c r="BI313"/>
  <c r="BJ313"/>
  <c r="AW340"/>
  <c r="AK125"/>
  <c r="AS125"/>
  <c r="AT138"/>
  <c r="AH147"/>
  <c r="AK153"/>
  <c r="AS153"/>
  <c r="AV166"/>
  <c r="AK178"/>
  <c r="AT178"/>
  <c r="AG209"/>
  <c r="AF213"/>
  <c r="AK237"/>
  <c r="AH266"/>
  <c r="AW271"/>
  <c r="BI271"/>
  <c r="BJ271"/>
  <c r="BI273"/>
  <c r="BJ273"/>
  <c r="BI278"/>
  <c r="BJ278"/>
  <c r="AH290"/>
  <c r="W308"/>
  <c r="AX325"/>
  <c r="BI330"/>
  <c r="BJ330"/>
  <c r="AY325"/>
  <c r="BI334"/>
  <c r="BJ334"/>
  <c r="AW333"/>
  <c r="BI333"/>
  <c r="BJ333"/>
  <c r="AH338"/>
  <c r="AC336"/>
  <c r="AV416"/>
  <c r="AU416"/>
  <c r="AK147"/>
  <c r="AS147"/>
  <c r="AS160"/>
  <c r="AW166"/>
  <c r="AE171"/>
  <c r="AL178"/>
  <c r="AR186"/>
  <c r="P340"/>
  <c r="AE343"/>
  <c r="AF343"/>
  <c r="O342"/>
  <c r="AF342"/>
  <c r="L513"/>
  <c r="L512"/>
  <c r="L505"/>
  <c r="L503"/>
  <c r="L495"/>
  <c r="L295"/>
  <c r="L294"/>
  <c r="AL514"/>
  <c r="X295"/>
  <c r="X513"/>
  <c r="AM513"/>
  <c r="AL147"/>
  <c r="V164"/>
  <c r="AR164"/>
  <c r="AM306"/>
  <c r="BI315"/>
  <c r="BJ315"/>
  <c r="AM329"/>
  <c r="BI331"/>
  <c r="BJ331"/>
  <c r="AM343"/>
  <c r="BI343"/>
  <c r="BI302"/>
  <c r="BJ302"/>
  <c r="AK164"/>
  <c r="X212"/>
  <c r="Y251"/>
  <c r="AM251"/>
  <c r="AM282"/>
  <c r="AL282"/>
  <c r="X281"/>
  <c r="BI323"/>
  <c r="BJ323"/>
  <c r="AE337"/>
  <c r="AE453"/>
  <c r="O452"/>
  <c r="O303"/>
  <c r="Y265"/>
  <c r="W294"/>
  <c r="BI303"/>
  <c r="BJ303"/>
  <c r="W320"/>
  <c r="AK327"/>
  <c r="O333"/>
  <c r="X333"/>
  <c r="AL333"/>
  <c r="AM338"/>
  <c r="O372"/>
  <c r="AE372"/>
  <c r="AF373"/>
  <c r="AE373"/>
  <c r="N447"/>
  <c r="R461"/>
  <c r="N483"/>
  <c r="N482"/>
  <c r="N480"/>
  <c r="N479"/>
  <c r="BI483"/>
  <c r="BJ483"/>
  <c r="BH490"/>
  <c r="BH268"/>
  <c r="N505"/>
  <c r="N503"/>
  <c r="N495"/>
  <c r="AV507"/>
  <c r="AQ505"/>
  <c r="AK515"/>
  <c r="BJ524"/>
  <c r="AQ530"/>
  <c r="BI268"/>
  <c r="BJ268"/>
  <c r="Y320"/>
  <c r="AL376"/>
  <c r="X365"/>
  <c r="AG390"/>
  <c r="AG397"/>
  <c r="AK416"/>
  <c r="AL418"/>
  <c r="X416"/>
  <c r="AG485"/>
  <c r="Q483"/>
  <c r="AH485"/>
  <c r="AM488"/>
  <c r="AL488"/>
  <c r="AK514"/>
  <c r="AM532"/>
  <c r="Y531"/>
  <c r="AM426"/>
  <c r="Y416"/>
  <c r="AF432"/>
  <c r="AE432"/>
  <c r="AM452"/>
  <c r="BJ469"/>
  <c r="AQ475"/>
  <c r="Y512"/>
  <c r="AV575"/>
  <c r="AQ574"/>
  <c r="W590"/>
  <c r="O643"/>
  <c r="Y643"/>
  <c r="AM644"/>
  <c r="Y302"/>
  <c r="AM302"/>
  <c r="AZ325"/>
  <c r="AE327"/>
  <c r="AF334"/>
  <c r="AF338"/>
  <c r="AZ342"/>
  <c r="AZ340"/>
  <c r="O426"/>
  <c r="AF426"/>
  <c r="AF434"/>
  <c r="AE434"/>
  <c r="AC460"/>
  <c r="AF485"/>
  <c r="AE485"/>
  <c r="AG338"/>
  <c r="BI385"/>
  <c r="BJ385"/>
  <c r="BH392"/>
  <c r="BI392"/>
  <c r="BJ392"/>
  <c r="BH399"/>
  <c r="S426"/>
  <c r="AF445"/>
  <c r="AE445"/>
  <c r="AV508"/>
  <c r="AU508"/>
  <c r="AH515"/>
  <c r="AC514"/>
  <c r="AU515"/>
  <c r="AU514"/>
  <c r="Y622"/>
  <c r="AM623"/>
  <c r="AM384"/>
  <c r="AL384"/>
  <c r="X382"/>
  <c r="M390"/>
  <c r="AE392"/>
  <c r="M397"/>
  <c r="AE399"/>
  <c r="BI459"/>
  <c r="BJ459"/>
  <c r="BH466"/>
  <c r="BH330"/>
  <c r="Y482"/>
  <c r="AS367"/>
  <c r="AR376"/>
  <c r="AR384"/>
  <c r="AT390"/>
  <c r="AT397"/>
  <c r="BI395"/>
  <c r="BJ395"/>
  <c r="AT409"/>
  <c r="AR418"/>
  <c r="AE419"/>
  <c r="AS426"/>
  <c r="BI420"/>
  <c r="BJ420"/>
  <c r="BI422"/>
  <c r="BJ422"/>
  <c r="AR449"/>
  <c r="AV462"/>
  <c r="AV469"/>
  <c r="X483"/>
  <c r="AM483"/>
  <c r="AK485"/>
  <c r="AE486"/>
  <c r="AQ499"/>
  <c r="P512"/>
  <c r="W513"/>
  <c r="AM514"/>
  <c r="AL515"/>
  <c r="AF517"/>
  <c r="AT543"/>
  <c r="AT232"/>
  <c r="AS543"/>
  <c r="AS232"/>
  <c r="W541"/>
  <c r="AU543"/>
  <c r="AU232"/>
  <c r="AK543"/>
  <c r="AK593"/>
  <c r="AS593"/>
  <c r="AQ610"/>
  <c r="BJ603"/>
  <c r="BJ605"/>
  <c r="AT621"/>
  <c r="AQ659"/>
  <c r="AU667"/>
  <c r="S659"/>
  <c r="BJ668"/>
  <c r="AQ674"/>
  <c r="AQ738"/>
  <c r="BJ731"/>
  <c r="BJ733"/>
  <c r="V365"/>
  <c r="AQ365"/>
  <c r="AU367"/>
  <c r="O376"/>
  <c r="AT376"/>
  <c r="AE377"/>
  <c r="O384"/>
  <c r="AT384"/>
  <c r="AE385"/>
  <c r="AE387"/>
  <c r="AL397"/>
  <c r="AL409"/>
  <c r="AT418"/>
  <c r="AU426"/>
  <c r="AV449"/>
  <c r="AE516"/>
  <c r="AM594"/>
  <c r="Y593"/>
  <c r="AQ592"/>
  <c r="AV593"/>
  <c r="AU593"/>
  <c r="V634"/>
  <c r="AL636"/>
  <c r="AE640"/>
  <c r="M636"/>
  <c r="AR372"/>
  <c r="W382"/>
  <c r="AK384"/>
  <c r="BH403"/>
  <c r="AG416"/>
  <c r="AK418"/>
  <c r="X447"/>
  <c r="BJ462"/>
  <c r="AG568"/>
  <c r="Q564"/>
  <c r="AH568"/>
  <c r="V574"/>
  <c r="AR575"/>
  <c r="BH576"/>
  <c r="AG583"/>
  <c r="Q582"/>
  <c r="AH582"/>
  <c r="AH583"/>
  <c r="Z590"/>
  <c r="Z597"/>
  <c r="N602"/>
  <c r="O605"/>
  <c r="BJ599"/>
  <c r="AQ605"/>
  <c r="X667"/>
  <c r="AL668"/>
  <c r="AT416"/>
  <c r="AV418"/>
  <c r="BH430"/>
  <c r="BH440"/>
  <c r="AL455"/>
  <c r="AR462"/>
  <c r="BH463"/>
  <c r="BH464"/>
  <c r="BH328"/>
  <c r="AR469"/>
  <c r="BH491"/>
  <c r="BH492"/>
  <c r="BH517"/>
  <c r="BI553"/>
  <c r="BJ553"/>
  <c r="BH560"/>
  <c r="Q602"/>
  <c r="V602"/>
  <c r="AM612"/>
  <c r="X610"/>
  <c r="AM610"/>
  <c r="AC621"/>
  <c r="L632"/>
  <c r="L617"/>
  <c r="X634"/>
  <c r="AL635"/>
  <c r="AM662"/>
  <c r="Y661"/>
  <c r="AM661"/>
  <c r="Y667"/>
  <c r="AM668"/>
  <c r="O689"/>
  <c r="AM785"/>
  <c r="Y784"/>
  <c r="AT372"/>
  <c r="BH388"/>
  <c r="BH395"/>
  <c r="BH234"/>
  <c r="AE560"/>
  <c r="M556"/>
  <c r="M541"/>
  <c r="AV623"/>
  <c r="AM636"/>
  <c r="AD643"/>
  <c r="AD642"/>
  <c r="AD659"/>
  <c r="O667"/>
  <c r="Z659"/>
  <c r="AE683"/>
  <c r="R772"/>
  <c r="AR780"/>
  <c r="AQ522"/>
  <c r="Q567"/>
  <c r="AF580"/>
  <c r="AE580"/>
  <c r="O576"/>
  <c r="AF576"/>
  <c r="AD590"/>
  <c r="P597"/>
  <c r="M623"/>
  <c r="AE624"/>
  <c r="L659"/>
  <c r="M668"/>
  <c r="M667"/>
  <c r="M659"/>
  <c r="M693"/>
  <c r="M692"/>
  <c r="M691"/>
  <c r="M689"/>
  <c r="AE694"/>
  <c r="BH368"/>
  <c r="W483"/>
  <c r="AU483"/>
  <c r="AL543"/>
  <c r="P574"/>
  <c r="O583"/>
  <c r="BI587"/>
  <c r="S602"/>
  <c r="AM606"/>
  <c r="Y605"/>
  <c r="R620"/>
  <c r="AV620"/>
  <c r="AK622"/>
  <c r="N659"/>
  <c r="AH669"/>
  <c r="AC668"/>
  <c r="AH714"/>
  <c r="AG714"/>
  <c r="Q713"/>
  <c r="AK568"/>
  <c r="AU568"/>
  <c r="AF577"/>
  <c r="AV583"/>
  <c r="V592"/>
  <c r="AS592"/>
  <c r="BJ607"/>
  <c r="X618"/>
  <c r="AV621"/>
  <c r="Q622"/>
  <c r="AH622"/>
  <c r="O634"/>
  <c r="Y634"/>
  <c r="W643"/>
  <c r="AV644"/>
  <c r="AU668"/>
  <c r="AM669"/>
  <c r="BJ669"/>
  <c r="Q719"/>
  <c r="AH719"/>
  <c r="P727"/>
  <c r="AG777"/>
  <c r="AF798"/>
  <c r="AE798"/>
  <c r="P618"/>
  <c r="AX622"/>
  <c r="AK623"/>
  <c r="AQ634"/>
  <c r="X682"/>
  <c r="AF683"/>
  <c r="Y691"/>
  <c r="BJ693"/>
  <c r="AQ699"/>
  <c r="AH721"/>
  <c r="AG721"/>
  <c r="AE761"/>
  <c r="O760"/>
  <c r="V768"/>
  <c r="AR769"/>
  <c r="AK782"/>
  <c r="AV780"/>
  <c r="W793"/>
  <c r="AK795"/>
  <c r="AT795"/>
  <c r="O797"/>
  <c r="AQ795"/>
  <c r="AV796"/>
  <c r="AU796"/>
  <c r="W575"/>
  <c r="AM614"/>
  <c r="AU635"/>
  <c r="V667"/>
  <c r="P668"/>
  <c r="AE670"/>
  <c r="O713"/>
  <c r="AF714"/>
  <c r="AE714"/>
  <c r="X767"/>
  <c r="AL768"/>
  <c r="AE805"/>
  <c r="M804"/>
  <c r="AK805"/>
  <c r="W804"/>
  <c r="AL804"/>
  <c r="AH862"/>
  <c r="AC861"/>
  <c r="AS556"/>
  <c r="AR621"/>
  <c r="AF669"/>
  <c r="AK683"/>
  <c r="AV683"/>
  <c r="O720"/>
  <c r="AF721"/>
  <c r="AE721"/>
  <c r="S727"/>
  <c r="S726"/>
  <c r="S724"/>
  <c r="L772"/>
  <c r="AG776"/>
  <c r="AT556"/>
  <c r="AR582"/>
  <c r="AS583"/>
  <c r="AE627"/>
  <c r="AS644"/>
  <c r="AH720"/>
  <c r="AM740"/>
  <c r="Y738"/>
  <c r="AM738"/>
  <c r="BI742"/>
  <c r="S761"/>
  <c r="S760"/>
  <c r="S759"/>
  <c r="S757"/>
  <c r="AK556"/>
  <c r="AU556"/>
  <c r="BH559"/>
  <c r="AS568"/>
  <c r="BH569"/>
  <c r="W582"/>
  <c r="AT583"/>
  <c r="BH594"/>
  <c r="AQ598"/>
  <c r="M607"/>
  <c r="AQ618"/>
  <c r="AT644"/>
  <c r="AC682"/>
  <c r="AT760"/>
  <c r="P775"/>
  <c r="AG775"/>
  <c r="AH780"/>
  <c r="AK644"/>
  <c r="AM683"/>
  <c r="AG689"/>
  <c r="BH693"/>
  <c r="BJ700"/>
  <c r="AH782"/>
  <c r="P780"/>
  <c r="AG780"/>
  <c r="AG782"/>
  <c r="AL796"/>
  <c r="X795"/>
  <c r="AR796"/>
  <c r="V795"/>
  <c r="AS795"/>
  <c r="R860"/>
  <c r="AR860"/>
  <c r="W897"/>
  <c r="AG686"/>
  <c r="AS686"/>
  <c r="BI686"/>
  <c r="AK714"/>
  <c r="AU714"/>
  <c r="AE715"/>
  <c r="AK720"/>
  <c r="AU720"/>
  <c r="AK721"/>
  <c r="AU721"/>
  <c r="AE722"/>
  <c r="O731"/>
  <c r="AF731"/>
  <c r="AT731"/>
  <c r="AQ745"/>
  <c r="O777"/>
  <c r="AT777"/>
  <c r="BI771"/>
  <c r="BJ771"/>
  <c r="AZ784"/>
  <c r="BH784"/>
  <c r="AS796"/>
  <c r="AM805"/>
  <c r="Y804"/>
  <c r="AQ826"/>
  <c r="R844"/>
  <c r="AT844"/>
  <c r="AC844"/>
  <c r="AT845"/>
  <c r="AM882"/>
  <c r="Y881"/>
  <c r="AR913"/>
  <c r="V912"/>
  <c r="AK686"/>
  <c r="AU686"/>
  <c r="AE687"/>
  <c r="AQ706"/>
  <c r="AS728"/>
  <c r="AM742"/>
  <c r="X760"/>
  <c r="AS761"/>
  <c r="AQ768"/>
  <c r="O784"/>
  <c r="AH784"/>
  <c r="AE806"/>
  <c r="AV845"/>
  <c r="V682"/>
  <c r="AQ682"/>
  <c r="AT728"/>
  <c r="AT761"/>
  <c r="AW797"/>
  <c r="AC803"/>
  <c r="AH804"/>
  <c r="BI813"/>
  <c r="AE822"/>
  <c r="M820"/>
  <c r="M819"/>
  <c r="M818"/>
  <c r="M816"/>
  <c r="O830"/>
  <c r="AM852"/>
  <c r="AL853"/>
  <c r="AR861"/>
  <c r="W890"/>
  <c r="AL890"/>
  <c r="AK891"/>
  <c r="AL891"/>
  <c r="V727"/>
  <c r="AQ727"/>
  <c r="AK728"/>
  <c r="AQ760"/>
  <c r="P803"/>
  <c r="AF804"/>
  <c r="AR806"/>
  <c r="AR805"/>
  <c r="AT861"/>
  <c r="AV880"/>
  <c r="AQ878"/>
  <c r="BH785"/>
  <c r="AW805"/>
  <c r="BI799"/>
  <c r="BH806"/>
  <c r="AQ818"/>
  <c r="AU819"/>
  <c r="X881"/>
  <c r="AL882"/>
  <c r="BI891"/>
  <c r="AS714"/>
  <c r="BH715"/>
  <c r="AS721"/>
  <c r="BH722"/>
  <c r="BH749"/>
  <c r="BH770"/>
  <c r="X803"/>
  <c r="R802"/>
  <c r="AV803"/>
  <c r="AM853"/>
  <c r="AE855"/>
  <c r="M853"/>
  <c r="AR862"/>
  <c r="V880"/>
  <c r="AR881"/>
  <c r="S877"/>
  <c r="BJ914"/>
  <c r="AQ920"/>
  <c r="BJ913"/>
  <c r="AL805"/>
  <c r="O816"/>
  <c r="AR845"/>
  <c r="O844"/>
  <c r="AE844"/>
  <c r="AE845"/>
  <c r="X851"/>
  <c r="AM851"/>
  <c r="M877"/>
  <c r="AV881"/>
  <c r="AE846"/>
  <c r="AK853"/>
  <c r="V888"/>
  <c r="BH891"/>
  <c r="AW890"/>
  <c r="AV913"/>
  <c r="BI909"/>
  <c r="BJ909"/>
  <c r="BH916"/>
  <c r="AW915"/>
  <c r="AQ800"/>
  <c r="BH820"/>
  <c r="AE832"/>
  <c r="Q858"/>
  <c r="AS863"/>
  <c r="AF884"/>
  <c r="AE884"/>
  <c r="AE897"/>
  <c r="AR899"/>
  <c r="AR898"/>
  <c r="AQ912"/>
  <c r="AE916"/>
  <c r="O915"/>
  <c r="AF916"/>
  <c r="AH805"/>
  <c r="AV831"/>
  <c r="AR838"/>
  <c r="V852"/>
  <c r="AT863"/>
  <c r="AG883"/>
  <c r="AF883"/>
  <c r="X886"/>
  <c r="AQ888"/>
  <c r="BI885"/>
  <c r="BJ885"/>
  <c r="BH892"/>
  <c r="AE894"/>
  <c r="AL915"/>
  <c r="X914"/>
  <c r="BJ915"/>
  <c r="R830"/>
  <c r="AK830"/>
  <c r="AS830"/>
  <c r="BH832"/>
  <c r="AS836"/>
  <c r="AS837"/>
  <c r="AS838"/>
  <c r="AQ851"/>
  <c r="W852"/>
  <c r="AL852"/>
  <c r="AU863"/>
  <c r="Y898"/>
  <c r="AM899"/>
  <c r="AM915"/>
  <c r="BJ923"/>
  <c r="AQ929"/>
  <c r="P967"/>
  <c r="P969"/>
  <c r="O838"/>
  <c r="AT838"/>
  <c r="BH841"/>
  <c r="AS844"/>
  <c r="AS845"/>
  <c r="X862"/>
  <c r="Y863"/>
  <c r="AG882"/>
  <c r="AH882"/>
  <c r="AC881"/>
  <c r="AE898"/>
  <c r="AQ896"/>
  <c r="BI910"/>
  <c r="BJ910"/>
  <c r="BH917"/>
  <c r="Y818"/>
  <c r="X819"/>
  <c r="AM819"/>
  <c r="X826"/>
  <c r="W828"/>
  <c r="AL828"/>
  <c r="AU830"/>
  <c r="AT853"/>
  <c r="BI884"/>
  <c r="Q913"/>
  <c r="AG914"/>
  <c r="AE896"/>
  <c r="R898"/>
  <c r="R897"/>
  <c r="AV897"/>
  <c r="AK899"/>
  <c r="R909"/>
  <c r="AC909"/>
  <c r="P910"/>
  <c r="BJ924"/>
  <c r="AD967"/>
  <c r="O967"/>
  <c r="O969"/>
  <c r="AL883"/>
  <c r="AG898"/>
  <c r="W914"/>
  <c r="BI949"/>
  <c r="BH956"/>
  <c r="AW955"/>
  <c r="V976"/>
  <c r="BL981"/>
  <c r="BI1001"/>
  <c r="BH1008"/>
  <c r="AF1047"/>
  <c r="P1046"/>
  <c r="W969"/>
  <c r="W967"/>
  <c r="BJ963"/>
  <c r="AQ969"/>
  <c r="BJ962"/>
  <c r="AQ967"/>
  <c r="BJ960"/>
  <c r="O1016"/>
  <c r="AF1016"/>
  <c r="AF1019"/>
  <c r="AE1019"/>
  <c r="M969"/>
  <c r="M967"/>
  <c r="AQ937"/>
  <c r="Y967"/>
  <c r="Y969"/>
  <c r="O981"/>
  <c r="X980"/>
  <c r="AM996"/>
  <c r="Q1004"/>
  <c r="AH1004"/>
  <c r="AK1024"/>
  <c r="AG1047"/>
  <c r="BI1047"/>
  <c r="AE956"/>
  <c r="AR981"/>
  <c r="AK993"/>
  <c r="AT993"/>
  <c r="AF994"/>
  <c r="AE994"/>
  <c r="AK1054"/>
  <c r="AT1054"/>
  <c r="AS1054"/>
  <c r="W939"/>
  <c r="O941"/>
  <c r="AF941"/>
  <c r="BH942"/>
  <c r="AS981"/>
  <c r="N991"/>
  <c r="N990"/>
  <c r="N988"/>
  <c r="X991"/>
  <c r="AL993"/>
  <c r="BI1014"/>
  <c r="BH1021"/>
  <c r="W1053"/>
  <c r="AL1054"/>
  <c r="BI935"/>
  <c r="BJ935"/>
  <c r="AS956"/>
  <c r="AT981"/>
  <c r="AC990"/>
  <c r="O993"/>
  <c r="Y991"/>
  <c r="P1014"/>
  <c r="V1177"/>
  <c r="AR1177"/>
  <c r="AR1179"/>
  <c r="AK947"/>
  <c r="AT956"/>
  <c r="AK981"/>
  <c r="BI1022"/>
  <c r="BH1029"/>
  <c r="AF1041"/>
  <c r="AE1041"/>
  <c r="O1039"/>
  <c r="BI1154"/>
  <c r="BJ1154"/>
  <c r="BH1161"/>
  <c r="W955"/>
  <c r="AE1138"/>
  <c r="AR996"/>
  <c r="AK1005"/>
  <c r="AU1005"/>
  <c r="AH1039"/>
  <c r="AH1046"/>
  <c r="AM1215"/>
  <c r="Y1210"/>
  <c r="AE1056"/>
  <c r="AF1092"/>
  <c r="AE1092"/>
  <c r="O1091"/>
  <c r="O1097"/>
  <c r="AF1097"/>
  <c r="AF1101"/>
  <c r="AE1101"/>
  <c r="AV1168"/>
  <c r="AU1168"/>
  <c r="X1179"/>
  <c r="R1189"/>
  <c r="R1187"/>
  <c r="AQ1189"/>
  <c r="AV1190"/>
  <c r="AK996"/>
  <c r="BH1001"/>
  <c r="AR1016"/>
  <c r="BH1017"/>
  <c r="BH1042"/>
  <c r="O1054"/>
  <c r="M1062"/>
  <c r="M1061"/>
  <c r="M1060"/>
  <c r="M1058"/>
  <c r="BH1063"/>
  <c r="AT1075"/>
  <c r="AG1078"/>
  <c r="AH1078"/>
  <c r="AK1091"/>
  <c r="AT1091"/>
  <c r="AS1091"/>
  <c r="W1085"/>
  <c r="AD1115"/>
  <c r="AD1113"/>
  <c r="AQ991"/>
  <c r="AU993"/>
  <c r="BH1006"/>
  <c r="AE1008"/>
  <c r="BH1009"/>
  <c r="AC1014"/>
  <c r="AS1016"/>
  <c r="BH1020"/>
  <c r="BH1025"/>
  <c r="AE1029"/>
  <c r="BH1032"/>
  <c r="AU1054"/>
  <c r="AS1062"/>
  <c r="AU1075"/>
  <c r="AE1001"/>
  <c r="AT1016"/>
  <c r="AE1017"/>
  <c r="AS1024"/>
  <c r="AT1062"/>
  <c r="X1073"/>
  <c r="AL1075"/>
  <c r="AH1081"/>
  <c r="P1116"/>
  <c r="AD1136"/>
  <c r="BI1159"/>
  <c r="BJ1159"/>
  <c r="BH1166"/>
  <c r="AM993"/>
  <c r="BH1002"/>
  <c r="AS1005"/>
  <c r="AQ1014"/>
  <c r="AU1016"/>
  <c r="BH1018"/>
  <c r="BH230"/>
  <c r="AT1024"/>
  <c r="BH1048"/>
  <c r="AU1062"/>
  <c r="AE1075"/>
  <c r="Y1073"/>
  <c r="AM1075"/>
  <c r="AK1075"/>
  <c r="BI1082"/>
  <c r="BH1089"/>
  <c r="AF1164"/>
  <c r="AE1164"/>
  <c r="O1005"/>
  <c r="AF1005"/>
  <c r="P1073"/>
  <c r="Z1073"/>
  <c r="AL1141"/>
  <c r="AK1141"/>
  <c r="AT1141"/>
  <c r="AS1141"/>
  <c r="W1136"/>
  <c r="AU1181"/>
  <c r="AT1181"/>
  <c r="AS1181"/>
  <c r="AK1181"/>
  <c r="W1180"/>
  <c r="AL1180"/>
  <c r="AK1081"/>
  <c r="AH1105"/>
  <c r="AH1123"/>
  <c r="AF1142"/>
  <c r="AE1142"/>
  <c r="O1141"/>
  <c r="AG1155"/>
  <c r="Q1148"/>
  <c r="AS1160"/>
  <c r="AG1190"/>
  <c r="Q1189"/>
  <c r="R1221"/>
  <c r="R1220"/>
  <c r="R1218"/>
  <c r="AK1222"/>
  <c r="AF1138"/>
  <c r="AF1145"/>
  <c r="AE1145"/>
  <c r="O1144"/>
  <c r="AF1157"/>
  <c r="AE1157"/>
  <c r="AL1181"/>
  <c r="AM1200"/>
  <c r="V1220"/>
  <c r="BH1083"/>
  <c r="X1085"/>
  <c r="BH1093"/>
  <c r="BH1094"/>
  <c r="M1097"/>
  <c r="M1085"/>
  <c r="AR1097"/>
  <c r="BH1098"/>
  <c r="BH1099"/>
  <c r="M1110"/>
  <c r="BH1111"/>
  <c r="P1136"/>
  <c r="AG1138"/>
  <c r="BL1223"/>
  <c r="BI1132"/>
  <c r="BJ1132"/>
  <c r="AV1141"/>
  <c r="AU1141"/>
  <c r="AL1144"/>
  <c r="AK1144"/>
  <c r="AT1144"/>
  <c r="AS1144"/>
  <c r="AS1149"/>
  <c r="AH1155"/>
  <c r="AK1160"/>
  <c r="AT1160"/>
  <c r="X1173"/>
  <c r="AL1173"/>
  <c r="AR1180"/>
  <c r="AM1181"/>
  <c r="Y1180"/>
  <c r="AU1200"/>
  <c r="AS1212"/>
  <c r="O1220"/>
  <c r="Y1085"/>
  <c r="AU1091"/>
  <c r="AS1109"/>
  <c r="AS1110"/>
  <c r="AV1138"/>
  <c r="AK1138"/>
  <c r="AT1138"/>
  <c r="BH1139"/>
  <c r="AR1141"/>
  <c r="AT1149"/>
  <c r="AF1161"/>
  <c r="AE1161"/>
  <c r="O1160"/>
  <c r="AF1166"/>
  <c r="AE1166"/>
  <c r="AF1181"/>
  <c r="AE1201"/>
  <c r="BH1082"/>
  <c r="BH1088"/>
  <c r="BH222"/>
  <c r="AL1091"/>
  <c r="AT1097"/>
  <c r="AS1118"/>
  <c r="AV1144"/>
  <c r="AU1144"/>
  <c r="BI1145"/>
  <c r="BJ1145"/>
  <c r="BH1152"/>
  <c r="P1173"/>
  <c r="Y1198"/>
  <c r="AS1200"/>
  <c r="AR1222"/>
  <c r="AU1097"/>
  <c r="AU1109"/>
  <c r="AU1110"/>
  <c r="W1116"/>
  <c r="AF1139"/>
  <c r="AE1139"/>
  <c r="O1155"/>
  <c r="AQ1148"/>
  <c r="AV1160"/>
  <c r="AU1160"/>
  <c r="AF1169"/>
  <c r="AE1169"/>
  <c r="O1168"/>
  <c r="AT1191"/>
  <c r="W1190"/>
  <c r="AK1191"/>
  <c r="AT1200"/>
  <c r="AG1204"/>
  <c r="Q1199"/>
  <c r="W1210"/>
  <c r="AK1212"/>
  <c r="W1220"/>
  <c r="AT1222"/>
  <c r="P1148"/>
  <c r="AR1160"/>
  <c r="BH1164"/>
  <c r="AK1168"/>
  <c r="AT1168"/>
  <c r="AS1168"/>
  <c r="R1199"/>
  <c r="AR1204"/>
  <c r="AH1204"/>
  <c r="AC1199"/>
  <c r="N1210"/>
  <c r="N1209"/>
  <c r="N1207"/>
  <c r="X1210"/>
  <c r="AM1212"/>
  <c r="AL1212"/>
  <c r="AU1215"/>
  <c r="AK1215"/>
  <c r="AT1215"/>
  <c r="AS1215"/>
  <c r="AQ1218"/>
  <c r="AV1222"/>
  <c r="AU1149"/>
  <c r="R1210"/>
  <c r="AS1204"/>
  <c r="AE1151"/>
  <c r="BH1170"/>
  <c r="BH1192"/>
  <c r="AE1202"/>
  <c r="AT1204"/>
  <c r="AE1205"/>
  <c r="AK1204"/>
  <c r="AF1191"/>
  <c r="AF556"/>
  <c r="AK232"/>
  <c r="AU566"/>
  <c r="AS265"/>
  <c r="AS260"/>
  <c r="AV938"/>
  <c r="AS567"/>
  <c r="AE213"/>
  <c r="AF1123"/>
  <c r="AM1116"/>
  <c r="Z1071"/>
  <c r="Z1069"/>
  <c r="BJ283"/>
  <c r="BI231"/>
  <c r="BJ231"/>
  <c r="AG991"/>
  <c r="AS325"/>
  <c r="AT567"/>
  <c r="AE94"/>
  <c r="AE243"/>
  <c r="M206"/>
  <c r="AR938"/>
  <c r="AV251"/>
  <c r="X572"/>
  <c r="AE1123"/>
  <c r="AV447"/>
  <c r="AL939"/>
  <c r="AH991"/>
  <c r="R888"/>
  <c r="R886"/>
  <c r="AL575"/>
  <c r="BH515"/>
  <c r="AQ415"/>
  <c r="AF94"/>
  <c r="AD1071"/>
  <c r="AD1069"/>
  <c r="AD1068"/>
  <c r="AD1066"/>
  <c r="AE266"/>
  <c r="AC415"/>
  <c r="AC413"/>
  <c r="AF243"/>
  <c r="AF98"/>
  <c r="AY292"/>
  <c r="AM837"/>
  <c r="BH955"/>
  <c r="BI508"/>
  <c r="AB219"/>
  <c r="M572"/>
  <c r="AV1085"/>
  <c r="AV206"/>
  <c r="W979"/>
  <c r="AF693"/>
  <c r="X285"/>
  <c r="AM285"/>
  <c r="AC77"/>
  <c r="P364"/>
  <c r="N103"/>
  <c r="AE231"/>
  <c r="BD292"/>
  <c r="AV221"/>
  <c r="AR265"/>
  <c r="AR260"/>
  <c r="O1190"/>
  <c r="AF1190"/>
  <c r="AU1085"/>
  <c r="AU745"/>
  <c r="AT227"/>
  <c r="AL288"/>
  <c r="AG251"/>
  <c r="AE515"/>
  <c r="AU265"/>
  <c r="AU260"/>
  <c r="AS320"/>
  <c r="AS318"/>
  <c r="AS311"/>
  <c r="AU1180"/>
  <c r="AC1189"/>
  <c r="AF692"/>
  <c r="AE258"/>
  <c r="O682"/>
  <c r="AE98"/>
  <c r="AV1073"/>
  <c r="AE644"/>
  <c r="AR1014"/>
  <c r="AG79"/>
  <c r="AD236"/>
  <c r="AD219"/>
  <c r="L77"/>
  <c r="AR939"/>
  <c r="AG881"/>
  <c r="AG365"/>
  <c r="AE238"/>
  <c r="AR227"/>
  <c r="R281"/>
  <c r="R276"/>
  <c r="AK276"/>
  <c r="AQ281"/>
  <c r="AQ276"/>
  <c r="AS251"/>
  <c r="AU221"/>
  <c r="AW221"/>
  <c r="AW325"/>
  <c r="AS416"/>
  <c r="AD1135"/>
  <c r="AD1133"/>
  <c r="AD1132"/>
  <c r="AD1130"/>
  <c r="AF231"/>
  <c r="AH325"/>
  <c r="AG336"/>
  <c r="AX292"/>
  <c r="AT320"/>
  <c r="AK1199"/>
  <c r="AG731"/>
  <c r="AE390"/>
  <c r="O227"/>
  <c r="AE227"/>
  <c r="AE999"/>
  <c r="AT991"/>
  <c r="AE241"/>
  <c r="AT318"/>
  <c r="AT311"/>
  <c r="AZ193"/>
  <c r="AE1155"/>
  <c r="BH862"/>
  <c r="V712"/>
  <c r="V710"/>
  <c r="AR710"/>
  <c r="AK265"/>
  <c r="AH336"/>
  <c r="AK682"/>
  <c r="AM94"/>
  <c r="AC632"/>
  <c r="BE206"/>
  <c r="AD987"/>
  <c r="AD985"/>
  <c r="AS980"/>
  <c r="AD934"/>
  <c r="AE333"/>
  <c r="BI222"/>
  <c r="BJ222"/>
  <c r="AU85"/>
  <c r="V318"/>
  <c r="V311"/>
  <c r="V15"/>
  <c r="AR206"/>
  <c r="AF1078"/>
  <c r="AE242"/>
  <c r="AE1221"/>
  <c r="AK461"/>
  <c r="BI328"/>
  <c r="BJ328"/>
  <c r="Z364"/>
  <c r="Z362"/>
  <c r="BI217"/>
  <c r="BJ217"/>
  <c r="V206"/>
  <c r="BB318"/>
  <c r="BB311"/>
  <c r="V415"/>
  <c r="AR415"/>
  <c r="S987"/>
  <c r="S985"/>
  <c r="AU227"/>
  <c r="AL320"/>
  <c r="AR416"/>
  <c r="AU461"/>
  <c r="AQ318"/>
  <c r="AQ311"/>
  <c r="AQ15"/>
  <c r="BE292"/>
  <c r="O325"/>
  <c r="AF325"/>
  <c r="AU251"/>
  <c r="AE334"/>
  <c r="V937"/>
  <c r="AL309"/>
  <c r="AU164"/>
  <c r="M281"/>
  <c r="M276"/>
  <c r="AS227"/>
  <c r="M939"/>
  <c r="M938"/>
  <c r="M937"/>
  <c r="M935"/>
  <c r="AM309"/>
  <c r="AQ292"/>
  <c r="AT240"/>
  <c r="AT236"/>
  <c r="AE262"/>
  <c r="AR251"/>
  <c r="AU980"/>
  <c r="AL60"/>
  <c r="W79"/>
  <c r="W77"/>
  <c r="AR1148"/>
  <c r="AK980"/>
  <c r="AM308"/>
  <c r="R206"/>
  <c r="AE216"/>
  <c r="BH336"/>
  <c r="L50"/>
  <c r="L48"/>
  <c r="L11"/>
  <c r="L13"/>
  <c r="AE1078"/>
  <c r="Q50"/>
  <c r="AC281"/>
  <c r="AC276"/>
  <c r="AE1116"/>
  <c r="O1061"/>
  <c r="R1013"/>
  <c r="AT1013"/>
  <c r="AS860"/>
  <c r="AF643"/>
  <c r="AK295"/>
  <c r="AK215"/>
  <c r="X236"/>
  <c r="AM236"/>
  <c r="AL1109"/>
  <c r="AE686"/>
  <c r="AF1109"/>
  <c r="AV318"/>
  <c r="AV311"/>
  <c r="BF292"/>
  <c r="BF219"/>
  <c r="N1135"/>
  <c r="N1133"/>
  <c r="N1132"/>
  <c r="N1130"/>
  <c r="AL240"/>
  <c r="AM1052"/>
  <c r="X1198"/>
  <c r="O1115"/>
  <c r="AE1115"/>
  <c r="AT862"/>
  <c r="AF263"/>
  <c r="AS69"/>
  <c r="Q1071"/>
  <c r="AL81"/>
  <c r="O251"/>
  <c r="AH239"/>
  <c r="BE336"/>
  <c r="BI336"/>
  <c r="BJ336"/>
  <c r="AF216"/>
  <c r="AL1199"/>
  <c r="AF1046"/>
  <c r="AK861"/>
  <c r="AE693"/>
  <c r="AU567"/>
  <c r="AU60"/>
  <c r="AK69"/>
  <c r="AU145"/>
  <c r="AD50"/>
  <c r="AD48"/>
  <c r="AD46"/>
  <c r="AQ77"/>
  <c r="AV77"/>
  <c r="AU1199"/>
  <c r="O215"/>
  <c r="O206"/>
  <c r="N1071"/>
  <c r="N1069"/>
  <c r="N1068"/>
  <c r="N1066"/>
  <c r="Q415"/>
  <c r="Q413"/>
  <c r="AG413"/>
  <c r="AU282"/>
  <c r="AU281"/>
  <c r="AU276"/>
  <c r="AS1199"/>
  <c r="AS862"/>
  <c r="AT860"/>
  <c r="AT682"/>
  <c r="AS634"/>
  <c r="AU69"/>
  <c r="AL69"/>
  <c r="M990"/>
  <c r="M988"/>
  <c r="AK1109"/>
  <c r="AE263"/>
  <c r="AH69"/>
  <c r="AK634"/>
  <c r="AT914"/>
  <c r="AT282"/>
  <c r="AT281"/>
  <c r="AT276"/>
  <c r="W681"/>
  <c r="AK681"/>
  <c r="AL281"/>
  <c r="AR1004"/>
  <c r="P103"/>
  <c r="AR757"/>
  <c r="AF1222"/>
  <c r="AE245"/>
  <c r="AE186"/>
  <c r="Z1068"/>
  <c r="Z1066"/>
  <c r="AS861"/>
  <c r="AK862"/>
  <c r="V689"/>
  <c r="AR689"/>
  <c r="AL643"/>
  <c r="Z537"/>
  <c r="BI337"/>
  <c r="BJ337"/>
  <c r="AD415"/>
  <c r="AD413"/>
  <c r="AK727"/>
  <c r="BG318"/>
  <c r="BG311"/>
  <c r="BD318"/>
  <c r="BD311"/>
  <c r="BB292"/>
  <c r="AV227"/>
  <c r="AT221"/>
  <c r="AF239"/>
  <c r="AZ292"/>
  <c r="AV541"/>
  <c r="BI308"/>
  <c r="BJ308"/>
  <c r="AE462"/>
  <c r="L361"/>
  <c r="P281"/>
  <c r="P276"/>
  <c r="AQ1050"/>
  <c r="Z987"/>
  <c r="Z985"/>
  <c r="AE397"/>
  <c r="N415"/>
  <c r="N413"/>
  <c r="N361"/>
  <c r="W236"/>
  <c r="AK236"/>
  <c r="R1135"/>
  <c r="AV1135"/>
  <c r="BI263"/>
  <c r="BJ263"/>
  <c r="AR382"/>
  <c r="AV1004"/>
  <c r="AG69"/>
  <c r="AE253"/>
  <c r="AG1014"/>
  <c r="N987"/>
  <c r="N985"/>
  <c r="AU507"/>
  <c r="AY318"/>
  <c r="AY311"/>
  <c r="AX206"/>
  <c r="S1071"/>
  <c r="S1069"/>
  <c r="S1068"/>
  <c r="S1066"/>
  <c r="W816"/>
  <c r="AS816"/>
  <c r="AR447"/>
  <c r="AK240"/>
  <c r="AG239"/>
  <c r="AG105"/>
  <c r="AH282"/>
  <c r="Z415"/>
  <c r="Z413"/>
  <c r="Z361"/>
  <c r="Y1135"/>
  <c r="AL507"/>
  <c r="AQ1058"/>
  <c r="AV1058"/>
  <c r="AS991"/>
  <c r="W458"/>
  <c r="AF418"/>
  <c r="AW320"/>
  <c r="BI320"/>
  <c r="BJ320"/>
  <c r="S48"/>
  <c r="S46"/>
  <c r="AX318"/>
  <c r="AX311"/>
  <c r="AL566"/>
  <c r="AE223"/>
  <c r="V175"/>
  <c r="AR175"/>
  <c r="T48"/>
  <c r="AR642"/>
  <c r="O416"/>
  <c r="Y206"/>
  <c r="AR1136"/>
  <c r="AL567"/>
  <c r="AE338"/>
  <c r="AK507"/>
  <c r="AG289"/>
  <c r="BB206"/>
  <c r="O320"/>
  <c r="O318"/>
  <c r="AW265"/>
  <c r="AW260"/>
  <c r="BI260"/>
  <c r="BJ260"/>
  <c r="AT1014"/>
  <c r="AK635"/>
  <c r="AE321"/>
  <c r="V134"/>
  <c r="AR134"/>
  <c r="P206"/>
  <c r="AS939"/>
  <c r="Y836"/>
  <c r="Y834"/>
  <c r="W881"/>
  <c r="AL881"/>
  <c r="AQ540"/>
  <c r="AL336"/>
  <c r="AR221"/>
  <c r="AK447"/>
  <c r="AM265"/>
  <c r="BH256"/>
  <c r="AU460"/>
  <c r="AK239"/>
  <c r="AE141"/>
  <c r="AK221"/>
  <c r="AS240"/>
  <c r="AS236"/>
  <c r="AT1061"/>
  <c r="AV852"/>
  <c r="AB292"/>
  <c r="AK365"/>
  <c r="AK342"/>
  <c r="AL221"/>
  <c r="V292"/>
  <c r="O881"/>
  <c r="AF881"/>
  <c r="AS713"/>
  <c r="AU692"/>
  <c r="AF590"/>
  <c r="BH243"/>
  <c r="AE820"/>
  <c r="AF592"/>
  <c r="AS447"/>
  <c r="AE119"/>
  <c r="AS1061"/>
  <c r="X934"/>
  <c r="AD292"/>
  <c r="O221"/>
  <c r="AE221"/>
  <c r="O69"/>
  <c r="AF69"/>
  <c r="BI875"/>
  <c r="AR1073"/>
  <c r="AE816"/>
  <c r="N658"/>
  <c r="AR635"/>
  <c r="AV635"/>
  <c r="AS1073"/>
  <c r="W415"/>
  <c r="AT415"/>
  <c r="BI309"/>
  <c r="BJ309"/>
  <c r="AT447"/>
  <c r="AL784"/>
  <c r="BI298"/>
  <c r="BJ298"/>
  <c r="Q281"/>
  <c r="Q276"/>
  <c r="AF1180"/>
  <c r="AR914"/>
  <c r="AR282"/>
  <c r="AR281"/>
  <c r="AR276"/>
  <c r="Z658"/>
  <c r="AU447"/>
  <c r="BC292"/>
  <c r="AW236"/>
  <c r="AG164"/>
  <c r="M1148"/>
  <c r="M1135"/>
  <c r="M1133"/>
  <c r="M1132"/>
  <c r="M1130"/>
  <c r="AT939"/>
  <c r="V1071"/>
  <c r="V1069"/>
  <c r="AF593"/>
  <c r="AF409"/>
  <c r="AB318"/>
  <c r="AB311"/>
  <c r="N292"/>
  <c r="AG282"/>
  <c r="AT1004"/>
  <c r="L658"/>
  <c r="AT634"/>
  <c r="AG265"/>
  <c r="AH1116"/>
  <c r="AR760"/>
  <c r="N537"/>
  <c r="AD632"/>
  <c r="AD617"/>
  <c r="R318"/>
  <c r="R311"/>
  <c r="R15"/>
  <c r="AE1173"/>
  <c r="W759"/>
  <c r="M934"/>
  <c r="AQ689"/>
  <c r="AV689"/>
  <c r="AS760"/>
  <c r="AT635"/>
  <c r="AF153"/>
  <c r="R934"/>
  <c r="AR759"/>
  <c r="L537"/>
  <c r="AU318"/>
  <c r="AU311"/>
  <c r="AU713"/>
  <c r="R292"/>
  <c r="BC318"/>
  <c r="BC311"/>
  <c r="L103"/>
  <c r="AR979"/>
  <c r="AU828"/>
  <c r="AF594"/>
  <c r="AL447"/>
  <c r="BI213"/>
  <c r="BJ213"/>
  <c r="N219"/>
  <c r="AS745"/>
  <c r="AF507"/>
  <c r="AE184"/>
  <c r="AK340"/>
  <c r="X206"/>
  <c r="AK325"/>
  <c r="AS206"/>
  <c r="BA292"/>
  <c r="S298"/>
  <c r="AQ1177"/>
  <c r="AV1177"/>
  <c r="AT768"/>
  <c r="BI269"/>
  <c r="BJ269"/>
  <c r="O236"/>
  <c r="AF236"/>
  <c r="BH253"/>
  <c r="AG1085"/>
  <c r="AF1105"/>
  <c r="AG1109"/>
  <c r="AD364"/>
  <c r="AD362"/>
  <c r="R632"/>
  <c r="AE254"/>
  <c r="AH136"/>
  <c r="AE1174"/>
  <c r="O1210"/>
  <c r="O1209"/>
  <c r="O1207"/>
  <c r="AG114"/>
  <c r="AT206"/>
  <c r="AM60"/>
  <c r="L1071"/>
  <c r="L1069"/>
  <c r="L1068"/>
  <c r="L1066"/>
  <c r="AE1073"/>
  <c r="BE240"/>
  <c r="BE622"/>
  <c r="BI615"/>
  <c r="AH1210"/>
  <c r="Y773"/>
  <c r="AM773"/>
  <c r="BH623"/>
  <c r="BH240"/>
  <c r="BH254"/>
  <c r="AT1109"/>
  <c r="AR1221"/>
  <c r="AD658"/>
  <c r="AH265"/>
  <c r="AV79"/>
  <c r="S643"/>
  <c r="S642"/>
  <c r="S632"/>
  <c r="S617"/>
  <c r="AV1113"/>
  <c r="AV1109"/>
  <c r="AU1073"/>
  <c r="AU1004"/>
  <c r="BH233"/>
  <c r="M415"/>
  <c r="M413"/>
  <c r="BD219"/>
  <c r="BD204"/>
  <c r="AH105"/>
  <c r="AR1053"/>
  <c r="V1052"/>
  <c r="BI212"/>
  <c r="BJ212"/>
  <c r="AK227"/>
  <c r="AM1173"/>
  <c r="AH1085"/>
  <c r="AK784"/>
  <c r="X592"/>
  <c r="AL592"/>
  <c r="AV643"/>
  <c r="L292"/>
  <c r="AK308"/>
  <c r="AL325"/>
  <c r="W134"/>
  <c r="AL134"/>
  <c r="O461"/>
  <c r="AE461"/>
  <c r="M182"/>
  <c r="AE182"/>
  <c r="AS85"/>
  <c r="Q1115"/>
  <c r="Q1113"/>
  <c r="AL1004"/>
  <c r="O265"/>
  <c r="AF254"/>
  <c r="P292"/>
  <c r="BC219"/>
  <c r="AE222"/>
  <c r="BE318"/>
  <c r="BE311"/>
  <c r="AG1210"/>
  <c r="AR1190"/>
  <c r="AK1004"/>
  <c r="AQ653"/>
  <c r="AQ651"/>
  <c r="BJ644"/>
  <c r="P505"/>
  <c r="P503"/>
  <c r="AG382"/>
  <c r="AK309"/>
  <c r="AK136"/>
  <c r="AT692"/>
  <c r="M251"/>
  <c r="AE269"/>
  <c r="BC206"/>
  <c r="AE1149"/>
  <c r="Q727"/>
  <c r="AF1174"/>
  <c r="AF1220"/>
  <c r="V1135"/>
  <c r="V1133"/>
  <c r="AL898"/>
  <c r="AS692"/>
  <c r="R364"/>
  <c r="R362"/>
  <c r="AS136"/>
  <c r="AL136"/>
  <c r="V103"/>
  <c r="AR103"/>
  <c r="AE1222"/>
  <c r="BI616"/>
  <c r="W691"/>
  <c r="AT691"/>
  <c r="AZ219"/>
  <c r="AZ204"/>
  <c r="O173"/>
  <c r="O12"/>
  <c r="AK336"/>
  <c r="L206"/>
  <c r="N50"/>
  <c r="N48"/>
  <c r="N11"/>
  <c r="N13"/>
  <c r="AU240"/>
  <c r="AU236"/>
  <c r="AU219"/>
  <c r="AF1221"/>
  <c r="AM1221"/>
  <c r="AG1116"/>
  <c r="BH229"/>
  <c r="AT830"/>
  <c r="AW251"/>
  <c r="R219"/>
  <c r="AE1024"/>
  <c r="L934"/>
  <c r="AL1148"/>
  <c r="M318"/>
  <c r="M311"/>
  <c r="M15"/>
  <c r="AM114"/>
  <c r="BJ232"/>
  <c r="M260"/>
  <c r="AH114"/>
  <c r="AV482"/>
  <c r="AQ480"/>
  <c r="AK1014"/>
  <c r="BH321"/>
  <c r="BH320"/>
  <c r="AS620"/>
  <c r="R765"/>
  <c r="R658"/>
  <c r="AW227"/>
  <c r="BI227"/>
  <c r="BJ227"/>
  <c r="AL265"/>
  <c r="AH288"/>
  <c r="BA219"/>
  <c r="AL461"/>
  <c r="AM540"/>
  <c r="AM541"/>
  <c r="AV382"/>
  <c r="BG292"/>
  <c r="AR318"/>
  <c r="AR311"/>
  <c r="L219"/>
  <c r="AU206"/>
  <c r="AF251"/>
  <c r="AF862"/>
  <c r="BH941"/>
  <c r="BH289"/>
  <c r="BH288"/>
  <c r="BH285"/>
  <c r="BI934"/>
  <c r="AW289"/>
  <c r="BI289"/>
  <c r="BJ289"/>
  <c r="AL955"/>
  <c r="AS1014"/>
  <c r="AG1046"/>
  <c r="AH896"/>
  <c r="AK767"/>
  <c r="AK567"/>
  <c r="AE623"/>
  <c r="AE367"/>
  <c r="AE209"/>
  <c r="AM103"/>
  <c r="AU79"/>
  <c r="L1135"/>
  <c r="L1133"/>
  <c r="L1132"/>
  <c r="L1130"/>
  <c r="AM1136"/>
  <c r="AQ1198"/>
  <c r="AQ1196"/>
  <c r="R1071"/>
  <c r="AV1071"/>
  <c r="AC1071"/>
  <c r="AC1069"/>
  <c r="AM1046"/>
  <c r="AE336"/>
  <c r="AV567"/>
  <c r="AM215"/>
  <c r="Q206"/>
  <c r="AC206"/>
  <c r="AW206"/>
  <c r="AB206"/>
  <c r="AH215"/>
  <c r="Q103"/>
  <c r="AK768"/>
  <c r="BH239"/>
  <c r="N318"/>
  <c r="N311"/>
  <c r="N15"/>
  <c r="AF336"/>
  <c r="AM336"/>
  <c r="AE861"/>
  <c r="O860"/>
  <c r="AF860"/>
  <c r="AE862"/>
  <c r="BK1122"/>
  <c r="BL1124"/>
  <c r="AL1136"/>
  <c r="AR1189"/>
  <c r="X782"/>
  <c r="X780"/>
  <c r="AF996"/>
  <c r="BH213"/>
  <c r="BH212"/>
  <c r="AR1085"/>
  <c r="AR643"/>
  <c r="BH241"/>
  <c r="AK208"/>
  <c r="W206"/>
  <c r="AR976"/>
  <c r="AE692"/>
  <c r="AF682"/>
  <c r="O622"/>
  <c r="AF622"/>
  <c r="AE208"/>
  <c r="AH12"/>
  <c r="AF131"/>
  <c r="Z1135"/>
  <c r="Z1133"/>
  <c r="Z1132"/>
  <c r="Z1130"/>
  <c r="AM692"/>
  <c r="AF241"/>
  <c r="AC773"/>
  <c r="AH775"/>
  <c r="P858"/>
  <c r="AG858"/>
  <c r="Y1115"/>
  <c r="AL541"/>
  <c r="AF1200"/>
  <c r="O1199"/>
  <c r="O1198"/>
  <c r="AE1039"/>
  <c r="AE955"/>
  <c r="AR977"/>
  <c r="AV461"/>
  <c r="AF623"/>
  <c r="BJ1056"/>
  <c r="BH329"/>
  <c r="AF209"/>
  <c r="AQ219"/>
  <c r="AQ204"/>
  <c r="AF999"/>
  <c r="AF861"/>
  <c r="AF244"/>
  <c r="S336"/>
  <c r="S282"/>
  <c r="S281"/>
  <c r="S276"/>
  <c r="S825"/>
  <c r="S215"/>
  <c r="S206"/>
  <c r="U79"/>
  <c r="U77"/>
  <c r="O540"/>
  <c r="AF541"/>
  <c r="AT1073"/>
  <c r="Q540"/>
  <c r="AG540"/>
  <c r="AV1220"/>
  <c r="AM1085"/>
  <c r="AR1116"/>
  <c r="AK1073"/>
  <c r="AV979"/>
  <c r="AE818"/>
  <c r="BI325"/>
  <c r="BJ325"/>
  <c r="X318"/>
  <c r="X311"/>
  <c r="M103"/>
  <c r="AE1081"/>
  <c r="M1014"/>
  <c r="M1013"/>
  <c r="M1011"/>
  <c r="Q1058"/>
  <c r="AG1058"/>
  <c r="AG1060"/>
  <c r="P1177"/>
  <c r="AF1177"/>
  <c r="AF1179"/>
  <c r="AH1109"/>
  <c r="AV914"/>
  <c r="AV282"/>
  <c r="AV281"/>
  <c r="AV276"/>
  <c r="AM955"/>
  <c r="AS776"/>
  <c r="AK776"/>
  <c r="W775"/>
  <c r="AU775"/>
  <c r="AU776"/>
  <c r="AU939"/>
  <c r="AU289"/>
  <c r="AU288"/>
  <c r="AU285"/>
  <c r="AT713"/>
  <c r="W712"/>
  <c r="AM567"/>
  <c r="Y566"/>
  <c r="AM566"/>
  <c r="X747"/>
  <c r="AL748"/>
  <c r="AK691"/>
  <c r="AV582"/>
  <c r="AQ581"/>
  <c r="AV581"/>
  <c r="AD318"/>
  <c r="AD311"/>
  <c r="AD15"/>
  <c r="BH223"/>
  <c r="AM726"/>
  <c r="Y724"/>
  <c r="AG309"/>
  <c r="Q308"/>
  <c r="AG308"/>
  <c r="AR541"/>
  <c r="V540"/>
  <c r="AF1155"/>
  <c r="AV1116"/>
  <c r="BK1059"/>
  <c r="AU719"/>
  <c r="AL382"/>
  <c r="AE426"/>
  <c r="V990"/>
  <c r="AR991"/>
  <c r="AV955"/>
  <c r="AQ954"/>
  <c r="AK1148"/>
  <c r="AT1148"/>
  <c r="AS1148"/>
  <c r="AG1180"/>
  <c r="Q1179"/>
  <c r="AH837"/>
  <c r="AF897"/>
  <c r="P896"/>
  <c r="AL692"/>
  <c r="X691"/>
  <c r="AM691"/>
  <c r="AV719"/>
  <c r="AQ717"/>
  <c r="AV717"/>
  <c r="AR483"/>
  <c r="V482"/>
  <c r="AG939"/>
  <c r="Q938"/>
  <c r="AL719"/>
  <c r="X717"/>
  <c r="AM717"/>
  <c r="AV564"/>
  <c r="AT365"/>
  <c r="AF141"/>
  <c r="M77"/>
  <c r="AG1053"/>
  <c r="Q1052"/>
  <c r="AR720"/>
  <c r="V719"/>
  <c r="AS719"/>
  <c r="Q513"/>
  <c r="Q295"/>
  <c r="AE138"/>
  <c r="O136"/>
  <c r="AE136"/>
  <c r="AT837"/>
  <c r="AK719"/>
  <c r="AG12"/>
  <c r="AR1061"/>
  <c r="V1060"/>
  <c r="AR955"/>
  <c r="V954"/>
  <c r="AF955"/>
  <c r="AM1148"/>
  <c r="AM939"/>
  <c r="Y938"/>
  <c r="AR776"/>
  <c r="V775"/>
  <c r="X712"/>
  <c r="AL713"/>
  <c r="X724"/>
  <c r="AT564"/>
  <c r="AR564"/>
  <c r="AF508"/>
  <c r="AQ836"/>
  <c r="AF568"/>
  <c r="O564"/>
  <c r="O567"/>
  <c r="AH212"/>
  <c r="AH416"/>
  <c r="AE251"/>
  <c r="AW939"/>
  <c r="AW290"/>
  <c r="AT727"/>
  <c r="W726"/>
  <c r="W175"/>
  <c r="W173"/>
  <c r="AS177"/>
  <c r="AS727"/>
  <c r="AH796"/>
  <c r="W717"/>
  <c r="AT717"/>
  <c r="AC793"/>
  <c r="AU177"/>
  <c r="AE178"/>
  <c r="AL177"/>
  <c r="BI215"/>
  <c r="BJ215"/>
  <c r="AG227"/>
  <c r="AL1014"/>
  <c r="X1013"/>
  <c r="AH894"/>
  <c r="AG954"/>
  <c r="Q953"/>
  <c r="AK991"/>
  <c r="W990"/>
  <c r="AG837"/>
  <c r="Q836"/>
  <c r="Q642"/>
  <c r="AG642"/>
  <c r="AG643"/>
  <c r="AE954"/>
  <c r="O953"/>
  <c r="AM890"/>
  <c r="Y889"/>
  <c r="O483"/>
  <c r="AG593"/>
  <c r="Q592"/>
  <c r="AV513"/>
  <c r="AV512"/>
  <c r="AV295"/>
  <c r="AV294"/>
  <c r="AV292"/>
  <c r="AL727"/>
  <c r="AK564"/>
  <c r="AM572"/>
  <c r="AS461"/>
  <c r="V460"/>
  <c r="AH208"/>
  <c r="AV977"/>
  <c r="AQ976"/>
  <c r="AV976"/>
  <c r="O145"/>
  <c r="AF147"/>
  <c r="AV1221"/>
  <c r="AV1218"/>
  <c r="AT1221"/>
  <c r="BH266"/>
  <c r="X1135"/>
  <c r="X1133"/>
  <c r="AF1039"/>
  <c r="AE819"/>
  <c r="AR837"/>
  <c r="AE556"/>
  <c r="BH231"/>
  <c r="AT177"/>
  <c r="AH164"/>
  <c r="BG219"/>
  <c r="V79"/>
  <c r="AC103"/>
  <c r="Y1058"/>
  <c r="AH1053"/>
  <c r="AC1052"/>
  <c r="AV939"/>
  <c r="AV290"/>
  <c r="AV288"/>
  <c r="AV285"/>
  <c r="AH1136"/>
  <c r="AC1135"/>
  <c r="AC1133"/>
  <c r="AF845"/>
  <c r="P844"/>
  <c r="AV1173"/>
  <c r="AU1173"/>
  <c r="X836"/>
  <c r="AK1061"/>
  <c r="W1060"/>
  <c r="AL776"/>
  <c r="Q681"/>
  <c r="AG682"/>
  <c r="R592"/>
  <c r="AR592"/>
  <c r="AT593"/>
  <c r="AH575"/>
  <c r="AC574"/>
  <c r="AH507"/>
  <c r="AG507"/>
  <c r="AV540"/>
  <c r="AQ538"/>
  <c r="AV538"/>
  <c r="AL1061"/>
  <c r="X1060"/>
  <c r="AM1060"/>
  <c r="Q795"/>
  <c r="AH795"/>
  <c r="AG796"/>
  <c r="AE175"/>
  <c r="AE170"/>
  <c r="AL1085"/>
  <c r="M658"/>
  <c r="AD537"/>
  <c r="AK177"/>
  <c r="AY219"/>
  <c r="AY204"/>
  <c r="AX219"/>
  <c r="AK837"/>
  <c r="AH939"/>
  <c r="AC938"/>
  <c r="AC1179"/>
  <c r="AH1180"/>
  <c r="L987"/>
  <c r="L985"/>
  <c r="AR622"/>
  <c r="AR240"/>
  <c r="AR236"/>
  <c r="AF515"/>
  <c r="O514"/>
  <c r="AE514"/>
  <c r="AM1014"/>
  <c r="Y1013"/>
  <c r="AQ773"/>
  <c r="AE947"/>
  <c r="O290"/>
  <c r="Y460"/>
  <c r="AM461"/>
  <c r="AH541"/>
  <c r="AC540"/>
  <c r="AC538"/>
  <c r="AV713"/>
  <c r="AQ712"/>
  <c r="AH309"/>
  <c r="AC308"/>
  <c r="AE177"/>
  <c r="AS720"/>
  <c r="AE488"/>
  <c r="AL227"/>
  <c r="AM1220"/>
  <c r="Y1218"/>
  <c r="AM1218"/>
  <c r="S1135"/>
  <c r="S1133"/>
  <c r="S1132"/>
  <c r="S1130"/>
  <c r="AH1060"/>
  <c r="AM954"/>
  <c r="Y953"/>
  <c r="AH954"/>
  <c r="AM844"/>
  <c r="AQ861"/>
  <c r="AU862"/>
  <c r="AM748"/>
  <c r="Y747"/>
  <c r="AM713"/>
  <c r="Y712"/>
  <c r="AM582"/>
  <c r="Y581"/>
  <c r="AM581"/>
  <c r="Q318"/>
  <c r="Q311"/>
  <c r="AG514"/>
  <c r="AR567"/>
  <c r="R566"/>
  <c r="AF265"/>
  <c r="AF882"/>
  <c r="L318"/>
  <c r="L311"/>
  <c r="L15"/>
  <c r="AH382"/>
  <c r="AT145"/>
  <c r="AK145"/>
  <c r="V219"/>
  <c r="AE166"/>
  <c r="O164"/>
  <c r="AF164"/>
  <c r="AL145"/>
  <c r="AL208"/>
  <c r="S590"/>
  <c r="AA325"/>
  <c r="S505"/>
  <c r="S503"/>
  <c r="S495"/>
  <c r="S309"/>
  <c r="S308"/>
  <c r="S967"/>
  <c r="S288"/>
  <c r="S285"/>
  <c r="AA292"/>
  <c r="S939"/>
  <c r="S938"/>
  <c r="S937"/>
  <c r="S935"/>
  <c r="U50"/>
  <c r="S382"/>
  <c r="S575"/>
  <c r="S574"/>
  <c r="S572"/>
  <c r="AA251"/>
  <c r="AA265"/>
  <c r="AA260"/>
  <c r="AA227"/>
  <c r="S416"/>
  <c r="S415"/>
  <c r="S413"/>
  <c r="S365"/>
  <c r="AA236"/>
  <c r="S260"/>
  <c r="AA320"/>
  <c r="AA215"/>
  <c r="AA206"/>
  <c r="S320"/>
  <c r="AA221"/>
  <c r="S564"/>
  <c r="S240"/>
  <c r="S236"/>
  <c r="S541"/>
  <c r="S540"/>
  <c r="S538"/>
  <c r="S232"/>
  <c r="S227"/>
  <c r="S295"/>
  <c r="S294"/>
  <c r="M540"/>
  <c r="AE541"/>
  <c r="AK1053"/>
  <c r="AT1053"/>
  <c r="AS1053"/>
  <c r="W1052"/>
  <c r="AV912"/>
  <c r="AQ910"/>
  <c r="AM881"/>
  <c r="Y880"/>
  <c r="M507"/>
  <c r="AE508"/>
  <c r="O1148"/>
  <c r="AH1148"/>
  <c r="AG1148"/>
  <c r="Q1135"/>
  <c r="AK1180"/>
  <c r="AT1180"/>
  <c r="W1179"/>
  <c r="AL1179"/>
  <c r="AS1180"/>
  <c r="BH217"/>
  <c r="AU1053"/>
  <c r="AC1013"/>
  <c r="AH1014"/>
  <c r="AK1085"/>
  <c r="AT1085"/>
  <c r="AS1085"/>
  <c r="W1071"/>
  <c r="X1177"/>
  <c r="AE1091"/>
  <c r="AF1091"/>
  <c r="O1085"/>
  <c r="AL1053"/>
  <c r="AG1004"/>
  <c r="Q990"/>
  <c r="AH990"/>
  <c r="P937"/>
  <c r="AS834"/>
  <c r="AQ894"/>
  <c r="X861"/>
  <c r="AL862"/>
  <c r="AL914"/>
  <c r="X913"/>
  <c r="AM913"/>
  <c r="V851"/>
  <c r="AR852"/>
  <c r="Y912"/>
  <c r="AU760"/>
  <c r="AQ759"/>
  <c r="AV760"/>
  <c r="AR844"/>
  <c r="AE784"/>
  <c r="AF784"/>
  <c r="O782"/>
  <c r="BJ591"/>
  <c r="AQ597"/>
  <c r="BJ590"/>
  <c r="AK804"/>
  <c r="W803"/>
  <c r="AT793"/>
  <c r="AK793"/>
  <c r="O759"/>
  <c r="AE760"/>
  <c r="P617"/>
  <c r="AG622"/>
  <c r="Q621"/>
  <c r="AH621"/>
  <c r="AH713"/>
  <c r="AG713"/>
  <c r="Q712"/>
  <c r="AG567"/>
  <c r="Q566"/>
  <c r="BH327"/>
  <c r="BH309"/>
  <c r="BH308"/>
  <c r="AU382"/>
  <c r="AK382"/>
  <c r="AT382"/>
  <c r="AS382"/>
  <c r="W364"/>
  <c r="AE384"/>
  <c r="O382"/>
  <c r="AF382"/>
  <c r="AF384"/>
  <c r="AV642"/>
  <c r="W512"/>
  <c r="AK513"/>
  <c r="AU513"/>
  <c r="AU512"/>
  <c r="AU295"/>
  <c r="AU294"/>
  <c r="AU292"/>
  <c r="AT620"/>
  <c r="BJ468"/>
  <c r="AQ474"/>
  <c r="AM416"/>
  <c r="Y415"/>
  <c r="AZ318"/>
  <c r="AZ311"/>
  <c r="AM281"/>
  <c r="AC318"/>
  <c r="AQ134"/>
  <c r="AV136"/>
  <c r="AU136"/>
  <c r="AG236"/>
  <c r="AW219"/>
  <c r="BI221"/>
  <c r="BJ221"/>
  <c r="AE160"/>
  <c r="O157"/>
  <c r="AE66"/>
  <c r="M60"/>
  <c r="BG173"/>
  <c r="BG193"/>
  <c r="AQ12"/>
  <c r="AV173"/>
  <c r="AE85"/>
  <c r="O79"/>
  <c r="X50"/>
  <c r="AG94"/>
  <c r="AM69"/>
  <c r="AC802"/>
  <c r="AH803"/>
  <c r="AQ672"/>
  <c r="BJ665"/>
  <c r="BJ667"/>
  <c r="Y480"/>
  <c r="AH514"/>
  <c r="AC513"/>
  <c r="AC295"/>
  <c r="AK1190"/>
  <c r="AT1190"/>
  <c r="W1189"/>
  <c r="Y1196"/>
  <c r="AM1198"/>
  <c r="AT1199"/>
  <c r="W1196"/>
  <c r="AS1198"/>
  <c r="V1218"/>
  <c r="AR1218"/>
  <c r="AR1220"/>
  <c r="AE1141"/>
  <c r="AF1141"/>
  <c r="BH245"/>
  <c r="AQ1068"/>
  <c r="AV1050"/>
  <c r="BH216"/>
  <c r="AC1113"/>
  <c r="P1013"/>
  <c r="V1011"/>
  <c r="AS1013"/>
  <c r="AK914"/>
  <c r="W913"/>
  <c r="W826"/>
  <c r="AU826"/>
  <c r="AS828"/>
  <c r="AL897"/>
  <c r="X896"/>
  <c r="AW914"/>
  <c r="BI908"/>
  <c r="BH915"/>
  <c r="BH282"/>
  <c r="BH281"/>
  <c r="BH276"/>
  <c r="AW282"/>
  <c r="BI883"/>
  <c r="BH890"/>
  <c r="AQ726"/>
  <c r="AU727"/>
  <c r="AV727"/>
  <c r="AR682"/>
  <c r="V681"/>
  <c r="AE777"/>
  <c r="O776"/>
  <c r="AE804"/>
  <c r="M803"/>
  <c r="X765"/>
  <c r="AL765"/>
  <c r="AL767"/>
  <c r="AS667"/>
  <c r="V659"/>
  <c r="P726"/>
  <c r="W482"/>
  <c r="AK483"/>
  <c r="AS483"/>
  <c r="AT483"/>
  <c r="X602"/>
  <c r="BH225"/>
  <c r="Y659"/>
  <c r="AM667"/>
  <c r="AC620"/>
  <c r="AR461"/>
  <c r="AS682"/>
  <c r="V572"/>
  <c r="AR574"/>
  <c r="AF372"/>
  <c r="AE636"/>
  <c r="M635"/>
  <c r="M309"/>
  <c r="M308"/>
  <c r="AM593"/>
  <c r="Y592"/>
  <c r="AH460"/>
  <c r="AC458"/>
  <c r="AH364"/>
  <c r="Q362"/>
  <c r="AG364"/>
  <c r="AF333"/>
  <c r="AL308"/>
  <c r="AM212"/>
  <c r="AL212"/>
  <c r="X276"/>
  <c r="AM333"/>
  <c r="AM325"/>
  <c r="AH236"/>
  <c r="AM305"/>
  <c r="AF125"/>
  <c r="Y77"/>
  <c r="AL215"/>
  <c r="AR50"/>
  <c r="BJ699"/>
  <c r="AQ705"/>
  <c r="AV795"/>
  <c r="AU795"/>
  <c r="AQ793"/>
  <c r="AU592"/>
  <c r="AQ590"/>
  <c r="AT182"/>
  <c r="AK182"/>
  <c r="R1209"/>
  <c r="AR1209"/>
  <c r="AV1210"/>
  <c r="AT1210"/>
  <c r="W1209"/>
  <c r="AS1210"/>
  <c r="AU1210"/>
  <c r="AK1210"/>
  <c r="AV1148"/>
  <c r="AU1148"/>
  <c r="AE1220"/>
  <c r="O1218"/>
  <c r="AM1180"/>
  <c r="Y1179"/>
  <c r="AF1144"/>
  <c r="AE1144"/>
  <c r="Q1069"/>
  <c r="W954"/>
  <c r="AK955"/>
  <c r="AS955"/>
  <c r="AT955"/>
  <c r="X979"/>
  <c r="AL980"/>
  <c r="BI948"/>
  <c r="Q912"/>
  <c r="AG913"/>
  <c r="AC880"/>
  <c r="AH881"/>
  <c r="BJ922"/>
  <c r="AQ928"/>
  <c r="P878"/>
  <c r="BH805"/>
  <c r="BH295"/>
  <c r="BH294"/>
  <c r="AW804"/>
  <c r="BI798"/>
  <c r="AR727"/>
  <c r="V726"/>
  <c r="AE830"/>
  <c r="O828"/>
  <c r="BI790"/>
  <c r="BH797"/>
  <c r="AH844"/>
  <c r="AC836"/>
  <c r="AM804"/>
  <c r="Y803"/>
  <c r="AC681"/>
  <c r="AH682"/>
  <c r="AT582"/>
  <c r="W581"/>
  <c r="AS582"/>
  <c r="AK582"/>
  <c r="AL582"/>
  <c r="AF797"/>
  <c r="AE797"/>
  <c r="O796"/>
  <c r="AL682"/>
  <c r="X681"/>
  <c r="AM682"/>
  <c r="AK620"/>
  <c r="R618"/>
  <c r="AL458"/>
  <c r="AE376"/>
  <c r="AF376"/>
  <c r="S658"/>
  <c r="BJ492"/>
  <c r="AQ498"/>
  <c r="Y530"/>
  <c r="AM531"/>
  <c r="Q482"/>
  <c r="AG483"/>
  <c r="AH483"/>
  <c r="AL365"/>
  <c r="X364"/>
  <c r="V413"/>
  <c r="AS507"/>
  <c r="V505"/>
  <c r="AR507"/>
  <c r="P318"/>
  <c r="BI208"/>
  <c r="BJ208"/>
  <c r="AG288"/>
  <c r="Q285"/>
  <c r="AG285"/>
  <c r="AV114"/>
  <c r="AU114"/>
  <c r="Q219"/>
  <c r="Y260"/>
  <c r="AM260"/>
  <c r="AM208"/>
  <c r="AE52"/>
  <c r="AK105"/>
  <c r="AT105"/>
  <c r="W103"/>
  <c r="AL103"/>
  <c r="AS105"/>
  <c r="AC1198"/>
  <c r="AH1199"/>
  <c r="AE682"/>
  <c r="O681"/>
  <c r="AF62"/>
  <c r="O60"/>
  <c r="AE62"/>
  <c r="R1198"/>
  <c r="AK1198"/>
  <c r="AV1199"/>
  <c r="AR1199"/>
  <c r="AC1187"/>
  <c r="AH1189"/>
  <c r="AF1173"/>
  <c r="AG1173"/>
  <c r="P1135"/>
  <c r="AG1136"/>
  <c r="AG1209"/>
  <c r="Q1207"/>
  <c r="O939"/>
  <c r="AE941"/>
  <c r="O289"/>
  <c r="V935"/>
  <c r="AR937"/>
  <c r="BH224"/>
  <c r="R896"/>
  <c r="AV896"/>
  <c r="AR897"/>
  <c r="AL819"/>
  <c r="X818"/>
  <c r="AM818"/>
  <c r="AS295"/>
  <c r="AS294"/>
  <c r="AS292"/>
  <c r="V886"/>
  <c r="AR886"/>
  <c r="AR888"/>
  <c r="X849"/>
  <c r="V878"/>
  <c r="AR880"/>
  <c r="AV802"/>
  <c r="R800"/>
  <c r="AR802"/>
  <c r="AR804"/>
  <c r="AR295"/>
  <c r="AR294"/>
  <c r="AR292"/>
  <c r="AV768"/>
  <c r="AU768"/>
  <c r="AQ767"/>
  <c r="AK844"/>
  <c r="AV844"/>
  <c r="R836"/>
  <c r="AT897"/>
  <c r="AS897"/>
  <c r="AU897"/>
  <c r="AK897"/>
  <c r="W896"/>
  <c r="AU896"/>
  <c r="V793"/>
  <c r="AR795"/>
  <c r="AK643"/>
  <c r="AS643"/>
  <c r="AT643"/>
  <c r="W642"/>
  <c r="AL642"/>
  <c r="AL618"/>
  <c r="AE583"/>
  <c r="O582"/>
  <c r="BH209"/>
  <c r="BH208"/>
  <c r="O575"/>
  <c r="AE576"/>
  <c r="O309"/>
  <c r="AE667"/>
  <c r="O659"/>
  <c r="AM784"/>
  <c r="Y782"/>
  <c r="BJ598"/>
  <c r="AQ603"/>
  <c r="AG564"/>
  <c r="AH564"/>
  <c r="M513"/>
  <c r="M512"/>
  <c r="M295"/>
  <c r="AE416"/>
  <c r="AL416"/>
  <c r="X415"/>
  <c r="BJ523"/>
  <c r="AQ528"/>
  <c r="AH413"/>
  <c r="O302"/>
  <c r="AE303"/>
  <c r="AG325"/>
  <c r="X512"/>
  <c r="AM512"/>
  <c r="AL513"/>
  <c r="Q15"/>
  <c r="AK288"/>
  <c r="W285"/>
  <c r="AK285"/>
  <c r="BI251"/>
  <c r="BJ251"/>
  <c r="AM227"/>
  <c r="AM136"/>
  <c r="Y134"/>
  <c r="AM134"/>
  <c r="AW105"/>
  <c r="AW193"/>
  <c r="AV105"/>
  <c r="AU105"/>
  <c r="AQ103"/>
  <c r="Y182"/>
  <c r="AM184"/>
  <c r="AG208"/>
  <c r="AF208"/>
  <c r="AF85"/>
  <c r="BE77"/>
  <c r="BE193"/>
  <c r="AE981"/>
  <c r="O980"/>
  <c r="O727"/>
  <c r="AE731"/>
  <c r="P667"/>
  <c r="AF668"/>
  <c r="AG668"/>
  <c r="Y689"/>
  <c r="AU541"/>
  <c r="AK541"/>
  <c r="AT541"/>
  <c r="AS541"/>
  <c r="W540"/>
  <c r="Y621"/>
  <c r="AM622"/>
  <c r="Y505"/>
  <c r="AT461"/>
  <c r="R460"/>
  <c r="AH251"/>
  <c r="AV50"/>
  <c r="AF1160"/>
  <c r="AE1160"/>
  <c r="Y1133"/>
  <c r="Q1187"/>
  <c r="AG1187"/>
  <c r="AG1189"/>
  <c r="AK1136"/>
  <c r="AT1136"/>
  <c r="AS1136"/>
  <c r="AU1136"/>
  <c r="W1135"/>
  <c r="AQ1013"/>
  <c r="AV1014"/>
  <c r="AU1014"/>
  <c r="AK1221"/>
  <c r="BH237"/>
  <c r="O1053"/>
  <c r="AE1054"/>
  <c r="AF1054"/>
  <c r="AQ1187"/>
  <c r="AV1187"/>
  <c r="AV1189"/>
  <c r="AM1210"/>
  <c r="Y1209"/>
  <c r="O1136"/>
  <c r="Y990"/>
  <c r="AM991"/>
  <c r="AE1062"/>
  <c r="AK939"/>
  <c r="W938"/>
  <c r="AU955"/>
  <c r="AM980"/>
  <c r="AU979"/>
  <c r="AK979"/>
  <c r="AT979"/>
  <c r="AS979"/>
  <c r="W977"/>
  <c r="AH913"/>
  <c r="Y816"/>
  <c r="AV830"/>
  <c r="AR830"/>
  <c r="R828"/>
  <c r="AG880"/>
  <c r="AM914"/>
  <c r="X802"/>
  <c r="AK898"/>
  <c r="P773"/>
  <c r="O719"/>
  <c r="AF720"/>
  <c r="AE720"/>
  <c r="AH861"/>
  <c r="AC860"/>
  <c r="AV634"/>
  <c r="AU634"/>
  <c r="AQ632"/>
  <c r="AF777"/>
  <c r="Y603"/>
  <c r="AM605"/>
  <c r="M622"/>
  <c r="M621"/>
  <c r="M620"/>
  <c r="M618"/>
  <c r="M240"/>
  <c r="AE240"/>
  <c r="AQ520"/>
  <c r="BJ513"/>
  <c r="BJ515"/>
  <c r="AE668"/>
  <c r="AV622"/>
  <c r="AV240"/>
  <c r="AV236"/>
  <c r="AV219"/>
  <c r="BH269"/>
  <c r="BH258"/>
  <c r="AG582"/>
  <c r="Q581"/>
  <c r="Q572"/>
  <c r="AU458"/>
  <c r="AV365"/>
  <c r="AU365"/>
  <c r="AQ364"/>
  <c r="AU659"/>
  <c r="AM447"/>
  <c r="AM643"/>
  <c r="Y642"/>
  <c r="AM642"/>
  <c r="AV574"/>
  <c r="AQ572"/>
  <c r="AE452"/>
  <c r="O447"/>
  <c r="AE447"/>
  <c r="X294"/>
  <c r="AL295"/>
  <c r="AE342"/>
  <c r="O340"/>
  <c r="AE340"/>
  <c r="BI340"/>
  <c r="AM221"/>
  <c r="Y219"/>
  <c r="AC219"/>
  <c r="AH221"/>
  <c r="AL114"/>
  <c r="AT114"/>
  <c r="AS114"/>
  <c r="AK114"/>
  <c r="AM365"/>
  <c r="Y364"/>
  <c r="P134"/>
  <c r="AG134"/>
  <c r="Q260"/>
  <c r="AH134"/>
  <c r="O114"/>
  <c r="Y1071"/>
  <c r="AM1073"/>
  <c r="Q1198"/>
  <c r="AG1199"/>
  <c r="AF1168"/>
  <c r="AE1168"/>
  <c r="AR1210"/>
  <c r="AH1209"/>
  <c r="AC1207"/>
  <c r="BK1218"/>
  <c r="AF1073"/>
  <c r="P1071"/>
  <c r="AF1116"/>
  <c r="P1115"/>
  <c r="AR1115"/>
  <c r="V1113"/>
  <c r="BH232"/>
  <c r="AQ990"/>
  <c r="AV991"/>
  <c r="AU991"/>
  <c r="AV1115"/>
  <c r="AG1073"/>
  <c r="O991"/>
  <c r="AE993"/>
  <c r="AF993"/>
  <c r="AL991"/>
  <c r="X990"/>
  <c r="AM863"/>
  <c r="Y862"/>
  <c r="Y295"/>
  <c r="AK852"/>
  <c r="AT852"/>
  <c r="W851"/>
  <c r="AU851"/>
  <c r="AT295"/>
  <c r="AT294"/>
  <c r="AT292"/>
  <c r="AF915"/>
  <c r="AE915"/>
  <c r="O914"/>
  <c r="O282"/>
  <c r="AE853"/>
  <c r="M852"/>
  <c r="X880"/>
  <c r="AV878"/>
  <c r="P802"/>
  <c r="AF803"/>
  <c r="AG803"/>
  <c r="AK890"/>
  <c r="W889"/>
  <c r="X759"/>
  <c r="AL760"/>
  <c r="AK860"/>
  <c r="R858"/>
  <c r="X793"/>
  <c r="AL795"/>
  <c r="AK759"/>
  <c r="W757"/>
  <c r="AT759"/>
  <c r="AS759"/>
  <c r="AU618"/>
  <c r="AK575"/>
  <c r="AT575"/>
  <c r="W574"/>
  <c r="AS575"/>
  <c r="AG719"/>
  <c r="Q717"/>
  <c r="AM634"/>
  <c r="V590"/>
  <c r="AG574"/>
  <c r="P572"/>
  <c r="AE689"/>
  <c r="AL634"/>
  <c r="X632"/>
  <c r="X617"/>
  <c r="BH255"/>
  <c r="O603"/>
  <c r="BH244"/>
  <c r="AR634"/>
  <c r="V632"/>
  <c r="AS365"/>
  <c r="AR365"/>
  <c r="V364"/>
  <c r="AU643"/>
  <c r="AL483"/>
  <c r="X482"/>
  <c r="AM482"/>
  <c r="AF416"/>
  <c r="M382"/>
  <c r="M364"/>
  <c r="M362"/>
  <c r="AM382"/>
  <c r="AE643"/>
  <c r="O642"/>
  <c r="O632"/>
  <c r="AU575"/>
  <c r="P362"/>
  <c r="BI342"/>
  <c r="AF262"/>
  <c r="AG262"/>
  <c r="P260"/>
  <c r="AG221"/>
  <c r="P219"/>
  <c r="O365"/>
  <c r="AK251"/>
  <c r="AL251"/>
  <c r="W219"/>
  <c r="AK219"/>
  <c r="AL182"/>
  <c r="AC50"/>
  <c r="AH60"/>
  <c r="AT60"/>
  <c r="AS60"/>
  <c r="AK60"/>
  <c r="W50"/>
  <c r="AU50"/>
  <c r="AL105"/>
  <c r="AG50"/>
  <c r="M1109"/>
  <c r="AE1109"/>
  <c r="AE1110"/>
  <c r="X1071"/>
  <c r="AL1073"/>
  <c r="AE1016"/>
  <c r="O1014"/>
  <c r="AU682"/>
  <c r="AQ681"/>
  <c r="AV682"/>
  <c r="AW513"/>
  <c r="AW295"/>
  <c r="W292"/>
  <c r="AK294"/>
  <c r="AL1210"/>
  <c r="X1209"/>
  <c r="AK1220"/>
  <c r="W1218"/>
  <c r="AT1220"/>
  <c r="AS1116"/>
  <c r="W1115"/>
  <c r="AL1116"/>
  <c r="AT1116"/>
  <c r="AU1116"/>
  <c r="AK1116"/>
  <c r="V1207"/>
  <c r="O1004"/>
  <c r="AE1005"/>
  <c r="X1196"/>
  <c r="AL1198"/>
  <c r="AR1187"/>
  <c r="O1113"/>
  <c r="AE1113"/>
  <c r="AE1097"/>
  <c r="P1207"/>
  <c r="AC988"/>
  <c r="O1060"/>
  <c r="AF1061"/>
  <c r="AE1061"/>
  <c r="AQ935"/>
  <c r="AV937"/>
  <c r="P909"/>
  <c r="O837"/>
  <c r="AF838"/>
  <c r="AE838"/>
  <c r="AM898"/>
  <c r="Y897"/>
  <c r="AQ849"/>
  <c r="AV851"/>
  <c r="AV888"/>
  <c r="AQ886"/>
  <c r="AU852"/>
  <c r="AU818"/>
  <c r="AQ816"/>
  <c r="AR912"/>
  <c r="V910"/>
  <c r="AZ782"/>
  <c r="BI777"/>
  <c r="M606"/>
  <c r="AE607"/>
  <c r="M239"/>
  <c r="AK780"/>
  <c r="AT780"/>
  <c r="AS780"/>
  <c r="AR620"/>
  <c r="O712"/>
  <c r="AF713"/>
  <c r="AE713"/>
  <c r="V767"/>
  <c r="AR768"/>
  <c r="BJ692"/>
  <c r="AQ698"/>
  <c r="AH668"/>
  <c r="AC667"/>
  <c r="AH567"/>
  <c r="AE691"/>
  <c r="AL667"/>
  <c r="X659"/>
  <c r="AU582"/>
  <c r="AM538"/>
  <c r="BH238"/>
  <c r="AF689"/>
  <c r="AM320"/>
  <c r="Y318"/>
  <c r="AQ503"/>
  <c r="AV505"/>
  <c r="W318"/>
  <c r="AK320"/>
  <c r="AV415"/>
  <c r="AQ413"/>
  <c r="AH285"/>
  <c r="W260"/>
  <c r="AK260"/>
  <c r="AK262"/>
  <c r="AR184"/>
  <c r="V182"/>
  <c r="X173"/>
  <c r="BB219"/>
  <c r="AS164"/>
  <c r="AE71"/>
  <c r="M69"/>
  <c r="AC260"/>
  <c r="AH262"/>
  <c r="AU182"/>
  <c r="AL85"/>
  <c r="X79"/>
  <c r="AH77"/>
  <c r="P77"/>
  <c r="AS219"/>
  <c r="AL206"/>
  <c r="AD361"/>
  <c r="AK765"/>
  <c r="AT765"/>
  <c r="O1189"/>
  <c r="AE1189"/>
  <c r="AE1190"/>
  <c r="AE320"/>
  <c r="AD204"/>
  <c r="AD14"/>
  <c r="M987"/>
  <c r="M985"/>
  <c r="AF227"/>
  <c r="AG281"/>
  <c r="AK79"/>
  <c r="BH193"/>
  <c r="N46"/>
  <c r="R1133"/>
  <c r="AV1133"/>
  <c r="AG103"/>
  <c r="BA204"/>
  <c r="BA202"/>
  <c r="AK281"/>
  <c r="AE325"/>
  <c r="BF204"/>
  <c r="BF202"/>
  <c r="AT79"/>
  <c r="AH281"/>
  <c r="AR712"/>
  <c r="AS79"/>
  <c r="AQ48"/>
  <c r="R1011"/>
  <c r="R987"/>
  <c r="R985"/>
  <c r="AK1013"/>
  <c r="BH292"/>
  <c r="AS681"/>
  <c r="AR79"/>
  <c r="AQ202"/>
  <c r="N204"/>
  <c r="N202"/>
  <c r="V77"/>
  <c r="AR77"/>
  <c r="AR219"/>
  <c r="AR204"/>
  <c r="AR202"/>
  <c r="BD202"/>
  <c r="AL1196"/>
  <c r="L360"/>
  <c r="L357"/>
  <c r="Z360"/>
  <c r="Z357"/>
  <c r="AT219"/>
  <c r="AF206"/>
  <c r="AR1013"/>
  <c r="AG415"/>
  <c r="N360"/>
  <c r="AQ877"/>
  <c r="AT681"/>
  <c r="W679"/>
  <c r="AK679"/>
  <c r="AH415"/>
  <c r="AV15"/>
  <c r="AF215"/>
  <c r="AL782"/>
  <c r="AL236"/>
  <c r="M173"/>
  <c r="M12"/>
  <c r="AE12"/>
  <c r="AK415"/>
  <c r="W689"/>
  <c r="AS689"/>
  <c r="AD360"/>
  <c r="AD357"/>
  <c r="AE215"/>
  <c r="BB204"/>
  <c r="BB202"/>
  <c r="AS415"/>
  <c r="AK717"/>
  <c r="S11"/>
  <c r="S13"/>
  <c r="X590"/>
  <c r="AL590"/>
  <c r="AU415"/>
  <c r="X219"/>
  <c r="AM219"/>
  <c r="AG276"/>
  <c r="AX204"/>
  <c r="AX202"/>
  <c r="AW318"/>
  <c r="BI318"/>
  <c r="BJ318"/>
  <c r="O50"/>
  <c r="AF50"/>
  <c r="AY202"/>
  <c r="AH276"/>
  <c r="AE69"/>
  <c r="AG1071"/>
  <c r="AF461"/>
  <c r="AM206"/>
  <c r="AH1115"/>
  <c r="AR15"/>
  <c r="BC204"/>
  <c r="BC202"/>
  <c r="O880"/>
  <c r="AF880"/>
  <c r="BI265"/>
  <c r="BJ265"/>
  <c r="AE206"/>
  <c r="T11"/>
  <c r="T13"/>
  <c r="T17"/>
  <c r="T26"/>
  <c r="T46"/>
  <c r="AE881"/>
  <c r="AM836"/>
  <c r="L204"/>
  <c r="L202"/>
  <c r="W880"/>
  <c r="AL880"/>
  <c r="AT881"/>
  <c r="AU881"/>
  <c r="AS881"/>
  <c r="AK881"/>
  <c r="AS204"/>
  <c r="AS202"/>
  <c r="AU816"/>
  <c r="V204"/>
  <c r="V202"/>
  <c r="AU717"/>
  <c r="AH260"/>
  <c r="AL318"/>
  <c r="AF1207"/>
  <c r="AF221"/>
  <c r="AL717"/>
  <c r="AH1071"/>
  <c r="O219"/>
  <c r="AF219"/>
  <c r="L46"/>
  <c r="BH221"/>
  <c r="BH622"/>
  <c r="BJ646"/>
  <c r="AV592"/>
  <c r="AF1210"/>
  <c r="AR1071"/>
  <c r="M361"/>
  <c r="AE318"/>
  <c r="AU1198"/>
  <c r="R204"/>
  <c r="R1069"/>
  <c r="AR1069"/>
  <c r="AE1148"/>
  <c r="O311"/>
  <c r="AE311"/>
  <c r="AF1209"/>
  <c r="AK292"/>
  <c r="AL826"/>
  <c r="O621"/>
  <c r="AE621"/>
  <c r="W413"/>
  <c r="AT413"/>
  <c r="AB204"/>
  <c r="AB202"/>
  <c r="O460"/>
  <c r="AH1187"/>
  <c r="AR1135"/>
  <c r="AH103"/>
  <c r="Q538"/>
  <c r="AG538"/>
  <c r="N357"/>
  <c r="AD11"/>
  <c r="AD13"/>
  <c r="Q726"/>
  <c r="AH727"/>
  <c r="AE265"/>
  <c r="O260"/>
  <c r="AE260"/>
  <c r="BG204"/>
  <c r="BG202"/>
  <c r="BE236"/>
  <c r="BI240"/>
  <c r="BJ240"/>
  <c r="AK134"/>
  <c r="O134"/>
  <c r="AE134"/>
  <c r="AS691"/>
  <c r="AU691"/>
  <c r="V1050"/>
  <c r="AR1050"/>
  <c r="AR1052"/>
  <c r="AT204"/>
  <c r="AT202"/>
  <c r="AL175"/>
  <c r="AS134"/>
  <c r="Q48"/>
  <c r="BH265"/>
  <c r="BH260"/>
  <c r="AD16"/>
  <c r="AG727"/>
  <c r="AF136"/>
  <c r="AT134"/>
  <c r="BH227"/>
  <c r="V14"/>
  <c r="V16"/>
  <c r="AF1199"/>
  <c r="AC772"/>
  <c r="AH772"/>
  <c r="AH773"/>
  <c r="AK206"/>
  <c r="W204"/>
  <c r="BI206"/>
  <c r="BJ206"/>
  <c r="AE1199"/>
  <c r="AE173"/>
  <c r="BH325"/>
  <c r="BH318"/>
  <c r="BH311"/>
  <c r="AH1058"/>
  <c r="P204"/>
  <c r="AH206"/>
  <c r="Y1113"/>
  <c r="AM1113"/>
  <c r="AM1115"/>
  <c r="AZ202"/>
  <c r="AG206"/>
  <c r="AU204"/>
  <c r="AU202"/>
  <c r="BH215"/>
  <c r="BH206"/>
  <c r="S318"/>
  <c r="S311"/>
  <c r="S15"/>
  <c r="AD202"/>
  <c r="AV204"/>
  <c r="AV202"/>
  <c r="AQ14"/>
  <c r="AQ16"/>
  <c r="AF1148"/>
  <c r="AE860"/>
  <c r="O858"/>
  <c r="AE858"/>
  <c r="AQ479"/>
  <c r="AV479"/>
  <c r="AV480"/>
  <c r="S292"/>
  <c r="U48"/>
  <c r="U46"/>
  <c r="W12"/>
  <c r="AK12"/>
  <c r="AU173"/>
  <c r="AT173"/>
  <c r="AK173"/>
  <c r="AR566"/>
  <c r="AK566"/>
  <c r="AT566"/>
  <c r="O295"/>
  <c r="AE295"/>
  <c r="AF514"/>
  <c r="O513"/>
  <c r="Q679"/>
  <c r="AG679"/>
  <c r="AG681"/>
  <c r="P836"/>
  <c r="P834"/>
  <c r="P825"/>
  <c r="AF844"/>
  <c r="AG844"/>
  <c r="AL712"/>
  <c r="X710"/>
  <c r="Q1050"/>
  <c r="AG1050"/>
  <c r="AG1052"/>
  <c r="AK990"/>
  <c r="AT990"/>
  <c r="AS990"/>
  <c r="W988"/>
  <c r="M50"/>
  <c r="M48"/>
  <c r="AH219"/>
  <c r="AG1207"/>
  <c r="AM712"/>
  <c r="Y710"/>
  <c r="AM460"/>
  <c r="Y458"/>
  <c r="AM458"/>
  <c r="O951"/>
  <c r="AF953"/>
  <c r="AE953"/>
  <c r="AG953"/>
  <c r="Q951"/>
  <c r="AH953"/>
  <c r="BI290"/>
  <c r="BJ290"/>
  <c r="AW288"/>
  <c r="AU836"/>
  <c r="AQ834"/>
  <c r="AU834"/>
  <c r="V773"/>
  <c r="AR775"/>
  <c r="V1058"/>
  <c r="AR1058"/>
  <c r="AR1060"/>
  <c r="AL691"/>
  <c r="X689"/>
  <c r="AM724"/>
  <c r="AH308"/>
  <c r="AE290"/>
  <c r="AF290"/>
  <c r="W1058"/>
  <c r="AU1060"/>
  <c r="AS1060"/>
  <c r="AT1060"/>
  <c r="AK1060"/>
  <c r="BH939"/>
  <c r="BI932"/>
  <c r="AT726"/>
  <c r="W724"/>
  <c r="AL724"/>
  <c r="AK726"/>
  <c r="AM747"/>
  <c r="Y745"/>
  <c r="AE164"/>
  <c r="AC572"/>
  <c r="AH574"/>
  <c r="Y937"/>
  <c r="AM938"/>
  <c r="Q632"/>
  <c r="Q937"/>
  <c r="Q935"/>
  <c r="AG938"/>
  <c r="P894"/>
  <c r="P877"/>
  <c r="AG896"/>
  <c r="AF896"/>
  <c r="AV954"/>
  <c r="AQ953"/>
  <c r="AL747"/>
  <c r="X745"/>
  <c r="AL745"/>
  <c r="AS775"/>
  <c r="AK775"/>
  <c r="W773"/>
  <c r="AL775"/>
  <c r="AT775"/>
  <c r="AH938"/>
  <c r="AC937"/>
  <c r="AM889"/>
  <c r="Y888"/>
  <c r="AR954"/>
  <c r="V953"/>
  <c r="AM953"/>
  <c r="Y951"/>
  <c r="AM951"/>
  <c r="AV712"/>
  <c r="AQ710"/>
  <c r="AV710"/>
  <c r="AU712"/>
  <c r="AG795"/>
  <c r="Q793"/>
  <c r="X834"/>
  <c r="AL834"/>
  <c r="AL836"/>
  <c r="Q590"/>
  <c r="Q537"/>
  <c r="AG592"/>
  <c r="AH592"/>
  <c r="AG295"/>
  <c r="Q294"/>
  <c r="AH540"/>
  <c r="AL1135"/>
  <c r="AQ772"/>
  <c r="AV772"/>
  <c r="AV773"/>
  <c r="AL1060"/>
  <c r="X1058"/>
  <c r="AS460"/>
  <c r="V458"/>
  <c r="AS458"/>
  <c r="Q834"/>
  <c r="X1011"/>
  <c r="AL1011"/>
  <c r="AL1013"/>
  <c r="AL726"/>
  <c r="AG513"/>
  <c r="Q512"/>
  <c r="AR482"/>
  <c r="V480"/>
  <c r="AR540"/>
  <c r="V538"/>
  <c r="AR538"/>
  <c r="AF564"/>
  <c r="AE564"/>
  <c r="P48"/>
  <c r="P46"/>
  <c r="BH251"/>
  <c r="AG260"/>
  <c r="AM1135"/>
  <c r="V48"/>
  <c r="AR48"/>
  <c r="AV566"/>
  <c r="AU861"/>
  <c r="AQ860"/>
  <c r="AV861"/>
  <c r="Y1011"/>
  <c r="AM1013"/>
  <c r="AH1179"/>
  <c r="AC1177"/>
  <c r="R590"/>
  <c r="AV590"/>
  <c r="AK592"/>
  <c r="AT592"/>
  <c r="AC1050"/>
  <c r="AH1052"/>
  <c r="AF145"/>
  <c r="AE145"/>
  <c r="O482"/>
  <c r="AE483"/>
  <c r="AF483"/>
  <c r="AU175"/>
  <c r="AT175"/>
  <c r="AS175"/>
  <c r="AK175"/>
  <c r="AF567"/>
  <c r="O566"/>
  <c r="AE567"/>
  <c r="V717"/>
  <c r="AR719"/>
  <c r="Q1177"/>
  <c r="AG1177"/>
  <c r="AG1179"/>
  <c r="AR990"/>
  <c r="V988"/>
  <c r="AR988"/>
  <c r="AT712"/>
  <c r="W710"/>
  <c r="AS712"/>
  <c r="AK712"/>
  <c r="O538"/>
  <c r="AF538"/>
  <c r="AF540"/>
  <c r="AA318"/>
  <c r="AA311"/>
  <c r="S934"/>
  <c r="S364"/>
  <c r="S362"/>
  <c r="S361"/>
  <c r="AA219"/>
  <c r="AA204"/>
  <c r="S537"/>
  <c r="S219"/>
  <c r="P11"/>
  <c r="AQ11"/>
  <c r="AV48"/>
  <c r="AQ46"/>
  <c r="AS1115"/>
  <c r="W1113"/>
  <c r="AT1115"/>
  <c r="AK1115"/>
  <c r="AU1115"/>
  <c r="AL1115"/>
  <c r="AR1113"/>
  <c r="V1068"/>
  <c r="R826"/>
  <c r="AK826"/>
  <c r="AR828"/>
  <c r="AV828"/>
  <c r="AQ602"/>
  <c r="BJ595"/>
  <c r="BJ596"/>
  <c r="AV413"/>
  <c r="M605"/>
  <c r="AE606"/>
  <c r="P361"/>
  <c r="AR364"/>
  <c r="V362"/>
  <c r="AK574"/>
  <c r="W572"/>
  <c r="AU572"/>
  <c r="AT574"/>
  <c r="AS574"/>
  <c r="AL574"/>
  <c r="AQ617"/>
  <c r="AT858"/>
  <c r="AK858"/>
  <c r="AR858"/>
  <c r="AT851"/>
  <c r="W849"/>
  <c r="AU849"/>
  <c r="AK851"/>
  <c r="AH1207"/>
  <c r="Q1196"/>
  <c r="AG1196"/>
  <c r="AG1198"/>
  <c r="W1133"/>
  <c r="AL1133"/>
  <c r="AK1135"/>
  <c r="AU1135"/>
  <c r="AT1135"/>
  <c r="AS1135"/>
  <c r="AM1133"/>
  <c r="AE302"/>
  <c r="R792"/>
  <c r="AR800"/>
  <c r="AR413"/>
  <c r="BJ491"/>
  <c r="AQ496"/>
  <c r="BI797"/>
  <c r="BH804"/>
  <c r="AE1218"/>
  <c r="AF1218"/>
  <c r="Y590"/>
  <c r="AM592"/>
  <c r="AE776"/>
  <c r="O775"/>
  <c r="AF776"/>
  <c r="AL896"/>
  <c r="X894"/>
  <c r="AR1133"/>
  <c r="V1132"/>
  <c r="AU1196"/>
  <c r="AS1196"/>
  <c r="AH513"/>
  <c r="AC512"/>
  <c r="AF340"/>
  <c r="AE382"/>
  <c r="X860"/>
  <c r="AL861"/>
  <c r="AC1011"/>
  <c r="AH1011"/>
  <c r="AH1013"/>
  <c r="AM880"/>
  <c r="Y878"/>
  <c r="AQ696"/>
  <c r="BJ689"/>
  <c r="BJ691"/>
  <c r="AQ703"/>
  <c r="BJ696"/>
  <c r="BJ698"/>
  <c r="BH782"/>
  <c r="BI775"/>
  <c r="BI295"/>
  <c r="BJ295"/>
  <c r="AW294"/>
  <c r="AE365"/>
  <c r="O364"/>
  <c r="AF365"/>
  <c r="O990"/>
  <c r="AE991"/>
  <c r="AF991"/>
  <c r="AE1136"/>
  <c r="O1135"/>
  <c r="AF1135"/>
  <c r="Y503"/>
  <c r="O979"/>
  <c r="AE980"/>
  <c r="BJ521"/>
  <c r="AQ527"/>
  <c r="BJ520"/>
  <c r="O415"/>
  <c r="P1133"/>
  <c r="AE681"/>
  <c r="O679"/>
  <c r="AF681"/>
  <c r="AH1198"/>
  <c r="AC1196"/>
  <c r="AF318"/>
  <c r="AG318"/>
  <c r="P311"/>
  <c r="AG878"/>
  <c r="R1207"/>
  <c r="AV1207"/>
  <c r="AV1209"/>
  <c r="AH458"/>
  <c r="AC361"/>
  <c r="AC618"/>
  <c r="AE803"/>
  <c r="M802"/>
  <c r="AW281"/>
  <c r="BI282"/>
  <c r="BJ282"/>
  <c r="Y479"/>
  <c r="O77"/>
  <c r="AE77"/>
  <c r="AE79"/>
  <c r="AF79"/>
  <c r="AF157"/>
  <c r="AE157"/>
  <c r="AK364"/>
  <c r="AT364"/>
  <c r="AS364"/>
  <c r="W362"/>
  <c r="AG566"/>
  <c r="AH566"/>
  <c r="AE782"/>
  <c r="O780"/>
  <c r="AF782"/>
  <c r="P935"/>
  <c r="AV910"/>
  <c r="AL659"/>
  <c r="AE1014"/>
  <c r="O1013"/>
  <c r="AF1013"/>
  <c r="Y602"/>
  <c r="AM602"/>
  <c r="AM603"/>
  <c r="O1052"/>
  <c r="AE1053"/>
  <c r="AF1053"/>
  <c r="O726"/>
  <c r="AF726"/>
  <c r="AE727"/>
  <c r="AE659"/>
  <c r="AL979"/>
  <c r="X977"/>
  <c r="AM979"/>
  <c r="AS1011"/>
  <c r="AH802"/>
  <c r="AC800"/>
  <c r="Y910"/>
  <c r="X77"/>
  <c r="AL77"/>
  <c r="AL79"/>
  <c r="AR182"/>
  <c r="V173"/>
  <c r="O15"/>
  <c r="AE15"/>
  <c r="AR910"/>
  <c r="V909"/>
  <c r="AR909"/>
  <c r="AV886"/>
  <c r="AV935"/>
  <c r="AW512"/>
  <c r="BH513"/>
  <c r="BI506"/>
  <c r="AR632"/>
  <c r="V617"/>
  <c r="AL780"/>
  <c r="X772"/>
  <c r="AK757"/>
  <c r="AT757"/>
  <c r="AS757"/>
  <c r="AL759"/>
  <c r="X757"/>
  <c r="AL757"/>
  <c r="AE282"/>
  <c r="O281"/>
  <c r="AF282"/>
  <c r="AM295"/>
  <c r="Y294"/>
  <c r="AF1115"/>
  <c r="P1113"/>
  <c r="AG1115"/>
  <c r="AM364"/>
  <c r="Y362"/>
  <c r="AV632"/>
  <c r="AF719"/>
  <c r="AE719"/>
  <c r="O717"/>
  <c r="Y1207"/>
  <c r="AM1209"/>
  <c r="BH236"/>
  <c r="AM182"/>
  <c r="Y173"/>
  <c r="L14"/>
  <c r="L16"/>
  <c r="L17"/>
  <c r="L26"/>
  <c r="M294"/>
  <c r="O308"/>
  <c r="AE309"/>
  <c r="AF309"/>
  <c r="AK642"/>
  <c r="AT642"/>
  <c r="W632"/>
  <c r="AL632"/>
  <c r="AS642"/>
  <c r="AV836"/>
  <c r="AR836"/>
  <c r="R834"/>
  <c r="AK836"/>
  <c r="AT836"/>
  <c r="V877"/>
  <c r="AR878"/>
  <c r="O288"/>
  <c r="AE289"/>
  <c r="AF289"/>
  <c r="AF1136"/>
  <c r="AV1198"/>
  <c r="AR1198"/>
  <c r="R1196"/>
  <c r="AK1196"/>
  <c r="AG219"/>
  <c r="AM803"/>
  <c r="Y802"/>
  <c r="O826"/>
  <c r="AE828"/>
  <c r="AG912"/>
  <c r="AH912"/>
  <c r="Q910"/>
  <c r="AL285"/>
  <c r="M634"/>
  <c r="AE635"/>
  <c r="AK482"/>
  <c r="W480"/>
  <c r="AS482"/>
  <c r="AT482"/>
  <c r="AU482"/>
  <c r="AR681"/>
  <c r="V679"/>
  <c r="AR679"/>
  <c r="AT828"/>
  <c r="P1011"/>
  <c r="AG1013"/>
  <c r="AM1196"/>
  <c r="AM415"/>
  <c r="Y413"/>
  <c r="Q988"/>
  <c r="AH988"/>
  <c r="AG990"/>
  <c r="W1069"/>
  <c r="AK1071"/>
  <c r="AT1071"/>
  <c r="AS1071"/>
  <c r="AU1071"/>
  <c r="AQ1132"/>
  <c r="AM897"/>
  <c r="Y896"/>
  <c r="W976"/>
  <c r="AK977"/>
  <c r="AS977"/>
  <c r="AT977"/>
  <c r="AU977"/>
  <c r="AU590"/>
  <c r="AL50"/>
  <c r="AM50"/>
  <c r="V765"/>
  <c r="AR765"/>
  <c r="AR767"/>
  <c r="AK1218"/>
  <c r="AT1218"/>
  <c r="X1069"/>
  <c r="AL1071"/>
  <c r="AT77"/>
  <c r="AS77"/>
  <c r="AK77"/>
  <c r="Y632"/>
  <c r="AM632"/>
  <c r="O913"/>
  <c r="AE914"/>
  <c r="AF914"/>
  <c r="Y861"/>
  <c r="AM862"/>
  <c r="Y1069"/>
  <c r="AM1071"/>
  <c r="AQ537"/>
  <c r="AV572"/>
  <c r="AG572"/>
  <c r="Y620"/>
  <c r="AM621"/>
  <c r="AU77"/>
  <c r="AL415"/>
  <c r="X413"/>
  <c r="AR793"/>
  <c r="V792"/>
  <c r="AL851"/>
  <c r="R894"/>
  <c r="AV894"/>
  <c r="AR896"/>
  <c r="AQ926"/>
  <c r="BJ919"/>
  <c r="BJ921"/>
  <c r="AL260"/>
  <c r="AE622"/>
  <c r="P724"/>
  <c r="AS826"/>
  <c r="AF1014"/>
  <c r="AT1189"/>
  <c r="AK1189"/>
  <c r="W1187"/>
  <c r="W505"/>
  <c r="AK512"/>
  <c r="AH712"/>
  <c r="AG712"/>
  <c r="Q710"/>
  <c r="O757"/>
  <c r="AE757"/>
  <c r="AE759"/>
  <c r="AR851"/>
  <c r="V849"/>
  <c r="W1177"/>
  <c r="AL1177"/>
  <c r="AK1179"/>
  <c r="AT1179"/>
  <c r="AS1179"/>
  <c r="AU1179"/>
  <c r="M538"/>
  <c r="AE540"/>
  <c r="AE1004"/>
  <c r="AF1004"/>
  <c r="AF802"/>
  <c r="P800"/>
  <c r="AG802"/>
  <c r="Y988"/>
  <c r="AM990"/>
  <c r="AL364"/>
  <c r="X362"/>
  <c r="AK803"/>
  <c r="AT803"/>
  <c r="AS803"/>
  <c r="W802"/>
  <c r="AL802"/>
  <c r="AU803"/>
  <c r="AK318"/>
  <c r="W311"/>
  <c r="AL311"/>
  <c r="AH667"/>
  <c r="AC659"/>
  <c r="AC48"/>
  <c r="AH50"/>
  <c r="AL482"/>
  <c r="X480"/>
  <c r="AG717"/>
  <c r="AH717"/>
  <c r="W888"/>
  <c r="AK889"/>
  <c r="AS889"/>
  <c r="AL889"/>
  <c r="AT889"/>
  <c r="AU889"/>
  <c r="P1069"/>
  <c r="AG1069"/>
  <c r="AE114"/>
  <c r="O103"/>
  <c r="AF114"/>
  <c r="AU574"/>
  <c r="AV364"/>
  <c r="AQ362"/>
  <c r="AU364"/>
  <c r="AG581"/>
  <c r="AH581"/>
  <c r="P772"/>
  <c r="AG773"/>
  <c r="X800"/>
  <c r="AK938"/>
  <c r="AT938"/>
  <c r="AS938"/>
  <c r="W937"/>
  <c r="AL938"/>
  <c r="AU938"/>
  <c r="AU540"/>
  <c r="AK540"/>
  <c r="W538"/>
  <c r="AT540"/>
  <c r="AS540"/>
  <c r="AL540"/>
  <c r="AF460"/>
  <c r="AE460"/>
  <c r="O458"/>
  <c r="AV103"/>
  <c r="AU103"/>
  <c r="AL512"/>
  <c r="X505"/>
  <c r="O574"/>
  <c r="AE575"/>
  <c r="AF575"/>
  <c r="AT896"/>
  <c r="W894"/>
  <c r="AS896"/>
  <c r="AK896"/>
  <c r="AM849"/>
  <c r="O938"/>
  <c r="AE939"/>
  <c r="AF939"/>
  <c r="AV800"/>
  <c r="AT103"/>
  <c r="AS103"/>
  <c r="AK103"/>
  <c r="V503"/>
  <c r="AR505"/>
  <c r="Q480"/>
  <c r="AG482"/>
  <c r="AH482"/>
  <c r="AL681"/>
  <c r="X679"/>
  <c r="AM681"/>
  <c r="AH836"/>
  <c r="AC834"/>
  <c r="V724"/>
  <c r="AR726"/>
  <c r="AS726"/>
  <c r="W953"/>
  <c r="AK954"/>
  <c r="AS954"/>
  <c r="AT954"/>
  <c r="AL954"/>
  <c r="AU954"/>
  <c r="Q361"/>
  <c r="AG362"/>
  <c r="AH362"/>
  <c r="AM659"/>
  <c r="AF727"/>
  <c r="BH914"/>
  <c r="BI907"/>
  <c r="AK828"/>
  <c r="AQ1066"/>
  <c r="AV12"/>
  <c r="AQ472"/>
  <c r="BJ465"/>
  <c r="BJ467"/>
  <c r="AU642"/>
  <c r="AL913"/>
  <c r="X912"/>
  <c r="W1050"/>
  <c r="AK1052"/>
  <c r="AT1052"/>
  <c r="AS1052"/>
  <c r="AL1052"/>
  <c r="AU1052"/>
  <c r="P495"/>
  <c r="AC679"/>
  <c r="AH681"/>
  <c r="AL173"/>
  <c r="X12"/>
  <c r="AE239"/>
  <c r="M236"/>
  <c r="X1207"/>
  <c r="AL1209"/>
  <c r="AU681"/>
  <c r="AV681"/>
  <c r="AQ679"/>
  <c r="O602"/>
  <c r="P537"/>
  <c r="AL793"/>
  <c r="X878"/>
  <c r="X988"/>
  <c r="AL990"/>
  <c r="AL803"/>
  <c r="AS590"/>
  <c r="AV767"/>
  <c r="AU767"/>
  <c r="AQ765"/>
  <c r="AE1198"/>
  <c r="O1196"/>
  <c r="AF1198"/>
  <c r="AS581"/>
  <c r="AL581"/>
  <c r="AT581"/>
  <c r="AU581"/>
  <c r="AK581"/>
  <c r="M1071"/>
  <c r="M1069"/>
  <c r="M1068"/>
  <c r="M1066"/>
  <c r="AM1179"/>
  <c r="Y1177"/>
  <c r="AM1177"/>
  <c r="AU793"/>
  <c r="AQ792"/>
  <c r="AV793"/>
  <c r="AM79"/>
  <c r="AL276"/>
  <c r="AM276"/>
  <c r="AS659"/>
  <c r="AK913"/>
  <c r="AS913"/>
  <c r="W912"/>
  <c r="AT913"/>
  <c r="AU913"/>
  <c r="AT1198"/>
  <c r="AV134"/>
  <c r="AU134"/>
  <c r="AE1085"/>
  <c r="O1071"/>
  <c r="AF1085"/>
  <c r="AM318"/>
  <c r="Y311"/>
  <c r="AL294"/>
  <c r="X292"/>
  <c r="AL292"/>
  <c r="X816"/>
  <c r="AL816"/>
  <c r="AL818"/>
  <c r="R617"/>
  <c r="AT618"/>
  <c r="AK618"/>
  <c r="AR618"/>
  <c r="AV503"/>
  <c r="AF632"/>
  <c r="AF712"/>
  <c r="AE712"/>
  <c r="O710"/>
  <c r="AV849"/>
  <c r="O836"/>
  <c r="AF837"/>
  <c r="AE837"/>
  <c r="AF1060"/>
  <c r="AE1060"/>
  <c r="O1058"/>
  <c r="AG48"/>
  <c r="Q46"/>
  <c r="Q11"/>
  <c r="W48"/>
  <c r="AU48"/>
  <c r="AT50"/>
  <c r="AS50"/>
  <c r="AK50"/>
  <c r="AE642"/>
  <c r="AF642"/>
  <c r="AV618"/>
  <c r="AE852"/>
  <c r="M851"/>
  <c r="AQ988"/>
  <c r="AV990"/>
  <c r="AU990"/>
  <c r="AH860"/>
  <c r="AC858"/>
  <c r="AH858"/>
  <c r="AV1013"/>
  <c r="AU1013"/>
  <c r="AQ1011"/>
  <c r="AT460"/>
  <c r="R458"/>
  <c r="AR460"/>
  <c r="AK460"/>
  <c r="AV460"/>
  <c r="AG667"/>
  <c r="AF667"/>
  <c r="P659"/>
  <c r="AM782"/>
  <c r="Y780"/>
  <c r="AE582"/>
  <c r="O581"/>
  <c r="AE581"/>
  <c r="AR935"/>
  <c r="AE60"/>
  <c r="AF60"/>
  <c r="AM530"/>
  <c r="Y528"/>
  <c r="AE796"/>
  <c r="O795"/>
  <c r="AF796"/>
  <c r="AH880"/>
  <c r="AC878"/>
  <c r="Q1068"/>
  <c r="AH1069"/>
  <c r="AS1209"/>
  <c r="W1207"/>
  <c r="AK1209"/>
  <c r="AU1209"/>
  <c r="AT1209"/>
  <c r="AS182"/>
  <c r="X15"/>
  <c r="Y48"/>
  <c r="AR572"/>
  <c r="AQ724"/>
  <c r="AU726"/>
  <c r="AV726"/>
  <c r="AH1113"/>
  <c r="AC1068"/>
  <c r="AH295"/>
  <c r="AC294"/>
  <c r="AG77"/>
  <c r="AC311"/>
  <c r="AH318"/>
  <c r="AG621"/>
  <c r="Q620"/>
  <c r="AH620"/>
  <c r="AS793"/>
  <c r="AQ757"/>
  <c r="AV759"/>
  <c r="AU759"/>
  <c r="AG1135"/>
  <c r="Q1133"/>
  <c r="AH1135"/>
  <c r="M505"/>
  <c r="M503"/>
  <c r="M495"/>
  <c r="AE507"/>
  <c r="O878"/>
  <c r="AF878"/>
  <c r="AE880"/>
  <c r="O1187"/>
  <c r="X537"/>
  <c r="AF1189"/>
  <c r="AT679"/>
  <c r="AL12"/>
  <c r="AU12"/>
  <c r="O620"/>
  <c r="AT12"/>
  <c r="AT689"/>
  <c r="AR1011"/>
  <c r="AK689"/>
  <c r="AK1011"/>
  <c r="AW311"/>
  <c r="BI311"/>
  <c r="BJ311"/>
  <c r="AL413"/>
  <c r="AT1011"/>
  <c r="AM710"/>
  <c r="N14"/>
  <c r="N16"/>
  <c r="N17"/>
  <c r="N26"/>
  <c r="AF134"/>
  <c r="M46"/>
  <c r="W658"/>
  <c r="AL219"/>
  <c r="X48"/>
  <c r="AU689"/>
  <c r="AH538"/>
  <c r="AG937"/>
  <c r="AL689"/>
  <c r="AM77"/>
  <c r="AU880"/>
  <c r="W878"/>
  <c r="AL878"/>
  <c r="AK880"/>
  <c r="AT880"/>
  <c r="AS880"/>
  <c r="AH1050"/>
  <c r="AF260"/>
  <c r="AD17"/>
  <c r="AD26"/>
  <c r="BH219"/>
  <c r="BH204"/>
  <c r="BH202"/>
  <c r="AA202"/>
  <c r="AF621"/>
  <c r="AL849"/>
  <c r="R1068"/>
  <c r="R1066"/>
  <c r="AV1066"/>
  <c r="AS413"/>
  <c r="Q934"/>
  <c r="AU413"/>
  <c r="AG836"/>
  <c r="AK413"/>
  <c r="V46"/>
  <c r="AR46"/>
  <c r="AV1069"/>
  <c r="V11"/>
  <c r="R202"/>
  <c r="R14"/>
  <c r="AV14"/>
  <c r="W825"/>
  <c r="AT826"/>
  <c r="BE219"/>
  <c r="BI236"/>
  <c r="BJ236"/>
  <c r="AH726"/>
  <c r="AG726"/>
  <c r="Q724"/>
  <c r="AH724"/>
  <c r="AM1011"/>
  <c r="V537"/>
  <c r="Y658"/>
  <c r="M11"/>
  <c r="M13"/>
  <c r="V987"/>
  <c r="V985"/>
  <c r="AR985"/>
  <c r="AE50"/>
  <c r="AH1177"/>
  <c r="AR590"/>
  <c r="AF858"/>
  <c r="X204"/>
  <c r="AH679"/>
  <c r="AR1207"/>
  <c r="AG46"/>
  <c r="S204"/>
  <c r="S202"/>
  <c r="P202"/>
  <c r="AK204"/>
  <c r="W202"/>
  <c r="U11"/>
  <c r="U13"/>
  <c r="U17"/>
  <c r="U26"/>
  <c r="AG294"/>
  <c r="Q292"/>
  <c r="Q204"/>
  <c r="AR717"/>
  <c r="AS717"/>
  <c r="AQ858"/>
  <c r="AU860"/>
  <c r="AV860"/>
  <c r="Q505"/>
  <c r="AG512"/>
  <c r="AR953"/>
  <c r="V951"/>
  <c r="AL773"/>
  <c r="AT773"/>
  <c r="W772"/>
  <c r="AL772"/>
  <c r="AS773"/>
  <c r="AK773"/>
  <c r="AU773"/>
  <c r="AH572"/>
  <c r="AC537"/>
  <c r="AH537"/>
  <c r="AU710"/>
  <c r="AK710"/>
  <c r="AT710"/>
  <c r="AS710"/>
  <c r="AL1058"/>
  <c r="AF894"/>
  <c r="AG894"/>
  <c r="AE951"/>
  <c r="AF951"/>
  <c r="V772"/>
  <c r="AR772"/>
  <c r="AR773"/>
  <c r="S360"/>
  <c r="S357"/>
  <c r="R537"/>
  <c r="AR537"/>
  <c r="AK590"/>
  <c r="AT590"/>
  <c r="Y886"/>
  <c r="AM886"/>
  <c r="AM888"/>
  <c r="AM745"/>
  <c r="AW285"/>
  <c r="BI285"/>
  <c r="BJ285"/>
  <c r="BI288"/>
  <c r="BJ288"/>
  <c r="AM1058"/>
  <c r="AM689"/>
  <c r="X658"/>
  <c r="AE566"/>
  <c r="AF566"/>
  <c r="AF482"/>
  <c r="AE482"/>
  <c r="O480"/>
  <c r="AH590"/>
  <c r="AG590"/>
  <c r="AK988"/>
  <c r="AT988"/>
  <c r="AS988"/>
  <c r="AH937"/>
  <c r="AC935"/>
  <c r="AG632"/>
  <c r="AH632"/>
  <c r="AL710"/>
  <c r="AF513"/>
  <c r="AE513"/>
  <c r="O512"/>
  <c r="AM413"/>
  <c r="AG834"/>
  <c r="Q825"/>
  <c r="AG825"/>
  <c r="AV953"/>
  <c r="AQ951"/>
  <c r="AT724"/>
  <c r="AK724"/>
  <c r="AT1058"/>
  <c r="AK1058"/>
  <c r="AS1058"/>
  <c r="AU1058"/>
  <c r="AG951"/>
  <c r="AH951"/>
  <c r="AR792"/>
  <c r="AR480"/>
  <c r="V479"/>
  <c r="AR479"/>
  <c r="AG793"/>
  <c r="AH793"/>
  <c r="Q792"/>
  <c r="Y935"/>
  <c r="AM937"/>
  <c r="AM834"/>
  <c r="AF295"/>
  <c r="O294"/>
  <c r="AF294"/>
  <c r="AV757"/>
  <c r="AU757"/>
  <c r="AV724"/>
  <c r="AU724"/>
  <c r="AH878"/>
  <c r="AC877"/>
  <c r="AH877"/>
  <c r="P14"/>
  <c r="AE1058"/>
  <c r="AF1058"/>
  <c r="AE710"/>
  <c r="AF710"/>
  <c r="AK953"/>
  <c r="W951"/>
  <c r="AS953"/>
  <c r="AT953"/>
  <c r="AU953"/>
  <c r="AL953"/>
  <c r="AV362"/>
  <c r="AU362"/>
  <c r="AQ361"/>
  <c r="AL480"/>
  <c r="X479"/>
  <c r="AM479"/>
  <c r="AM988"/>
  <c r="Y987"/>
  <c r="Q987"/>
  <c r="AG988"/>
  <c r="BI505"/>
  <c r="BH512"/>
  <c r="AR987"/>
  <c r="AE726"/>
  <c r="O724"/>
  <c r="AE724"/>
  <c r="AG935"/>
  <c r="P934"/>
  <c r="AC617"/>
  <c r="AH1196"/>
  <c r="AC1132"/>
  <c r="AK849"/>
  <c r="AT849"/>
  <c r="AC987"/>
  <c r="AV46"/>
  <c r="P658"/>
  <c r="P360"/>
  <c r="AF659"/>
  <c r="AG659"/>
  <c r="AM311"/>
  <c r="Y15"/>
  <c r="AM15"/>
  <c r="AK894"/>
  <c r="AT894"/>
  <c r="AS894"/>
  <c r="AK802"/>
  <c r="W800"/>
  <c r="AL800"/>
  <c r="AT802"/>
  <c r="AS802"/>
  <c r="AU802"/>
  <c r="AK362"/>
  <c r="AT362"/>
  <c r="W361"/>
  <c r="AS362"/>
  <c r="AC292"/>
  <c r="AC204"/>
  <c r="AH294"/>
  <c r="AF1196"/>
  <c r="AE1196"/>
  <c r="AT1050"/>
  <c r="AS1050"/>
  <c r="AK1050"/>
  <c r="AL1050"/>
  <c r="AU1050"/>
  <c r="W987"/>
  <c r="AG361"/>
  <c r="X503"/>
  <c r="AM503"/>
  <c r="AL505"/>
  <c r="AF800"/>
  <c r="P792"/>
  <c r="AG800"/>
  <c r="AG710"/>
  <c r="AH710"/>
  <c r="AE913"/>
  <c r="O912"/>
  <c r="AF913"/>
  <c r="AE826"/>
  <c r="AE308"/>
  <c r="AF308"/>
  <c r="AM362"/>
  <c r="Y361"/>
  <c r="AE281"/>
  <c r="AF281"/>
  <c r="O276"/>
  <c r="AU894"/>
  <c r="AH361"/>
  <c r="AE364"/>
  <c r="O362"/>
  <c r="AF364"/>
  <c r="V1130"/>
  <c r="AM590"/>
  <c r="Y537"/>
  <c r="AM537"/>
  <c r="AT1133"/>
  <c r="AS1133"/>
  <c r="W1132"/>
  <c r="AU1132"/>
  <c r="AU1133"/>
  <c r="AK1133"/>
  <c r="AS572"/>
  <c r="AL572"/>
  <c r="AT572"/>
  <c r="AK572"/>
  <c r="AK1113"/>
  <c r="AT1113"/>
  <c r="AS1113"/>
  <c r="AU1113"/>
  <c r="AL1113"/>
  <c r="AQ13"/>
  <c r="AV11"/>
  <c r="AQ495"/>
  <c r="BJ489"/>
  <c r="AG620"/>
  <c r="Q618"/>
  <c r="Y46"/>
  <c r="AM48"/>
  <c r="Y11"/>
  <c r="AK1207"/>
  <c r="AT1207"/>
  <c r="AS1207"/>
  <c r="AU1207"/>
  <c r="O793"/>
  <c r="AE795"/>
  <c r="AF795"/>
  <c r="AV988"/>
  <c r="AU988"/>
  <c r="AQ987"/>
  <c r="AL988"/>
  <c r="X987"/>
  <c r="AL1207"/>
  <c r="AL912"/>
  <c r="X910"/>
  <c r="AM910"/>
  <c r="AR724"/>
  <c r="AS724"/>
  <c r="Q479"/>
  <c r="AG480"/>
  <c r="AH480"/>
  <c r="AH48"/>
  <c r="AC46"/>
  <c r="AH46"/>
  <c r="AC11"/>
  <c r="X1068"/>
  <c r="AL1069"/>
  <c r="AK976"/>
  <c r="AT976"/>
  <c r="AS976"/>
  <c r="AU976"/>
  <c r="AM802"/>
  <c r="Y800"/>
  <c r="AM1207"/>
  <c r="AR617"/>
  <c r="Y909"/>
  <c r="X976"/>
  <c r="AL977"/>
  <c r="AM977"/>
  <c r="O1050"/>
  <c r="AE1052"/>
  <c r="AF1052"/>
  <c r="X1132"/>
  <c r="AM480"/>
  <c r="AG877"/>
  <c r="AE679"/>
  <c r="AF679"/>
  <c r="BI350"/>
  <c r="R825"/>
  <c r="AR826"/>
  <c r="AV826"/>
  <c r="AE458"/>
  <c r="AF458"/>
  <c r="AQ1130"/>
  <c r="M632"/>
  <c r="AE634"/>
  <c r="AR834"/>
  <c r="AV834"/>
  <c r="AT834"/>
  <c r="AK834"/>
  <c r="AM878"/>
  <c r="AG1133"/>
  <c r="Q1132"/>
  <c r="AH1133"/>
  <c r="AH1068"/>
  <c r="AC1066"/>
  <c r="AE851"/>
  <c r="M849"/>
  <c r="AS48"/>
  <c r="AK48"/>
  <c r="W11"/>
  <c r="AU11"/>
  <c r="W46"/>
  <c r="AU46"/>
  <c r="AT48"/>
  <c r="AV792"/>
  <c r="AV765"/>
  <c r="AU765"/>
  <c r="X877"/>
  <c r="M219"/>
  <c r="AE236"/>
  <c r="AH834"/>
  <c r="AC825"/>
  <c r="O937"/>
  <c r="AE938"/>
  <c r="AF938"/>
  <c r="AK937"/>
  <c r="W935"/>
  <c r="AT937"/>
  <c r="AS937"/>
  <c r="AL937"/>
  <c r="AU937"/>
  <c r="AG772"/>
  <c r="AE103"/>
  <c r="AF103"/>
  <c r="AC658"/>
  <c r="X11"/>
  <c r="X46"/>
  <c r="AL48"/>
  <c r="AM896"/>
  <c r="Y894"/>
  <c r="AM894"/>
  <c r="AR11"/>
  <c r="AE288"/>
  <c r="O285"/>
  <c r="AF288"/>
  <c r="M292"/>
  <c r="AE717"/>
  <c r="AF717"/>
  <c r="AM912"/>
  <c r="O977"/>
  <c r="AE979"/>
  <c r="AE990"/>
  <c r="O988"/>
  <c r="AF990"/>
  <c r="AW292"/>
  <c r="BI292"/>
  <c r="BJ292"/>
  <c r="BI294"/>
  <c r="BJ294"/>
  <c r="AH512"/>
  <c r="AC505"/>
  <c r="AL894"/>
  <c r="AR362"/>
  <c r="V361"/>
  <c r="M603"/>
  <c r="AE605"/>
  <c r="V1066"/>
  <c r="AV1011"/>
  <c r="AU1011"/>
  <c r="AE878"/>
  <c r="O877"/>
  <c r="AE877"/>
  <c r="AM528"/>
  <c r="Y527"/>
  <c r="AM527"/>
  <c r="AM780"/>
  <c r="Y772"/>
  <c r="AM772"/>
  <c r="Q13"/>
  <c r="AG11"/>
  <c r="AF836"/>
  <c r="AE836"/>
  <c r="O834"/>
  <c r="O825"/>
  <c r="O1069"/>
  <c r="AF1069"/>
  <c r="AE1071"/>
  <c r="V658"/>
  <c r="AR658"/>
  <c r="BJ1059"/>
  <c r="BJ1060"/>
  <c r="AR503"/>
  <c r="V495"/>
  <c r="AR495"/>
  <c r="AE574"/>
  <c r="O572"/>
  <c r="AF574"/>
  <c r="AK888"/>
  <c r="W886"/>
  <c r="AT888"/>
  <c r="AS888"/>
  <c r="AL888"/>
  <c r="AU888"/>
  <c r="AL362"/>
  <c r="X361"/>
  <c r="AS1177"/>
  <c r="AT1177"/>
  <c r="AK1177"/>
  <c r="AU1177"/>
  <c r="Y1068"/>
  <c r="AM1069"/>
  <c r="AG537"/>
  <c r="W617"/>
  <c r="AU617"/>
  <c r="AK632"/>
  <c r="AT632"/>
  <c r="AS632"/>
  <c r="AF1113"/>
  <c r="AG1113"/>
  <c r="AR173"/>
  <c r="V12"/>
  <c r="AS173"/>
  <c r="AH800"/>
  <c r="AC792"/>
  <c r="AH792"/>
  <c r="AQ909"/>
  <c r="AE780"/>
  <c r="AF780"/>
  <c r="BI281"/>
  <c r="BJ281"/>
  <c r="AW276"/>
  <c r="AF311"/>
  <c r="P15"/>
  <c r="AG311"/>
  <c r="AM505"/>
  <c r="W14"/>
  <c r="Y1132"/>
  <c r="O48"/>
  <c r="AH311"/>
  <c r="AC15"/>
  <c r="AH15"/>
  <c r="Q1066"/>
  <c r="AK912"/>
  <c r="W910"/>
  <c r="AS912"/>
  <c r="AT912"/>
  <c r="AU912"/>
  <c r="AK658"/>
  <c r="AT658"/>
  <c r="AF1071"/>
  <c r="AK311"/>
  <c r="W15"/>
  <c r="V825"/>
  <c r="AR849"/>
  <c r="AK505"/>
  <c r="AT505"/>
  <c r="W503"/>
  <c r="AS505"/>
  <c r="AU505"/>
  <c r="AR894"/>
  <c r="R877"/>
  <c r="AV877"/>
  <c r="AM620"/>
  <c r="Y618"/>
  <c r="AT1069"/>
  <c r="AS1069"/>
  <c r="W1068"/>
  <c r="AK1069"/>
  <c r="AU1069"/>
  <c r="AG1011"/>
  <c r="P987"/>
  <c r="AK480"/>
  <c r="AT480"/>
  <c r="AS480"/>
  <c r="W479"/>
  <c r="AU480"/>
  <c r="AG910"/>
  <c r="Q909"/>
  <c r="AH910"/>
  <c r="AR1196"/>
  <c r="AV1196"/>
  <c r="R1132"/>
  <c r="R1130"/>
  <c r="AE1013"/>
  <c r="O1011"/>
  <c r="AE1011"/>
  <c r="AE802"/>
  <c r="M800"/>
  <c r="P1132"/>
  <c r="Y495"/>
  <c r="X858"/>
  <c r="AL860"/>
  <c r="AV617"/>
  <c r="P13"/>
  <c r="AV458"/>
  <c r="AR458"/>
  <c r="AK458"/>
  <c r="AT458"/>
  <c r="R361"/>
  <c r="AF77"/>
  <c r="X792"/>
  <c r="AV679"/>
  <c r="AU679"/>
  <c r="AQ658"/>
  <c r="AE620"/>
  <c r="O618"/>
  <c r="AF620"/>
  <c r="AL679"/>
  <c r="AM679"/>
  <c r="AS679"/>
  <c r="AS538"/>
  <c r="W537"/>
  <c r="AU537"/>
  <c r="AT538"/>
  <c r="AK538"/>
  <c r="AU538"/>
  <c r="AL538"/>
  <c r="P1068"/>
  <c r="M537"/>
  <c r="AE538"/>
  <c r="AT1187"/>
  <c r="AK1187"/>
  <c r="AM816"/>
  <c r="Y860"/>
  <c r="AM861"/>
  <c r="AM173"/>
  <c r="Y12"/>
  <c r="AM12"/>
  <c r="AU632"/>
  <c r="AM294"/>
  <c r="Y292"/>
  <c r="Y204"/>
  <c r="AE1187"/>
  <c r="AF1187"/>
  <c r="O413"/>
  <c r="AE415"/>
  <c r="AF415"/>
  <c r="O1133"/>
  <c r="AF1133"/>
  <c r="AE1135"/>
  <c r="AT1196"/>
  <c r="AE775"/>
  <c r="O773"/>
  <c r="AF775"/>
  <c r="AR1066"/>
  <c r="AR1068"/>
  <c r="AH825"/>
  <c r="AL658"/>
  <c r="AM658"/>
  <c r="AV537"/>
  <c r="AV1068"/>
  <c r="Q658"/>
  <c r="AG658"/>
  <c r="O658"/>
  <c r="AE658"/>
  <c r="AF724"/>
  <c r="AK878"/>
  <c r="AT878"/>
  <c r="AU878"/>
  <c r="AS878"/>
  <c r="AG724"/>
  <c r="AW204"/>
  <c r="AW202"/>
  <c r="R16"/>
  <c r="AR14"/>
  <c r="AT825"/>
  <c r="AK202"/>
  <c r="BE204"/>
  <c r="BE202"/>
  <c r="BI219"/>
  <c r="BJ219"/>
  <c r="S14"/>
  <c r="S16"/>
  <c r="S17"/>
  <c r="S26"/>
  <c r="X202"/>
  <c r="AL202"/>
  <c r="AL204"/>
  <c r="AM46"/>
  <c r="AH204"/>
  <c r="AC202"/>
  <c r="Q202"/>
  <c r="AG202"/>
  <c r="AG204"/>
  <c r="AR877"/>
  <c r="M204"/>
  <c r="M202"/>
  <c r="AM204"/>
  <c r="Y202"/>
  <c r="Q503"/>
  <c r="AG505"/>
  <c r="AF512"/>
  <c r="O505"/>
  <c r="AE512"/>
  <c r="AV1132"/>
  <c r="AS658"/>
  <c r="O292"/>
  <c r="AF292"/>
  <c r="AK772"/>
  <c r="AU772"/>
  <c r="AT772"/>
  <c r="AS772"/>
  <c r="AU858"/>
  <c r="AQ825"/>
  <c r="AU825"/>
  <c r="AV858"/>
  <c r="AE294"/>
  <c r="AM935"/>
  <c r="Y934"/>
  <c r="AM934"/>
  <c r="AV951"/>
  <c r="AQ934"/>
  <c r="AV934"/>
  <c r="AF1011"/>
  <c r="AR951"/>
  <c r="V934"/>
  <c r="AR934"/>
  <c r="AG292"/>
  <c r="AH935"/>
  <c r="AC934"/>
  <c r="AH934"/>
  <c r="O479"/>
  <c r="AE480"/>
  <c r="AF480"/>
  <c r="AF825"/>
  <c r="AL858"/>
  <c r="X825"/>
  <c r="AL825"/>
  <c r="P985"/>
  <c r="AM618"/>
  <c r="Y617"/>
  <c r="AM617"/>
  <c r="AM1132"/>
  <c r="Y1130"/>
  <c r="BI276"/>
  <c r="BJ276"/>
  <c r="AR12"/>
  <c r="AS12"/>
  <c r="AS886"/>
  <c r="AT886"/>
  <c r="AK886"/>
  <c r="W877"/>
  <c r="AL877"/>
  <c r="AL886"/>
  <c r="AU886"/>
  <c r="AE632"/>
  <c r="M617"/>
  <c r="X1130"/>
  <c r="AL1132"/>
  <c r="AL951"/>
  <c r="AK951"/>
  <c r="AT951"/>
  <c r="AS951"/>
  <c r="AU951"/>
  <c r="AE413"/>
  <c r="AF413"/>
  <c r="P1066"/>
  <c r="AG1066"/>
  <c r="AR825"/>
  <c r="AM1068"/>
  <c r="Y1066"/>
  <c r="AL361"/>
  <c r="AG13"/>
  <c r="AR361"/>
  <c r="O987"/>
  <c r="AE988"/>
  <c r="AF988"/>
  <c r="AE937"/>
  <c r="O935"/>
  <c r="AF937"/>
  <c r="M825"/>
  <c r="AE825"/>
  <c r="AE849"/>
  <c r="Y877"/>
  <c r="AM877"/>
  <c r="X1066"/>
  <c r="AL1068"/>
  <c r="AG479"/>
  <c r="AH479"/>
  <c r="AL987"/>
  <c r="X985"/>
  <c r="AV13"/>
  <c r="AQ17"/>
  <c r="W985"/>
  <c r="AK987"/>
  <c r="AT987"/>
  <c r="AS987"/>
  <c r="AL537"/>
  <c r="AH987"/>
  <c r="AC985"/>
  <c r="BJ346"/>
  <c r="BJ978"/>
  <c r="BI1219"/>
  <c r="P16"/>
  <c r="P17"/>
  <c r="P26"/>
  <c r="AT910"/>
  <c r="AS910"/>
  <c r="W909"/>
  <c r="AU909"/>
  <c r="AK910"/>
  <c r="AU910"/>
  <c r="AT14"/>
  <c r="AK14"/>
  <c r="AS14"/>
  <c r="W16"/>
  <c r="AU14"/>
  <c r="M602"/>
  <c r="AE602"/>
  <c r="AE603"/>
  <c r="O792"/>
  <c r="AF792"/>
  <c r="AF793"/>
  <c r="AE793"/>
  <c r="AE773"/>
  <c r="O772"/>
  <c r="AF773"/>
  <c r="Y858"/>
  <c r="AM860"/>
  <c r="P1130"/>
  <c r="AS15"/>
  <c r="AT15"/>
  <c r="AK15"/>
  <c r="AU15"/>
  <c r="AK825"/>
  <c r="AE572"/>
  <c r="O537"/>
  <c r="AF572"/>
  <c r="AL46"/>
  <c r="BJ1123"/>
  <c r="AV1130"/>
  <c r="AE1050"/>
  <c r="AF1050"/>
  <c r="AM800"/>
  <c r="Y792"/>
  <c r="AM792"/>
  <c r="AR1130"/>
  <c r="Q617"/>
  <c r="AH617"/>
  <c r="AG618"/>
  <c r="AG934"/>
  <c r="AK479"/>
  <c r="AT479"/>
  <c r="AS479"/>
  <c r="AU479"/>
  <c r="AG1068"/>
  <c r="AV909"/>
  <c r="AS825"/>
  <c r="AE285"/>
  <c r="AF285"/>
  <c r="X13"/>
  <c r="AL11"/>
  <c r="AH1066"/>
  <c r="AV987"/>
  <c r="AU987"/>
  <c r="AQ985"/>
  <c r="BJ980"/>
  <c r="AV495"/>
  <c r="AR1132"/>
  <c r="AE276"/>
  <c r="AF276"/>
  <c r="AG792"/>
  <c r="AH292"/>
  <c r="AG987"/>
  <c r="Q985"/>
  <c r="AS537"/>
  <c r="AT537"/>
  <c r="AK537"/>
  <c r="AV361"/>
  <c r="AU361"/>
  <c r="AM292"/>
  <c r="AE800"/>
  <c r="M792"/>
  <c r="AT1068"/>
  <c r="AS1068"/>
  <c r="W1066"/>
  <c r="AK1068"/>
  <c r="AU1068"/>
  <c r="X14"/>
  <c r="O1068"/>
  <c r="AE1069"/>
  <c r="AH505"/>
  <c r="AC503"/>
  <c r="O976"/>
  <c r="AE976"/>
  <c r="AE977"/>
  <c r="AC13"/>
  <c r="AH11"/>
  <c r="AT800"/>
  <c r="AK800"/>
  <c r="AS800"/>
  <c r="W792"/>
  <c r="AL792"/>
  <c r="AU800"/>
  <c r="AH1132"/>
  <c r="AC1130"/>
  <c r="AM987"/>
  <c r="Y985"/>
  <c r="AV658"/>
  <c r="AU658"/>
  <c r="AE618"/>
  <c r="O617"/>
  <c r="AF618"/>
  <c r="R360"/>
  <c r="R357"/>
  <c r="AS503"/>
  <c r="AT503"/>
  <c r="AK503"/>
  <c r="W495"/>
  <c r="AU503"/>
  <c r="AF15"/>
  <c r="AG15"/>
  <c r="AE834"/>
  <c r="AF834"/>
  <c r="V13"/>
  <c r="W934"/>
  <c r="AK935"/>
  <c r="AS935"/>
  <c r="AT935"/>
  <c r="AL935"/>
  <c r="AU935"/>
  <c r="AE219"/>
  <c r="AT46"/>
  <c r="AS46"/>
  <c r="AK46"/>
  <c r="AF877"/>
  <c r="AL976"/>
  <c r="AM976"/>
  <c r="X909"/>
  <c r="AL910"/>
  <c r="Y13"/>
  <c r="AM11"/>
  <c r="AT1132"/>
  <c r="AS1132"/>
  <c r="W1130"/>
  <c r="AU1130"/>
  <c r="AK1132"/>
  <c r="O361"/>
  <c r="AE362"/>
  <c r="AF362"/>
  <c r="O910"/>
  <c r="AE912"/>
  <c r="AF912"/>
  <c r="AG909"/>
  <c r="AH909"/>
  <c r="O1132"/>
  <c r="AE1133"/>
  <c r="O11"/>
  <c r="AE48"/>
  <c r="O46"/>
  <c r="AF48"/>
  <c r="AK617"/>
  <c r="AS617"/>
  <c r="AT617"/>
  <c r="AL617"/>
  <c r="AL15"/>
  <c r="AT11"/>
  <c r="AK11"/>
  <c r="AS11"/>
  <c r="W13"/>
  <c r="AG1132"/>
  <c r="Q1130"/>
  <c r="AM361"/>
  <c r="AL503"/>
  <c r="X495"/>
  <c r="AM495"/>
  <c r="AK361"/>
  <c r="AT361"/>
  <c r="AS361"/>
  <c r="AF658"/>
  <c r="AH618"/>
  <c r="AL479"/>
  <c r="AH658"/>
  <c r="AV825"/>
  <c r="AM202"/>
  <c r="P357"/>
  <c r="AQ360"/>
  <c r="AQ357"/>
  <c r="AG1130"/>
  <c r="BI204"/>
  <c r="BJ204"/>
  <c r="R17"/>
  <c r="R26"/>
  <c r="AK26"/>
  <c r="AR16"/>
  <c r="AV16"/>
  <c r="BI202"/>
  <c r="BJ202"/>
  <c r="AH202"/>
  <c r="AL985"/>
  <c r="V360"/>
  <c r="V357"/>
  <c r="AR357"/>
  <c r="AE292"/>
  <c r="O204"/>
  <c r="O14"/>
  <c r="AM985"/>
  <c r="W360"/>
  <c r="AS360"/>
  <c r="AL909"/>
  <c r="AE479"/>
  <c r="AF479"/>
  <c r="AH1130"/>
  <c r="AE505"/>
  <c r="O503"/>
  <c r="AF505"/>
  <c r="Q14"/>
  <c r="AG503"/>
  <c r="Q495"/>
  <c r="AG495"/>
  <c r="W17"/>
  <c r="AU17"/>
  <c r="AT13"/>
  <c r="AK13"/>
  <c r="AS13"/>
  <c r="M14"/>
  <c r="M16"/>
  <c r="M17"/>
  <c r="M26"/>
  <c r="AE1068"/>
  <c r="O1066"/>
  <c r="AE1066"/>
  <c r="BJ1219"/>
  <c r="AE772"/>
  <c r="AF772"/>
  <c r="AT16"/>
  <c r="AS16"/>
  <c r="AK16"/>
  <c r="AU16"/>
  <c r="AH985"/>
  <c r="AU13"/>
  <c r="AE987"/>
  <c r="O985"/>
  <c r="AE985"/>
  <c r="O909"/>
  <c r="AE910"/>
  <c r="AF910"/>
  <c r="AR360"/>
  <c r="AF987"/>
  <c r="AE361"/>
  <c r="AF361"/>
  <c r="AH13"/>
  <c r="AE1132"/>
  <c r="O1130"/>
  <c r="AE1130"/>
  <c r="AE617"/>
  <c r="AF617"/>
  <c r="Y14"/>
  <c r="AE537"/>
  <c r="AF537"/>
  <c r="AF1068"/>
  <c r="AH503"/>
  <c r="AC495"/>
  <c r="O13"/>
  <c r="AE11"/>
  <c r="AF11"/>
  <c r="AL14"/>
  <c r="X16"/>
  <c r="AL16"/>
  <c r="AV985"/>
  <c r="AU985"/>
  <c r="AT792"/>
  <c r="AS792"/>
  <c r="AK792"/>
  <c r="AU792"/>
  <c r="AG985"/>
  <c r="AF1132"/>
  <c r="AE792"/>
  <c r="AE935"/>
  <c r="O934"/>
  <c r="AF935"/>
  <c r="X360"/>
  <c r="AM909"/>
  <c r="AS877"/>
  <c r="AT877"/>
  <c r="AK877"/>
  <c r="AU877"/>
  <c r="AM1130"/>
  <c r="AK495"/>
  <c r="AT495"/>
  <c r="AS495"/>
  <c r="AM13"/>
  <c r="AK934"/>
  <c r="AS934"/>
  <c r="AT934"/>
  <c r="AL934"/>
  <c r="AU934"/>
  <c r="AS1066"/>
  <c r="AT1066"/>
  <c r="AK1066"/>
  <c r="AU1066"/>
  <c r="AC14"/>
  <c r="AU495"/>
  <c r="AL13"/>
  <c r="AM858"/>
  <c r="Y825"/>
  <c r="AT909"/>
  <c r="AS909"/>
  <c r="AK909"/>
  <c r="AK985"/>
  <c r="AS985"/>
  <c r="AT985"/>
  <c r="AL495"/>
  <c r="AE46"/>
  <c r="AF46"/>
  <c r="AS1130"/>
  <c r="AT1130"/>
  <c r="AK1130"/>
  <c r="V17"/>
  <c r="AR13"/>
  <c r="AG617"/>
  <c r="AQ26"/>
  <c r="AL1066"/>
  <c r="AM1066"/>
  <c r="AL1130"/>
  <c r="M360"/>
  <c r="M357"/>
  <c r="AV17"/>
  <c r="AR17"/>
  <c r="AV360"/>
  <c r="Q360"/>
  <c r="Q357"/>
  <c r="AG357"/>
  <c r="AU360"/>
  <c r="W357"/>
  <c r="AS357"/>
  <c r="AT360"/>
  <c r="AK360"/>
  <c r="AF1130"/>
  <c r="AF1066"/>
  <c r="AE204"/>
  <c r="O202"/>
  <c r="AF204"/>
  <c r="O495"/>
  <c r="O360"/>
  <c r="AE360"/>
  <c r="AF503"/>
  <c r="AE503"/>
  <c r="AG14"/>
  <c r="Q16"/>
  <c r="AL360"/>
  <c r="X357"/>
  <c r="AE909"/>
  <c r="AF909"/>
  <c r="AK17"/>
  <c r="AT17"/>
  <c r="AM825"/>
  <c r="Y360"/>
  <c r="AV357"/>
  <c r="AE14"/>
  <c r="O16"/>
  <c r="O17"/>
  <c r="O26"/>
  <c r="AF14"/>
  <c r="AE934"/>
  <c r="AF934"/>
  <c r="AE13"/>
  <c r="AF13"/>
  <c r="AC16"/>
  <c r="AH14"/>
  <c r="AF985"/>
  <c r="AH495"/>
  <c r="AC360"/>
  <c r="X17"/>
  <c r="AM14"/>
  <c r="Y16"/>
  <c r="AK357"/>
  <c r="AG360"/>
  <c r="AU357"/>
  <c r="AT357"/>
  <c r="AL357"/>
  <c r="AE202"/>
  <c r="AF202"/>
  <c r="Q17"/>
  <c r="Q26"/>
  <c r="AG16"/>
  <c r="AF360"/>
  <c r="O357"/>
  <c r="AE357"/>
  <c r="AE495"/>
  <c r="AF495"/>
  <c r="AM16"/>
  <c r="Y17"/>
  <c r="Y26"/>
  <c r="AH16"/>
  <c r="AC17"/>
  <c r="AC26"/>
  <c r="AM360"/>
  <c r="Y357"/>
  <c r="AM357"/>
  <c r="AL17"/>
  <c r="X26"/>
  <c r="AL26"/>
  <c r="AE16"/>
  <c r="AF16"/>
  <c r="AC357"/>
  <c r="AH357"/>
  <c r="AH360"/>
  <c r="AF357"/>
</calcChain>
</file>

<file path=xl/comments1.xml><?xml version="1.0" encoding="utf-8"?>
<comments xmlns="http://schemas.openxmlformats.org/spreadsheetml/2006/main">
  <authors>
    <author>mzaninovic</author>
    <author>User</author>
    <author>korisnik</author>
  </authors>
  <commentList>
    <comment ref="V21" authorId="0">
      <text>
        <r>
          <rPr>
            <b/>
            <sz val="9"/>
            <rFont val="Tahoma"/>
            <family val="2"/>
            <charset val="238"/>
          </rPr>
          <t>mzaninovic:</t>
        </r>
        <r>
          <rPr>
            <sz val="9"/>
            <rFont val="Tahoma"/>
            <family val="2"/>
            <charset val="238"/>
          </rPr>
          <t xml:space="preserve">
Povrat zajma u drž prorač.</t>
        </r>
      </text>
    </comment>
    <comment ref="W21" authorId="0">
      <text>
        <r>
          <rPr>
            <b/>
            <sz val="9"/>
            <rFont val="Tahoma"/>
            <family val="2"/>
            <charset val="238"/>
          </rPr>
          <t>mzaninovic:</t>
        </r>
        <r>
          <rPr>
            <sz val="9"/>
            <rFont val="Tahoma"/>
            <family val="2"/>
            <charset val="238"/>
          </rPr>
          <t xml:space="preserve">
Povrat zajma u drž prorač.</t>
        </r>
      </text>
    </comment>
    <comment ref="L82" authorId="1">
      <text>
        <r>
          <rPr>
            <b/>
            <sz val="10"/>
            <rFont val="Tahoma"/>
            <family val="2"/>
            <charset val="238"/>
          </rPr>
          <t>User:</t>
        </r>
        <r>
          <rPr>
            <sz val="10"/>
            <rFont val="Tahoma"/>
            <family val="2"/>
            <charset val="238"/>
          </rPr>
          <t xml:space="preserve">
Muzej-izložbe-33.000
Muzej-edukat.-20.000
</t>
        </r>
      </text>
    </comment>
    <comment ref="M82" authorId="1">
      <text>
        <r>
          <rPr>
            <b/>
            <sz val="10"/>
            <rFont val="Tahoma"/>
            <family val="2"/>
            <charset val="238"/>
          </rPr>
          <t>User:</t>
        </r>
        <r>
          <rPr>
            <sz val="10"/>
            <rFont val="Tahoma"/>
            <family val="2"/>
            <charset val="238"/>
          </rPr>
          <t xml:space="preserve">
Muzej-izložbe-33.000
Muzej-edukat.-20.000
</t>
        </r>
      </text>
    </comment>
    <comment ref="N82" authorId="1">
      <text>
        <r>
          <rPr>
            <b/>
            <sz val="10"/>
            <rFont val="Tahoma"/>
            <family val="2"/>
            <charset val="238"/>
          </rPr>
          <t>User:</t>
        </r>
        <r>
          <rPr>
            <sz val="10"/>
            <rFont val="Tahoma"/>
            <family val="2"/>
            <charset val="238"/>
          </rPr>
          <t xml:space="preserve">
Općina-fisk.izr.-420.000
Muzej-arheolog..-50.000
Muzej-restauracije- 12.000
Muzej-rib.brod-20.000
Muzej-katalog-5.000
Knjižnica-prip.-6.000
Vrtić-13.560
za drva - 14.700</t>
        </r>
      </text>
    </comment>
    <comment ref="O82" authorId="1">
      <text>
        <r>
          <rPr>
            <b/>
            <sz val="10"/>
            <rFont val="Tahoma"/>
            <family val="2"/>
            <charset val="238"/>
          </rPr>
          <t>User:</t>
        </r>
        <r>
          <rPr>
            <sz val="10"/>
            <rFont val="Tahoma"/>
            <family val="2"/>
            <charset val="238"/>
          </rPr>
          <t xml:space="preserve">
Općina-fisk.izr.-420.000
Muzej-arheolog..-50.000
Muzej-restauracije- 12.000
Muzej-rib.brod-20.000
Muzej-katalog-5.000
Knjižnica-prip.-6.000
Vrtić-13.560
za drva - 14.700</t>
        </r>
      </text>
    </comment>
    <comment ref="P82" authorId="1">
      <text>
        <r>
          <rPr>
            <b/>
            <sz val="10"/>
            <rFont val="Tahoma"/>
            <family val="2"/>
            <charset val="238"/>
          </rPr>
          <t>User:</t>
        </r>
        <r>
          <rPr>
            <sz val="10"/>
            <rFont val="Tahoma"/>
            <family val="2"/>
            <charset val="238"/>
          </rPr>
          <t xml:space="preserve">
za drva - 200
Muzej-7.400</t>
        </r>
      </text>
    </comment>
    <comment ref="Q82" authorId="1">
      <text>
        <r>
          <rPr>
            <b/>
            <sz val="10"/>
            <rFont val="Tahoma"/>
            <family val="2"/>
            <charset val="238"/>
          </rPr>
          <t>User:</t>
        </r>
        <r>
          <rPr>
            <sz val="10"/>
            <rFont val="Tahoma"/>
            <family val="2"/>
            <charset val="238"/>
          </rPr>
          <t xml:space="preserve">
Fisk.izravnj.-210.539,04
za drva - 200
Dj.vrtić - 7.400
Tvrđava Vrb.-33.180,7</t>
        </r>
      </text>
    </comment>
    <comment ref="R82" authorId="1">
      <text>
        <r>
          <rPr>
            <b/>
            <sz val="10"/>
            <rFont val="Tahoma"/>
            <family val="2"/>
            <charset val="238"/>
          </rPr>
          <t>User:</t>
        </r>
        <r>
          <rPr>
            <sz val="10"/>
            <rFont val="Tahoma"/>
            <family val="2"/>
            <charset val="238"/>
          </rPr>
          <t xml:space="preserve">
Fisk.izravnj.-210.539,04
za drva - 200
Dj.vrtić - 7.400
Tvrđava Vrb.-33.180,7</t>
        </r>
      </text>
    </comment>
    <comment ref="V82" authorId="0">
      <text>
        <r>
          <rPr>
            <b/>
            <sz val="9"/>
            <rFont val="Tahoma"/>
            <family val="2"/>
            <charset val="238"/>
          </rPr>
          <t>mzaninovic:</t>
        </r>
        <r>
          <rPr>
            <sz val="9"/>
            <rFont val="Tahoma"/>
            <family val="2"/>
            <charset val="238"/>
          </rPr>
          <t xml:space="preserve">
muzej 59500
izbori 24600
vrtić 73000</t>
        </r>
      </text>
    </comment>
    <comment ref="W82" authorId="0">
      <text>
        <r>
          <rPr>
            <b/>
            <sz val="9"/>
            <rFont val="Tahoma"/>
            <family val="2"/>
            <charset val="238"/>
          </rPr>
          <t>mzaninovic:</t>
        </r>
        <r>
          <rPr>
            <sz val="9"/>
            <rFont val="Tahoma"/>
            <family val="2"/>
            <charset val="238"/>
          </rPr>
          <t xml:space="preserve">
muzej 59500
izbori 24600
vrtić 73000</t>
        </r>
      </text>
    </comment>
    <comment ref="X82" authorId="0">
      <text>
        <r>
          <rPr>
            <b/>
            <sz val="9"/>
            <rFont val="Tahoma"/>
            <family val="2"/>
            <charset val="238"/>
          </rPr>
          <t>mzaninovic:</t>
        </r>
        <r>
          <rPr>
            <sz val="9"/>
            <rFont val="Tahoma"/>
            <family val="2"/>
            <charset val="238"/>
          </rPr>
          <t xml:space="preserve">
muzej 40000
</t>
        </r>
      </text>
    </comment>
    <comment ref="L83" authorId="1">
      <text>
        <r>
          <rPr>
            <b/>
            <sz val="10"/>
            <rFont val="Tahoma"/>
            <family val="2"/>
            <charset val="238"/>
          </rPr>
          <t>User:</t>
        </r>
        <r>
          <rPr>
            <sz val="10"/>
            <rFont val="Tahoma"/>
            <family val="2"/>
            <charset val="238"/>
          </rPr>
          <t xml:space="preserve">
soc.pom.drva-12.600
Muzej-rest.-10.000
Lok.izbori-98.629
crkva Gdinj-8.000</t>
        </r>
      </text>
    </comment>
    <comment ref="M83" authorId="1">
      <text>
        <r>
          <rPr>
            <b/>
            <sz val="10"/>
            <rFont val="Tahoma"/>
            <family val="2"/>
            <charset val="238"/>
          </rPr>
          <t>User:</t>
        </r>
        <r>
          <rPr>
            <sz val="10"/>
            <rFont val="Tahoma"/>
            <family val="2"/>
            <charset val="238"/>
          </rPr>
          <t xml:space="preserve">
soc.pom.drva-12.600
Muzej-rest.-10.000
Lok.izbori-98.629
crkva Gdinj-8.000</t>
        </r>
      </text>
    </comment>
    <comment ref="N83" authorId="1">
      <text>
        <r>
          <rPr>
            <b/>
            <sz val="10"/>
            <rFont val="Tahoma"/>
            <family val="2"/>
            <charset val="238"/>
          </rPr>
          <t>User:</t>
        </r>
        <r>
          <rPr>
            <sz val="10"/>
            <rFont val="Tahoma"/>
            <family val="2"/>
            <charset val="238"/>
          </rPr>
          <t xml:space="preserve">
Vrtić-15.000
</t>
        </r>
      </text>
    </comment>
    <comment ref="O83" authorId="1">
      <text>
        <r>
          <rPr>
            <b/>
            <sz val="10"/>
            <rFont val="Tahoma"/>
            <family val="2"/>
            <charset val="238"/>
          </rPr>
          <t>User:</t>
        </r>
        <r>
          <rPr>
            <sz val="10"/>
            <rFont val="Tahoma"/>
            <family val="2"/>
            <charset val="238"/>
          </rPr>
          <t xml:space="preserve">
Vrtić-15.000
</t>
        </r>
      </text>
    </comment>
    <comment ref="P83" authorId="1">
      <text>
        <r>
          <rPr>
            <b/>
            <sz val="10"/>
            <rFont val="Tahoma"/>
            <family val="2"/>
            <charset val="238"/>
          </rPr>
          <t>User:</t>
        </r>
        <r>
          <rPr>
            <sz val="10"/>
            <rFont val="Tahoma"/>
            <family val="2"/>
            <charset val="238"/>
          </rPr>
          <t xml:space="preserve">
Vrtić-2.000
Muzej-2000
</t>
        </r>
      </text>
    </comment>
    <comment ref="Q83" authorId="1">
      <text>
        <r>
          <rPr>
            <b/>
            <sz val="10"/>
            <rFont val="Tahoma"/>
            <family val="2"/>
            <charset val="238"/>
          </rPr>
          <t>User:</t>
        </r>
        <r>
          <rPr>
            <sz val="10"/>
            <rFont val="Tahoma"/>
            <family val="2"/>
            <charset val="238"/>
          </rPr>
          <t xml:space="preserve">
Vrtić-2.000
Muzej-7.000
</t>
        </r>
      </text>
    </comment>
    <comment ref="R83" authorId="1">
      <text>
        <r>
          <rPr>
            <b/>
            <sz val="10"/>
            <rFont val="Tahoma"/>
            <family val="2"/>
            <charset val="238"/>
          </rPr>
          <t>User:</t>
        </r>
        <r>
          <rPr>
            <sz val="10"/>
            <rFont val="Tahoma"/>
            <family val="2"/>
            <charset val="238"/>
          </rPr>
          <t xml:space="preserve">
Vrtić-2.000
Muzej-7.000
</t>
        </r>
      </text>
    </comment>
    <comment ref="V83" authorId="0">
      <text>
        <r>
          <rPr>
            <b/>
            <sz val="9"/>
            <rFont val="Tahoma"/>
            <family val="2"/>
            <charset val="238"/>
          </rPr>
          <t>mzaninovic:</t>
        </r>
        <r>
          <rPr>
            <sz val="9"/>
            <rFont val="Tahoma"/>
            <family val="2"/>
            <charset val="238"/>
          </rPr>
          <t xml:space="preserve">
vrtić
</t>
        </r>
      </text>
    </comment>
    <comment ref="W83" authorId="0">
      <text>
        <r>
          <rPr>
            <b/>
            <sz val="9"/>
            <rFont val="Tahoma"/>
            <family val="2"/>
            <charset val="238"/>
          </rPr>
          <t>mzaninovic:</t>
        </r>
        <r>
          <rPr>
            <sz val="9"/>
            <rFont val="Tahoma"/>
            <family val="2"/>
            <charset val="238"/>
          </rPr>
          <t xml:space="preserve">
vrtić
</t>
        </r>
      </text>
    </comment>
    <comment ref="L86" authorId="1">
      <text>
        <r>
          <rPr>
            <b/>
            <sz val="10"/>
            <rFont val="Tahoma"/>
            <family val="2"/>
            <charset val="238"/>
          </rPr>
          <t>User:</t>
        </r>
        <r>
          <rPr>
            <sz val="10"/>
            <rFont val="Tahoma"/>
            <family val="2"/>
            <charset val="238"/>
          </rPr>
          <t xml:space="preserve">
Muzej Vinogr.zb.-1.500.000
most Vrboska -500.000
Knjižnica-knjige-32.000</t>
        </r>
      </text>
    </comment>
    <comment ref="M86" authorId="1">
      <text>
        <r>
          <rPr>
            <b/>
            <sz val="10"/>
            <rFont val="Tahoma"/>
            <family val="2"/>
            <charset val="238"/>
          </rPr>
          <t>User:</t>
        </r>
        <r>
          <rPr>
            <sz val="10"/>
            <rFont val="Tahoma"/>
            <family val="2"/>
            <charset val="238"/>
          </rPr>
          <t xml:space="preserve">
Muzej Vinogr.zb.-1.500.000
most Vrboska -500.000
Knjižnica-knjige-32.000</t>
        </r>
      </text>
    </comment>
    <comment ref="N86" authorId="1">
      <text>
        <r>
          <rPr>
            <b/>
            <sz val="10"/>
            <rFont val="Tahoma"/>
            <family val="2"/>
            <charset val="238"/>
          </rPr>
          <t>User:</t>
        </r>
        <r>
          <rPr>
            <sz val="10"/>
            <rFont val="Tahoma"/>
            <family val="2"/>
            <charset val="238"/>
          </rPr>
          <t xml:space="preserve">
Muzej-interijer-100.000
Riva -420.000
Knjižnica-knjige-35.000</t>
        </r>
      </text>
    </comment>
    <comment ref="O86" authorId="1">
      <text>
        <r>
          <rPr>
            <b/>
            <sz val="10"/>
            <rFont val="Tahoma"/>
            <family val="2"/>
            <charset val="238"/>
          </rPr>
          <t>User:</t>
        </r>
        <r>
          <rPr>
            <sz val="10"/>
            <rFont val="Tahoma"/>
            <family val="2"/>
            <charset val="238"/>
          </rPr>
          <t xml:space="preserve">
Muzej-interijer-100.000
Riva -420.000
Knjižnica-knjige-35.000</t>
        </r>
      </text>
    </comment>
    <comment ref="P86" authorId="1">
      <text>
        <r>
          <rPr>
            <b/>
            <sz val="10"/>
            <rFont val="Tahoma"/>
            <family val="2"/>
            <charset val="238"/>
          </rPr>
          <t>User:</t>
        </r>
        <r>
          <rPr>
            <sz val="10"/>
            <rFont val="Tahoma"/>
            <family val="2"/>
            <charset val="238"/>
          </rPr>
          <t xml:space="preserve">
Knjižnica-knjige-4.700
Dj.vrtić - 358.300</t>
        </r>
      </text>
    </comment>
    <comment ref="Q86" authorId="1">
      <text>
        <r>
          <rPr>
            <b/>
            <sz val="10"/>
            <rFont val="Tahoma"/>
            <family val="2"/>
            <charset val="238"/>
          </rPr>
          <t>User:</t>
        </r>
        <r>
          <rPr>
            <sz val="10"/>
            <rFont val="Tahoma"/>
            <family val="2"/>
            <charset val="238"/>
          </rPr>
          <t xml:space="preserve">
Knjižnica-knjige-8.600
Muzej-kuća Dobrović-33.358,79
Sportski objekti-56.739,78</t>
        </r>
      </text>
    </comment>
    <comment ref="R86" authorId="1">
      <text>
        <r>
          <rPr>
            <b/>
            <sz val="10"/>
            <rFont val="Tahoma"/>
            <family val="2"/>
            <charset val="238"/>
          </rPr>
          <t>User:</t>
        </r>
        <r>
          <rPr>
            <sz val="10"/>
            <rFont val="Tahoma"/>
            <family val="2"/>
            <charset val="238"/>
          </rPr>
          <t xml:space="preserve">
Knjižnica-knjige-8.600
Muzej-kuća Dobrović-33.358,79
Sportski objekti-56.739,78</t>
        </r>
      </text>
    </comment>
    <comment ref="V86" authorId="0">
      <text>
        <r>
          <rPr>
            <b/>
            <sz val="9"/>
            <rFont val="Tahoma"/>
            <family val="2"/>
            <charset val="238"/>
          </rPr>
          <t>mzaninovic:</t>
        </r>
        <r>
          <rPr>
            <sz val="9"/>
            <rFont val="Tahoma"/>
            <family val="2"/>
            <charset val="238"/>
          </rPr>
          <t xml:space="preserve">
Komp Biogrenline stara ambulanta 69570
Knjižnica 9700
trg Fabrio 67500
</t>
        </r>
      </text>
    </comment>
    <comment ref="W86" authorId="0">
      <text>
        <r>
          <rPr>
            <b/>
            <sz val="9"/>
            <rFont val="Tahoma"/>
            <family val="2"/>
            <charset val="238"/>
          </rPr>
          <t>mzaninovic:</t>
        </r>
        <r>
          <rPr>
            <sz val="9"/>
            <rFont val="Tahoma"/>
            <family val="2"/>
            <charset val="238"/>
          </rPr>
          <t xml:space="preserve">
Komp Biogrenline stara ambulanta 69570
Knjižnica 9700
trg Fabrio 67500
</t>
        </r>
      </text>
    </comment>
    <comment ref="X86" authorId="0">
      <text>
        <r>
          <rPr>
            <b/>
            <sz val="9"/>
            <rFont val="Tahoma"/>
            <family val="2"/>
            <charset val="238"/>
          </rPr>
          <t>mzaninovic:</t>
        </r>
        <r>
          <rPr>
            <sz val="9"/>
            <rFont val="Tahoma"/>
            <family val="2"/>
            <charset val="238"/>
          </rPr>
          <t xml:space="preserve">
knjižnica 10000
muzej 150000
za vrtić 500000
</t>
        </r>
      </text>
    </comment>
    <comment ref="AQ87" authorId="2">
      <text>
        <r>
          <rPr>
            <b/>
            <sz val="9"/>
            <rFont val="Times New Roman"/>
            <family val="1"/>
            <charset val="238"/>
          </rPr>
          <t>korisnik:</t>
        </r>
        <r>
          <rPr>
            <sz val="9"/>
            <rFont val="Times New Roman"/>
            <family val="1"/>
            <charset val="238"/>
          </rPr>
          <t xml:space="preserve">
stavljeno dok ne dojde nena za provjerit 636, knjižnica 6361, 6362- 13.700 
muzej - 62.500
</t>
        </r>
      </text>
    </comment>
    <comment ref="N88" authorId="1">
      <text>
        <r>
          <rPr>
            <b/>
            <sz val="10"/>
            <rFont val="Tahoma"/>
            <family val="2"/>
            <charset val="238"/>
          </rPr>
          <t>User:</t>
        </r>
        <r>
          <rPr>
            <sz val="10"/>
            <rFont val="Tahoma"/>
            <family val="2"/>
            <charset val="238"/>
          </rPr>
          <t xml:space="preserve">
šetnica-100.000
</t>
        </r>
      </text>
    </comment>
    <comment ref="O88" authorId="1">
      <text>
        <r>
          <rPr>
            <b/>
            <sz val="10"/>
            <rFont val="Tahoma"/>
            <family val="2"/>
            <charset val="238"/>
          </rPr>
          <t>User:</t>
        </r>
        <r>
          <rPr>
            <sz val="10"/>
            <rFont val="Tahoma"/>
            <family val="2"/>
            <charset val="238"/>
          </rPr>
          <t xml:space="preserve">
šetnica-100.000
</t>
        </r>
      </text>
    </comment>
    <comment ref="P88" authorId="1">
      <text>
        <r>
          <rPr>
            <b/>
            <sz val="10"/>
            <rFont val="Tahoma"/>
            <family val="2"/>
            <charset val="238"/>
          </rPr>
          <t>User:</t>
        </r>
        <r>
          <rPr>
            <sz val="10"/>
            <rFont val="Tahoma"/>
            <family val="2"/>
            <charset val="238"/>
          </rPr>
          <t xml:space="preserve">
šetnica</t>
        </r>
      </text>
    </comment>
    <comment ref="Q88" authorId="1">
      <text>
        <r>
          <rPr>
            <b/>
            <sz val="10"/>
            <rFont val="Tahoma"/>
            <family val="2"/>
            <charset val="238"/>
          </rPr>
          <t>User:</t>
        </r>
        <r>
          <rPr>
            <sz val="10"/>
            <rFont val="Tahoma"/>
            <family val="2"/>
            <charset val="238"/>
          </rPr>
          <t xml:space="preserve">
šetnica-Jelkom</t>
        </r>
      </text>
    </comment>
    <comment ref="R88" authorId="1">
      <text>
        <r>
          <rPr>
            <b/>
            <sz val="10"/>
            <rFont val="Tahoma"/>
            <family val="2"/>
            <charset val="238"/>
          </rPr>
          <t>User:</t>
        </r>
        <r>
          <rPr>
            <sz val="10"/>
            <rFont val="Tahoma"/>
            <family val="2"/>
            <charset val="238"/>
          </rPr>
          <t xml:space="preserve">
šetnica-Jelkom</t>
        </r>
      </text>
    </comment>
    <comment ref="X88" authorId="0">
      <text>
        <r>
          <rPr>
            <b/>
            <sz val="9"/>
            <rFont val="Tahoma"/>
            <family val="2"/>
            <charset val="238"/>
          </rPr>
          <t>mzaninovic:</t>
        </r>
        <r>
          <rPr>
            <sz val="9"/>
            <rFont val="Tahoma"/>
            <family val="2"/>
            <charset val="238"/>
          </rPr>
          <t xml:space="preserve">
vrtić opremanje</t>
        </r>
      </text>
    </comment>
    <comment ref="L89" authorId="1">
      <text>
        <r>
          <rPr>
            <b/>
            <sz val="10"/>
            <rFont val="Tahoma"/>
            <family val="2"/>
            <charset val="238"/>
          </rPr>
          <t>User:</t>
        </r>
        <r>
          <rPr>
            <sz val="10"/>
            <rFont val="Tahoma"/>
            <family val="2"/>
            <charset val="238"/>
          </rPr>
          <t xml:space="preserve">
Stg-judo-20.000</t>
        </r>
      </text>
    </comment>
    <comment ref="M89" authorId="1">
      <text>
        <r>
          <rPr>
            <b/>
            <sz val="10"/>
            <rFont val="Tahoma"/>
            <family val="2"/>
            <charset val="238"/>
          </rPr>
          <t>User:</t>
        </r>
        <r>
          <rPr>
            <sz val="10"/>
            <rFont val="Tahoma"/>
            <family val="2"/>
            <charset val="238"/>
          </rPr>
          <t xml:space="preserve">
Stg-judo-20.000</t>
        </r>
      </text>
    </comment>
    <comment ref="N89" authorId="1">
      <text>
        <r>
          <rPr>
            <b/>
            <sz val="10"/>
            <rFont val="Tahoma"/>
            <family val="2"/>
            <charset val="238"/>
          </rPr>
          <t>User:</t>
        </r>
        <r>
          <rPr>
            <sz val="10"/>
            <rFont val="Tahoma"/>
            <family val="2"/>
            <charset val="238"/>
          </rPr>
          <t xml:space="preserve">
Stg-judo-20.000</t>
        </r>
      </text>
    </comment>
    <comment ref="O89" authorId="1">
      <text>
        <r>
          <rPr>
            <b/>
            <sz val="10"/>
            <rFont val="Tahoma"/>
            <family val="2"/>
            <charset val="238"/>
          </rPr>
          <t>User:</t>
        </r>
        <r>
          <rPr>
            <sz val="10"/>
            <rFont val="Tahoma"/>
            <family val="2"/>
            <charset val="238"/>
          </rPr>
          <t xml:space="preserve">
Stg-judo-20.000</t>
        </r>
      </text>
    </comment>
    <comment ref="L92" authorId="1">
      <text>
        <r>
          <rPr>
            <b/>
            <sz val="10"/>
            <rFont val="Tahoma"/>
            <family val="2"/>
            <charset val="238"/>
          </rPr>
          <t>User:</t>
        </r>
        <r>
          <rPr>
            <sz val="10"/>
            <rFont val="Tahoma"/>
            <family val="2"/>
            <charset val="238"/>
          </rPr>
          <t xml:space="preserve">
šetnica Iga-400.000
</t>
        </r>
      </text>
    </comment>
    <comment ref="M92" authorId="1">
      <text>
        <r>
          <rPr>
            <b/>
            <sz val="10"/>
            <rFont val="Tahoma"/>
            <family val="2"/>
            <charset val="238"/>
          </rPr>
          <t>User:</t>
        </r>
        <r>
          <rPr>
            <sz val="10"/>
            <rFont val="Tahoma"/>
            <family val="2"/>
            <charset val="238"/>
          </rPr>
          <t xml:space="preserve">
šetnica Iga-400.000
</t>
        </r>
      </text>
    </comment>
    <comment ref="N92" authorId="1">
      <text>
        <r>
          <rPr>
            <b/>
            <sz val="10"/>
            <rFont val="Tahoma"/>
            <family val="2"/>
            <charset val="238"/>
          </rPr>
          <t>User:</t>
        </r>
        <r>
          <rPr>
            <sz val="10"/>
            <rFont val="Tahoma"/>
            <family val="2"/>
            <charset val="238"/>
          </rPr>
          <t xml:space="preserve">
Šetnica Iga-508.281
Staza bioraznolikosti-500.000</t>
        </r>
      </text>
    </comment>
    <comment ref="O92" authorId="1">
      <text>
        <r>
          <rPr>
            <b/>
            <sz val="10"/>
            <rFont val="Tahoma"/>
            <family val="2"/>
            <charset val="238"/>
          </rPr>
          <t>User:</t>
        </r>
        <r>
          <rPr>
            <sz val="10"/>
            <rFont val="Tahoma"/>
            <family val="2"/>
            <charset val="238"/>
          </rPr>
          <t xml:space="preserve">
Šetnica Iga-508.281
Staza bioraznolikosti-500.000</t>
        </r>
      </text>
    </comment>
    <comment ref="P92" authorId="1">
      <text>
        <r>
          <rPr>
            <b/>
            <sz val="10"/>
            <rFont val="Tahoma"/>
            <family val="2"/>
            <charset val="238"/>
          </rPr>
          <t>User:</t>
        </r>
        <r>
          <rPr>
            <sz val="10"/>
            <rFont val="Tahoma"/>
            <family val="2"/>
            <charset val="238"/>
          </rPr>
          <t xml:space="preserve">
Staza bioraznolikosti-66.400
Ribarski muzej Vrb.-199.000</t>
        </r>
      </text>
    </comment>
    <comment ref="Q92" authorId="1">
      <text>
        <r>
          <rPr>
            <b/>
            <sz val="10"/>
            <rFont val="Tahoma"/>
            <family val="2"/>
            <charset val="238"/>
          </rPr>
          <t>User:</t>
        </r>
        <r>
          <rPr>
            <sz val="10"/>
            <rFont val="Tahoma"/>
            <family val="2"/>
            <charset val="238"/>
          </rPr>
          <t xml:space="preserve">
Ribarski muzej Vrb.-200.400</t>
        </r>
      </text>
    </comment>
    <comment ref="R92" authorId="1">
      <text>
        <r>
          <rPr>
            <b/>
            <sz val="10"/>
            <rFont val="Tahoma"/>
            <family val="2"/>
            <charset val="238"/>
          </rPr>
          <t>User:</t>
        </r>
        <r>
          <rPr>
            <sz val="10"/>
            <rFont val="Tahoma"/>
            <family val="2"/>
            <charset val="238"/>
          </rPr>
          <t xml:space="preserve">
Ribarski muzej Vrb.-200.400</t>
        </r>
      </text>
    </comment>
    <comment ref="V92" authorId="0">
      <text>
        <r>
          <rPr>
            <b/>
            <sz val="9"/>
            <rFont val="Tahoma"/>
            <family val="2"/>
            <charset val="238"/>
          </rPr>
          <t>mzaninovic:</t>
        </r>
        <r>
          <rPr>
            <sz val="9"/>
            <rFont val="Tahoma"/>
            <family val="2"/>
            <charset val="238"/>
          </rPr>
          <t xml:space="preserve">
FLAG rib. Muzej
</t>
        </r>
      </text>
    </comment>
    <comment ref="W92" authorId="0">
      <text>
        <r>
          <rPr>
            <b/>
            <sz val="9"/>
            <rFont val="Tahoma"/>
            <family val="2"/>
            <charset val="238"/>
          </rPr>
          <t>mzaninovic:</t>
        </r>
        <r>
          <rPr>
            <sz val="9"/>
            <rFont val="Tahoma"/>
            <family val="2"/>
            <charset val="238"/>
          </rPr>
          <t xml:space="preserve">
FLAG rib. Muzej
</t>
        </r>
      </text>
    </comment>
    <comment ref="L99" authorId="1">
      <text>
        <r>
          <rPr>
            <b/>
            <sz val="10"/>
            <rFont val="Tahoma"/>
            <family val="2"/>
            <charset val="238"/>
          </rPr>
          <t>User:</t>
        </r>
        <r>
          <rPr>
            <sz val="10"/>
            <rFont val="Tahoma"/>
            <family val="2"/>
            <charset val="238"/>
          </rPr>
          <t xml:space="preserve">
Rec.dv.
otpadomjeri</t>
        </r>
      </text>
    </comment>
    <comment ref="M99" authorId="1">
      <text>
        <r>
          <rPr>
            <b/>
            <sz val="10"/>
            <rFont val="Tahoma"/>
            <family val="2"/>
            <charset val="238"/>
          </rPr>
          <t>User:</t>
        </r>
        <r>
          <rPr>
            <sz val="10"/>
            <rFont val="Tahoma"/>
            <family val="2"/>
            <charset val="238"/>
          </rPr>
          <t xml:space="preserve">
Rec.dv.
otpadomjeri</t>
        </r>
      </text>
    </comment>
    <comment ref="N99" authorId="1">
      <text>
        <r>
          <rPr>
            <b/>
            <sz val="10"/>
            <rFont val="Tahoma"/>
            <family val="2"/>
            <charset val="238"/>
          </rPr>
          <t>User:</t>
        </r>
        <r>
          <rPr>
            <sz val="10"/>
            <rFont val="Tahoma"/>
            <family val="2"/>
            <charset val="238"/>
          </rPr>
          <t xml:space="preserve">
oprema- 195.000</t>
        </r>
      </text>
    </comment>
    <comment ref="O99" authorId="1">
      <text>
        <r>
          <rPr>
            <b/>
            <sz val="10"/>
            <rFont val="Tahoma"/>
            <family val="2"/>
            <charset val="238"/>
          </rPr>
          <t>User:</t>
        </r>
        <r>
          <rPr>
            <sz val="10"/>
            <rFont val="Tahoma"/>
            <family val="2"/>
            <charset val="238"/>
          </rPr>
          <t xml:space="preserve">
oprema- 195.000</t>
        </r>
      </text>
    </comment>
    <comment ref="P99" authorId="1">
      <text>
        <r>
          <rPr>
            <b/>
            <sz val="10"/>
            <rFont val="Tahoma"/>
            <family val="2"/>
            <charset val="238"/>
          </rPr>
          <t>User:</t>
        </r>
        <r>
          <rPr>
            <sz val="10"/>
            <rFont val="Tahoma"/>
            <family val="2"/>
            <charset val="238"/>
          </rPr>
          <t xml:space="preserve">
deponij-150.000
ex.ambul.-159.250</t>
        </r>
      </text>
    </comment>
    <comment ref="Q99" authorId="1">
      <text>
        <r>
          <rPr>
            <b/>
            <sz val="10"/>
            <rFont val="Tahoma"/>
            <family val="2"/>
            <charset val="238"/>
          </rPr>
          <t>User:</t>
        </r>
        <r>
          <rPr>
            <sz val="10"/>
            <rFont val="Tahoma"/>
            <family val="2"/>
            <charset val="238"/>
          </rPr>
          <t xml:space="preserve">
ex.ambul.-159.250</t>
        </r>
      </text>
    </comment>
    <comment ref="R99" authorId="1">
      <text>
        <r>
          <rPr>
            <b/>
            <sz val="10"/>
            <rFont val="Tahoma"/>
            <family val="2"/>
            <charset val="238"/>
          </rPr>
          <t>User:</t>
        </r>
        <r>
          <rPr>
            <sz val="10"/>
            <rFont val="Tahoma"/>
            <family val="2"/>
            <charset val="238"/>
          </rPr>
          <t xml:space="preserve">
ex.ambul.-159.250</t>
        </r>
      </text>
    </comment>
    <comment ref="V99" authorId="0">
      <text>
        <r>
          <rPr>
            <b/>
            <sz val="9"/>
            <rFont val="Tahoma"/>
            <family val="2"/>
            <charset val="238"/>
          </rPr>
          <t>mzaninovic:</t>
        </r>
        <r>
          <rPr>
            <sz val="9"/>
            <rFont val="Tahoma"/>
            <family val="2"/>
            <charset val="238"/>
          </rPr>
          <t xml:space="preserve">
Stara ambulanta
</t>
        </r>
      </text>
    </comment>
    <comment ref="W99" authorId="0">
      <text>
        <r>
          <rPr>
            <b/>
            <sz val="9"/>
            <rFont val="Tahoma"/>
            <family val="2"/>
            <charset val="238"/>
          </rPr>
          <t>mzaninovic:</t>
        </r>
        <r>
          <rPr>
            <sz val="9"/>
            <rFont val="Tahoma"/>
            <family val="2"/>
            <charset val="238"/>
          </rPr>
          <t xml:space="preserve">
Stara ambulanta
</t>
        </r>
      </text>
    </comment>
    <comment ref="X99" authorId="0">
      <text>
        <r>
          <rPr>
            <b/>
            <sz val="9"/>
            <rFont val="Tahoma"/>
            <family val="2"/>
            <charset val="238"/>
          </rPr>
          <t>mzaninovic:</t>
        </r>
        <r>
          <rPr>
            <sz val="9"/>
            <rFont val="Tahoma"/>
            <family val="2"/>
            <charset val="238"/>
          </rPr>
          <t xml:space="preserve">
fond deponij
</t>
        </r>
      </text>
    </comment>
    <comment ref="L100" authorId="1">
      <text>
        <r>
          <rPr>
            <b/>
            <sz val="10"/>
            <rFont val="Tahoma"/>
            <family val="2"/>
            <charset val="238"/>
          </rPr>
          <t>User:</t>
        </r>
        <r>
          <rPr>
            <sz val="10"/>
            <rFont val="Tahoma"/>
            <family val="2"/>
            <charset val="238"/>
          </rPr>
          <t xml:space="preserve">
Most Vrboska</t>
        </r>
      </text>
    </comment>
    <comment ref="M100" authorId="1">
      <text>
        <r>
          <rPr>
            <b/>
            <sz val="10"/>
            <rFont val="Tahoma"/>
            <family val="2"/>
            <charset val="238"/>
          </rPr>
          <t>User:</t>
        </r>
        <r>
          <rPr>
            <sz val="10"/>
            <rFont val="Tahoma"/>
            <family val="2"/>
            <charset val="238"/>
          </rPr>
          <t xml:space="preserve">
Most Vrboska</t>
        </r>
      </text>
    </comment>
    <comment ref="N100" authorId="1">
      <text>
        <r>
          <rPr>
            <b/>
            <sz val="10"/>
            <rFont val="Tahoma"/>
            <family val="2"/>
            <charset val="238"/>
          </rPr>
          <t>User:</t>
        </r>
        <r>
          <rPr>
            <sz val="10"/>
            <rFont val="Tahoma"/>
            <family val="2"/>
            <charset val="238"/>
          </rPr>
          <t xml:space="preserve">
most Vrb.-300.000</t>
        </r>
      </text>
    </comment>
    <comment ref="O100" authorId="1">
      <text>
        <r>
          <rPr>
            <b/>
            <sz val="10"/>
            <rFont val="Tahoma"/>
            <family val="2"/>
            <charset val="238"/>
          </rPr>
          <t>User:</t>
        </r>
        <r>
          <rPr>
            <sz val="10"/>
            <rFont val="Tahoma"/>
            <family val="2"/>
            <charset val="238"/>
          </rPr>
          <t xml:space="preserve">
most Vrb.-300.000</t>
        </r>
      </text>
    </comment>
    <comment ref="P100" authorId="1">
      <text>
        <r>
          <rPr>
            <b/>
            <sz val="10"/>
            <rFont val="Tahoma"/>
            <family val="2"/>
            <charset val="238"/>
          </rPr>
          <t>User:</t>
        </r>
        <r>
          <rPr>
            <sz val="10"/>
            <rFont val="Tahoma"/>
            <family val="2"/>
            <charset val="238"/>
          </rPr>
          <t xml:space="preserve">
</t>
        </r>
      </text>
    </comment>
    <comment ref="Q100" authorId="1">
      <text>
        <r>
          <rPr>
            <b/>
            <sz val="10"/>
            <rFont val="Tahoma"/>
            <family val="2"/>
            <charset val="238"/>
          </rPr>
          <t>User:</t>
        </r>
        <r>
          <rPr>
            <sz val="10"/>
            <rFont val="Tahoma"/>
            <family val="2"/>
            <charset val="238"/>
          </rPr>
          <t xml:space="preserve">
</t>
        </r>
      </text>
    </comment>
    <comment ref="R100" authorId="1">
      <text>
        <r>
          <rPr>
            <b/>
            <sz val="10"/>
            <rFont val="Tahoma"/>
            <family val="2"/>
            <charset val="238"/>
          </rPr>
          <t>User:</t>
        </r>
        <r>
          <rPr>
            <sz val="10"/>
            <rFont val="Tahoma"/>
            <family val="2"/>
            <charset val="238"/>
          </rPr>
          <t xml:space="preserve">
</t>
        </r>
      </text>
    </comment>
    <comment ref="AQ107" authorId="2">
      <text>
        <r>
          <rPr>
            <b/>
            <sz val="9"/>
            <rFont val="Times New Roman"/>
            <family val="1"/>
            <charset val="238"/>
          </rPr>
          <t>korisnik:</t>
        </r>
        <r>
          <rPr>
            <sz val="9"/>
            <rFont val="Times New Roman"/>
            <family val="1"/>
            <charset val="238"/>
          </rPr>
          <t xml:space="preserve">
Općina 1,65
Knjižnica 0,04
Muzej 0,04
</t>
        </r>
      </text>
    </comment>
    <comment ref="AQ110" authorId="2">
      <text>
        <r>
          <rPr>
            <b/>
            <sz val="9"/>
            <rFont val="Times New Roman"/>
            <family val="1"/>
            <charset val="238"/>
          </rPr>
          <t xml:space="preserve">korisnik:
</t>
        </r>
        <r>
          <rPr>
            <sz val="9"/>
            <rFont val="Times New Roman"/>
            <family val="1"/>
            <charset val="238"/>
          </rPr>
          <t>Vrtić 0,13</t>
        </r>
      </text>
    </comment>
    <comment ref="L151" authorId="1">
      <text>
        <r>
          <rPr>
            <b/>
            <sz val="10"/>
            <rFont val="Tahoma"/>
            <family val="2"/>
            <charset val="238"/>
          </rPr>
          <t>User:</t>
        </r>
        <r>
          <rPr>
            <sz val="10"/>
            <rFont val="Tahoma"/>
            <family val="2"/>
            <charset val="238"/>
          </rPr>
          <t xml:space="preserve">
Vrtić-535.000
Knjižnica-15.000
Muzej-15.000</t>
        </r>
      </text>
    </comment>
    <comment ref="M151" authorId="1">
      <text>
        <r>
          <rPr>
            <b/>
            <sz val="10"/>
            <rFont val="Tahoma"/>
            <family val="2"/>
            <charset val="238"/>
          </rPr>
          <t>User:</t>
        </r>
        <r>
          <rPr>
            <sz val="10"/>
            <rFont val="Tahoma"/>
            <family val="2"/>
            <charset val="238"/>
          </rPr>
          <t xml:space="preserve">
Vrtić-535.000
Knjižnica-15.000
Muzej-15.000</t>
        </r>
      </text>
    </comment>
    <comment ref="N151" authorId="1">
      <text>
        <r>
          <rPr>
            <b/>
            <sz val="10"/>
            <rFont val="Tahoma"/>
            <family val="2"/>
            <charset val="238"/>
          </rPr>
          <t>User:</t>
        </r>
        <r>
          <rPr>
            <sz val="10"/>
            <rFont val="Tahoma"/>
            <family val="2"/>
            <charset val="238"/>
          </rPr>
          <t xml:space="preserve">
Vrtić-700.000
Knjižnica-15.000
Muzej-5.000</t>
        </r>
      </text>
    </comment>
    <comment ref="O151" authorId="1">
      <text>
        <r>
          <rPr>
            <b/>
            <sz val="10"/>
            <rFont val="Tahoma"/>
            <family val="2"/>
            <charset val="238"/>
          </rPr>
          <t>User:</t>
        </r>
        <r>
          <rPr>
            <sz val="10"/>
            <rFont val="Tahoma"/>
            <family val="2"/>
            <charset val="238"/>
          </rPr>
          <t xml:space="preserve">
Vrtić-700.000
Knjižnica-15.000
Muzej-5.000</t>
        </r>
      </text>
    </comment>
    <comment ref="P151" authorId="1">
      <text>
        <r>
          <rPr>
            <b/>
            <sz val="10"/>
            <rFont val="Tahoma"/>
            <family val="2"/>
            <charset val="238"/>
          </rPr>
          <t>User:</t>
        </r>
        <r>
          <rPr>
            <sz val="10"/>
            <rFont val="Tahoma"/>
            <family val="2"/>
            <charset val="238"/>
          </rPr>
          <t xml:space="preserve">
Vrtić-745.000
Knjižnica-15.000
Muzej-10.000</t>
        </r>
      </text>
    </comment>
    <comment ref="Q151" authorId="1">
      <text>
        <r>
          <rPr>
            <b/>
            <sz val="10"/>
            <rFont val="Tahoma"/>
            <family val="2"/>
            <charset val="238"/>
          </rPr>
          <t>User:</t>
        </r>
        <r>
          <rPr>
            <sz val="10"/>
            <rFont val="Tahoma"/>
            <family val="2"/>
            <charset val="238"/>
          </rPr>
          <t xml:space="preserve">
Vrtić-105.000
Knjižnica-2.000
Muzej-6.000</t>
        </r>
      </text>
    </comment>
    <comment ref="R151" authorId="1">
      <text>
        <r>
          <rPr>
            <b/>
            <sz val="10"/>
            <rFont val="Tahoma"/>
            <family val="2"/>
            <charset val="238"/>
          </rPr>
          <t>User:</t>
        </r>
        <r>
          <rPr>
            <sz val="10"/>
            <rFont val="Tahoma"/>
            <family val="2"/>
            <charset val="238"/>
          </rPr>
          <t xml:space="preserve">
Vrtić-105.000
Knjižnica-2.000
Muzej-6.000</t>
        </r>
      </text>
    </comment>
    <comment ref="V151" authorId="0">
      <text>
        <r>
          <rPr>
            <sz val="9"/>
            <rFont val="Tahoma"/>
            <family val="2"/>
            <charset val="238"/>
          </rPr>
          <t xml:space="preserve">
Vrtić-121.000
Knjižnica-2.000
Muzej-6.000</t>
        </r>
      </text>
    </comment>
    <comment ref="W151" authorId="0">
      <text>
        <r>
          <rPr>
            <sz val="9"/>
            <rFont val="Tahoma"/>
            <family val="2"/>
            <charset val="238"/>
          </rPr>
          <t xml:space="preserve">
Vrtić-121.000
Knjižnica-2.000
Muzej-6.000</t>
        </r>
      </text>
    </comment>
    <comment ref="X151" authorId="0">
      <text>
        <r>
          <rPr>
            <sz val="9"/>
            <rFont val="Tahoma"/>
            <family val="2"/>
            <charset val="238"/>
          </rPr>
          <t xml:space="preserve">
Vrtić-135.000
Knjižnica-2.000
Muzej-6.000</t>
        </r>
      </text>
    </comment>
    <comment ref="AQ151" authorId="2">
      <text>
        <r>
          <rPr>
            <b/>
            <sz val="9"/>
            <rFont val="Times New Roman"/>
            <family val="1"/>
            <charset val="238"/>
          </rPr>
          <t>korisnik:</t>
        </r>
        <r>
          <rPr>
            <sz val="9"/>
            <rFont val="Times New Roman"/>
            <family val="1"/>
            <charset val="238"/>
          </rPr>
          <t xml:space="preserve">
Vrtić - 98.421,48 
Knjižnica 2.879,11
Muzej 5.564,42</t>
        </r>
      </text>
    </comment>
    <comment ref="L162" authorId="1">
      <text>
        <r>
          <rPr>
            <b/>
            <sz val="10"/>
            <rFont val="Tahoma"/>
            <family val="2"/>
            <charset val="238"/>
          </rPr>
          <t>User:</t>
        </r>
        <r>
          <rPr>
            <sz val="10"/>
            <rFont val="Tahoma"/>
            <family val="2"/>
            <charset val="238"/>
          </rPr>
          <t xml:space="preserve">
UPU Gromin D.
UPU Raskovica</t>
        </r>
      </text>
    </comment>
    <comment ref="M162" authorId="1">
      <text>
        <r>
          <rPr>
            <b/>
            <sz val="10"/>
            <rFont val="Tahoma"/>
            <family val="2"/>
            <charset val="238"/>
          </rPr>
          <t>User:</t>
        </r>
        <r>
          <rPr>
            <sz val="10"/>
            <rFont val="Tahoma"/>
            <family val="2"/>
            <charset val="238"/>
          </rPr>
          <t xml:space="preserve">
UPU Gromin D.
UPU Raskovica</t>
        </r>
      </text>
    </comment>
    <comment ref="N162" authorId="1">
      <text>
        <r>
          <rPr>
            <b/>
            <sz val="10"/>
            <rFont val="Tahoma"/>
            <family val="2"/>
            <charset val="238"/>
          </rPr>
          <t>User:</t>
        </r>
        <r>
          <rPr>
            <sz val="10"/>
            <rFont val="Tahoma"/>
            <family val="2"/>
            <charset val="238"/>
          </rPr>
          <t xml:space="preserve">
UPU </t>
        </r>
      </text>
    </comment>
    <comment ref="O162" authorId="1">
      <text>
        <r>
          <rPr>
            <b/>
            <sz val="10"/>
            <rFont val="Tahoma"/>
            <family val="2"/>
            <charset val="238"/>
          </rPr>
          <t>User:</t>
        </r>
        <r>
          <rPr>
            <sz val="10"/>
            <rFont val="Tahoma"/>
            <family val="2"/>
            <charset val="238"/>
          </rPr>
          <t xml:space="preserve">
UPU </t>
        </r>
      </text>
    </comment>
    <comment ref="P162" authorId="1">
      <text>
        <r>
          <rPr>
            <b/>
            <sz val="10"/>
            <rFont val="Tahoma"/>
            <family val="2"/>
            <charset val="238"/>
          </rPr>
          <t>User:</t>
        </r>
        <r>
          <rPr>
            <sz val="10"/>
            <rFont val="Tahoma"/>
            <family val="2"/>
            <charset val="238"/>
          </rPr>
          <t xml:space="preserve">
UPU </t>
        </r>
      </text>
    </comment>
    <comment ref="Q162" authorId="1">
      <text>
        <r>
          <rPr>
            <b/>
            <sz val="10"/>
            <rFont val="Tahoma"/>
            <family val="2"/>
            <charset val="238"/>
          </rPr>
          <t>User:</t>
        </r>
        <r>
          <rPr>
            <sz val="10"/>
            <rFont val="Tahoma"/>
            <family val="2"/>
            <charset val="238"/>
          </rPr>
          <t xml:space="preserve">
UPU </t>
        </r>
      </text>
    </comment>
    <comment ref="R162" authorId="1">
      <text>
        <r>
          <rPr>
            <b/>
            <sz val="10"/>
            <rFont val="Tahoma"/>
            <family val="2"/>
            <charset val="238"/>
          </rPr>
          <t>User:</t>
        </r>
        <r>
          <rPr>
            <sz val="10"/>
            <rFont val="Tahoma"/>
            <family val="2"/>
            <charset val="238"/>
          </rPr>
          <t xml:space="preserve">
UPU </t>
        </r>
      </text>
    </comment>
    <comment ref="N171" authorId="1">
      <text>
        <r>
          <rPr>
            <b/>
            <sz val="10"/>
            <rFont val="Tahoma"/>
            <family val="2"/>
            <charset val="238"/>
          </rPr>
          <t>User:</t>
        </r>
        <r>
          <rPr>
            <sz val="10"/>
            <rFont val="Tahoma"/>
            <family val="2"/>
            <charset val="238"/>
          </rPr>
          <t xml:space="preserve">
Hrv.vode</t>
        </r>
      </text>
    </comment>
    <comment ref="O171" authorId="1">
      <text>
        <r>
          <rPr>
            <b/>
            <sz val="10"/>
            <rFont val="Tahoma"/>
            <family val="2"/>
            <charset val="238"/>
          </rPr>
          <t>User:</t>
        </r>
        <r>
          <rPr>
            <sz val="10"/>
            <rFont val="Tahoma"/>
            <family val="2"/>
            <charset val="238"/>
          </rPr>
          <t xml:space="preserve">
Hrv.vode</t>
        </r>
      </text>
    </comment>
    <comment ref="P171" authorId="1">
      <text>
        <r>
          <rPr>
            <b/>
            <sz val="10"/>
            <rFont val="Tahoma"/>
            <family val="2"/>
            <charset val="238"/>
          </rPr>
          <t>User:</t>
        </r>
        <r>
          <rPr>
            <sz val="10"/>
            <rFont val="Tahoma"/>
            <family val="2"/>
            <charset val="238"/>
          </rPr>
          <t xml:space="preserve">
Hrv.vode
</t>
        </r>
      </text>
    </comment>
    <comment ref="Q171" authorId="1">
      <text>
        <r>
          <rPr>
            <b/>
            <sz val="10"/>
            <rFont val="Tahoma"/>
            <family val="2"/>
            <charset val="238"/>
          </rPr>
          <t>User:</t>
        </r>
        <r>
          <rPr>
            <sz val="10"/>
            <rFont val="Tahoma"/>
            <family val="2"/>
            <charset val="238"/>
          </rPr>
          <t xml:space="preserve">
Hrv.vode
</t>
        </r>
      </text>
    </comment>
    <comment ref="R171" authorId="1">
      <text>
        <r>
          <rPr>
            <b/>
            <sz val="10"/>
            <rFont val="Tahoma"/>
            <family val="2"/>
            <charset val="238"/>
          </rPr>
          <t>User:</t>
        </r>
        <r>
          <rPr>
            <sz val="10"/>
            <rFont val="Tahoma"/>
            <family val="2"/>
            <charset val="238"/>
          </rPr>
          <t xml:space="preserve">
Hrv.vode
</t>
        </r>
      </text>
    </comment>
    <comment ref="AQ171" authorId="2">
      <text>
        <r>
          <rPr>
            <b/>
            <sz val="9"/>
            <rFont val="Times New Roman"/>
            <family val="1"/>
            <charset val="238"/>
          </rPr>
          <t>korisnik:</t>
        </r>
        <r>
          <rPr>
            <sz val="9"/>
            <rFont val="Times New Roman"/>
            <family val="1"/>
            <charset val="238"/>
          </rPr>
          <t xml:space="preserve">
Općina 20.333,94 
Vrtić 18.375,76
</t>
        </r>
      </text>
    </comment>
    <comment ref="P179" authorId="1">
      <text>
        <r>
          <rPr>
            <b/>
            <sz val="10"/>
            <rFont val="Tahoma"/>
            <family val="2"/>
            <charset val="238"/>
          </rPr>
          <t>User:</t>
        </r>
        <r>
          <rPr>
            <sz val="10"/>
            <rFont val="Tahoma"/>
            <family val="2"/>
            <charset val="238"/>
          </rPr>
          <t xml:space="preserve">
1450x220=319.000
+ 101.000</t>
        </r>
      </text>
    </comment>
    <comment ref="Q179" authorId="1">
      <text>
        <r>
          <rPr>
            <b/>
            <sz val="10"/>
            <rFont val="Tahoma"/>
            <family val="2"/>
            <charset val="238"/>
          </rPr>
          <t>User:</t>
        </r>
        <r>
          <rPr>
            <sz val="10"/>
            <rFont val="Tahoma"/>
            <family val="2"/>
            <charset val="238"/>
          </rPr>
          <t xml:space="preserve">
1450x220=319.000
+ 101.000</t>
        </r>
      </text>
    </comment>
    <comment ref="R179" authorId="1">
      <text>
        <r>
          <rPr>
            <b/>
            <sz val="10"/>
            <rFont val="Tahoma"/>
            <family val="2"/>
            <charset val="238"/>
          </rPr>
          <t>User:</t>
        </r>
        <r>
          <rPr>
            <sz val="10"/>
            <rFont val="Tahoma"/>
            <family val="2"/>
            <charset val="238"/>
          </rPr>
          <t xml:space="preserve">
1450x220=319.000
+ 101.000</t>
        </r>
      </text>
    </comment>
    <comment ref="BF445" authorId="2">
      <text>
        <r>
          <rPr>
            <b/>
            <sz val="9"/>
            <rFont val="Times New Roman"/>
            <family val="1"/>
            <charset val="238"/>
          </rPr>
          <t>korisnik:</t>
        </r>
        <r>
          <rPr>
            <sz val="9"/>
            <rFont val="Times New Roman"/>
            <family val="1"/>
            <charset val="238"/>
          </rPr>
          <t xml:space="preserve">
smještaj zdravstvenog djelatnika
</t>
        </r>
      </text>
    </comment>
    <comment ref="S465" authorId="0">
      <text>
        <r>
          <rPr>
            <b/>
            <sz val="9"/>
            <rFont val="Tahoma"/>
            <family val="2"/>
            <charset val="238"/>
          </rPr>
          <t>mzaninovic:</t>
        </r>
        <r>
          <rPr>
            <sz val="9"/>
            <rFont val="Tahoma"/>
            <family val="2"/>
            <charset val="238"/>
          </rPr>
          <t xml:space="preserve">
klime</t>
        </r>
      </text>
    </comment>
    <comment ref="BF466" authorId="2">
      <text>
        <r>
          <rPr>
            <b/>
            <sz val="9"/>
            <rFont val="Times New Roman"/>
            <family val="1"/>
            <charset val="238"/>
          </rPr>
          <t>korisnik:</t>
        </r>
        <r>
          <rPr>
            <sz val="9"/>
            <rFont val="Times New Roman"/>
            <family val="1"/>
            <charset val="238"/>
          </rPr>
          <t xml:space="preserve">
uređaj za krv
</t>
        </r>
      </text>
    </comment>
    <comment ref="S467" authorId="0">
      <text>
        <r>
          <rPr>
            <b/>
            <sz val="9"/>
            <rFont val="Tahoma"/>
            <family val="2"/>
            <charset val="238"/>
          </rPr>
          <t>mzaninovic:</t>
        </r>
        <r>
          <rPr>
            <sz val="9"/>
            <rFont val="Tahoma"/>
            <family val="2"/>
            <charset val="238"/>
          </rPr>
          <t xml:space="preserve">
umo neurofeedback
</t>
        </r>
      </text>
    </comment>
    <comment ref="V516" authorId="0">
      <text>
        <r>
          <rPr>
            <b/>
            <sz val="9"/>
            <rFont val="Tahoma"/>
            <family val="2"/>
            <charset val="238"/>
          </rPr>
          <t>mzaninovic:</t>
        </r>
        <r>
          <rPr>
            <sz val="9"/>
            <rFont val="Tahoma"/>
            <family val="2"/>
            <charset val="238"/>
          </rPr>
          <t xml:space="preserve">
za sezonce 20000
</t>
        </r>
      </text>
    </comment>
    <comment ref="W516" authorId="0">
      <text>
        <r>
          <rPr>
            <b/>
            <sz val="9"/>
            <rFont val="Tahoma"/>
            <family val="2"/>
            <charset val="238"/>
          </rPr>
          <t>mzaninovic:</t>
        </r>
        <r>
          <rPr>
            <sz val="9"/>
            <rFont val="Tahoma"/>
            <family val="2"/>
            <charset val="238"/>
          </rPr>
          <t xml:space="preserve">
za sezonce 20000
</t>
        </r>
      </text>
    </comment>
    <comment ref="BE579" authorId="2">
      <text>
        <r>
          <rPr>
            <b/>
            <sz val="9"/>
            <rFont val="Times New Roman"/>
            <family val="1"/>
            <charset val="238"/>
          </rPr>
          <t>korisnik:</t>
        </r>
        <r>
          <rPr>
            <sz val="9"/>
            <rFont val="Times New Roman"/>
            <family val="1"/>
            <charset val="238"/>
          </rPr>
          <t xml:space="preserve">
63321 konto 65975€
+ 121680€
</t>
        </r>
      </text>
    </comment>
    <comment ref="L580" authorId="1">
      <text>
        <r>
          <rPr>
            <b/>
            <sz val="10"/>
            <rFont val="Tahoma"/>
            <family val="2"/>
            <charset val="238"/>
          </rPr>
          <t>User:</t>
        </r>
        <r>
          <rPr>
            <sz val="10"/>
            <rFont val="Tahoma"/>
            <family val="2"/>
            <charset val="238"/>
          </rPr>
          <t xml:space="preserve">
Min.-500.000
Lučka u.-500.000
tur.prist.-120.000
SDŽ-200.000</t>
        </r>
      </text>
    </comment>
    <comment ref="M580" authorId="1">
      <text>
        <r>
          <rPr>
            <b/>
            <sz val="10"/>
            <rFont val="Tahoma"/>
            <family val="2"/>
            <charset val="238"/>
          </rPr>
          <t>User:</t>
        </r>
        <r>
          <rPr>
            <sz val="10"/>
            <rFont val="Tahoma"/>
            <family val="2"/>
            <charset val="238"/>
          </rPr>
          <t xml:space="preserve">
Min.-500.000
Lučka u.-500.000
tur.prist.-120.000
SDŽ-200.000</t>
        </r>
      </text>
    </comment>
    <comment ref="P587" authorId="1">
      <text>
        <r>
          <rPr>
            <b/>
            <sz val="10"/>
            <rFont val="Tahoma"/>
            <family val="2"/>
            <charset val="238"/>
          </rPr>
          <t>User:</t>
        </r>
        <r>
          <rPr>
            <sz val="10"/>
            <rFont val="Tahoma"/>
            <family val="2"/>
            <charset val="238"/>
          </rPr>
          <t xml:space="preserve">
trg Fabrio Vrb.-37.660</t>
        </r>
      </text>
    </comment>
    <comment ref="Q587" authorId="1">
      <text>
        <r>
          <rPr>
            <b/>
            <sz val="10"/>
            <rFont val="Tahoma"/>
            <family val="2"/>
            <charset val="238"/>
          </rPr>
          <t>User:</t>
        </r>
        <r>
          <rPr>
            <sz val="10"/>
            <rFont val="Tahoma"/>
            <family val="2"/>
            <charset val="238"/>
          </rPr>
          <t xml:space="preserve">
trg Fabrio Vrb.-35.660</t>
        </r>
      </text>
    </comment>
    <comment ref="R587" authorId="1">
      <text>
        <r>
          <rPr>
            <b/>
            <sz val="10"/>
            <rFont val="Tahoma"/>
            <family val="2"/>
            <charset val="238"/>
          </rPr>
          <t>User:</t>
        </r>
        <r>
          <rPr>
            <sz val="10"/>
            <rFont val="Tahoma"/>
            <family val="2"/>
            <charset val="238"/>
          </rPr>
          <t xml:space="preserve">
trg Fabrio Vrb.-35.660</t>
        </r>
      </text>
    </comment>
    <comment ref="L588" authorId="1">
      <text>
        <r>
          <rPr>
            <b/>
            <sz val="10"/>
            <rFont val="Tahoma"/>
            <family val="2"/>
            <charset val="238"/>
          </rPr>
          <t>User:</t>
        </r>
        <r>
          <rPr>
            <sz val="10"/>
            <rFont val="Tahoma"/>
            <family val="2"/>
            <charset val="238"/>
          </rPr>
          <t xml:space="preserve">
Lag-400.000</t>
        </r>
      </text>
    </comment>
    <comment ref="M588" authorId="1">
      <text>
        <r>
          <rPr>
            <b/>
            <sz val="10"/>
            <rFont val="Tahoma"/>
            <family val="2"/>
            <charset val="238"/>
          </rPr>
          <t>User:</t>
        </r>
        <r>
          <rPr>
            <sz val="10"/>
            <rFont val="Tahoma"/>
            <family val="2"/>
            <charset val="238"/>
          </rPr>
          <t xml:space="preserve">
Lag-400.000</t>
        </r>
      </text>
    </comment>
    <comment ref="N588" authorId="1">
      <text>
        <r>
          <rPr>
            <b/>
            <sz val="10"/>
            <rFont val="Tahoma"/>
            <family val="2"/>
            <charset val="238"/>
          </rPr>
          <t>User:</t>
        </r>
        <r>
          <rPr>
            <sz val="10"/>
            <rFont val="Tahoma"/>
            <family val="2"/>
            <charset val="238"/>
          </rPr>
          <t xml:space="preserve">
SDŽ-100.000</t>
        </r>
      </text>
    </comment>
    <comment ref="O588" authorId="1">
      <text>
        <r>
          <rPr>
            <b/>
            <sz val="10"/>
            <rFont val="Tahoma"/>
            <family val="2"/>
            <charset val="238"/>
          </rPr>
          <t>User:</t>
        </r>
        <r>
          <rPr>
            <sz val="10"/>
            <rFont val="Tahoma"/>
            <family val="2"/>
            <charset val="238"/>
          </rPr>
          <t xml:space="preserve">
SDŽ-100.000</t>
        </r>
      </text>
    </comment>
    <comment ref="P595" authorId="1">
      <text>
        <r>
          <rPr>
            <b/>
            <sz val="10"/>
            <rFont val="Tahoma"/>
            <family val="2"/>
            <charset val="238"/>
          </rPr>
          <t>User:</t>
        </r>
        <r>
          <rPr>
            <sz val="10"/>
            <rFont val="Tahoma"/>
            <family val="2"/>
            <charset val="238"/>
          </rPr>
          <t xml:space="preserve">
Sidrišta Soline i Zečevo</t>
        </r>
      </text>
    </comment>
    <comment ref="Q595" authorId="1">
      <text>
        <r>
          <rPr>
            <b/>
            <sz val="10"/>
            <rFont val="Tahoma"/>
            <family val="2"/>
            <charset val="238"/>
          </rPr>
          <t>User:</t>
        </r>
        <r>
          <rPr>
            <sz val="10"/>
            <rFont val="Tahoma"/>
            <family val="2"/>
            <charset val="238"/>
          </rPr>
          <t xml:space="preserve">
Mul Pokrvenik-20.000
Pontoni-20.000</t>
        </r>
      </text>
    </comment>
    <comment ref="R595" authorId="1">
      <text>
        <r>
          <rPr>
            <b/>
            <sz val="10"/>
            <rFont val="Tahoma"/>
            <family val="2"/>
            <charset val="238"/>
          </rPr>
          <t>User:</t>
        </r>
        <r>
          <rPr>
            <sz val="10"/>
            <rFont val="Tahoma"/>
            <family val="2"/>
            <charset val="238"/>
          </rPr>
          <t xml:space="preserve">
Mul Pokrvenik-20.000
Pontoni-20.000</t>
        </r>
      </text>
    </comment>
    <comment ref="N600" authorId="1">
      <text>
        <r>
          <rPr>
            <b/>
            <sz val="10"/>
            <rFont val="Tahoma"/>
            <family val="2"/>
            <charset val="238"/>
          </rPr>
          <t>User:</t>
        </r>
        <r>
          <rPr>
            <sz val="10"/>
            <rFont val="Tahoma"/>
            <family val="2"/>
            <charset val="238"/>
          </rPr>
          <t xml:space="preserve">
SDŽ-120.000</t>
        </r>
      </text>
    </comment>
    <comment ref="O600" authorId="1">
      <text>
        <r>
          <rPr>
            <b/>
            <sz val="10"/>
            <rFont val="Tahoma"/>
            <family val="2"/>
            <charset val="238"/>
          </rPr>
          <t>User:</t>
        </r>
        <r>
          <rPr>
            <sz val="10"/>
            <rFont val="Tahoma"/>
            <family val="2"/>
            <charset val="238"/>
          </rPr>
          <t xml:space="preserve">
SDŽ-120.000</t>
        </r>
      </text>
    </comment>
    <comment ref="L640" authorId="1">
      <text>
        <r>
          <rPr>
            <b/>
            <sz val="10"/>
            <rFont val="Tahoma"/>
            <family val="2"/>
            <charset val="238"/>
          </rPr>
          <t>User:</t>
        </r>
        <r>
          <rPr>
            <sz val="10"/>
            <rFont val="Tahoma"/>
            <family val="2"/>
            <charset val="238"/>
          </rPr>
          <t xml:space="preserve">
Jelsa plus-oborinska od.</t>
        </r>
      </text>
    </comment>
    <comment ref="M640" authorId="1">
      <text>
        <r>
          <rPr>
            <b/>
            <sz val="10"/>
            <rFont val="Tahoma"/>
            <family val="2"/>
            <charset val="238"/>
          </rPr>
          <t>User:</t>
        </r>
        <r>
          <rPr>
            <sz val="10"/>
            <rFont val="Tahoma"/>
            <family val="2"/>
            <charset val="238"/>
          </rPr>
          <t xml:space="preserve">
Jelsa plus-oborinska od.</t>
        </r>
      </text>
    </comment>
    <comment ref="N640" authorId="1">
      <text>
        <r>
          <rPr>
            <b/>
            <sz val="10"/>
            <rFont val="Tahoma"/>
            <family val="2"/>
            <charset val="238"/>
          </rPr>
          <t>User:</t>
        </r>
        <r>
          <rPr>
            <sz val="10"/>
            <rFont val="Tahoma"/>
            <family val="2"/>
            <charset val="238"/>
          </rPr>
          <t xml:space="preserve">
Jelsa plus-oborinska od.</t>
        </r>
      </text>
    </comment>
    <comment ref="O640" authorId="1">
      <text>
        <r>
          <rPr>
            <b/>
            <sz val="10"/>
            <rFont val="Tahoma"/>
            <family val="2"/>
            <charset val="238"/>
          </rPr>
          <t>User:</t>
        </r>
        <r>
          <rPr>
            <sz val="10"/>
            <rFont val="Tahoma"/>
            <family val="2"/>
            <charset val="238"/>
          </rPr>
          <t xml:space="preserve">
Jelsa plus-oborinska od.</t>
        </r>
      </text>
    </comment>
    <comment ref="P640" authorId="1">
      <text>
        <r>
          <rPr>
            <b/>
            <sz val="10"/>
            <rFont val="Tahoma"/>
            <family val="2"/>
            <charset val="238"/>
          </rPr>
          <t>User:</t>
        </r>
        <r>
          <rPr>
            <sz val="10"/>
            <rFont val="Tahoma"/>
            <family val="2"/>
            <charset val="238"/>
          </rPr>
          <t xml:space="preserve">
Jelsa plus-oborinska od.</t>
        </r>
      </text>
    </comment>
    <comment ref="Q640" authorId="1">
      <text>
        <r>
          <rPr>
            <b/>
            <sz val="10"/>
            <rFont val="Tahoma"/>
            <family val="2"/>
            <charset val="238"/>
          </rPr>
          <t>User:</t>
        </r>
        <r>
          <rPr>
            <sz val="10"/>
            <rFont val="Tahoma"/>
            <family val="2"/>
            <charset val="238"/>
          </rPr>
          <t xml:space="preserve">
Jelsa plus-oborinska od.</t>
        </r>
      </text>
    </comment>
    <comment ref="R640" authorId="1">
      <text>
        <r>
          <rPr>
            <b/>
            <sz val="10"/>
            <rFont val="Tahoma"/>
            <family val="2"/>
            <charset val="238"/>
          </rPr>
          <t>User:</t>
        </r>
        <r>
          <rPr>
            <sz val="10"/>
            <rFont val="Tahoma"/>
            <family val="2"/>
            <charset val="238"/>
          </rPr>
          <t xml:space="preserve">
Jelsa plus-oborinska od.</t>
        </r>
      </text>
    </comment>
    <comment ref="N645" authorId="1">
      <text>
        <r>
          <rPr>
            <b/>
            <sz val="10"/>
            <rFont val="Tahoma"/>
            <family val="2"/>
            <charset val="238"/>
          </rPr>
          <t>User:</t>
        </r>
        <r>
          <rPr>
            <sz val="10"/>
            <rFont val="Tahoma"/>
            <family val="2"/>
            <charset val="238"/>
          </rPr>
          <t xml:space="preserve">
suf.75%FZOEU-1.500.000</t>
        </r>
      </text>
    </comment>
    <comment ref="O645" authorId="1">
      <text>
        <r>
          <rPr>
            <b/>
            <sz val="10"/>
            <rFont val="Tahoma"/>
            <family val="2"/>
            <charset val="238"/>
          </rPr>
          <t>User:</t>
        </r>
        <r>
          <rPr>
            <sz val="10"/>
            <rFont val="Tahoma"/>
            <family val="2"/>
            <charset val="238"/>
          </rPr>
          <t xml:space="preserve">
suf.75%FZOEU-1.500.000</t>
        </r>
      </text>
    </comment>
    <comment ref="P645" authorId="1">
      <text>
        <r>
          <rPr>
            <b/>
            <sz val="10"/>
            <rFont val="Tahoma"/>
            <family val="2"/>
            <charset val="238"/>
          </rPr>
          <t>User:</t>
        </r>
        <r>
          <rPr>
            <sz val="10"/>
            <rFont val="Tahoma"/>
            <family val="2"/>
            <charset val="238"/>
          </rPr>
          <t xml:space="preserve">
suf.75%FZOEU-150.000</t>
        </r>
      </text>
    </comment>
    <comment ref="Q645" authorId="1">
      <text>
        <r>
          <rPr>
            <b/>
            <sz val="10"/>
            <rFont val="Tahoma"/>
            <family val="2"/>
            <charset val="238"/>
          </rPr>
          <t>User:</t>
        </r>
        <r>
          <rPr>
            <sz val="10"/>
            <rFont val="Tahoma"/>
            <family val="2"/>
            <charset val="238"/>
          </rPr>
          <t xml:space="preserve">
suf.75%FZOEU-150.000</t>
        </r>
      </text>
    </comment>
    <comment ref="R645" authorId="1">
      <text>
        <r>
          <rPr>
            <b/>
            <sz val="10"/>
            <rFont val="Tahoma"/>
            <family val="2"/>
            <charset val="238"/>
          </rPr>
          <t>User:</t>
        </r>
        <r>
          <rPr>
            <sz val="10"/>
            <rFont val="Tahoma"/>
            <family val="2"/>
            <charset val="238"/>
          </rPr>
          <t xml:space="preserve">
suf.75%FZOEU-150.000</t>
        </r>
      </text>
    </comment>
    <comment ref="P763" authorId="1">
      <text>
        <r>
          <rPr>
            <b/>
            <sz val="10"/>
            <rFont val="Tahoma"/>
            <family val="2"/>
            <charset val="238"/>
          </rPr>
          <t>User:</t>
        </r>
        <r>
          <rPr>
            <sz val="10"/>
            <rFont val="Tahoma"/>
            <family val="2"/>
            <charset val="238"/>
          </rPr>
          <t xml:space="preserve">
FZOEU-159.000</t>
        </r>
      </text>
    </comment>
    <comment ref="Q763" authorId="1">
      <text>
        <r>
          <rPr>
            <b/>
            <sz val="10"/>
            <rFont val="Tahoma"/>
            <family val="2"/>
            <charset val="238"/>
          </rPr>
          <t>User:</t>
        </r>
        <r>
          <rPr>
            <sz val="10"/>
            <rFont val="Tahoma"/>
            <family val="2"/>
            <charset val="238"/>
          </rPr>
          <t xml:space="preserve">
FZOEU-159.000</t>
        </r>
      </text>
    </comment>
    <comment ref="R763" authorId="1">
      <text>
        <r>
          <rPr>
            <b/>
            <sz val="10"/>
            <rFont val="Tahoma"/>
            <family val="2"/>
            <charset val="238"/>
          </rPr>
          <t>User:</t>
        </r>
        <r>
          <rPr>
            <sz val="10"/>
            <rFont val="Tahoma"/>
            <family val="2"/>
            <charset val="238"/>
          </rPr>
          <t xml:space="preserve">
FZOEU-159.000</t>
        </r>
      </text>
    </comment>
    <comment ref="BE763" authorId="2">
      <text>
        <r>
          <rPr>
            <b/>
            <sz val="9"/>
            <rFont val="Times New Roman"/>
            <family val="1"/>
            <charset val="238"/>
          </rPr>
          <t>korisnik:</t>
        </r>
        <r>
          <rPr>
            <sz val="9"/>
            <rFont val="Times New Roman"/>
            <family val="1"/>
            <charset val="238"/>
          </rPr>
          <t xml:space="preserve">
69.569,4 
132.480,70</t>
        </r>
      </text>
    </comment>
    <comment ref="P770" authorId="1">
      <text>
        <r>
          <rPr>
            <b/>
            <sz val="10"/>
            <rFont val="Tahoma"/>
            <family val="2"/>
            <charset val="238"/>
          </rPr>
          <t>User:</t>
        </r>
        <r>
          <rPr>
            <sz val="10"/>
            <rFont val="Tahoma"/>
            <family val="2"/>
            <charset val="238"/>
          </rPr>
          <t xml:space="preserve">
Flag-199.000
</t>
        </r>
      </text>
    </comment>
    <comment ref="Q770" authorId="1">
      <text>
        <r>
          <rPr>
            <b/>
            <sz val="10"/>
            <rFont val="Tahoma"/>
            <family val="2"/>
            <charset val="238"/>
          </rPr>
          <t>User:</t>
        </r>
        <r>
          <rPr>
            <sz val="10"/>
            <rFont val="Tahoma"/>
            <family val="2"/>
            <charset val="238"/>
          </rPr>
          <t xml:space="preserve">
Flag-498.000
</t>
        </r>
      </text>
    </comment>
    <comment ref="R770" authorId="1">
      <text>
        <r>
          <rPr>
            <b/>
            <sz val="10"/>
            <rFont val="Tahoma"/>
            <family val="2"/>
            <charset val="238"/>
          </rPr>
          <t>User:</t>
        </r>
        <r>
          <rPr>
            <sz val="10"/>
            <rFont val="Tahoma"/>
            <family val="2"/>
            <charset val="238"/>
          </rPr>
          <t xml:space="preserve">
Flag-498.000
</t>
        </r>
      </text>
    </comment>
    <comment ref="L840" authorId="1">
      <text>
        <r>
          <rPr>
            <b/>
            <sz val="10"/>
            <rFont val="Tahoma"/>
            <family val="2"/>
            <charset val="238"/>
          </rPr>
          <t>User:</t>
        </r>
        <r>
          <rPr>
            <sz val="10"/>
            <rFont val="Tahoma"/>
            <family val="2"/>
            <charset val="238"/>
          </rPr>
          <t xml:space="preserve">
TZJ-290.000
TZV-50.000</t>
        </r>
      </text>
    </comment>
    <comment ref="M840" authorId="1">
      <text>
        <r>
          <rPr>
            <b/>
            <sz val="10"/>
            <rFont val="Tahoma"/>
            <family val="2"/>
            <charset val="238"/>
          </rPr>
          <t>User:</t>
        </r>
        <r>
          <rPr>
            <sz val="10"/>
            <rFont val="Tahoma"/>
            <family val="2"/>
            <charset val="238"/>
          </rPr>
          <t xml:space="preserve">
TZJ-290.000
TZV-50.000</t>
        </r>
      </text>
    </comment>
    <comment ref="Q840" authorId="1">
      <text>
        <r>
          <rPr>
            <b/>
            <sz val="10"/>
            <rFont val="Tahoma"/>
            <family val="2"/>
            <charset val="238"/>
          </rPr>
          <t>User:</t>
        </r>
        <r>
          <rPr>
            <sz val="10"/>
            <rFont val="Tahoma"/>
            <family val="2"/>
            <charset val="238"/>
          </rPr>
          <t xml:space="preserve">
TZ Jelsa 80.000
TZ Vrboska - 7.000</t>
        </r>
      </text>
    </comment>
    <comment ref="R840" authorId="1">
      <text>
        <r>
          <rPr>
            <b/>
            <sz val="10"/>
            <rFont val="Tahoma"/>
            <family val="2"/>
            <charset val="238"/>
          </rPr>
          <t>User:</t>
        </r>
        <r>
          <rPr>
            <sz val="10"/>
            <rFont val="Tahoma"/>
            <family val="2"/>
            <charset val="238"/>
          </rPr>
          <t xml:space="preserve">
TZ Jelsa 80.000
TZ Vrboska - 7.000</t>
        </r>
      </text>
    </comment>
    <comment ref="L1171" authorId="1">
      <text>
        <r>
          <rPr>
            <b/>
            <sz val="10"/>
            <rFont val="Tahoma"/>
            <family val="2"/>
            <charset val="238"/>
          </rPr>
          <t>User:</t>
        </r>
        <r>
          <rPr>
            <sz val="10"/>
            <rFont val="Tahoma"/>
            <family val="2"/>
            <charset val="238"/>
          </rPr>
          <t xml:space="preserve">
monografija o Jelsi-50.000
edukativni pr.-27.000</t>
        </r>
      </text>
    </comment>
    <comment ref="M1171" authorId="1">
      <text>
        <r>
          <rPr>
            <b/>
            <sz val="10"/>
            <rFont val="Tahoma"/>
            <family val="2"/>
            <charset val="238"/>
          </rPr>
          <t>User:</t>
        </r>
        <r>
          <rPr>
            <sz val="10"/>
            <rFont val="Tahoma"/>
            <family val="2"/>
            <charset val="238"/>
          </rPr>
          <t xml:space="preserve">
monografija o Jelsi-50.000
edukativni pr.-27.000</t>
        </r>
      </text>
    </comment>
    <comment ref="N1171" authorId="1">
      <text>
        <r>
          <rPr>
            <b/>
            <sz val="10"/>
            <rFont val="Tahoma"/>
            <family val="2"/>
            <charset val="238"/>
          </rPr>
          <t>User:</t>
        </r>
        <r>
          <rPr>
            <sz val="10"/>
            <rFont val="Tahoma"/>
            <family val="2"/>
            <charset val="238"/>
          </rPr>
          <t xml:space="preserve">
Rib.muzej,privr.-10.000
radionice-10.000</t>
        </r>
      </text>
    </comment>
    <comment ref="O1171" authorId="1">
      <text>
        <r>
          <rPr>
            <b/>
            <sz val="10"/>
            <rFont val="Tahoma"/>
            <family val="2"/>
            <charset val="238"/>
          </rPr>
          <t>User:</t>
        </r>
        <r>
          <rPr>
            <sz val="10"/>
            <rFont val="Tahoma"/>
            <family val="2"/>
            <charset val="238"/>
          </rPr>
          <t xml:space="preserve">
Rib.muzej,privr.-10.000
radionice-10.000</t>
        </r>
      </text>
    </comment>
    <comment ref="P1171" authorId="1">
      <text>
        <r>
          <rPr>
            <b/>
            <sz val="10"/>
            <rFont val="Tahoma"/>
            <family val="2"/>
            <charset val="238"/>
          </rPr>
          <t>User:</t>
        </r>
        <r>
          <rPr>
            <sz val="10"/>
            <rFont val="Tahoma"/>
            <family val="2"/>
            <charset val="238"/>
          </rPr>
          <t xml:space="preserve">
Rib.muzej,privr.-10.000
radionice-10.000</t>
        </r>
      </text>
    </comment>
    <comment ref="L1223" authorId="1">
      <text>
        <r>
          <rPr>
            <b/>
            <sz val="10"/>
            <rFont val="Tahoma"/>
            <family val="2"/>
            <charset val="238"/>
          </rPr>
          <t>User:</t>
        </r>
        <r>
          <rPr>
            <sz val="10"/>
            <rFont val="Tahoma"/>
            <family val="2"/>
            <charset val="238"/>
          </rPr>
          <t xml:space="preserve">
zgrada-1.578.476
sred.min.-1.500.000
projekt okoliš-18.750</t>
        </r>
      </text>
    </comment>
    <comment ref="M1223" authorId="1">
      <text>
        <r>
          <rPr>
            <b/>
            <sz val="10"/>
            <rFont val="Tahoma"/>
            <family val="2"/>
            <charset val="238"/>
          </rPr>
          <t>User:</t>
        </r>
        <r>
          <rPr>
            <sz val="10"/>
            <rFont val="Tahoma"/>
            <family val="2"/>
            <charset val="238"/>
          </rPr>
          <t xml:space="preserve">
zgrada-1.578.476
sred.min.-1.500.000
projekt okoliš-18.750</t>
        </r>
      </text>
    </comment>
    <comment ref="N1223" authorId="1">
      <text>
        <r>
          <rPr>
            <b/>
            <sz val="10"/>
            <rFont val="Tahoma"/>
            <family val="2"/>
            <charset val="238"/>
          </rPr>
          <t>User:</t>
        </r>
        <r>
          <rPr>
            <sz val="10"/>
            <rFont val="Tahoma"/>
            <family val="2"/>
            <charset val="238"/>
          </rPr>
          <t xml:space="preserve">
okoliš-450.000
projekt okoliš-18.750
Nadzor-18.730
interijer-100.000</t>
        </r>
      </text>
    </comment>
    <comment ref="O1223" authorId="1">
      <text>
        <r>
          <rPr>
            <b/>
            <sz val="10"/>
            <rFont val="Tahoma"/>
            <family val="2"/>
            <charset val="238"/>
          </rPr>
          <t>User:</t>
        </r>
        <r>
          <rPr>
            <sz val="10"/>
            <rFont val="Tahoma"/>
            <family val="2"/>
            <charset val="238"/>
          </rPr>
          <t xml:space="preserve">
okoliš-450.000
projekt okoliš-18.750
Nadzor-18.730
interijer-100.000</t>
        </r>
      </text>
    </comment>
    <comment ref="P1223" authorId="1">
      <text>
        <r>
          <rPr>
            <b/>
            <sz val="10"/>
            <rFont val="Tahoma"/>
            <family val="2"/>
            <charset val="238"/>
          </rPr>
          <t>User:</t>
        </r>
        <r>
          <rPr>
            <sz val="10"/>
            <rFont val="Tahoma"/>
            <family val="2"/>
            <charset val="238"/>
          </rPr>
          <t xml:space="preserve">
okoliš-450.000
projekt okoliš-18.750
Nadzor-18.730
interijer-100.000</t>
        </r>
      </text>
    </comment>
    <comment ref="Q1223" authorId="1">
      <text>
        <r>
          <rPr>
            <b/>
            <sz val="10"/>
            <rFont val="Tahoma"/>
            <family val="2"/>
            <charset val="238"/>
          </rPr>
          <t>User:</t>
        </r>
        <r>
          <rPr>
            <sz val="10"/>
            <rFont val="Tahoma"/>
            <family val="2"/>
            <charset val="238"/>
          </rPr>
          <t xml:space="preserve">
okoliš-450.000
projekt okoliš-18.750
Nadzor-18.730
interijer-100.000</t>
        </r>
      </text>
    </comment>
    <comment ref="R1223" authorId="1">
      <text>
        <r>
          <rPr>
            <b/>
            <sz val="10"/>
            <rFont val="Tahoma"/>
            <family val="2"/>
            <charset val="238"/>
          </rPr>
          <t>User:</t>
        </r>
        <r>
          <rPr>
            <sz val="10"/>
            <rFont val="Tahoma"/>
            <family val="2"/>
            <charset val="238"/>
          </rPr>
          <t xml:space="preserve">
okoliš-450.000
projekt okoliš-18.750
Nadzor-18.730
interijer-100.000</t>
        </r>
      </text>
    </comment>
  </commentList>
</comments>
</file>

<file path=xl/sharedStrings.xml><?xml version="1.0" encoding="utf-8"?>
<sst xmlns="http://schemas.openxmlformats.org/spreadsheetml/2006/main" count="1523" uniqueCount="919">
  <si>
    <t xml:space="preserve">PREGLED IZVRŠENJA PRORAČUNA OPĆINE JELSA ZA 2024.GOD. </t>
  </si>
  <si>
    <t>I. OPĆI DIO</t>
  </si>
  <si>
    <t>A. RAČUN PRIHODA I RASHODA</t>
  </si>
  <si>
    <t>Šifra izvora</t>
  </si>
  <si>
    <t>Izvršeno 2021.</t>
  </si>
  <si>
    <t>Izvršeno  2022.</t>
  </si>
  <si>
    <t>Proračun  2023.</t>
  </si>
  <si>
    <t>Izmjene  2023.</t>
  </si>
  <si>
    <t>Izvršeno 2024.</t>
  </si>
  <si>
    <t>Proračun</t>
  </si>
  <si>
    <t xml:space="preserve">Proračun </t>
  </si>
  <si>
    <t>Proračun 2025</t>
  </si>
  <si>
    <t>Projekcija 2026.</t>
  </si>
  <si>
    <t>Izvršeno</t>
  </si>
  <si>
    <t>Ind. 2/1</t>
  </si>
  <si>
    <t>Ind. 3/2</t>
  </si>
  <si>
    <t>Ind. 3/1</t>
  </si>
  <si>
    <t>Ind. 4/3</t>
  </si>
  <si>
    <t>Ind. 4/1</t>
  </si>
  <si>
    <t>kn</t>
  </si>
  <si>
    <t>€</t>
  </si>
  <si>
    <t>Izvršeno 2023.</t>
  </si>
  <si>
    <t>do 31.10.</t>
  </si>
  <si>
    <t xml:space="preserve">2024. </t>
  </si>
  <si>
    <t>2024.</t>
  </si>
  <si>
    <t>Izvorni plan</t>
  </si>
  <si>
    <t>Tekući plan</t>
  </si>
  <si>
    <t>formula</t>
  </si>
  <si>
    <t>Prihodi poslovanja</t>
  </si>
  <si>
    <t>Prihodi od prodaje nefinancijske imovine</t>
  </si>
  <si>
    <t>Ukupno prihodi</t>
  </si>
  <si>
    <t>Rashodi poslovanja</t>
  </si>
  <si>
    <t>Rashodi za nabavu nefinancijske imovine</t>
  </si>
  <si>
    <t>Ukupno rashodi i izdaci</t>
  </si>
  <si>
    <t xml:space="preserve">Razlika </t>
  </si>
  <si>
    <t>Zajam Drž.pror.-po osn.povrata poreza na doh.-8471</t>
  </si>
  <si>
    <t>Zajam Drž.pro.-po osn.odgođ.pl. poreza na doh.-8471</t>
  </si>
  <si>
    <t>Povrat zajma Drž.pr.-po osn.povrata por.na doh.-5471</t>
  </si>
  <si>
    <t>Povrat zajma Drž.pr.-po osn.odg.pl. por.na doh.-5471</t>
  </si>
  <si>
    <t>Ispravak rezultata posl.-povrat sred.Drž.proračun</t>
  </si>
  <si>
    <t>Manjak/višak prihoda  iz preth. god.</t>
  </si>
  <si>
    <t>Manjak prihoda od nefin.imov. iz pr.god.-Općina Jelsa</t>
  </si>
  <si>
    <t>Višak prihoda iz pr.god.-prorač.korisnici</t>
  </si>
  <si>
    <t>Manjak/višak prihoda za prij u sljedeće razd.</t>
  </si>
  <si>
    <t>Manjak prihoda od nefin.imovine - Općina Jelsa</t>
  </si>
  <si>
    <t>Višak prihoda poslovanja - Dječji vrtić Jelsa</t>
  </si>
  <si>
    <t>Manjak/višak prihoda posl. - Opć.knjižnica i čit.Jelsa</t>
  </si>
  <si>
    <t>Manjak/višak prihoda posl.- Muzej Općine Jelsa</t>
  </si>
  <si>
    <t>PRIHODI</t>
  </si>
  <si>
    <t>3/1</t>
  </si>
  <si>
    <t>4/3</t>
  </si>
  <si>
    <t>5/4</t>
  </si>
  <si>
    <t>1. Opći prihodi i primici</t>
  </si>
  <si>
    <t>3. Vlastiti prihodi</t>
  </si>
  <si>
    <t>5. Pomoći</t>
  </si>
  <si>
    <t>6. Donacije</t>
  </si>
  <si>
    <t>7. Prihodi od prodaje nefin. im.</t>
  </si>
  <si>
    <t>7.1</t>
  </si>
  <si>
    <t>7.2</t>
  </si>
  <si>
    <t>7.3</t>
  </si>
  <si>
    <t>7.4</t>
  </si>
  <si>
    <t>Column1</t>
  </si>
  <si>
    <t>Column2</t>
  </si>
  <si>
    <t>Column3</t>
  </si>
  <si>
    <t>Column4</t>
  </si>
  <si>
    <t>Column5</t>
  </si>
  <si>
    <t>Column6</t>
  </si>
  <si>
    <t>Column7</t>
  </si>
  <si>
    <t>Column8</t>
  </si>
  <si>
    <t>Column9</t>
  </si>
  <si>
    <t>Column10</t>
  </si>
  <si>
    <t>Column11</t>
  </si>
  <si>
    <t>Column12</t>
  </si>
  <si>
    <t>Column13</t>
  </si>
  <si>
    <t>Column14</t>
  </si>
  <si>
    <t>Column15</t>
  </si>
  <si>
    <t>Column16</t>
  </si>
  <si>
    <t>Column17</t>
  </si>
  <si>
    <t>Column18</t>
  </si>
  <si>
    <t>Column19</t>
  </si>
  <si>
    <t>Column20</t>
  </si>
  <si>
    <t>Column21</t>
  </si>
  <si>
    <t>Column23</t>
  </si>
  <si>
    <t>Column232</t>
  </si>
  <si>
    <t>Column24</t>
  </si>
  <si>
    <t>Column25</t>
  </si>
  <si>
    <t>Column26</t>
  </si>
  <si>
    <t>Column27</t>
  </si>
  <si>
    <t>Column28</t>
  </si>
  <si>
    <t>Column29</t>
  </si>
  <si>
    <t>Column30</t>
  </si>
  <si>
    <t>Column31</t>
  </si>
  <si>
    <t>Column32</t>
  </si>
  <si>
    <t>Column33</t>
  </si>
  <si>
    <t>Column34</t>
  </si>
  <si>
    <t>Column35</t>
  </si>
  <si>
    <t>Column36</t>
  </si>
  <si>
    <t>Column37</t>
  </si>
  <si>
    <t>Column38</t>
  </si>
  <si>
    <t>Column39</t>
  </si>
  <si>
    <t>Column40</t>
  </si>
  <si>
    <t>Column41</t>
  </si>
  <si>
    <t>UKUPNO PRIHODI</t>
  </si>
  <si>
    <t>PRIHODI POSLOVANJA</t>
  </si>
  <si>
    <t>PRIHODI OD POREZA</t>
  </si>
  <si>
    <t>Porez i prirez na dohodak</t>
  </si>
  <si>
    <t>61-2</t>
  </si>
  <si>
    <t>Por.i pr.na dohodak od nesamost.rada</t>
  </si>
  <si>
    <t>611-2</t>
  </si>
  <si>
    <t>Por.i pr.na dohodak od samostalnih djelat.</t>
  </si>
  <si>
    <t>611-3</t>
  </si>
  <si>
    <t>Por.i pr.na dohodak od imovine i imov.prava</t>
  </si>
  <si>
    <t>611-4</t>
  </si>
  <si>
    <t>Por.i pr.na dohodak od kapitala</t>
  </si>
  <si>
    <t>611-5</t>
  </si>
  <si>
    <t>Por.i pr.na dohodak-god.prijava</t>
  </si>
  <si>
    <t>Por.i pr.na dohodak - nadzor</t>
  </si>
  <si>
    <t>POREZI NA IMOVINU</t>
  </si>
  <si>
    <t>Stalni porezi na nepokretnu imovinu</t>
  </si>
  <si>
    <t>Porez na kuće za odmor</t>
  </si>
  <si>
    <t>61-3</t>
  </si>
  <si>
    <t>Porez na korištenje javnih površina</t>
  </si>
  <si>
    <t>Povremeni porezi na imovinu</t>
  </si>
  <si>
    <t>61-1</t>
  </si>
  <si>
    <t>Porez na promet nekretnina</t>
  </si>
  <si>
    <t>POREZI NA ROBU I USLUGE</t>
  </si>
  <si>
    <t>Porez na promet</t>
  </si>
  <si>
    <t>61-4</t>
  </si>
  <si>
    <t>Porez na potrošnju</t>
  </si>
  <si>
    <t>Porez na kor.dobara ili izvođenje aktivnosti</t>
  </si>
  <si>
    <t>Porez na tvrtku odnosno naziv</t>
  </si>
  <si>
    <t>POMOĆI</t>
  </si>
  <si>
    <t>POMOĆI IZ PRORAČUNA</t>
  </si>
  <si>
    <t>Tekuće pomoći iz proračuna</t>
  </si>
  <si>
    <t>Tekuće pomoći iz državnog proračuna</t>
  </si>
  <si>
    <t>Tekuće pomoći iz županijskog proračuna</t>
  </si>
  <si>
    <t>Kapitalne pomoći iz proračuna</t>
  </si>
  <si>
    <t>63-1</t>
  </si>
  <si>
    <t>Kapitalne pomoći iz državnog proračuna</t>
  </si>
  <si>
    <t>Kapit.pom. iz drž.prorač.-porez na doh.-otoci</t>
  </si>
  <si>
    <t>63-3</t>
  </si>
  <si>
    <t>Kapitalne pomoći iz županijskog proračuna</t>
  </si>
  <si>
    <t>Kapitalne pomoći iz grad.proračuna</t>
  </si>
  <si>
    <t>Pomoći temeljem prij.EU sredstava</t>
  </si>
  <si>
    <t>Kapit.pom.temeljem prij.EU sredstava</t>
  </si>
  <si>
    <t>POMOĆI OD OST. OST.SUBJ.UNUTAR O. DRŽ.</t>
  </si>
  <si>
    <t>Tek.pomoći od ost.subj.unutar općeg prorač.</t>
  </si>
  <si>
    <t>Tek.pomoći od HZZ-a</t>
  </si>
  <si>
    <t>Kapit.pomoći od ost.subj.unutar općeg pror.</t>
  </si>
  <si>
    <t>Kapitalne pomoći - Fond za zaštitu okoliša</t>
  </si>
  <si>
    <t>Kapitalne pomoći -Lučka uprava SDŽ</t>
  </si>
  <si>
    <t>Kapitalne pomoći-Žup.uprava za ceste</t>
  </si>
  <si>
    <t>PRIHODI OD IMOVINE</t>
  </si>
  <si>
    <t>PRIHODI OD FINANCIJSKE IMOVINE</t>
  </si>
  <si>
    <t>Kamate na oroč.sred. i depozite po viđenju</t>
  </si>
  <si>
    <t>Kamate na depozite po viđenju</t>
  </si>
  <si>
    <t>Prihodi od zateznih kamata</t>
  </si>
  <si>
    <t>Prihodi od pozitivnih teč.razlika</t>
  </si>
  <si>
    <t>Prihodi od dobiti trg.dr.,banaka i ost.fin.inst.</t>
  </si>
  <si>
    <t>Prihodi od dobiti trgovačkih dr.u javnom sektoru</t>
  </si>
  <si>
    <t>PRIHODI OD NEFINANCIJSKE IMOVINE</t>
  </si>
  <si>
    <t>Naknada za koncesije</t>
  </si>
  <si>
    <t>Naknada za koncesiju na pomorskom dobru</t>
  </si>
  <si>
    <t>Naknade za ostale koncesije</t>
  </si>
  <si>
    <t>Prihodi od zakupa i iznajmljivanja imovine</t>
  </si>
  <si>
    <t>Prihodi od zakupa poljoprivred.zemljišta</t>
  </si>
  <si>
    <t>Prihodi od iznajmljivanja stamb.objekata</t>
  </si>
  <si>
    <t>Prihodi od zakupa poslovnih objekata</t>
  </si>
  <si>
    <t>Ostali prihodi od zakupa i iznajmlj.imovine</t>
  </si>
  <si>
    <t>Naknada za korištenje nefinancijske imovine</t>
  </si>
  <si>
    <t>Naknada za ekspl.miner.sirovina</t>
  </si>
  <si>
    <t>Prihodi od spom.rente</t>
  </si>
  <si>
    <t>Ost.nakn.za kor.nef.imovine-EKI</t>
  </si>
  <si>
    <t>Ostali prihodi od nefinancijske imovine</t>
  </si>
  <si>
    <t>Ost.prih.od nefin.imovine-nakn.za legalizaciju</t>
  </si>
  <si>
    <t>PRIHODI OD PRODAJE ROBA I USLUGA</t>
  </si>
  <si>
    <t>ADMINISTRATIVNE (UPRAVNE) PRISTOJBE</t>
  </si>
  <si>
    <t>Državne upravne i sudske pristojbe</t>
  </si>
  <si>
    <t>Državne upravne pristojbe</t>
  </si>
  <si>
    <t>Gradske i opć.upravne pristojbe</t>
  </si>
  <si>
    <t>Ostale pristojbe</t>
  </si>
  <si>
    <t>Prihodi od boravišne pristojbe - TZ O.Jelsa</t>
  </si>
  <si>
    <t>Prihodi od boravišne pristojbe - TZ mj.Vrboska</t>
  </si>
  <si>
    <r>
      <rPr>
        <sz val="8"/>
        <rFont val="Arial"/>
        <family val="2"/>
        <charset val="238"/>
      </rPr>
      <t>Prihodi od bor. Prist. za noćenje na pl. obj</t>
    </r>
    <r>
      <rPr>
        <b/>
        <sz val="8"/>
        <rFont val="Arial"/>
        <family val="2"/>
        <charset val="238"/>
      </rPr>
      <t>.</t>
    </r>
  </si>
  <si>
    <t>PRIHODI PO POSEBNIM PROPISIMA</t>
  </si>
  <si>
    <t>Prihodi vodoprivrede</t>
  </si>
  <si>
    <t>Vodni doprinos</t>
  </si>
  <si>
    <t>Doprinosi za šume</t>
  </si>
  <si>
    <t>Ostali nespomenuti prihodi</t>
  </si>
  <si>
    <t>KOMUNALNI DOPRINOSI I NAKNADE</t>
  </si>
  <si>
    <t>Komunalni doprinos</t>
  </si>
  <si>
    <t>Komunalna naknada</t>
  </si>
  <si>
    <t>OSTALI PRIHODI</t>
  </si>
  <si>
    <t>Prihodi od prodaje proizvoda i usluga</t>
  </si>
  <si>
    <t>DONACIJE OD PRAVNIH I FIZIČKIH OSOBA</t>
  </si>
  <si>
    <t>Tekuće donacije</t>
  </si>
  <si>
    <t>Kapitalne donacije</t>
  </si>
  <si>
    <t>KAZNE, UPRAVNE MJERE I OSTALI PRIHODI</t>
  </si>
  <si>
    <t>KAZNE I UPRAVNE MJERE</t>
  </si>
  <si>
    <t>Ostale kazne</t>
  </si>
  <si>
    <t>Ostali prihodi</t>
  </si>
  <si>
    <t>PRIHODI OD PRODAJE NEFINANC.IMOVINE</t>
  </si>
  <si>
    <t>PR.OD PRODAJE NEPROIZV.IMOVINE</t>
  </si>
  <si>
    <t>PR.OD PRODAJE MATERIJALNE IMOVINE</t>
  </si>
  <si>
    <t>Zemljište</t>
  </si>
  <si>
    <t>Prihodi od prodaje građevinskog zemljišta</t>
  </si>
  <si>
    <t>Prihodi od zamjene nekretnina-Jelkom</t>
  </si>
  <si>
    <t>Prihodi od prodaje ostalih zemljišta</t>
  </si>
  <si>
    <t>PR.OD PRODAJE PROIZVEDENE IMOVINE</t>
  </si>
  <si>
    <t>PR.OD PRODAJE GRAĐEVINSKIH OBJEKATA</t>
  </si>
  <si>
    <t>Stambeni objekti</t>
  </si>
  <si>
    <t>Pr.od prod.stanova za koje postoji stanarsko p.</t>
  </si>
  <si>
    <t>Pr.od prod.ostalih stambenih objekata</t>
  </si>
  <si>
    <t>Poslovni objekti</t>
  </si>
  <si>
    <t>Prihodi od prod.ost.građevinskih objekata</t>
  </si>
  <si>
    <t>Ostali građevinski objekti</t>
  </si>
  <si>
    <t>Ostali nesp.građevinski objekti</t>
  </si>
  <si>
    <t>RASHODI</t>
  </si>
  <si>
    <t>UKUPNO</t>
  </si>
  <si>
    <t>UKUPNO RASHODI</t>
  </si>
  <si>
    <t>RASHODI POSLOVANJA</t>
  </si>
  <si>
    <t>RASHODI ZA ZAPOSLENE</t>
  </si>
  <si>
    <t>Plaće</t>
  </si>
  <si>
    <t>Plaće za redovan rad</t>
  </si>
  <si>
    <t>Plaće za prekovremeni rad</t>
  </si>
  <si>
    <t>Ostali rashodi za zaposlene</t>
  </si>
  <si>
    <t>Doprinosi na plaće</t>
  </si>
  <si>
    <t>Doprinosi za zdravstveno osiguranje</t>
  </si>
  <si>
    <t>Doprinosi za zapošljavanje</t>
  </si>
  <si>
    <t>MATERIJALNI RASHODI</t>
  </si>
  <si>
    <t>Naknade troškova zaposlenima</t>
  </si>
  <si>
    <t>Službena putovanja</t>
  </si>
  <si>
    <t>Nakn.za prijevoz, rad na terenu i odvojeni život</t>
  </si>
  <si>
    <t>Stručno usavršavanje zaposlenika</t>
  </si>
  <si>
    <t>Ostale naknade troškova zaposlenima</t>
  </si>
  <si>
    <t>Rashodi za materijal i energiju</t>
  </si>
  <si>
    <t>Uredski materijal i ostali materijalni rashodi</t>
  </si>
  <si>
    <t>Materijal i sirovine</t>
  </si>
  <si>
    <t>Energija</t>
  </si>
  <si>
    <t>Mat.i dijelovi za tek.i investicijsko održavanje</t>
  </si>
  <si>
    <t>Sitan inventar i auto gume</t>
  </si>
  <si>
    <t>Služb.,radna i zašt.odjeća i obuć</t>
  </si>
  <si>
    <t>Rashodi za usluge</t>
  </si>
  <si>
    <t>Usluge telefona, pošte i prijevoza</t>
  </si>
  <si>
    <t>Usluge tekućeg i investicijskog održavanja</t>
  </si>
  <si>
    <t>Usluge promidžbe i informiranja</t>
  </si>
  <si>
    <t>Komunalne usluge</t>
  </si>
  <si>
    <t>Zakupnine i najamnine</t>
  </si>
  <si>
    <t>Zdravstvene i veterinarske usluge</t>
  </si>
  <si>
    <t>Intelektualne i osobne usluge</t>
  </si>
  <si>
    <t>Računalne usluge</t>
  </si>
  <si>
    <t>Ostale usluge</t>
  </si>
  <si>
    <t>Nakn.troškova osobama izvan rad.odnosa</t>
  </si>
  <si>
    <t>Ostali nespomenuti rashodi poslovanja</t>
  </si>
  <si>
    <t>Nak.za rad predstavničkih i izvr.tijela, povj.i sl.</t>
  </si>
  <si>
    <t>Premije osiguranja</t>
  </si>
  <si>
    <t>Reprezentacija</t>
  </si>
  <si>
    <t>Članarine</t>
  </si>
  <si>
    <t>Pristojbe i naknade</t>
  </si>
  <si>
    <t>Troškovi sudskih postupaka</t>
  </si>
  <si>
    <t>FINANCIJSKI RASHODI</t>
  </si>
  <si>
    <t>Kamate za primljene kredite i zajmove</t>
  </si>
  <si>
    <t>Kam.za primlj.kred.od kred.i fin.instit.izvan j.s.</t>
  </si>
  <si>
    <t>Ostali financijski rashodi</t>
  </si>
  <si>
    <t>Bankarske usluge i usluge platnog prometa</t>
  </si>
  <si>
    <t>Negativne tečajne razlike</t>
  </si>
  <si>
    <t>Zatezne kamate iz poslovnih odnosa</t>
  </si>
  <si>
    <t>Ostali nespomenuti financijski rashodi</t>
  </si>
  <si>
    <t>SUBVENCIJE</t>
  </si>
  <si>
    <t>Subv.trg.dr.,poljopr. i obrt.izvan jav.sekt.</t>
  </si>
  <si>
    <t>Subv.poljoprivrednicima i obrtnicima</t>
  </si>
  <si>
    <t>POMOĆI DANE U INOZ.I UNUTAR O.PRORAČ.</t>
  </si>
  <si>
    <t>Pomoći unutar općeg proračuna</t>
  </si>
  <si>
    <t>Tekuće pomoći unutar općeg proračuna</t>
  </si>
  <si>
    <t>Pomoći prorač.korisnicima dr.proračuna</t>
  </si>
  <si>
    <t>Tek. pomoći prorač.korisnicima dr.proračuna</t>
  </si>
  <si>
    <t>Kapit.pomoći prorač.korisnicima dr.proračuna</t>
  </si>
  <si>
    <t>NAKNADE GRAĐANIMA I KUĆANSTVIMA</t>
  </si>
  <si>
    <t>Ost.naknade građanima i kuć.iz proračuna</t>
  </si>
  <si>
    <t>Naknade građanima i kućanstvima u novcu</t>
  </si>
  <si>
    <t>Naknade građanima i kućanstvima u naravi</t>
  </si>
  <si>
    <t>OSTALI RASHODI</t>
  </si>
  <si>
    <t>Tekuće donacije u novcu</t>
  </si>
  <si>
    <t>Tekuće donacije u naravi</t>
  </si>
  <si>
    <t>Kapitalne donacije neprofitnim organizacijama</t>
  </si>
  <si>
    <t>Kapitalne donacije građanima i kućanstvima</t>
  </si>
  <si>
    <t>Kazne, penali i naknade štete</t>
  </si>
  <si>
    <t>Naknade štete pravnim i fizičkim osobama</t>
  </si>
  <si>
    <t>Izvanredni rashodi</t>
  </si>
  <si>
    <t>Nepredviđeni rash.do visine prorač.pričuve</t>
  </si>
  <si>
    <t>Kapitalne pomoći</t>
  </si>
  <si>
    <t>Kapit.pom.kred.i ost.fin.in.te trg.dr.u javnom sek.</t>
  </si>
  <si>
    <t>RASHODI ZA NABAVU NEFINANC. IMOVINE</t>
  </si>
  <si>
    <t>RASH.ZA NAB.NEPROIZV.DUGOTRAJ.IM.</t>
  </si>
  <si>
    <t>Materijalna imovina-prirodna bogatstva</t>
  </si>
  <si>
    <t>RASH.ZA NAB.PROIZV.DUGOTRAJ.IMOVINE</t>
  </si>
  <si>
    <t>Građevinski objekti</t>
  </si>
  <si>
    <t>Ceste, želj. i ostali prometni objekti</t>
  </si>
  <si>
    <t>Postrojenja i oprema</t>
  </si>
  <si>
    <t>Uredska oprema i namještaj</t>
  </si>
  <si>
    <t>Komunikacijska oprema</t>
  </si>
  <si>
    <t>Oprema za održ.i zaštitu</t>
  </si>
  <si>
    <t>Medicinska i laboratorijska oprema</t>
  </si>
  <si>
    <t>Uređaji, strojevi i oprema za ost.namjene</t>
  </si>
  <si>
    <t>Knjige, umjetnička djela i ost.izložb.vrijednosti</t>
  </si>
  <si>
    <t>Knjige</t>
  </si>
  <si>
    <t>Nematerijalna proizv. Imovina</t>
  </si>
  <si>
    <t>Ulaganja u računalne programe</t>
  </si>
  <si>
    <t>Umjetnička, literarna i znanstvena djela</t>
  </si>
  <si>
    <t>RASHODI ZA DOD. ULAGANJA NA NEFIN.IMOV.</t>
  </si>
  <si>
    <t>Dodatna ulag.na građevinskim objektima</t>
  </si>
  <si>
    <t>II. POSEBNI DIO</t>
  </si>
  <si>
    <t>RAZDJEL 001</t>
  </si>
  <si>
    <t>JEDINSTVENA UPRAVA,</t>
  </si>
  <si>
    <t>PREDSTAVNIČKA I IZVRŠNA TIJELA</t>
  </si>
  <si>
    <t xml:space="preserve">GLAVA </t>
  </si>
  <si>
    <t>OPĆINSKO VIJEĆE, NAČELNIK</t>
  </si>
  <si>
    <t>00101</t>
  </si>
  <si>
    <t xml:space="preserve">I JEDINSTVENI UPRAVNI ODJEL            30419 </t>
  </si>
  <si>
    <t>G.PROGRAM A01</t>
  </si>
  <si>
    <t>Program 1001 - Izvršna uprava i administracija</t>
  </si>
  <si>
    <t>A100001</t>
  </si>
  <si>
    <t>Aktivnost: Rad općinske uprave i administracije</t>
  </si>
  <si>
    <t>PLAĆE</t>
  </si>
  <si>
    <t>001-1</t>
  </si>
  <si>
    <t>001-2</t>
  </si>
  <si>
    <t>Plaće za javne radove</t>
  </si>
  <si>
    <t>OSTALI RASHODI ZA ZAPOSLENE</t>
  </si>
  <si>
    <t>004-1</t>
  </si>
  <si>
    <t>Ost.rash.za zaposl.-javni radovi</t>
  </si>
  <si>
    <t>DOPRINOSI NA PLAĆE</t>
  </si>
  <si>
    <t>Doprinosi za zdravstveno osig.</t>
  </si>
  <si>
    <t>006-1</t>
  </si>
  <si>
    <t>Dopr.za zdr.o.-javni radovi</t>
  </si>
  <si>
    <t>007-1</t>
  </si>
  <si>
    <t>Dopr.za zapošlj.-javni radovi</t>
  </si>
  <si>
    <t>NAKNADE TROŠKOVA ZAPOSL.</t>
  </si>
  <si>
    <t>Naknade za prijevoz</t>
  </si>
  <si>
    <t>008-1</t>
  </si>
  <si>
    <t>Korištenje priv.autom.u sl.svrhe</t>
  </si>
  <si>
    <t>RASHODI ZA MATERIJAL I ENER.</t>
  </si>
  <si>
    <t>Uredski mat.i ostali mat.rashodi</t>
  </si>
  <si>
    <t>Mat. i dij.za tek.i invest.održ.</t>
  </si>
  <si>
    <t>Sitan inventar</t>
  </si>
  <si>
    <t>014-1</t>
  </si>
  <si>
    <t>Služb.,radna i zaštitna odjeća i obuća</t>
  </si>
  <si>
    <t>RASHODI ZA USLUGE</t>
  </si>
  <si>
    <t>Usluge tek.i investicij.održavanja</t>
  </si>
  <si>
    <t>021-1</t>
  </si>
  <si>
    <t>Zdravstvene i vet.usluge</t>
  </si>
  <si>
    <t>NAKN.TR.OSOBAMA IZVAN RAD.ODNOSA</t>
  </si>
  <si>
    <t>021-2</t>
  </si>
  <si>
    <t>Nakn.troškova osobama izvan radnog odnosa</t>
  </si>
  <si>
    <t>OSTALI NESP.RASHODI POSL.</t>
  </si>
  <si>
    <t>Reprezentacija-načelnik</t>
  </si>
  <si>
    <t>Reprezentacija-predsj.OV</t>
  </si>
  <si>
    <t>A100002</t>
  </si>
  <si>
    <t>Aktivnost: Opće usluge i pričuva</t>
  </si>
  <si>
    <t>125-1</t>
  </si>
  <si>
    <t>Zakupnine zemljišta</t>
  </si>
  <si>
    <t>125-2</t>
  </si>
  <si>
    <t>Najamnine poslovnih prostora</t>
  </si>
  <si>
    <t>125-3</t>
  </si>
  <si>
    <t>Intelektualne usluge-izrada projekata</t>
  </si>
  <si>
    <t>125-4</t>
  </si>
  <si>
    <t>Intel.usl.-elaborat katastra vodova EKI</t>
  </si>
  <si>
    <t>125-5</t>
  </si>
  <si>
    <t>Ostale opće usluge</t>
  </si>
  <si>
    <t>OSTALI NESPOM.RASH.POSL.</t>
  </si>
  <si>
    <t>Nakn.za rad pred.i izvrš.tijela, povjeren.i sl.</t>
  </si>
  <si>
    <t>122-1</t>
  </si>
  <si>
    <t>140-7</t>
  </si>
  <si>
    <t>Članarina LAG Škoji</t>
  </si>
  <si>
    <t>025</t>
  </si>
  <si>
    <t>025-1</t>
  </si>
  <si>
    <t>Tr.sudskih postupaka</t>
  </si>
  <si>
    <t>Rashodi za izbore</t>
  </si>
  <si>
    <t>Rashodi za ''Dan općine''</t>
  </si>
  <si>
    <t>126-8</t>
  </si>
  <si>
    <t>Rashodi za javna priznanja</t>
  </si>
  <si>
    <t>129-6</t>
  </si>
  <si>
    <t>Rashodi za darove OŠ Jelsa</t>
  </si>
  <si>
    <t>124-1</t>
  </si>
  <si>
    <t>Rashodi za prijateljske općine</t>
  </si>
  <si>
    <t>124-2</t>
  </si>
  <si>
    <t>Rashodi za skulpture</t>
  </si>
  <si>
    <t>026-1</t>
  </si>
  <si>
    <t>Rashodi za radionice</t>
  </si>
  <si>
    <t>026-2</t>
  </si>
  <si>
    <t>Rashodi za el.priključke</t>
  </si>
  <si>
    <t>026-4</t>
  </si>
  <si>
    <t>Rashodi za zaštitu životinja</t>
  </si>
  <si>
    <t>026-5</t>
  </si>
  <si>
    <t>Elektrifikacija uvala Gdinj i Zastražišće</t>
  </si>
  <si>
    <t>026-6</t>
  </si>
  <si>
    <t>Rashodi za legalizaciju infrastrukture</t>
  </si>
  <si>
    <t>Ostali nesp.rashodi poslovanja</t>
  </si>
  <si>
    <t>TEKUĆE DONACIJE</t>
  </si>
  <si>
    <t>128-5</t>
  </si>
  <si>
    <t>Tekuće donacije građanima</t>
  </si>
  <si>
    <t>KAZNE, PENALI I NAKNADE ŠTETE</t>
  </si>
  <si>
    <t>127-8</t>
  </si>
  <si>
    <t>Naknade šteta pravnim i fizičkim osobama</t>
  </si>
  <si>
    <t>IZVANREDNI RASHODI</t>
  </si>
  <si>
    <t>Nepredviđeni rash.-pror.zaliha</t>
  </si>
  <si>
    <t>K100003</t>
  </si>
  <si>
    <t>K.projekt: Opremanje i informatizacija</t>
  </si>
  <si>
    <t>RASHODI ZA NAB.NEF.IMOVINE</t>
  </si>
  <si>
    <t>PROIZV.DUGOTRAJNA IMOVINA</t>
  </si>
  <si>
    <t>POSTROJENJA I OPREMA</t>
  </si>
  <si>
    <t>030-1</t>
  </si>
  <si>
    <t>Medicinska oprema</t>
  </si>
  <si>
    <t>029-1</t>
  </si>
  <si>
    <t>Oprema za ostale namjene</t>
  </si>
  <si>
    <t>NEMATERIJALNA PR.IMOVINA</t>
  </si>
  <si>
    <t>Ulaganja u računarske programe</t>
  </si>
  <si>
    <t>K100004</t>
  </si>
  <si>
    <t>K.projekt: Kupnja zemljišta</t>
  </si>
  <si>
    <t>NEPROIZV.DUGOTRAJNA IMOVINA</t>
  </si>
  <si>
    <t>MATERIJALNA IMOVINA-PRIRODNA BOGAT.</t>
  </si>
  <si>
    <t>031-1</t>
  </si>
  <si>
    <t>Program 1002 - Izvršavanje financijskih obveza</t>
  </si>
  <si>
    <t>Aktivnost: Financijski poslovi</t>
  </si>
  <si>
    <t>KAMATE ZA PRIMLJENE KREDITE I ZAJMOVE</t>
  </si>
  <si>
    <t>128-9</t>
  </si>
  <si>
    <t>OSTALI FINANCIJSKI RASHODI</t>
  </si>
  <si>
    <t>Bankarske usluge i usl.pl.prometa</t>
  </si>
  <si>
    <t>128-1</t>
  </si>
  <si>
    <t>Zatezne kamate iz posl.odnosa</t>
  </si>
  <si>
    <t>127-7</t>
  </si>
  <si>
    <t>Rashodi za usl.porezne uprave</t>
  </si>
  <si>
    <t>128-3</t>
  </si>
  <si>
    <t>Naknada za zemljište</t>
  </si>
  <si>
    <t>128-2</t>
  </si>
  <si>
    <t>Ost.nespom.financ.rashodi</t>
  </si>
  <si>
    <t>Program 1003 - Javni red i sigurnost</t>
  </si>
  <si>
    <t>Aktivnost: Potpora održav. reda i sigurnosti</t>
  </si>
  <si>
    <t>OSTALE USLUGE</t>
  </si>
  <si>
    <t>Rashodi za regulaciju prometa</t>
  </si>
  <si>
    <t>Aktivnost: Protupožarna i civilna zaštita</t>
  </si>
  <si>
    <t>OSTALI RASHODI POSLOVANJA</t>
  </si>
  <si>
    <t>127-4</t>
  </si>
  <si>
    <t>Rash.za izr.planova i dr.struč.poslove</t>
  </si>
  <si>
    <t>128-4</t>
  </si>
  <si>
    <t>Rashodi za civilnu zaštitu</t>
  </si>
  <si>
    <t>Donacije DVD-ima - % prorač.prihoda</t>
  </si>
  <si>
    <t>158-1</t>
  </si>
  <si>
    <t>Donacije DVD-u Jelsa</t>
  </si>
  <si>
    <t>158-4</t>
  </si>
  <si>
    <t>Donacije DVD-u Jelsa-za vatr.vozilo,oprema</t>
  </si>
  <si>
    <t>158-3</t>
  </si>
  <si>
    <t>Donacije Hrv.gorskoj sl.spašavanja Split</t>
  </si>
  <si>
    <t>K.projekt: Izgradnja objekata protupož.zaštite</t>
  </si>
  <si>
    <t>RASHODI ZA NAB.NEFIN.IMOVINE</t>
  </si>
  <si>
    <t>RASH.ZA NAB.PR.DUGOTR.IMOV.</t>
  </si>
  <si>
    <t>GRAĐEVINSKI OBJEKTI</t>
  </si>
  <si>
    <t>Izgradnja objekata protupož.zaštite</t>
  </si>
  <si>
    <t>Program 1004 - Poticaj razvoju poduzetništva</t>
  </si>
  <si>
    <t>Aktivnost: Poticaji poljoprivred.,obrt. i malim poduzet.</t>
  </si>
  <si>
    <t>SUBV.TRG.DR.,POLJOPR.I OBRTN.IZVAN J.SEKT.</t>
  </si>
  <si>
    <t>SDŽ-Fond za razvoj poljoprivrede</t>
  </si>
  <si>
    <t>175-5</t>
  </si>
  <si>
    <t>Sufinanciranje manifest.''Noćnjak''</t>
  </si>
  <si>
    <t>175-4</t>
  </si>
  <si>
    <t>Ostale subvencije poljopr.,obrt.i malim poduz.</t>
  </si>
  <si>
    <t>Program 1005 - Održ.i izgr.cesta, luka i jav.pov.</t>
  </si>
  <si>
    <t>Aktivnost: Održavanje cesta i javnih površina</t>
  </si>
  <si>
    <t>RASHODI ZA MAT.I ENERGIJU</t>
  </si>
  <si>
    <t>078-0</t>
  </si>
  <si>
    <t>Mat.i dij.za održavanje</t>
  </si>
  <si>
    <t>Mat.i dij.za održ.-Jelsa</t>
  </si>
  <si>
    <t>Mat.i dij.za održ.-Vrboska</t>
  </si>
  <si>
    <t>Mat.i dij.za održ.-Zavala</t>
  </si>
  <si>
    <t>Mat.i dij.za održ.-I.Dolac</t>
  </si>
  <si>
    <t>Mat.i dij.za održ.-Svirče</t>
  </si>
  <si>
    <t>Mat.i dij.za održ.-Pitve</t>
  </si>
  <si>
    <t>Mat.i dij.za održ.-Vrisnik</t>
  </si>
  <si>
    <t>Mat.i dij.za održ.-Poljica</t>
  </si>
  <si>
    <t>Mat.i dij.za održ.-Zastražišće</t>
  </si>
  <si>
    <t>Mat.i dij.za održ.-Gdinj</t>
  </si>
  <si>
    <t>Usl.tek.i inv.održ.cesta</t>
  </si>
  <si>
    <t>098-0</t>
  </si>
  <si>
    <t>Usl.tek.i inv.održ.-Jelsa,Vrboska,Zavala, I.Dol.</t>
  </si>
  <si>
    <t>102-0</t>
  </si>
  <si>
    <t>Ost.usl.tekućeg i investicijskog održavanja</t>
  </si>
  <si>
    <t>102-2</t>
  </si>
  <si>
    <t>Usl.rekonstr.kanala oborinske odvodnje</t>
  </si>
  <si>
    <t>102-1</t>
  </si>
  <si>
    <t>Geodetske usluge</t>
  </si>
  <si>
    <t>Aktivnost: Održavanje pomorskog dobra</t>
  </si>
  <si>
    <t>098-4</t>
  </si>
  <si>
    <t>Usl.tek.i inv.održavanja plaža i luka</t>
  </si>
  <si>
    <t>096-1</t>
  </si>
  <si>
    <t xml:space="preserve">Geodetsko-katastarske usl. </t>
  </si>
  <si>
    <t>K.projekt: Izgradnja cesta i jav.površina</t>
  </si>
  <si>
    <t>KAPITALNE POMOĆI</t>
  </si>
  <si>
    <t>172-1</t>
  </si>
  <si>
    <t>'Jelkom''-za ceste</t>
  </si>
  <si>
    <t>172-4</t>
  </si>
  <si>
    <t>'Jelkom'' - izgr.trga i spom.križonoši Jelsa</t>
  </si>
  <si>
    <t>172-0</t>
  </si>
  <si>
    <t>Izgradnja javnih površina</t>
  </si>
  <si>
    <t>172-9</t>
  </si>
  <si>
    <t>Izgradnja mosta u Vrboskoj</t>
  </si>
  <si>
    <t>RASHODI ZA NAB.PROIZV.DUGOTR.IMOVINE</t>
  </si>
  <si>
    <t>186-2</t>
  </si>
  <si>
    <t>Izgradnja cesta-otkup zemljišta,projekti</t>
  </si>
  <si>
    <t>186-5</t>
  </si>
  <si>
    <t>186-3</t>
  </si>
  <si>
    <t>Izgradnja trga i spom.križonoši Jelsa</t>
  </si>
  <si>
    <t>186-4</t>
  </si>
  <si>
    <t>Izgradnja javnih površina-otkup zem.,projekti</t>
  </si>
  <si>
    <t>186-6</t>
  </si>
  <si>
    <t>Izgradnja šetnice u Jelsi Kanun-Iga</t>
  </si>
  <si>
    <t>K.projekt: Izgradnja luka,sidrišta</t>
  </si>
  <si>
    <t>172-3</t>
  </si>
  <si>
    <t>Izgradnja luka,  sidrišta</t>
  </si>
  <si>
    <t>Izgradnja luka-projektna dok.</t>
  </si>
  <si>
    <t>Program 1006 - Promicanje i razvoj turizma</t>
  </si>
  <si>
    <t>Aktivnost: Promicanje turizma</t>
  </si>
  <si>
    <t>120-5</t>
  </si>
  <si>
    <t>Ostali izdaci za promicanje turizma</t>
  </si>
  <si>
    <t>K100002</t>
  </si>
  <si>
    <t>K. Projekt: Program ''Etno-eko''</t>
  </si>
  <si>
    <t>KAPITALNE DONACIJE</t>
  </si>
  <si>
    <t>120-8</t>
  </si>
  <si>
    <t>Udruga ''Humac''-za obnovu sela ''Humac''</t>
  </si>
  <si>
    <t xml:space="preserve">Program 1007 - Zaštita okoliša </t>
  </si>
  <si>
    <t>Aktivnost: Čišćenje, deratizacija i dezinsekcija</t>
  </si>
  <si>
    <t>Deratizacija i dezinsekcija</t>
  </si>
  <si>
    <t>112-1</t>
  </si>
  <si>
    <t>Čišć.javnih površina-Jelsa i Vrboska</t>
  </si>
  <si>
    <t>113-1</t>
  </si>
  <si>
    <t>Ostale komunalne usluge</t>
  </si>
  <si>
    <t>113-5</t>
  </si>
  <si>
    <t>Čišćenje plaža</t>
  </si>
  <si>
    <t>113-3</t>
  </si>
  <si>
    <t>Veterinarske usluge</t>
  </si>
  <si>
    <t>113-4</t>
  </si>
  <si>
    <t>Izrada plana gospodarenja otpadom</t>
  </si>
  <si>
    <t>K.projekt: Izgr.objekata i kupnja opreme za zaštitu okoliša</t>
  </si>
  <si>
    <t>'Jelkom''-za opremu</t>
  </si>
  <si>
    <t>169-1</t>
  </si>
  <si>
    <t>'Jelkom''-za reciklažno dvorište</t>
  </si>
  <si>
    <t>179-2</t>
  </si>
  <si>
    <t>Jelkom''-za san.deponija</t>
  </si>
  <si>
    <t>171-1</t>
  </si>
  <si>
    <t>Za kanalizacijski sustav-oborinska odvodnja</t>
  </si>
  <si>
    <t>RASHODI ZA NAB. PR.DUG.IMOVINE</t>
  </si>
  <si>
    <t>179-8</t>
  </si>
  <si>
    <t>Deponij Prapatna</t>
  </si>
  <si>
    <t>179-9</t>
  </si>
  <si>
    <t>Reciklažno dvorište</t>
  </si>
  <si>
    <t>179-7</t>
  </si>
  <si>
    <t>Ostala oprema</t>
  </si>
  <si>
    <t>K.projekt: Zaštita bioraznolikosti i krajolika</t>
  </si>
  <si>
    <t>NEMATERIJALNA PROIZVEDENA IMOVINA</t>
  </si>
  <si>
    <t>179-0</t>
  </si>
  <si>
    <t>Staza bioraznolikosti Jelsa</t>
  </si>
  <si>
    <t>Program 1008 - Unapređ.stanovanja i zajednice</t>
  </si>
  <si>
    <t>Aktivnost: Izrada planova</t>
  </si>
  <si>
    <t>116-2</t>
  </si>
  <si>
    <t>Geodetsko-katastarske usluge</t>
  </si>
  <si>
    <t>RASHODI ZA PR.DUG.IMOVINU</t>
  </si>
  <si>
    <t>NEMAT.PROIZVEDENA IMOVINA</t>
  </si>
  <si>
    <t>Prostorni planovi i studije</t>
  </si>
  <si>
    <t>K.projekt: Opskrba vodom - razvoj mreže</t>
  </si>
  <si>
    <t>'Hv.vodovod''-sufinanc.</t>
  </si>
  <si>
    <t>A100003</t>
  </si>
  <si>
    <t>Aktivnost: Održavanje javne rasvjete</t>
  </si>
  <si>
    <t>RASHODI ZA MAT. I ENERGIJU</t>
  </si>
  <si>
    <t>Usluge tek.i inv.održ.jav.rasvjete</t>
  </si>
  <si>
    <t>K.projekt: Postavljanje javne rasvjete</t>
  </si>
  <si>
    <t>'Jelkom''-za javnu rasvjetu</t>
  </si>
  <si>
    <t>K100010</t>
  </si>
  <si>
    <t>K.projekt: Potic.korištenja obnovlj.izvora energije u kućan.</t>
  </si>
  <si>
    <t>199-1</t>
  </si>
  <si>
    <t>Kapit.donacije građ.i kućan.</t>
  </si>
  <si>
    <t>K100011</t>
  </si>
  <si>
    <t>K.projekt: Izgradnja objekata i postroj.obn.izvora energije</t>
  </si>
  <si>
    <t>RASHODI ZA NAB.NEFINANC.IMOVINE</t>
  </si>
  <si>
    <t>RASHODI ZA NAB.PROIZVED.DUGOTR.IM.</t>
  </si>
  <si>
    <t>199-2</t>
  </si>
  <si>
    <t>Sunčana elektrana ''Sportska dv.Pelinje''</t>
  </si>
  <si>
    <t>A100005</t>
  </si>
  <si>
    <t>Aktivnost: Održavanje parkova i zelenih površina</t>
  </si>
  <si>
    <t>097-1</t>
  </si>
  <si>
    <t>Usl.tek.i inv.održ.parkova</t>
  </si>
  <si>
    <t>A100006</t>
  </si>
  <si>
    <t>Aktivnost: Opskrba vodom za javne potrebe</t>
  </si>
  <si>
    <t>Opskrba vodom</t>
  </si>
  <si>
    <t>A100007</t>
  </si>
  <si>
    <t xml:space="preserve">Aktivnost: Održavanje zgrada </t>
  </si>
  <si>
    <t>Mat.i dij.za tek.i inv.održ.zgrada</t>
  </si>
  <si>
    <t>Usl.tek.i inv.održ.zgrada</t>
  </si>
  <si>
    <t>Zgrada društv.doma Gdinj</t>
  </si>
  <si>
    <t>Zgrada Pitve</t>
  </si>
  <si>
    <t>Vrboska-javni WC i tuševi</t>
  </si>
  <si>
    <t>Ostale općinske zgrade</t>
  </si>
  <si>
    <t>K100015</t>
  </si>
  <si>
    <t>K.projekt: Otkup zgrade HZJZ u Jelsi</t>
  </si>
  <si>
    <t>RASH.ZA NAB.NEFIN.IMOVINE</t>
  </si>
  <si>
    <t>RASH.ZA NAB.PR.DUG.IMOVINE</t>
  </si>
  <si>
    <t>090-32</t>
  </si>
  <si>
    <t>Otkup zgrade HZJZ u Jelsi</t>
  </si>
  <si>
    <t>K100009</t>
  </si>
  <si>
    <t>K.projekt: Uređenje groblja</t>
  </si>
  <si>
    <t>090-8</t>
  </si>
  <si>
    <t>Izgradnja groblja</t>
  </si>
  <si>
    <t>090-9</t>
  </si>
  <si>
    <t>Izgradnja groblja-zemljište,projekti</t>
  </si>
  <si>
    <t>K100012</t>
  </si>
  <si>
    <t>K.projekt: Obnova zgrade ''Društveni dom''</t>
  </si>
  <si>
    <t>091-1</t>
  </si>
  <si>
    <t>Obnova zgrade ''ex.Mašinoprojekt''</t>
  </si>
  <si>
    <t>091-3</t>
  </si>
  <si>
    <t>Obnova zgrade ''ex.stara ambulanta''</t>
  </si>
  <si>
    <t>K100013</t>
  </si>
  <si>
    <t>K.projekt: Adriatic ribarski muzej</t>
  </si>
  <si>
    <t>091-2</t>
  </si>
  <si>
    <t>Adriatic ribarski muzej</t>
  </si>
  <si>
    <t>Program 1009 - Unapređenje zdravstva</t>
  </si>
  <si>
    <t>Aktivnost: Izdaci za zdravstvenu djelatnost</t>
  </si>
  <si>
    <t>OST.NESPOM.RASHODI POSLOVANJA</t>
  </si>
  <si>
    <t>135-4</t>
  </si>
  <si>
    <t>Ostali izdaci za zdravstvenu djelatnost</t>
  </si>
  <si>
    <t>Aktivnost: Donacije za zdravstvenu djelatnost</t>
  </si>
  <si>
    <t>Suf.Doma zdravlja SDŽ</t>
  </si>
  <si>
    <t>135-5</t>
  </si>
  <si>
    <t>Suf.nabavke zdr.opreme</t>
  </si>
  <si>
    <t>Klub žena ''Vita pharos'' Jelsa</t>
  </si>
  <si>
    <t>139-1</t>
  </si>
  <si>
    <t>Ostale donacije za zdravstvenu djelatnost</t>
  </si>
  <si>
    <t>139-2</t>
  </si>
  <si>
    <t>Udruga dijalizir.i transplatir.bol.SDŽ</t>
  </si>
  <si>
    <t>Program 1010 - Poticaj unapređ. i razvoju sporta</t>
  </si>
  <si>
    <t>Aktivnost: Održavanje sportskih objekata</t>
  </si>
  <si>
    <t>098-3</t>
  </si>
  <si>
    <t>Usl.tek.i inv.održavanja igrališta i dvorane</t>
  </si>
  <si>
    <t>Aktivnost: Tekuće donacije sportskim udrugama</t>
  </si>
  <si>
    <t>Tekuće donacije sportskim društ.</t>
  </si>
  <si>
    <t>Šahovski klub Jelsa</t>
  </si>
  <si>
    <t>Veslački klub Jelsa</t>
  </si>
  <si>
    <t>Rukometni klub Jelsa</t>
  </si>
  <si>
    <t>NK Jelsa - redovna djelatnost</t>
  </si>
  <si>
    <t>NK Vrisnik</t>
  </si>
  <si>
    <t>NK ''Sošk'' Svirče</t>
  </si>
  <si>
    <t>NK ''Vatra'' Poljica</t>
  </si>
  <si>
    <t>146-0</t>
  </si>
  <si>
    <t>Ostale sportske aktivnosti</t>
  </si>
  <si>
    <t>K.projekt: Izgradnja sportskih objekata</t>
  </si>
  <si>
    <t>Izgr.sportskih objekata</t>
  </si>
  <si>
    <t>Jelsa-Pelinje</t>
  </si>
  <si>
    <t>Igralište Vrisnik</t>
  </si>
  <si>
    <t>Program 1011 -Donac.i program.djelat.u kulturi</t>
  </si>
  <si>
    <t>Aktivnost: Muzejska djelatnost</t>
  </si>
  <si>
    <t>Najamnina za Ribarski muzej Vrb.</t>
  </si>
  <si>
    <t>Aktivnost: Ostale kulturne aktivnosti</t>
  </si>
  <si>
    <t>OSTALI NESP.RASHODI POSLOVANJA</t>
  </si>
  <si>
    <t>126-6</t>
  </si>
  <si>
    <t>Sufin.za izd.knjiga</t>
  </si>
  <si>
    <t>127-3</t>
  </si>
  <si>
    <t>Rashodi za kulturno-zab.manifestacije TZ</t>
  </si>
  <si>
    <t>127-0</t>
  </si>
  <si>
    <t>Rash.za kult.-zab.manifest.</t>
  </si>
  <si>
    <t>114-3</t>
  </si>
  <si>
    <t>Ostale kulturne aktivnosti</t>
  </si>
  <si>
    <t>POMOĆI UNUTAR OPĆEG PRORAČUNA</t>
  </si>
  <si>
    <t>POMOĆI PRORAČ.KORISNICIMA DR.PRORAČ.</t>
  </si>
  <si>
    <t>114-4</t>
  </si>
  <si>
    <t>Grad Stari Grad-sufinanc. ''Agencije Polje''</t>
  </si>
  <si>
    <t>114-5</t>
  </si>
  <si>
    <t>Grad Stari Grad-integr.proj.starogr.polja</t>
  </si>
  <si>
    <t>Aktivnost: Održavanje spomenika kulture</t>
  </si>
  <si>
    <t>Usl.održ.crkve tvrđave Vrboska</t>
  </si>
  <si>
    <t>109-2</t>
  </si>
  <si>
    <t>Usl.održ.kulturnih dobara</t>
  </si>
  <si>
    <t>109-1</t>
  </si>
  <si>
    <t>Muzej križonoše Jelsa</t>
  </si>
  <si>
    <t>A100004</t>
  </si>
  <si>
    <t>Aktivnost: Donacije ustanovama i udrug. u kulturi</t>
  </si>
  <si>
    <t>Matica Hrvatska o.Jelsa</t>
  </si>
  <si>
    <t>DPKB Vrboska</t>
  </si>
  <si>
    <t>162-1</t>
  </si>
  <si>
    <t xml:space="preserve">Udruga ''Humac'' </t>
  </si>
  <si>
    <t>Udruga Trim-Vrboska</t>
  </si>
  <si>
    <t>162-3</t>
  </si>
  <si>
    <t>Ostale donacije za kulturu</t>
  </si>
  <si>
    <t>162-4</t>
  </si>
  <si>
    <t>KUD Jelsa</t>
  </si>
  <si>
    <t>162-5</t>
  </si>
  <si>
    <t>Udruga Lantina Vrboska</t>
  </si>
  <si>
    <t>162-6</t>
  </si>
  <si>
    <t>Dalmatinska klapa Kaštilac Vrboska</t>
  </si>
  <si>
    <t>162-7</t>
  </si>
  <si>
    <t>Pjevačko društvo Jelšonski kantaduri</t>
  </si>
  <si>
    <t>162-9</t>
  </si>
  <si>
    <t>Udruga ''Karnevol Jelsa'' -Jelsa</t>
  </si>
  <si>
    <t>162-0</t>
  </si>
  <si>
    <t>Klapa Veli Kamik Svirče</t>
  </si>
  <si>
    <t>161-2</t>
  </si>
  <si>
    <t>Udruga Održivi otok, Jelsa</t>
  </si>
  <si>
    <t>160-0</t>
  </si>
  <si>
    <t>ostale</t>
  </si>
  <si>
    <t>Program 1012 -Religijske i druge službe zajednice</t>
  </si>
  <si>
    <t>Aktivnost: Potpore vjerskim zajednicama</t>
  </si>
  <si>
    <t>Tekuće donacije vjerskim zaj.</t>
  </si>
  <si>
    <t>Aktivnost: Potpore političkim strankama</t>
  </si>
  <si>
    <t>141-1</t>
  </si>
  <si>
    <t>Političkim str.za zastup.u vijeću</t>
  </si>
  <si>
    <t>Aktivnost: Potpore ostalim udrugama i org.</t>
  </si>
  <si>
    <t>UHBDDR - Jelsa</t>
  </si>
  <si>
    <t>140-3</t>
  </si>
  <si>
    <t>Udruga maslinara</t>
  </si>
  <si>
    <t>140-5</t>
  </si>
  <si>
    <t>Udruga Hvarski vinari</t>
  </si>
  <si>
    <t>140-0</t>
  </si>
  <si>
    <t>Udruga Prijatelji otoka Šćedro</t>
  </si>
  <si>
    <t>142-1</t>
  </si>
  <si>
    <t>Udruga obrtnika otoka Hvara</t>
  </si>
  <si>
    <t>142-2</t>
  </si>
  <si>
    <t>Udruga veterana Mj.odred ''Zvir''-otok Hvar</t>
  </si>
  <si>
    <t>142-3</t>
  </si>
  <si>
    <t>Ekološka udruga za održivi razvoj Jelsa</t>
  </si>
  <si>
    <t>142-0</t>
  </si>
  <si>
    <t>Ostale potpore udrugama i org.</t>
  </si>
  <si>
    <t>Program 1013 - Unapređenje školstava</t>
  </si>
  <si>
    <t>Aktivnost: Donacije školama</t>
  </si>
  <si>
    <t>POMOĆI DANE U INOZ.I UNUT. O.PRORAČ.</t>
  </si>
  <si>
    <t>POMOĆI PRORAČ.KORISN.DR.PRORAČUNA</t>
  </si>
  <si>
    <t>Tek.pomoći prorač.korisnicima dr.proračuna</t>
  </si>
  <si>
    <t>Osnovna škola Jelsa</t>
  </si>
  <si>
    <t>Srednja škola o.Jelsa</t>
  </si>
  <si>
    <t>164-3</t>
  </si>
  <si>
    <t>Ostale pomoći</t>
  </si>
  <si>
    <t>K.projekt: Sufin.gradnje i opremanja škola</t>
  </si>
  <si>
    <t>164-2</t>
  </si>
  <si>
    <t>Kapitalne pomoći školi</t>
  </si>
  <si>
    <t>Program 1014 - Socijalna skrb i socijalne pomoći</t>
  </si>
  <si>
    <t>Aktivnost: Pomoći građanima i kućanstvima</t>
  </si>
  <si>
    <t>NAKNADE GRAĐANIMA I KUĆ.</t>
  </si>
  <si>
    <t>NAKN.GRAĐ.I KUĆ.IZ PRORAČ.</t>
  </si>
  <si>
    <t>Naknade građ.i kuć.u novcu</t>
  </si>
  <si>
    <t>Pomoć obiteljima i kućanstvima</t>
  </si>
  <si>
    <t>Pomoć invalidima i hendik.osob.</t>
  </si>
  <si>
    <t>Stipendije učenicima i studentima</t>
  </si>
  <si>
    <t>132-1</t>
  </si>
  <si>
    <t>Suf.radnih bilj. za OŠ</t>
  </si>
  <si>
    <t>Naknade građ.i kuć.u naravi</t>
  </si>
  <si>
    <t>Stanovanje</t>
  </si>
  <si>
    <t>134-1</t>
  </si>
  <si>
    <t>Pomoć umirovljenicima</t>
  </si>
  <si>
    <t>Aktivnost: Donacije org.i udrugama socijalne skrbi</t>
  </si>
  <si>
    <t>Crveni križ Hvar</t>
  </si>
  <si>
    <t>165-1</t>
  </si>
  <si>
    <t>Udruga slijepih SDŽ</t>
  </si>
  <si>
    <t>165-2</t>
  </si>
  <si>
    <t>Udruga gluhih SDŽ</t>
  </si>
  <si>
    <t>165-3</t>
  </si>
  <si>
    <t>HVIDR-a o.Hvar-Stari Grad</t>
  </si>
  <si>
    <t>165-4</t>
  </si>
  <si>
    <t>U.osoba s invalid.o.Hvara</t>
  </si>
  <si>
    <t>165-8</t>
  </si>
  <si>
    <t>Udruga ''Perle'' - Stari Grad</t>
  </si>
  <si>
    <t>135-0</t>
  </si>
  <si>
    <t>Ostale donacije za socijalnu skrb</t>
  </si>
  <si>
    <t>165-9</t>
  </si>
  <si>
    <t>K.projekt: Izgradnja doma za starije i nemoćne</t>
  </si>
  <si>
    <t>RASH.ZA NAB.NEF.IMOVINE</t>
  </si>
  <si>
    <t>189-2</t>
  </si>
  <si>
    <t>Izgr.doma za starije i nemoćne</t>
  </si>
  <si>
    <t>189-3</t>
  </si>
  <si>
    <t>Izgr.dnevnog boravka za starije i nemoćne</t>
  </si>
  <si>
    <t>Program 1016 - Unapređenje predškolskog odgoja</t>
  </si>
  <si>
    <t>K100001</t>
  </si>
  <si>
    <t>K.projekt: Izgradnja dječjeg vrtića Jelsa</t>
  </si>
  <si>
    <t>RASHODI ZA NAB.PROIZV.DUGOTR.IMOV.</t>
  </si>
  <si>
    <t>200</t>
  </si>
  <si>
    <t>Izgradnja dječjeg vrtića u Jelsi</t>
  </si>
  <si>
    <t>200-1</t>
  </si>
  <si>
    <t>Izgradnja dječjeg vrtića u Vrboskoj</t>
  </si>
  <si>
    <t>DJEČJI VRTIĆ JELSA</t>
  </si>
  <si>
    <t>00102</t>
  </si>
  <si>
    <t>G.PROGRAM B01</t>
  </si>
  <si>
    <t>Program 1001 - Predškolski odgoj</t>
  </si>
  <si>
    <t>Aktivnost: Odgojno i administrat.tehničko osoblje</t>
  </si>
  <si>
    <t>Doprinos za zdravstveno osig.</t>
  </si>
  <si>
    <t>Doprinos za zapošljavanje os.s inval.</t>
  </si>
  <si>
    <t>NAKNADE TROŠK.ZAPOSLENIMA</t>
  </si>
  <si>
    <t>037-1</t>
  </si>
  <si>
    <t>Aktivnost: Ost.materijalni i fin.rashodi</t>
  </si>
  <si>
    <t>RASHODI ZA MATERIJAL I ENERGIJU</t>
  </si>
  <si>
    <t>Uredski mat.i ost.materijalni rashodi</t>
  </si>
  <si>
    <t>Mat. i djelovi za tek. i inv. održavanje</t>
  </si>
  <si>
    <t>038-2</t>
  </si>
  <si>
    <t>Mat.za djecu s posebnim potrebama</t>
  </si>
  <si>
    <t>038-1</t>
  </si>
  <si>
    <t>Usl.telefona, pošte i prijevoza</t>
  </si>
  <si>
    <t>Usl.tek.i invest.održavanja</t>
  </si>
  <si>
    <t>Usl.tek.i invest.održavanja-za jaslice</t>
  </si>
  <si>
    <t>Usl.promidžbe i informiranja</t>
  </si>
  <si>
    <t>039-1</t>
  </si>
  <si>
    <t>Zdravstvene usluge</t>
  </si>
  <si>
    <t>Naknade tr.osobama izvan rad.odnosa</t>
  </si>
  <si>
    <t>OST. NESPOMENUTI RASHODI POSLOVANJA</t>
  </si>
  <si>
    <t>Ost.nespomenuti rashodi poslovanja</t>
  </si>
  <si>
    <t>Bankarske usluge i usl.platnog prometa</t>
  </si>
  <si>
    <t>Aktivnost: Darovi djeci</t>
  </si>
  <si>
    <t>Tekuće donacije za dječje darove</t>
  </si>
  <si>
    <t>K.projekt: Nabavka opreme</t>
  </si>
  <si>
    <t>043-1</t>
  </si>
  <si>
    <t>GLAVA</t>
  </si>
  <si>
    <t>OPĆINSKA KNJIŽNICA I ČITAONICA JELSA</t>
  </si>
  <si>
    <t>00103</t>
  </si>
  <si>
    <t>30427</t>
  </si>
  <si>
    <t>G.PROGRAM C01</t>
  </si>
  <si>
    <t>Program 1001 - Knjižnička djelatnost</t>
  </si>
  <si>
    <t>Aktivnost: Izvršna tijela i administracija</t>
  </si>
  <si>
    <t>Doprinos za zapošljavanje</t>
  </si>
  <si>
    <t>NAKNADA TROŠKOVA ZAPOSL.</t>
  </si>
  <si>
    <t>Uredski mat. i ost.mat.izdaci</t>
  </si>
  <si>
    <t>053-1</t>
  </si>
  <si>
    <t>Mat.i dijelovi za tek.i invest.održavanje</t>
  </si>
  <si>
    <t>054-1</t>
  </si>
  <si>
    <t>Usluge telefona, pošte</t>
  </si>
  <si>
    <t>Usl.tekućeg održavanja opreme</t>
  </si>
  <si>
    <t>058-1</t>
  </si>
  <si>
    <t>062-1</t>
  </si>
  <si>
    <t>Ostale nespomenute usluge</t>
  </si>
  <si>
    <t>OSTALI NESPOMENUTI RASH. POSLOVANJA</t>
  </si>
  <si>
    <t>064-2</t>
  </si>
  <si>
    <t>Knjižnični programi</t>
  </si>
  <si>
    <t>Usluge platnog prometa</t>
  </si>
  <si>
    <t>K.projekt: Nabava i izgradnja objekata i opreme</t>
  </si>
  <si>
    <t>RASH.ZA NAB.PROIZV.DUG.IM.</t>
  </si>
  <si>
    <t>067</t>
  </si>
  <si>
    <t>Oprema za održavanje i zaštitu</t>
  </si>
  <si>
    <t>Uređaji, strojevi i oprema za ostale namjene</t>
  </si>
  <si>
    <t>KNJIGE, UMJ.DJ.I OST.VRIJ.</t>
  </si>
  <si>
    <t>069</t>
  </si>
  <si>
    <t>Knjige u knjižnicama</t>
  </si>
  <si>
    <t>RASH.ZA DOD.ULAG.NA NEF.IMOVINI</t>
  </si>
  <si>
    <t>DOD.ULAGANJA NA GRAĐ.OBJEKTIMA</t>
  </si>
  <si>
    <t>066</t>
  </si>
  <si>
    <t>Izgradnja knjižnice</t>
  </si>
  <si>
    <t>Knjižnica</t>
  </si>
  <si>
    <t>MUZEJ OPĆINE JELSA</t>
  </si>
  <si>
    <t>00104</t>
  </si>
  <si>
    <t>47220</t>
  </si>
  <si>
    <t>G.PROGRAM D01</t>
  </si>
  <si>
    <t>Program 1001 - Muzejska djelatnost</t>
  </si>
  <si>
    <t>214-1</t>
  </si>
  <si>
    <t>214-3</t>
  </si>
  <si>
    <t>214-2</t>
  </si>
  <si>
    <t>Mat. za tekuće održavanje</t>
  </si>
  <si>
    <t>219-1</t>
  </si>
  <si>
    <t>229-1</t>
  </si>
  <si>
    <t xml:space="preserve">Premije osiguranja </t>
  </si>
  <si>
    <t>229-2</t>
  </si>
  <si>
    <t>Aktivnost: Održavanje objekata</t>
  </si>
  <si>
    <t>Održavanje objekata</t>
  </si>
  <si>
    <t>Sanacija kuće Dobrović</t>
  </si>
  <si>
    <t>Grad,Galešnik</t>
  </si>
  <si>
    <t>Gradina</t>
  </si>
  <si>
    <t>Aktivnost: Održavanje pokretnih kulturnih dobara</t>
  </si>
  <si>
    <t>Zbirka Juraj Dobrović</t>
  </si>
  <si>
    <t>Zbirka Marina Franičevića u Vrisniku</t>
  </si>
  <si>
    <t>251-1</t>
  </si>
  <si>
    <t>Zaštita i restauracija muzejske građe</t>
  </si>
  <si>
    <t>Aktivnost: Izložbe</t>
  </si>
  <si>
    <t>252-1</t>
  </si>
  <si>
    <t>252-2</t>
  </si>
  <si>
    <t>Ost.nespomen.rashodi</t>
  </si>
  <si>
    <t>K100005</t>
  </si>
  <si>
    <t>K.projekt: Nabava opreme</t>
  </si>
  <si>
    <t>235-1</t>
  </si>
  <si>
    <t>Nab. tradicijskog broda</t>
  </si>
  <si>
    <t>NEMAT.PROIZV.IMOVINA</t>
  </si>
  <si>
    <t>Ulaganja u račun.programe</t>
  </si>
  <si>
    <t>K100006</t>
  </si>
  <si>
    <t>K.projekt: Sanacija vinogradarske zbirke Pitve</t>
  </si>
  <si>
    <t>RASH.ZA DOD.ULAG.NA NEFIN.IMOVINI</t>
  </si>
  <si>
    <t>DODATNA ULAG.NA GRAĐEV.OBJEKTIMA</t>
  </si>
  <si>
    <t>Sanacija vinogradarske zbirke Pitve</t>
  </si>
  <si>
    <t>Ribarski muzej- interijer</t>
  </si>
  <si>
    <t>Kuća Dobrović- interijer</t>
  </si>
  <si>
    <t>Funkcijska klasifikacija</t>
  </si>
  <si>
    <t>MUZEJ</t>
  </si>
  <si>
    <t>01-Opće javne usluge</t>
  </si>
  <si>
    <t>02-Obrana</t>
  </si>
  <si>
    <t>03-Javni red i sigurnost</t>
  </si>
  <si>
    <t>04-Ekonomski poslovi</t>
  </si>
  <si>
    <t>05-Zaštita okoliša</t>
  </si>
  <si>
    <t>06-Usluge unapr.stanovanja i zajednice</t>
  </si>
  <si>
    <t>REPUBLIKA HRVATSKA</t>
  </si>
  <si>
    <t>07-Zdravstvo</t>
  </si>
  <si>
    <t>SPLITSKO-DALMATINSKA ŽUPANIJA</t>
  </si>
  <si>
    <t>08-Rekreacija, kultura i religija</t>
  </si>
  <si>
    <t>09-Obrazovanje</t>
  </si>
  <si>
    <t>10-Socijalna zaštita</t>
  </si>
  <si>
    <t xml:space="preserve">                                                                           </t>
  </si>
  <si>
    <t xml:space="preserve">       </t>
  </si>
  <si>
    <t>OPĆINA JELSA</t>
  </si>
  <si>
    <t>Općinsko vijeće</t>
  </si>
  <si>
    <t xml:space="preserve">    PREDSJEDNIK</t>
  </si>
  <si>
    <t>OPĆINSKOG VIJEĆA</t>
  </si>
  <si>
    <t>Jure Gurdulić dipl.oec.</t>
  </si>
  <si>
    <t>PREDSJEDNIK</t>
  </si>
  <si>
    <t>Jure Gurdulić, dipl.oec.</t>
  </si>
  <si>
    <t>4.1 Prihodi za posebne namjene-ostalo</t>
  </si>
  <si>
    <t>4.2 Prihodi za posebne namjene-kon.pom.dob.</t>
  </si>
  <si>
    <t>4.3 Prihodi za posebne namjene-vodni dopr.</t>
  </si>
  <si>
    <t>4.4 Prihodi za posebne namjene-bor.prist. TZ Jelsa</t>
  </si>
  <si>
    <t>4.5 Prihodi za posebne namjene-bor.prist. TZ Vrboska</t>
  </si>
  <si>
    <t>4.6 Prihodi za posebne namjene-bor.prist. plovni objekt</t>
  </si>
  <si>
    <t xml:space="preserve">                                              PO IZVORIMA</t>
  </si>
  <si>
    <t>KLASA:400-06/25-01/1</t>
  </si>
  <si>
    <t>URBROJ:2181-26-25-4</t>
  </si>
  <si>
    <t>Jelsa, 28. srpnja 2025. g.</t>
  </si>
</sst>
</file>

<file path=xl/styles.xml><?xml version="1.0" encoding="utf-8"?>
<styleSheet xmlns="http://schemas.openxmlformats.org/spreadsheetml/2006/main">
  <numFmts count="2">
    <numFmt numFmtId="164" formatCode="[&lt;=999]0000;s\t\a\nd\a\rd"/>
    <numFmt numFmtId="165" formatCode="#,##0\ _k_n"/>
  </numFmts>
  <fonts count="36"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8"/>
      <name val="Arial Narrow"/>
      <family val="2"/>
      <charset val="238"/>
    </font>
    <font>
      <sz val="8"/>
      <name val="Arial Narrow"/>
      <family val="2"/>
      <charset val="238"/>
    </font>
    <font>
      <b/>
      <sz val="8"/>
      <name val="Arial Narrow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sz val="8"/>
      <name val="Arial Narrow"/>
      <family val="2"/>
      <charset val="238"/>
    </font>
    <font>
      <sz val="8"/>
      <name val="Arial"/>
      <family val="2"/>
      <charset val="238"/>
    </font>
    <font>
      <sz val="6"/>
      <name val="Arial"/>
      <family val="2"/>
      <charset val="238"/>
    </font>
    <font>
      <sz val="6"/>
      <name val="Arial Narrow"/>
      <family val="2"/>
      <charset val="238"/>
    </font>
    <font>
      <b/>
      <sz val="10"/>
      <name val="Arial"/>
      <family val="2"/>
      <charset val="238"/>
    </font>
    <font>
      <b/>
      <sz val="10"/>
      <name val="Arial Narrow"/>
      <family val="2"/>
      <charset val="238"/>
    </font>
    <font>
      <b/>
      <sz val="8"/>
      <name val="Arial"/>
      <family val="2"/>
      <charset val="238"/>
    </font>
    <font>
      <b/>
      <sz val="6"/>
      <name val="Arial"/>
      <family val="2"/>
      <charset val="238"/>
    </font>
    <font>
      <b/>
      <sz val="6"/>
      <name val="Arial Narrow"/>
      <family val="2"/>
      <charset val="238"/>
    </font>
    <font>
      <b/>
      <sz val="6"/>
      <name val="Arial Narrow"/>
      <family val="2"/>
      <charset val="238"/>
    </font>
    <font>
      <sz val="10"/>
      <name val="Arial"/>
      <family val="2"/>
      <charset val="238"/>
    </font>
    <font>
      <sz val="7"/>
      <name val="Arial"/>
      <family val="2"/>
      <charset val="238"/>
    </font>
    <font>
      <b/>
      <sz val="8"/>
      <name val="Arial"/>
      <family val="2"/>
      <charset val="238"/>
    </font>
    <font>
      <sz val="11"/>
      <name val="Palatino Linotype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0"/>
      <name val="Arial Narrow"/>
      <family val="2"/>
      <charset val="238"/>
    </font>
    <font>
      <b/>
      <sz val="10"/>
      <name val="Tahoma"/>
      <family val="2"/>
      <charset val="238"/>
    </font>
    <font>
      <sz val="10"/>
      <name val="Tahoma"/>
      <family val="2"/>
      <charset val="238"/>
    </font>
    <font>
      <b/>
      <sz val="9"/>
      <name val="Tahoma"/>
      <family val="2"/>
      <charset val="238"/>
    </font>
    <font>
      <sz val="9"/>
      <name val="Tahoma"/>
      <family val="2"/>
      <charset val="238"/>
    </font>
    <font>
      <b/>
      <sz val="9"/>
      <name val="Times New Roman"/>
      <family val="1"/>
      <charset val="238"/>
    </font>
    <font>
      <sz val="9"/>
      <name val="Times New Roman"/>
      <family val="1"/>
      <charset val="238"/>
    </font>
    <font>
      <b/>
      <sz val="8"/>
      <color indexed="8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sz val="10"/>
      <name val="Times New Roman"/>
      <family val="1"/>
      <charset val="238"/>
    </font>
    <font>
      <sz val="8"/>
      <name val="Times New Roman"/>
      <family val="1"/>
      <charset val="238"/>
    </font>
    <font>
      <b/>
      <sz val="7"/>
      <name val="Arial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3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7" fillId="0" borderId="0"/>
  </cellStyleXfs>
  <cellXfs count="633">
    <xf numFmtId="0" fontId="0" fillId="0" borderId="0" xfId="0"/>
    <xf numFmtId="2" fontId="0" fillId="0" borderId="0" xfId="0" applyNumberFormat="1"/>
    <xf numFmtId="49" fontId="2" fillId="0" borderId="1" xfId="0" applyNumberFormat="1" applyFont="1" applyBorder="1" applyAlignment="1">
      <alignment horizontal="left"/>
    </xf>
    <xf numFmtId="0" fontId="5" fillId="0" borderId="1" xfId="0" applyFont="1" applyBorder="1"/>
    <xf numFmtId="0" fontId="4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2" borderId="1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2" fillId="0" borderId="1" xfId="0" applyFont="1" applyBorder="1"/>
    <xf numFmtId="0" fontId="4" fillId="4" borderId="1" xfId="0" applyFont="1" applyFill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4" fillId="0" borderId="1" xfId="0" applyFont="1" applyBorder="1"/>
    <xf numFmtId="0" fontId="2" fillId="0" borderId="3" xfId="0" applyFont="1" applyBorder="1" applyAlignment="1">
      <alignment horizontal="left"/>
    </xf>
    <xf numFmtId="49" fontId="2" fillId="0" borderId="2" xfId="0" applyNumberFormat="1" applyFont="1" applyBorder="1" applyAlignment="1">
      <alignment horizontal="left"/>
    </xf>
    <xf numFmtId="49" fontId="7" fillId="5" borderId="4" xfId="0" applyNumberFormat="1" applyFont="1" applyFill="1" applyBorder="1"/>
    <xf numFmtId="0" fontId="6" fillId="0" borderId="1" xfId="0" applyFont="1" applyBorder="1"/>
    <xf numFmtId="0" fontId="6" fillId="3" borderId="1" xfId="0" applyFont="1" applyFill="1" applyBorder="1"/>
    <xf numFmtId="49" fontId="4" fillId="5" borderId="4" xfId="0" applyNumberFormat="1" applyFont="1" applyFill="1" applyBorder="1"/>
    <xf numFmtId="49" fontId="2" fillId="0" borderId="1" xfId="0" applyNumberFormat="1" applyFont="1" applyBorder="1"/>
    <xf numFmtId="49" fontId="4" fillId="2" borderId="1" xfId="0" applyNumberFormat="1" applyFont="1" applyFill="1" applyBorder="1"/>
    <xf numFmtId="1" fontId="2" fillId="0" borderId="1" xfId="0" applyNumberFormat="1" applyFont="1" applyBorder="1" applyAlignment="1">
      <alignment horizontal="left"/>
    </xf>
    <xf numFmtId="1" fontId="5" fillId="0" borderId="1" xfId="0" applyNumberFormat="1" applyFont="1" applyBorder="1" applyAlignment="1">
      <alignment horizontal="left"/>
    </xf>
    <xf numFmtId="0" fontId="1" fillId="0" borderId="0" xfId="0" applyFont="1"/>
    <xf numFmtId="3" fontId="0" fillId="0" borderId="0" xfId="0" applyNumberFormat="1" applyAlignment="1">
      <alignment horizontal="right"/>
    </xf>
    <xf numFmtId="1" fontId="6" fillId="0" borderId="0" xfId="0" applyNumberFormat="1" applyFont="1"/>
    <xf numFmtId="0" fontId="6" fillId="0" borderId="0" xfId="0" applyFont="1"/>
    <xf numFmtId="0" fontId="2" fillId="0" borderId="0" xfId="0" applyFont="1"/>
    <xf numFmtId="0" fontId="8" fillId="0" borderId="0" xfId="0" applyFont="1"/>
    <xf numFmtId="0" fontId="12" fillId="0" borderId="0" xfId="0" applyFont="1"/>
    <xf numFmtId="1" fontId="5" fillId="0" borderId="0" xfId="0" applyNumberFormat="1" applyFont="1"/>
    <xf numFmtId="0" fontId="5" fillId="0" borderId="0" xfId="0" applyFont="1"/>
    <xf numFmtId="1" fontId="5" fillId="0" borderId="5" xfId="0" applyNumberFormat="1" applyFont="1" applyBorder="1"/>
    <xf numFmtId="1" fontId="5" fillId="0" borderId="6" xfId="0" applyNumberFormat="1" applyFont="1" applyBorder="1"/>
    <xf numFmtId="0" fontId="5" fillId="0" borderId="5" xfId="0" applyFont="1" applyBorder="1"/>
    <xf numFmtId="1" fontId="5" fillId="0" borderId="4" xfId="0" applyNumberFormat="1" applyFont="1" applyBorder="1"/>
    <xf numFmtId="1" fontId="5" fillId="0" borderId="7" xfId="0" applyNumberFormat="1" applyFont="1" applyBorder="1"/>
    <xf numFmtId="0" fontId="5" fillId="0" borderId="8" xfId="0" applyFont="1" applyBorder="1"/>
    <xf numFmtId="1" fontId="5" fillId="0" borderId="1" xfId="0" applyNumberFormat="1" applyFont="1" applyBorder="1"/>
    <xf numFmtId="0" fontId="5" fillId="0" borderId="9" xfId="0" applyFont="1" applyBorder="1"/>
    <xf numFmtId="1" fontId="5" fillId="0" borderId="10" xfId="0" applyNumberFormat="1" applyFont="1" applyBorder="1"/>
    <xf numFmtId="0" fontId="5" fillId="0" borderId="10" xfId="0" applyFont="1" applyBorder="1"/>
    <xf numFmtId="1" fontId="5" fillId="0" borderId="8" xfId="0" applyNumberFormat="1" applyFont="1" applyBorder="1"/>
    <xf numFmtId="1" fontId="5" fillId="0" borderId="11" xfId="0" applyNumberFormat="1" applyFont="1" applyBorder="1"/>
    <xf numFmtId="1" fontId="5" fillId="6" borderId="11" xfId="0" applyNumberFormat="1" applyFont="1" applyFill="1" applyBorder="1" applyAlignment="1">
      <alignment horizontal="left"/>
    </xf>
    <xf numFmtId="1" fontId="5" fillId="6" borderId="1" xfId="0" applyNumberFormat="1" applyFont="1" applyFill="1" applyBorder="1" applyAlignment="1">
      <alignment horizontal="left"/>
    </xf>
    <xf numFmtId="0" fontId="5" fillId="6" borderId="5" xfId="0" applyFont="1" applyFill="1" applyBorder="1" applyAlignment="1">
      <alignment horizontal="left"/>
    </xf>
    <xf numFmtId="0" fontId="5" fillId="6" borderId="9" xfId="0" applyFont="1" applyFill="1" applyBorder="1" applyAlignment="1">
      <alignment horizontal="left"/>
    </xf>
    <xf numFmtId="1" fontId="6" fillId="0" borderId="11" xfId="0" applyNumberFormat="1" applyFont="1" applyBorder="1" applyAlignment="1">
      <alignment horizontal="left"/>
    </xf>
    <xf numFmtId="1" fontId="6" fillId="0" borderId="1" xfId="0" applyNumberFormat="1" applyFont="1" applyBorder="1" applyAlignment="1">
      <alignment horizontal="left"/>
    </xf>
    <xf numFmtId="0" fontId="6" fillId="0" borderId="9" xfId="0" applyFont="1" applyBorder="1" applyAlignment="1">
      <alignment horizontal="left"/>
    </xf>
    <xf numFmtId="1" fontId="5" fillId="4" borderId="11" xfId="0" applyNumberFormat="1" applyFont="1" applyFill="1" applyBorder="1" applyAlignment="1">
      <alignment horizontal="left"/>
    </xf>
    <xf numFmtId="1" fontId="5" fillId="4" borderId="1" xfId="0" applyNumberFormat="1" applyFont="1" applyFill="1" applyBorder="1" applyAlignment="1">
      <alignment horizontal="left"/>
    </xf>
    <xf numFmtId="0" fontId="4" fillId="4" borderId="9" xfId="0" applyFont="1" applyFill="1" applyBorder="1" applyAlignment="1">
      <alignment horizontal="left"/>
    </xf>
    <xf numFmtId="1" fontId="5" fillId="7" borderId="11" xfId="0" applyNumberFormat="1" applyFont="1" applyFill="1" applyBorder="1" applyAlignment="1">
      <alignment horizontal="left"/>
    </xf>
    <xf numFmtId="1" fontId="5" fillId="7" borderId="1" xfId="0" applyNumberFormat="1" applyFont="1" applyFill="1" applyBorder="1" applyAlignment="1">
      <alignment horizontal="left"/>
    </xf>
    <xf numFmtId="0" fontId="4" fillId="7" borderId="9" xfId="0" applyFont="1" applyFill="1" applyBorder="1" applyAlignment="1">
      <alignment horizontal="left"/>
    </xf>
    <xf numFmtId="1" fontId="6" fillId="3" borderId="11" xfId="0" applyNumberFormat="1" applyFont="1" applyFill="1" applyBorder="1" applyAlignment="1">
      <alignment horizontal="left"/>
    </xf>
    <xf numFmtId="1" fontId="6" fillId="3" borderId="1" xfId="0" applyNumberFormat="1" applyFont="1" applyFill="1" applyBorder="1" applyAlignment="1">
      <alignment horizontal="left"/>
    </xf>
    <xf numFmtId="0" fontId="2" fillId="3" borderId="9" xfId="0" applyFont="1" applyFill="1" applyBorder="1" applyAlignment="1">
      <alignment horizontal="left"/>
    </xf>
    <xf numFmtId="0" fontId="2" fillId="0" borderId="9" xfId="0" applyFont="1" applyBorder="1" applyAlignment="1">
      <alignment horizontal="left"/>
    </xf>
    <xf numFmtId="3" fontId="6" fillId="0" borderId="11" xfId="0" applyNumberFormat="1" applyFont="1" applyBorder="1" applyAlignment="1">
      <alignment horizontal="right"/>
    </xf>
    <xf numFmtId="3" fontId="6" fillId="0" borderId="1" xfId="0" applyNumberFormat="1" applyFont="1" applyBorder="1" applyAlignment="1">
      <alignment horizontal="right"/>
    </xf>
    <xf numFmtId="3" fontId="3" fillId="0" borderId="5" xfId="0" applyNumberFormat="1" applyFont="1" applyBorder="1" applyAlignment="1">
      <alignment horizontal="left"/>
    </xf>
    <xf numFmtId="1" fontId="5" fillId="0" borderId="11" xfId="0" applyNumberFormat="1" applyFont="1" applyBorder="1" applyAlignment="1">
      <alignment horizontal="center"/>
    </xf>
    <xf numFmtId="1" fontId="5" fillId="0" borderId="1" xfId="0" applyNumberFormat="1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13" fillId="0" borderId="0" xfId="0" applyFont="1"/>
    <xf numFmtId="0" fontId="4" fillId="0" borderId="0" xfId="0" applyFont="1"/>
    <xf numFmtId="0" fontId="4" fillId="0" borderId="6" xfId="0" applyFont="1" applyBorder="1"/>
    <xf numFmtId="0" fontId="5" fillId="0" borderId="6" xfId="0" applyFont="1" applyBorder="1"/>
    <xf numFmtId="0" fontId="5" fillId="0" borderId="12" xfId="0" applyFont="1" applyBorder="1"/>
    <xf numFmtId="0" fontId="13" fillId="8" borderId="10" xfId="0" applyFont="1" applyFill="1" applyBorder="1" applyAlignment="1">
      <alignment horizontal="center" wrapText="1"/>
    </xf>
    <xf numFmtId="0" fontId="13" fillId="2" borderId="10" xfId="0" applyFont="1" applyFill="1" applyBorder="1" applyAlignment="1">
      <alignment horizontal="center" wrapText="1"/>
    </xf>
    <xf numFmtId="0" fontId="13" fillId="9" borderId="10" xfId="0" applyFont="1" applyFill="1" applyBorder="1" applyAlignment="1">
      <alignment horizontal="center" wrapText="1"/>
    </xf>
    <xf numFmtId="0" fontId="5" fillId="0" borderId="13" xfId="0" applyFont="1" applyBorder="1"/>
    <xf numFmtId="0" fontId="13" fillId="8" borderId="2" xfId="0" applyFont="1" applyFill="1" applyBorder="1" applyAlignment="1">
      <alignment horizontal="center" wrapText="1"/>
    </xf>
    <xf numFmtId="0" fontId="13" fillId="2" borderId="2" xfId="0" applyFont="1" applyFill="1" applyBorder="1" applyAlignment="1">
      <alignment horizontal="center" wrapText="1"/>
    </xf>
    <xf numFmtId="0" fontId="13" fillId="9" borderId="2" xfId="0" applyFont="1" applyFill="1" applyBorder="1" applyAlignment="1">
      <alignment horizontal="center" wrapText="1"/>
    </xf>
    <xf numFmtId="0" fontId="5" fillId="0" borderId="13" xfId="0" applyFont="1" applyBorder="1" applyAlignment="1">
      <alignment horizontal="left"/>
    </xf>
    <xf numFmtId="0" fontId="5" fillId="0" borderId="12" xfId="0" applyFont="1" applyBorder="1" applyAlignment="1">
      <alignment horizontal="left"/>
    </xf>
    <xf numFmtId="0" fontId="13" fillId="8" borderId="1" xfId="0" applyFont="1" applyFill="1" applyBorder="1" applyAlignment="1">
      <alignment horizontal="center" wrapText="1"/>
    </xf>
    <xf numFmtId="0" fontId="13" fillId="2" borderId="1" xfId="0" applyFont="1" applyFill="1" applyBorder="1" applyAlignment="1">
      <alignment horizontal="center" wrapText="1"/>
    </xf>
    <xf numFmtId="0" fontId="13" fillId="9" borderId="1" xfId="0" applyFont="1" applyFill="1" applyBorder="1" applyAlignment="1">
      <alignment horizontal="center" wrapText="1"/>
    </xf>
    <xf numFmtId="3" fontId="13" fillId="8" borderId="1" xfId="0" applyNumberFormat="1" applyFont="1" applyFill="1" applyBorder="1" applyAlignment="1">
      <alignment horizontal="right"/>
    </xf>
    <xf numFmtId="3" fontId="13" fillId="2" borderId="1" xfId="0" applyNumberFormat="1" applyFont="1" applyFill="1" applyBorder="1" applyAlignment="1">
      <alignment horizontal="right"/>
    </xf>
    <xf numFmtId="3" fontId="13" fillId="9" borderId="1" xfId="0" applyNumberFormat="1" applyFont="1" applyFill="1" applyBorder="1" applyAlignment="1">
      <alignment horizontal="right"/>
    </xf>
    <xf numFmtId="0" fontId="5" fillId="0" borderId="11" xfId="0" applyFont="1" applyBorder="1"/>
    <xf numFmtId="0" fontId="4" fillId="0" borderId="9" xfId="0" applyFont="1" applyBorder="1"/>
    <xf numFmtId="0" fontId="5" fillId="0" borderId="14" xfId="0" applyFont="1" applyBorder="1"/>
    <xf numFmtId="0" fontId="4" fillId="0" borderId="14" xfId="0" applyFont="1" applyBorder="1"/>
    <xf numFmtId="0" fontId="4" fillId="0" borderId="10" xfId="0" applyFont="1" applyBorder="1"/>
    <xf numFmtId="3" fontId="13" fillId="8" borderId="10" xfId="0" applyNumberFormat="1" applyFont="1" applyFill="1" applyBorder="1" applyAlignment="1">
      <alignment horizontal="right"/>
    </xf>
    <xf numFmtId="3" fontId="13" fillId="2" borderId="10" xfId="0" applyNumberFormat="1" applyFont="1" applyFill="1" applyBorder="1" applyAlignment="1">
      <alignment horizontal="right"/>
    </xf>
    <xf numFmtId="3" fontId="13" fillId="9" borderId="10" xfId="0" applyNumberFormat="1" applyFont="1" applyFill="1" applyBorder="1" applyAlignment="1">
      <alignment horizontal="right"/>
    </xf>
    <xf numFmtId="0" fontId="5" fillId="10" borderId="0" xfId="0" applyFont="1" applyFill="1"/>
    <xf numFmtId="3" fontId="13" fillId="10" borderId="0" xfId="0" applyNumberFormat="1" applyFont="1" applyFill="1" applyAlignment="1">
      <alignment horizontal="right"/>
    </xf>
    <xf numFmtId="0" fontId="13" fillId="10" borderId="0" xfId="0" applyFont="1" applyFill="1"/>
    <xf numFmtId="0" fontId="6" fillId="10" borderId="0" xfId="0" applyFont="1" applyFill="1"/>
    <xf numFmtId="0" fontId="8" fillId="10" borderId="0" xfId="0" applyFont="1" applyFill="1"/>
    <xf numFmtId="0" fontId="13" fillId="8" borderId="3" xfId="0" applyFont="1" applyFill="1" applyBorder="1" applyAlignment="1">
      <alignment horizontal="center" wrapText="1"/>
    </xf>
    <xf numFmtId="0" fontId="13" fillId="2" borderId="3" xfId="0" applyFont="1" applyFill="1" applyBorder="1" applyAlignment="1">
      <alignment horizontal="center" wrapText="1"/>
    </xf>
    <xf numFmtId="0" fontId="13" fillId="9" borderId="3" xfId="0" applyFont="1" applyFill="1" applyBorder="1" applyAlignment="1">
      <alignment horizontal="center" wrapText="1"/>
    </xf>
    <xf numFmtId="0" fontId="5" fillId="0" borderId="7" xfId="0" applyFont="1" applyBorder="1"/>
    <xf numFmtId="0" fontId="5" fillId="0" borderId="15" xfId="0" applyFont="1" applyBorder="1"/>
    <xf numFmtId="0" fontId="4" fillId="6" borderId="6" xfId="0" applyFont="1" applyFill="1" applyBorder="1" applyAlignment="1">
      <alignment horizontal="left"/>
    </xf>
    <xf numFmtId="0" fontId="5" fillId="6" borderId="11" xfId="0" applyFont="1" applyFill="1" applyBorder="1" applyAlignment="1">
      <alignment horizontal="left"/>
    </xf>
    <xf numFmtId="0" fontId="5" fillId="6" borderId="12" xfId="0" applyFont="1" applyFill="1" applyBorder="1"/>
    <xf numFmtId="3" fontId="13" fillId="8" borderId="1" xfId="0" applyNumberFormat="1" applyFont="1" applyFill="1" applyBorder="1"/>
    <xf numFmtId="3" fontId="13" fillId="2" borderId="1" xfId="0" applyNumberFormat="1" applyFont="1" applyFill="1" applyBorder="1"/>
    <xf numFmtId="3" fontId="13" fillId="9" borderId="1" xfId="0" applyNumberFormat="1" applyFont="1" applyFill="1" applyBorder="1"/>
    <xf numFmtId="0" fontId="4" fillId="6" borderId="14" xfId="0" applyFont="1" applyFill="1" applyBorder="1" applyAlignment="1">
      <alignment horizontal="left"/>
    </xf>
    <xf numFmtId="0" fontId="5" fillId="6" borderId="1" xfId="0" applyFont="1" applyFill="1" applyBorder="1"/>
    <xf numFmtId="0" fontId="2" fillId="0" borderId="14" xfId="0" applyFont="1" applyBorder="1" applyAlignment="1">
      <alignment horizontal="left"/>
    </xf>
    <xf numFmtId="0" fontId="6" fillId="0" borderId="11" xfId="0" applyFont="1" applyBorder="1" applyAlignment="1">
      <alignment horizontal="left"/>
    </xf>
    <xf numFmtId="0" fontId="8" fillId="8" borderId="1" xfId="0" applyFont="1" applyFill="1" applyBorder="1"/>
    <xf numFmtId="0" fontId="8" fillId="2" borderId="1" xfId="0" applyFont="1" applyFill="1" applyBorder="1"/>
    <xf numFmtId="0" fontId="8" fillId="9" borderId="1" xfId="0" applyFont="1" applyFill="1" applyBorder="1"/>
    <xf numFmtId="0" fontId="4" fillId="4" borderId="14" xfId="0" applyFont="1" applyFill="1" applyBorder="1" applyAlignment="1">
      <alignment horizontal="left"/>
    </xf>
    <xf numFmtId="0" fontId="5" fillId="4" borderId="11" xfId="0" applyFont="1" applyFill="1" applyBorder="1" applyAlignment="1">
      <alignment horizontal="left"/>
    </xf>
    <xf numFmtId="0" fontId="5" fillId="4" borderId="1" xfId="0" applyFont="1" applyFill="1" applyBorder="1"/>
    <xf numFmtId="0" fontId="4" fillId="7" borderId="14" xfId="0" applyFont="1" applyFill="1" applyBorder="1" applyAlignment="1">
      <alignment horizontal="left"/>
    </xf>
    <xf numFmtId="0" fontId="5" fillId="7" borderId="11" xfId="0" applyFont="1" applyFill="1" applyBorder="1" applyAlignment="1">
      <alignment horizontal="left"/>
    </xf>
    <xf numFmtId="0" fontId="5" fillId="7" borderId="1" xfId="0" applyFont="1" applyFill="1" applyBorder="1"/>
    <xf numFmtId="0" fontId="2" fillId="3" borderId="14" xfId="0" applyFont="1" applyFill="1" applyBorder="1" applyAlignment="1">
      <alignment horizontal="left"/>
    </xf>
    <xf numFmtId="0" fontId="6" fillId="3" borderId="11" xfId="0" applyFont="1" applyFill="1" applyBorder="1" applyAlignment="1">
      <alignment horizontal="left"/>
    </xf>
    <xf numFmtId="3" fontId="8" fillId="8" borderId="1" xfId="0" applyNumberFormat="1" applyFont="1" applyFill="1" applyBorder="1"/>
    <xf numFmtId="3" fontId="8" fillId="2" borderId="1" xfId="0" applyNumberFormat="1" applyFont="1" applyFill="1" applyBorder="1"/>
    <xf numFmtId="3" fontId="8" fillId="9" borderId="1" xfId="0" applyNumberFormat="1" applyFont="1" applyFill="1" applyBorder="1"/>
    <xf numFmtId="0" fontId="6" fillId="0" borderId="11" xfId="0" applyFont="1" applyBorder="1"/>
    <xf numFmtId="3" fontId="2" fillId="0" borderId="6" xfId="0" applyNumberFormat="1" applyFont="1" applyBorder="1" applyAlignment="1">
      <alignment horizontal="right"/>
    </xf>
    <xf numFmtId="3" fontId="6" fillId="0" borderId="12" xfId="0" applyNumberFormat="1" applyFont="1" applyBorder="1" applyAlignment="1">
      <alignment horizontal="right"/>
    </xf>
    <xf numFmtId="3" fontId="8" fillId="0" borderId="12" xfId="0" applyNumberFormat="1" applyFont="1" applyBorder="1" applyAlignment="1">
      <alignment horizontal="left"/>
    </xf>
    <xf numFmtId="3" fontId="8" fillId="8" borderId="1" xfId="0" applyNumberFormat="1" applyFont="1" applyFill="1" applyBorder="1" applyAlignment="1">
      <alignment horizontal="right" wrapText="1"/>
    </xf>
    <xf numFmtId="3" fontId="8" fillId="2" borderId="1" xfId="0" applyNumberFormat="1" applyFont="1" applyFill="1" applyBorder="1" applyAlignment="1">
      <alignment horizontal="right" wrapText="1"/>
    </xf>
    <xf numFmtId="3" fontId="8" fillId="9" borderId="1" xfId="0" applyNumberFormat="1" applyFont="1" applyFill="1" applyBorder="1" applyAlignment="1">
      <alignment horizontal="right" wrapText="1"/>
    </xf>
    <xf numFmtId="0" fontId="6" fillId="3" borderId="11" xfId="0" applyFont="1" applyFill="1" applyBorder="1"/>
    <xf numFmtId="0" fontId="4" fillId="0" borderId="14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13" fillId="9" borderId="5" xfId="0" applyFont="1" applyFill="1" applyBorder="1" applyAlignment="1">
      <alignment horizontal="center" wrapText="1"/>
    </xf>
    <xf numFmtId="0" fontId="30" fillId="4" borderId="6" xfId="0" applyFont="1" applyFill="1" applyBorder="1"/>
    <xf numFmtId="0" fontId="30" fillId="4" borderId="11" xfId="0" applyFont="1" applyFill="1" applyBorder="1" applyAlignment="1">
      <alignment horizontal="center"/>
    </xf>
    <xf numFmtId="0" fontId="30" fillId="4" borderId="1" xfId="0" applyFont="1" applyFill="1" applyBorder="1" applyAlignment="1">
      <alignment horizontal="center"/>
    </xf>
    <xf numFmtId="0" fontId="30" fillId="4" borderId="9" xfId="0" applyFont="1" applyFill="1" applyBorder="1" applyAlignment="1">
      <alignment horizontal="center"/>
    </xf>
    <xf numFmtId="0" fontId="30" fillId="4" borderId="3" xfId="0" applyFont="1" applyFill="1" applyBorder="1"/>
    <xf numFmtId="0" fontId="30" fillId="4" borderId="2" xfId="0" applyFont="1" applyFill="1" applyBorder="1"/>
    <xf numFmtId="0" fontId="30" fillId="4" borderId="2" xfId="0" applyFont="1" applyFill="1" applyBorder="1" applyAlignment="1">
      <alignment horizontal="center"/>
    </xf>
    <xf numFmtId="0" fontId="13" fillId="10" borderId="0" xfId="0" applyFont="1" applyFill="1" applyAlignment="1">
      <alignment horizontal="center" wrapText="1"/>
    </xf>
    <xf numFmtId="0" fontId="8" fillId="8" borderId="1" xfId="0" applyFont="1" applyFill="1" applyBorder="1" applyAlignment="1">
      <alignment horizontal="right"/>
    </xf>
    <xf numFmtId="0" fontId="8" fillId="9" borderId="1" xfId="0" applyFont="1" applyFill="1" applyBorder="1" applyAlignment="1">
      <alignment horizontal="right"/>
    </xf>
    <xf numFmtId="3" fontId="8" fillId="8" borderId="1" xfId="0" applyNumberFormat="1" applyFont="1" applyFill="1" applyBorder="1" applyAlignment="1">
      <alignment horizontal="right"/>
    </xf>
    <xf numFmtId="0" fontId="13" fillId="8" borderId="1" xfId="0" applyFont="1" applyFill="1" applyBorder="1" applyAlignment="1">
      <alignment horizontal="right" wrapText="1"/>
    </xf>
    <xf numFmtId="0" fontId="13" fillId="9" borderId="1" xfId="0" applyFont="1" applyFill="1" applyBorder="1" applyAlignment="1">
      <alignment horizontal="right" wrapText="1"/>
    </xf>
    <xf numFmtId="3" fontId="8" fillId="0" borderId="1" xfId="0" applyNumberFormat="1" applyFont="1" applyBorder="1"/>
    <xf numFmtId="3" fontId="8" fillId="8" borderId="1" xfId="1" applyNumberFormat="1" applyFont="1" applyFill="1" applyBorder="1" applyAlignment="1">
      <alignment horizontal="right"/>
    </xf>
    <xf numFmtId="3" fontId="8" fillId="9" borderId="1" xfId="0" applyNumberFormat="1" applyFont="1" applyFill="1" applyBorder="1" applyAlignment="1">
      <alignment horizontal="right"/>
    </xf>
    <xf numFmtId="3" fontId="8" fillId="8" borderId="1" xfId="1" applyNumberFormat="1" applyFont="1" applyFill="1" applyBorder="1" applyAlignment="1">
      <alignment horizontal="right" wrapText="1"/>
    </xf>
    <xf numFmtId="3" fontId="13" fillId="8" borderId="1" xfId="1" applyNumberFormat="1" applyFont="1" applyFill="1" applyBorder="1" applyAlignment="1">
      <alignment horizontal="right"/>
    </xf>
    <xf numFmtId="0" fontId="13" fillId="8" borderId="1" xfId="1" applyFont="1" applyFill="1" applyBorder="1" applyAlignment="1">
      <alignment horizontal="right" wrapText="1"/>
    </xf>
    <xf numFmtId="3" fontId="30" fillId="2" borderId="1" xfId="0" applyNumberFormat="1" applyFont="1" applyFill="1" applyBorder="1" applyAlignment="1">
      <alignment horizontal="right"/>
    </xf>
    <xf numFmtId="1" fontId="5" fillId="10" borderId="11" xfId="0" applyNumberFormat="1" applyFont="1" applyFill="1" applyBorder="1" applyAlignment="1">
      <alignment horizontal="left"/>
    </xf>
    <xf numFmtId="1" fontId="5" fillId="10" borderId="1" xfId="0" applyNumberFormat="1" applyFont="1" applyFill="1" applyBorder="1" applyAlignment="1">
      <alignment horizontal="left"/>
    </xf>
    <xf numFmtId="0" fontId="4" fillId="10" borderId="9" xfId="0" applyFont="1" applyFill="1" applyBorder="1" applyAlignment="1">
      <alignment horizontal="left"/>
    </xf>
    <xf numFmtId="1" fontId="6" fillId="0" borderId="11" xfId="0" applyNumberFormat="1" applyFont="1" applyBorder="1"/>
    <xf numFmtId="1" fontId="6" fillId="0" borderId="1" xfId="0" applyNumberFormat="1" applyFont="1" applyBorder="1"/>
    <xf numFmtId="0" fontId="2" fillId="0" borderId="9" xfId="0" applyFont="1" applyBorder="1"/>
    <xf numFmtId="0" fontId="4" fillId="0" borderId="9" xfId="0" applyFont="1" applyBorder="1" applyAlignment="1">
      <alignment horizontal="center"/>
    </xf>
    <xf numFmtId="0" fontId="4" fillId="10" borderId="14" xfId="0" applyFont="1" applyFill="1" applyBorder="1" applyAlignment="1">
      <alignment horizontal="left"/>
    </xf>
    <xf numFmtId="0" fontId="5" fillId="10" borderId="11" xfId="0" applyFont="1" applyFill="1" applyBorder="1" applyAlignment="1">
      <alignment horizontal="left"/>
    </xf>
    <xf numFmtId="0" fontId="5" fillId="10" borderId="1" xfId="0" applyFont="1" applyFill="1" applyBorder="1"/>
    <xf numFmtId="0" fontId="2" fillId="0" borderId="14" xfId="0" applyFont="1" applyBorder="1"/>
    <xf numFmtId="0" fontId="13" fillId="0" borderId="11" xfId="0" applyFont="1" applyBorder="1" applyAlignment="1">
      <alignment horizontal="left"/>
    </xf>
    <xf numFmtId="0" fontId="13" fillId="8" borderId="1" xfId="0" applyFont="1" applyFill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0" fontId="13" fillId="9" borderId="1" xfId="0" applyFont="1" applyFill="1" applyBorder="1" applyAlignment="1">
      <alignment horizontal="center"/>
    </xf>
    <xf numFmtId="0" fontId="8" fillId="8" borderId="1" xfId="1" applyFont="1" applyFill="1" applyBorder="1" applyAlignment="1">
      <alignment horizontal="right"/>
    </xf>
    <xf numFmtId="0" fontId="13" fillId="8" borderId="1" xfId="1" applyFont="1" applyFill="1" applyBorder="1" applyAlignment="1">
      <alignment horizontal="right"/>
    </xf>
    <xf numFmtId="0" fontId="13" fillId="9" borderId="1" xfId="0" applyFont="1" applyFill="1" applyBorder="1" applyAlignment="1">
      <alignment horizontal="right"/>
    </xf>
    <xf numFmtId="1" fontId="5" fillId="0" borderId="11" xfId="0" applyNumberFormat="1" applyFont="1" applyBorder="1" applyAlignment="1">
      <alignment horizontal="left"/>
    </xf>
    <xf numFmtId="0" fontId="4" fillId="0" borderId="9" xfId="0" applyFont="1" applyBorder="1" applyAlignment="1">
      <alignment horizontal="left"/>
    </xf>
    <xf numFmtId="0" fontId="8" fillId="0" borderId="12" xfId="0" applyFont="1" applyBorder="1" applyAlignment="1">
      <alignment horizontal="left"/>
    </xf>
    <xf numFmtId="0" fontId="13" fillId="0" borderId="12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4" fillId="0" borderId="14" xfId="0" applyFont="1" applyBorder="1" applyAlignment="1">
      <alignment horizontal="left"/>
    </xf>
    <xf numFmtId="0" fontId="5" fillId="0" borderId="11" xfId="0" applyFont="1" applyBorder="1" applyAlignment="1">
      <alignment horizontal="left"/>
    </xf>
    <xf numFmtId="1" fontId="5" fillId="0" borderId="0" xfId="0" applyNumberFormat="1" applyFont="1" applyAlignment="1">
      <alignment horizontal="left"/>
    </xf>
    <xf numFmtId="0" fontId="5" fillId="0" borderId="0" xfId="0" applyFont="1" applyAlignment="1">
      <alignment horizontal="left"/>
    </xf>
    <xf numFmtId="1" fontId="6" fillId="6" borderId="1" xfId="0" applyNumberFormat="1" applyFont="1" applyFill="1" applyBorder="1" applyAlignment="1">
      <alignment horizontal="left"/>
    </xf>
    <xf numFmtId="0" fontId="6" fillId="6" borderId="9" xfId="0" applyFont="1" applyFill="1" applyBorder="1" applyAlignment="1">
      <alignment horizontal="left"/>
    </xf>
    <xf numFmtId="1" fontId="5" fillId="0" borderId="1" xfId="0" applyNumberFormat="1" applyFont="1" applyBorder="1" applyAlignment="1">
      <alignment horizontal="center" wrapText="1"/>
    </xf>
    <xf numFmtId="0" fontId="4" fillId="0" borderId="0" xfId="0" applyFont="1" applyAlignment="1">
      <alignment horizontal="left"/>
    </xf>
    <xf numFmtId="0" fontId="2" fillId="6" borderId="14" xfId="0" applyFont="1" applyFill="1" applyBorder="1" applyAlignment="1">
      <alignment horizontal="left"/>
    </xf>
    <xf numFmtId="0" fontId="6" fillId="6" borderId="11" xfId="0" applyFont="1" applyFill="1" applyBorder="1" applyAlignment="1">
      <alignment horizontal="left"/>
    </xf>
    <xf numFmtId="0" fontId="4" fillId="0" borderId="14" xfId="0" applyFont="1" applyBorder="1" applyAlignment="1">
      <alignment horizontal="center" wrapText="1"/>
    </xf>
    <xf numFmtId="0" fontId="5" fillId="0" borderId="11" xfId="0" applyFont="1" applyBorder="1" applyAlignment="1">
      <alignment horizontal="center" wrapText="1"/>
    </xf>
    <xf numFmtId="0" fontId="13" fillId="10" borderId="0" xfId="0" applyFont="1" applyFill="1" applyAlignment="1">
      <alignment horizontal="left"/>
    </xf>
    <xf numFmtId="3" fontId="13" fillId="10" borderId="1" xfId="0" applyNumberFormat="1" applyFont="1" applyFill="1" applyBorder="1" applyAlignment="1">
      <alignment horizontal="left"/>
    </xf>
    <xf numFmtId="0" fontId="13" fillId="0" borderId="0" xfId="0" applyFont="1" applyAlignment="1">
      <alignment horizontal="left"/>
    </xf>
    <xf numFmtId="3" fontId="0" fillId="0" borderId="0" xfId="0" applyNumberFormat="1"/>
    <xf numFmtId="1" fontId="5" fillId="3" borderId="1" xfId="0" applyNumberFormat="1" applyFont="1" applyFill="1" applyBorder="1" applyAlignment="1">
      <alignment horizontal="left"/>
    </xf>
    <xf numFmtId="0" fontId="2" fillId="10" borderId="9" xfId="0" applyFont="1" applyFill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10" borderId="14" xfId="0" applyFont="1" applyFill="1" applyBorder="1" applyAlignment="1">
      <alignment horizontal="left"/>
    </xf>
    <xf numFmtId="0" fontId="6" fillId="10" borderId="11" xfId="0" applyFont="1" applyFill="1" applyBorder="1" applyAlignment="1">
      <alignment horizontal="left"/>
    </xf>
    <xf numFmtId="0" fontId="2" fillId="0" borderId="6" xfId="0" applyFont="1" applyBorder="1" applyAlignment="1">
      <alignment horizontal="left"/>
    </xf>
    <xf numFmtId="0" fontId="6" fillId="0" borderId="12" xfId="0" applyFont="1" applyBorder="1" applyAlignment="1">
      <alignment horizontal="left"/>
    </xf>
    <xf numFmtId="0" fontId="6" fillId="0" borderId="12" xfId="0" applyFont="1" applyBorder="1"/>
    <xf numFmtId="0" fontId="5" fillId="7" borderId="11" xfId="0" applyFont="1" applyFill="1" applyBorder="1"/>
    <xf numFmtId="0" fontId="5" fillId="0" borderId="1" xfId="0" applyFont="1" applyBorder="1" applyAlignment="1">
      <alignment horizontal="left"/>
    </xf>
    <xf numFmtId="0" fontId="13" fillId="8" borderId="1" xfId="0" applyFont="1" applyFill="1" applyBorder="1" applyAlignment="1">
      <alignment horizontal="right"/>
    </xf>
    <xf numFmtId="1" fontId="6" fillId="0" borderId="0" xfId="0" applyNumberFormat="1" applyFont="1" applyAlignment="1">
      <alignment horizontal="left"/>
    </xf>
    <xf numFmtId="0" fontId="6" fillId="0" borderId="0" xfId="0" applyFont="1" applyAlignment="1">
      <alignment horizontal="left"/>
    </xf>
    <xf numFmtId="1" fontId="5" fillId="6" borderId="8" xfId="0" applyNumberFormat="1" applyFont="1" applyFill="1" applyBorder="1"/>
    <xf numFmtId="1" fontId="5" fillId="6" borderId="0" xfId="0" applyNumberFormat="1" applyFont="1" applyFill="1"/>
    <xf numFmtId="0" fontId="5" fillId="6" borderId="10" xfId="0" applyFont="1" applyFill="1" applyBorder="1"/>
    <xf numFmtId="1" fontId="6" fillId="6" borderId="4" xfId="0" applyNumberFormat="1" applyFont="1" applyFill="1" applyBorder="1"/>
    <xf numFmtId="1" fontId="6" fillId="6" borderId="7" xfId="0" applyNumberFormat="1" applyFont="1" applyFill="1" applyBorder="1"/>
    <xf numFmtId="49" fontId="13" fillId="6" borderId="4" xfId="0" applyNumberFormat="1" applyFont="1" applyFill="1" applyBorder="1"/>
    <xf numFmtId="1" fontId="13" fillId="7" borderId="9" xfId="0" applyNumberFormat="1" applyFont="1" applyFill="1" applyBorder="1"/>
    <xf numFmtId="1" fontId="6" fillId="7" borderId="14" xfId="0" applyNumberFormat="1" applyFont="1" applyFill="1" applyBorder="1"/>
    <xf numFmtId="0" fontId="6" fillId="7" borderId="1" xfId="0" applyFont="1" applyFill="1" applyBorder="1"/>
    <xf numFmtId="1" fontId="13" fillId="4" borderId="9" xfId="0" applyNumberFormat="1" applyFont="1" applyFill="1" applyBorder="1"/>
    <xf numFmtId="1" fontId="6" fillId="4" borderId="14" xfId="0" applyNumberFormat="1" applyFont="1" applyFill="1" applyBorder="1"/>
    <xf numFmtId="0" fontId="6" fillId="4" borderId="1" xfId="0" applyFont="1" applyFill="1" applyBorder="1"/>
    <xf numFmtId="1" fontId="5" fillId="2" borderId="1" xfId="0" applyNumberFormat="1" applyFont="1" applyFill="1" applyBorder="1" applyAlignment="1">
      <alignment horizontal="left"/>
    </xf>
    <xf numFmtId="0" fontId="5" fillId="2" borderId="1" xfId="0" applyFont="1" applyFill="1" applyBorder="1" applyAlignment="1">
      <alignment horizontal="left"/>
    </xf>
    <xf numFmtId="0" fontId="6" fillId="3" borderId="1" xfId="0" applyFont="1" applyFill="1" applyBorder="1" applyAlignment="1">
      <alignment horizontal="left"/>
    </xf>
    <xf numFmtId="49" fontId="2" fillId="3" borderId="1" xfId="0" applyNumberFormat="1" applyFont="1" applyFill="1" applyBorder="1" applyAlignment="1">
      <alignment horizontal="left"/>
    </xf>
    <xf numFmtId="1" fontId="6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left"/>
    </xf>
    <xf numFmtId="49" fontId="3" fillId="0" borderId="1" xfId="0" applyNumberFormat="1" applyFont="1" applyBorder="1" applyAlignment="1">
      <alignment horizontal="center"/>
    </xf>
    <xf numFmtId="49" fontId="4" fillId="2" borderId="1" xfId="0" applyNumberFormat="1" applyFont="1" applyFill="1" applyBorder="1" applyAlignment="1">
      <alignment horizontal="left"/>
    </xf>
    <xf numFmtId="49" fontId="5" fillId="0" borderId="1" xfId="0" applyNumberFormat="1" applyFont="1" applyBorder="1"/>
    <xf numFmtId="49" fontId="2" fillId="0" borderId="10" xfId="0" applyNumberFormat="1" applyFont="1" applyBorder="1" applyAlignment="1">
      <alignment horizontal="left"/>
    </xf>
    <xf numFmtId="0" fontId="6" fillId="3" borderId="10" xfId="0" applyFont="1" applyFill="1" applyBorder="1"/>
    <xf numFmtId="3" fontId="13" fillId="8" borderId="10" xfId="0" applyNumberFormat="1" applyFont="1" applyFill="1" applyBorder="1"/>
    <xf numFmtId="3" fontId="13" fillId="2" borderId="10" xfId="0" applyNumberFormat="1" applyFont="1" applyFill="1" applyBorder="1"/>
    <xf numFmtId="3" fontId="13" fillId="9" borderId="10" xfId="0" applyNumberFormat="1" applyFont="1" applyFill="1" applyBorder="1"/>
    <xf numFmtId="0" fontId="2" fillId="0" borderId="0" xfId="0" applyFont="1" applyAlignment="1">
      <alignment horizontal="left"/>
    </xf>
    <xf numFmtId="3" fontId="8" fillId="10" borderId="0" xfId="0" applyNumberFormat="1" applyFont="1" applyFill="1"/>
    <xf numFmtId="0" fontId="5" fillId="0" borderId="10" xfId="0" applyFont="1" applyBorder="1" applyAlignment="1">
      <alignment horizontal="left"/>
    </xf>
    <xf numFmtId="0" fontId="4" fillId="6" borderId="0" xfId="0" applyFont="1" applyFill="1" applyAlignment="1">
      <alignment horizontal="left"/>
    </xf>
    <xf numFmtId="0" fontId="5" fillId="6" borderId="0" xfId="0" applyFont="1" applyFill="1" applyAlignment="1">
      <alignment horizontal="left"/>
    </xf>
    <xf numFmtId="0" fontId="5" fillId="6" borderId="0" xfId="0" applyFont="1" applyFill="1"/>
    <xf numFmtId="0" fontId="4" fillId="6" borderId="7" xfId="0" applyFont="1" applyFill="1" applyBorder="1" applyAlignment="1">
      <alignment horizontal="left"/>
    </xf>
    <xf numFmtId="0" fontId="5" fillId="6" borderId="7" xfId="0" applyFont="1" applyFill="1" applyBorder="1" applyAlignment="1">
      <alignment horizontal="left"/>
    </xf>
    <xf numFmtId="0" fontId="5" fillId="6" borderId="7" xfId="0" applyFont="1" applyFill="1" applyBorder="1"/>
    <xf numFmtId="3" fontId="13" fillId="8" borderId="2" xfId="0" applyNumberFormat="1" applyFont="1" applyFill="1" applyBorder="1"/>
    <xf numFmtId="3" fontId="13" fillId="2" borderId="2" xfId="0" applyNumberFormat="1" applyFont="1" applyFill="1" applyBorder="1"/>
    <xf numFmtId="3" fontId="13" fillId="9" borderId="2" xfId="0" applyNumberFormat="1" applyFont="1" applyFill="1" applyBorder="1"/>
    <xf numFmtId="0" fontId="5" fillId="7" borderId="14" xfId="0" applyFont="1" applyFill="1" applyBorder="1" applyAlignment="1">
      <alignment horizontal="left"/>
    </xf>
    <xf numFmtId="0" fontId="5" fillId="4" borderId="14" xfId="0" applyFont="1" applyFill="1" applyBorder="1" applyAlignment="1">
      <alignment horizontal="left"/>
    </xf>
    <xf numFmtId="0" fontId="5" fillId="4" borderId="11" xfId="0" applyFont="1" applyFill="1" applyBorder="1"/>
    <xf numFmtId="0" fontId="4" fillId="0" borderId="11" xfId="0" applyFont="1" applyBorder="1" applyAlignment="1">
      <alignment horizontal="left"/>
    </xf>
    <xf numFmtId="0" fontId="4" fillId="2" borderId="11" xfId="0" applyFont="1" applyFill="1" applyBorder="1" applyAlignment="1">
      <alignment horizontal="left"/>
    </xf>
    <xf numFmtId="0" fontId="5" fillId="2" borderId="1" xfId="0" applyFont="1" applyFill="1" applyBorder="1"/>
    <xf numFmtId="0" fontId="2" fillId="3" borderId="11" xfId="0" applyFont="1" applyFill="1" applyBorder="1" applyAlignment="1">
      <alignment horizontal="left"/>
    </xf>
    <xf numFmtId="164" fontId="2" fillId="0" borderId="11" xfId="0" applyNumberFormat="1" applyFont="1" applyBorder="1" applyAlignment="1">
      <alignment horizontal="left"/>
    </xf>
    <xf numFmtId="164" fontId="2" fillId="3" borderId="11" xfId="0" applyNumberFormat="1" applyFont="1" applyFill="1" applyBorder="1" applyAlignment="1">
      <alignment horizontal="left"/>
    </xf>
    <xf numFmtId="0" fontId="8" fillId="8" borderId="1" xfId="0" applyFont="1" applyFill="1" applyBorder="1" applyAlignment="1">
      <alignment horizontal="center" wrapText="1"/>
    </xf>
    <xf numFmtId="0" fontId="8" fillId="2" borderId="1" xfId="0" applyFont="1" applyFill="1" applyBorder="1" applyAlignment="1">
      <alignment horizontal="center" wrapText="1"/>
    </xf>
    <xf numFmtId="0" fontId="8" fillId="9" borderId="1" xfId="0" applyFont="1" applyFill="1" applyBorder="1" applyAlignment="1">
      <alignment horizontal="center" wrapText="1"/>
    </xf>
    <xf numFmtId="164" fontId="4" fillId="2" borderId="1" xfId="0" applyNumberFormat="1" applyFont="1" applyFill="1" applyBorder="1" applyAlignment="1">
      <alignment horizontal="left"/>
    </xf>
    <xf numFmtId="164" fontId="2" fillId="0" borderId="12" xfId="0" applyNumberFormat="1" applyFont="1" applyBorder="1" applyAlignment="1">
      <alignment horizontal="left"/>
    </xf>
    <xf numFmtId="0" fontId="6" fillId="0" borderId="10" xfId="0" applyFont="1" applyBorder="1" applyAlignment="1">
      <alignment horizontal="left"/>
    </xf>
    <xf numFmtId="0" fontId="6" fillId="0" borderId="10" xfId="0" applyFont="1" applyBorder="1"/>
    <xf numFmtId="3" fontId="8" fillId="8" borderId="10" xfId="0" applyNumberFormat="1" applyFont="1" applyFill="1" applyBorder="1"/>
    <xf numFmtId="3" fontId="8" fillId="2" borderId="10" xfId="0" applyNumberFormat="1" applyFont="1" applyFill="1" applyBorder="1"/>
    <xf numFmtId="3" fontId="8" fillId="9" borderId="10" xfId="0" applyNumberFormat="1" applyFont="1" applyFill="1" applyBorder="1"/>
    <xf numFmtId="3" fontId="13" fillId="8" borderId="2" xfId="0" applyNumberFormat="1" applyFont="1" applyFill="1" applyBorder="1" applyAlignment="1">
      <alignment horizontal="right"/>
    </xf>
    <xf numFmtId="3" fontId="13" fillId="9" borderId="2" xfId="0" applyNumberFormat="1" applyFont="1" applyFill="1" applyBorder="1" applyAlignment="1">
      <alignment horizontal="right"/>
    </xf>
    <xf numFmtId="0" fontId="8" fillId="8" borderId="1" xfId="0" applyFont="1" applyFill="1" applyBorder="1" applyAlignment="1">
      <alignment horizontal="right" wrapText="1"/>
    </xf>
    <xf numFmtId="3" fontId="8" fillId="8" borderId="10" xfId="0" applyNumberFormat="1" applyFont="1" applyFill="1" applyBorder="1" applyAlignment="1">
      <alignment horizontal="right"/>
    </xf>
    <xf numFmtId="3" fontId="8" fillId="9" borderId="10" xfId="0" applyNumberFormat="1" applyFont="1" applyFill="1" applyBorder="1" applyAlignment="1">
      <alignment horizontal="right"/>
    </xf>
    <xf numFmtId="3" fontId="8" fillId="8" borderId="10" xfId="1" applyNumberFormat="1" applyFont="1" applyFill="1" applyBorder="1" applyAlignment="1">
      <alignment horizontal="right"/>
    </xf>
    <xf numFmtId="3" fontId="10" fillId="10" borderId="0" xfId="0" applyNumberFormat="1" applyFont="1" applyFill="1"/>
    <xf numFmtId="0" fontId="8" fillId="9" borderId="1" xfId="0" applyFont="1" applyFill="1" applyBorder="1" applyAlignment="1">
      <alignment horizontal="right" wrapText="1"/>
    </xf>
    <xf numFmtId="49" fontId="2" fillId="3" borderId="2" xfId="0" applyNumberFormat="1" applyFont="1" applyFill="1" applyBorder="1" applyAlignment="1">
      <alignment horizontal="left"/>
    </xf>
    <xf numFmtId="49" fontId="4" fillId="0" borderId="1" xfId="0" applyNumberFormat="1" applyFont="1" applyBorder="1" applyAlignment="1">
      <alignment horizontal="center"/>
    </xf>
    <xf numFmtId="1" fontId="13" fillId="4" borderId="1" xfId="0" applyNumberFormat="1" applyFont="1" applyFill="1" applyBorder="1" applyAlignment="1">
      <alignment horizontal="left"/>
    </xf>
    <xf numFmtId="1" fontId="6" fillId="4" borderId="1" xfId="0" applyNumberFormat="1" applyFont="1" applyFill="1" applyBorder="1" applyAlignment="1">
      <alignment horizontal="left"/>
    </xf>
    <xf numFmtId="49" fontId="2" fillId="4" borderId="1" xfId="0" applyNumberFormat="1" applyFont="1" applyFill="1" applyBorder="1" applyAlignment="1">
      <alignment horizontal="left"/>
    </xf>
    <xf numFmtId="49" fontId="4" fillId="0" borderId="1" xfId="0" applyNumberFormat="1" applyFont="1" applyBorder="1" applyAlignment="1">
      <alignment horizontal="left"/>
    </xf>
    <xf numFmtId="49" fontId="6" fillId="0" borderId="1" xfId="0" applyNumberFormat="1" applyFont="1" applyBorder="1" applyAlignment="1">
      <alignment horizontal="left"/>
    </xf>
    <xf numFmtId="49" fontId="6" fillId="0" borderId="2" xfId="0" applyNumberFormat="1" applyFont="1" applyBorder="1" applyAlignment="1">
      <alignment horizontal="center"/>
    </xf>
    <xf numFmtId="49" fontId="4" fillId="3" borderId="1" xfId="0" applyNumberFormat="1" applyFont="1" applyFill="1" applyBorder="1" applyAlignment="1">
      <alignment horizontal="left"/>
    </xf>
    <xf numFmtId="164" fontId="2" fillId="0" borderId="1" xfId="0" applyNumberFormat="1" applyFont="1" applyBorder="1" applyAlignment="1">
      <alignment horizontal="left"/>
    </xf>
    <xf numFmtId="164" fontId="2" fillId="3" borderId="15" xfId="0" applyNumberFormat="1" applyFont="1" applyFill="1" applyBorder="1" applyAlignment="1">
      <alignment horizontal="left"/>
    </xf>
    <xf numFmtId="0" fontId="6" fillId="3" borderId="2" xfId="0" applyFont="1" applyFill="1" applyBorder="1" applyAlignment="1">
      <alignment horizontal="left"/>
    </xf>
    <xf numFmtId="0" fontId="6" fillId="3" borderId="2" xfId="0" applyFont="1" applyFill="1" applyBorder="1"/>
    <xf numFmtId="164" fontId="2" fillId="0" borderId="14" xfId="0" applyNumberFormat="1" applyFont="1" applyBorder="1" applyAlignment="1">
      <alignment horizontal="left"/>
    </xf>
    <xf numFmtId="0" fontId="6" fillId="0" borderId="14" xfId="0" applyFont="1" applyBorder="1" applyAlignment="1">
      <alignment horizontal="left"/>
    </xf>
    <xf numFmtId="164" fontId="4" fillId="4" borderId="14" xfId="0" applyNumberFormat="1" applyFont="1" applyFill="1" applyBorder="1" applyAlignment="1">
      <alignment horizontal="left"/>
    </xf>
    <xf numFmtId="164" fontId="4" fillId="0" borderId="11" xfId="0" applyNumberFormat="1" applyFont="1" applyBorder="1" applyAlignment="1">
      <alignment horizontal="left"/>
    </xf>
    <xf numFmtId="164" fontId="4" fillId="2" borderId="11" xfId="0" applyNumberFormat="1" applyFont="1" applyFill="1" applyBorder="1" applyAlignment="1">
      <alignment horizontal="left"/>
    </xf>
    <xf numFmtId="0" fontId="2" fillId="0" borderId="15" xfId="0" applyFont="1" applyBorder="1" applyAlignment="1">
      <alignment horizontal="center"/>
    </xf>
    <xf numFmtId="0" fontId="6" fillId="0" borderId="2" xfId="0" applyFont="1" applyBorder="1" applyAlignment="1">
      <alignment horizontal="left"/>
    </xf>
    <xf numFmtId="0" fontId="8" fillId="8" borderId="2" xfId="0" applyFont="1" applyFill="1" applyBorder="1" applyAlignment="1">
      <alignment horizontal="center" wrapText="1"/>
    </xf>
    <xf numFmtId="0" fontId="8" fillId="2" borderId="2" xfId="0" applyFont="1" applyFill="1" applyBorder="1" applyAlignment="1">
      <alignment horizontal="center" wrapText="1"/>
    </xf>
    <xf numFmtId="0" fontId="8" fillId="9" borderId="2" xfId="0" applyFont="1" applyFill="1" applyBorder="1" applyAlignment="1">
      <alignment horizontal="center" wrapText="1"/>
    </xf>
    <xf numFmtId="164" fontId="2" fillId="0" borderId="15" xfId="0" applyNumberFormat="1" applyFont="1" applyBorder="1" applyAlignment="1">
      <alignment horizontal="left"/>
    </xf>
    <xf numFmtId="0" fontId="6" fillId="0" borderId="2" xfId="0" applyFont="1" applyBorder="1"/>
    <xf numFmtId="3" fontId="8" fillId="8" borderId="2" xfId="0" applyNumberFormat="1" applyFont="1" applyFill="1" applyBorder="1"/>
    <xf numFmtId="3" fontId="8" fillId="2" borderId="2" xfId="0" applyNumberFormat="1" applyFont="1" applyFill="1" applyBorder="1"/>
    <xf numFmtId="3" fontId="8" fillId="9" borderId="2" xfId="0" applyNumberFormat="1" applyFont="1" applyFill="1" applyBorder="1"/>
    <xf numFmtId="164" fontId="4" fillId="3" borderId="11" xfId="0" applyNumberFormat="1" applyFont="1" applyFill="1" applyBorder="1" applyAlignment="1">
      <alignment horizontal="left"/>
    </xf>
    <xf numFmtId="3" fontId="8" fillId="0" borderId="1" xfId="0" applyNumberFormat="1" applyFont="1" applyBorder="1" applyAlignment="1">
      <alignment horizontal="right" wrapText="1"/>
    </xf>
    <xf numFmtId="0" fontId="8" fillId="8" borderId="2" xfId="0" applyFont="1" applyFill="1" applyBorder="1" applyAlignment="1">
      <alignment horizontal="right" wrapText="1"/>
    </xf>
    <xf numFmtId="3" fontId="8" fillId="9" borderId="2" xfId="0" applyNumberFormat="1" applyFont="1" applyFill="1" applyBorder="1" applyAlignment="1">
      <alignment horizontal="right"/>
    </xf>
    <xf numFmtId="3" fontId="8" fillId="8" borderId="2" xfId="0" applyNumberFormat="1" applyFont="1" applyFill="1" applyBorder="1" applyAlignment="1">
      <alignment horizontal="right"/>
    </xf>
    <xf numFmtId="3" fontId="8" fillId="0" borderId="1" xfId="0" applyNumberFormat="1" applyFont="1" applyBorder="1" applyAlignment="1">
      <alignment horizontal="right"/>
    </xf>
    <xf numFmtId="0" fontId="8" fillId="9" borderId="2" xfId="0" applyFont="1" applyFill="1" applyBorder="1" applyAlignment="1">
      <alignment horizontal="right" wrapText="1"/>
    </xf>
    <xf numFmtId="3" fontId="17" fillId="11" borderId="0" xfId="0" applyNumberFormat="1" applyFont="1" applyFill="1"/>
    <xf numFmtId="1" fontId="13" fillId="4" borderId="2" xfId="0" applyNumberFormat="1" applyFont="1" applyFill="1" applyBorder="1" applyAlignment="1">
      <alignment horizontal="left"/>
    </xf>
    <xf numFmtId="1" fontId="6" fillId="4" borderId="2" xfId="0" applyNumberFormat="1" applyFont="1" applyFill="1" applyBorder="1" applyAlignment="1">
      <alignment horizontal="left"/>
    </xf>
    <xf numFmtId="49" fontId="2" fillId="4" borderId="2" xfId="0" applyNumberFormat="1" applyFont="1" applyFill="1" applyBorder="1" applyAlignment="1">
      <alignment horizontal="left"/>
    </xf>
    <xf numFmtId="49" fontId="5" fillId="0" borderId="1" xfId="0" applyNumberFormat="1" applyFont="1" applyBorder="1" applyAlignment="1">
      <alignment horizontal="center"/>
    </xf>
    <xf numFmtId="1" fontId="6" fillId="7" borderId="1" xfId="0" applyNumberFormat="1" applyFont="1" applyFill="1" applyBorder="1" applyAlignment="1">
      <alignment horizontal="left"/>
    </xf>
    <xf numFmtId="49" fontId="2" fillId="7" borderId="1" xfId="0" applyNumberFormat="1" applyFont="1" applyFill="1" applyBorder="1" applyAlignment="1">
      <alignment horizontal="left"/>
    </xf>
    <xf numFmtId="1" fontId="8" fillId="3" borderId="1" xfId="0" applyNumberFormat="1" applyFont="1" applyFill="1" applyBorder="1" applyAlignment="1">
      <alignment horizontal="left"/>
    </xf>
    <xf numFmtId="164" fontId="4" fillId="4" borderId="7" xfId="0" applyNumberFormat="1" applyFont="1" applyFill="1" applyBorder="1" applyAlignment="1">
      <alignment horizontal="left"/>
    </xf>
    <xf numFmtId="0" fontId="5" fillId="4" borderId="7" xfId="0" applyFont="1" applyFill="1" applyBorder="1" applyAlignment="1">
      <alignment horizontal="left"/>
    </xf>
    <xf numFmtId="0" fontId="5" fillId="4" borderId="15" xfId="0" applyFont="1" applyFill="1" applyBorder="1"/>
    <xf numFmtId="164" fontId="4" fillId="7" borderId="14" xfId="0" applyNumberFormat="1" applyFont="1" applyFill="1" applyBorder="1" applyAlignment="1">
      <alignment horizontal="left"/>
    </xf>
    <xf numFmtId="0" fontId="8" fillId="3" borderId="1" xfId="0" applyFont="1" applyFill="1" applyBorder="1" applyAlignment="1">
      <alignment horizontal="left"/>
    </xf>
    <xf numFmtId="0" fontId="8" fillId="3" borderId="1" xfId="0" applyFont="1" applyFill="1" applyBorder="1"/>
    <xf numFmtId="3" fontId="0" fillId="11" borderId="0" xfId="0" applyNumberFormat="1" applyFill="1"/>
    <xf numFmtId="49" fontId="2" fillId="7" borderId="2" xfId="0" applyNumberFormat="1" applyFont="1" applyFill="1" applyBorder="1" applyAlignment="1">
      <alignment horizontal="left"/>
    </xf>
    <xf numFmtId="164" fontId="4" fillId="4" borderId="15" xfId="0" applyNumberFormat="1" applyFont="1" applyFill="1" applyBorder="1" applyAlignment="1">
      <alignment horizontal="left"/>
    </xf>
    <xf numFmtId="0" fontId="5" fillId="4" borderId="2" xfId="0" applyFont="1" applyFill="1" applyBorder="1" applyAlignment="1">
      <alignment horizontal="left"/>
    </xf>
    <xf numFmtId="0" fontId="4" fillId="0" borderId="11" xfId="0" applyFont="1" applyBorder="1" applyAlignment="1">
      <alignment horizontal="center"/>
    </xf>
    <xf numFmtId="164" fontId="4" fillId="7" borderId="15" xfId="0" applyNumberFormat="1" applyFont="1" applyFill="1" applyBorder="1" applyAlignment="1">
      <alignment horizontal="left"/>
    </xf>
    <xf numFmtId="0" fontId="5" fillId="7" borderId="2" xfId="0" applyFont="1" applyFill="1" applyBorder="1" applyAlignment="1">
      <alignment horizontal="left"/>
    </xf>
    <xf numFmtId="0" fontId="5" fillId="7" borderId="2" xfId="0" applyFont="1" applyFill="1" applyBorder="1"/>
    <xf numFmtId="164" fontId="4" fillId="4" borderId="11" xfId="0" applyNumberFormat="1" applyFont="1" applyFill="1" applyBorder="1" applyAlignment="1">
      <alignment horizontal="left"/>
    </xf>
    <xf numFmtId="0" fontId="5" fillId="4" borderId="1" xfId="0" applyFont="1" applyFill="1" applyBorder="1" applyAlignment="1">
      <alignment horizontal="left"/>
    </xf>
    <xf numFmtId="164" fontId="2" fillId="2" borderId="11" xfId="0" applyNumberFormat="1" applyFont="1" applyFill="1" applyBorder="1" applyAlignment="1">
      <alignment horizontal="left"/>
    </xf>
    <xf numFmtId="0" fontId="6" fillId="0" borderId="9" xfId="0" applyFont="1" applyBorder="1"/>
    <xf numFmtId="164" fontId="4" fillId="7" borderId="11" xfId="0" applyNumberFormat="1" applyFont="1" applyFill="1" applyBorder="1" applyAlignment="1">
      <alignment horizontal="left"/>
    </xf>
    <xf numFmtId="0" fontId="5" fillId="7" borderId="1" xfId="0" applyFont="1" applyFill="1" applyBorder="1" applyAlignment="1">
      <alignment horizontal="left"/>
    </xf>
    <xf numFmtId="3" fontId="8" fillId="0" borderId="10" xfId="0" applyNumberFormat="1" applyFont="1" applyBorder="1"/>
    <xf numFmtId="3" fontId="0" fillId="10" borderId="0" xfId="0" applyNumberFormat="1" applyFill="1"/>
    <xf numFmtId="49" fontId="6" fillId="0" borderId="1" xfId="0" applyNumberFormat="1" applyFont="1" applyBorder="1" applyAlignment="1">
      <alignment horizontal="center"/>
    </xf>
    <xf numFmtId="49" fontId="4" fillId="4" borderId="1" xfId="0" applyNumberFormat="1" applyFont="1" applyFill="1" applyBorder="1" applyAlignment="1">
      <alignment horizontal="left"/>
    </xf>
    <xf numFmtId="1" fontId="6" fillId="7" borderId="2" xfId="0" applyNumberFormat="1" applyFont="1" applyFill="1" applyBorder="1" applyAlignment="1">
      <alignment horizontal="left"/>
    </xf>
    <xf numFmtId="164" fontId="2" fillId="3" borderId="1" xfId="0" applyNumberFormat="1" applyFont="1" applyFill="1" applyBorder="1" applyAlignment="1">
      <alignment horizontal="left"/>
    </xf>
    <xf numFmtId="164" fontId="4" fillId="0" borderId="1" xfId="0" applyNumberFormat="1" applyFont="1" applyBorder="1" applyAlignment="1">
      <alignment horizontal="left"/>
    </xf>
    <xf numFmtId="0" fontId="13" fillId="8" borderId="1" xfId="0" applyFont="1" applyFill="1" applyBorder="1"/>
    <xf numFmtId="0" fontId="13" fillId="2" borderId="1" xfId="0" applyFont="1" applyFill="1" applyBorder="1"/>
    <xf numFmtId="0" fontId="13" fillId="9" borderId="1" xfId="0" applyFont="1" applyFill="1" applyBorder="1"/>
    <xf numFmtId="0" fontId="2" fillId="0" borderId="11" xfId="0" applyFont="1" applyBorder="1" applyAlignment="1">
      <alignment horizontal="left"/>
    </xf>
    <xf numFmtId="3" fontId="8" fillId="2" borderId="1" xfId="0" applyNumberFormat="1" applyFont="1" applyFill="1" applyBorder="1" applyAlignment="1">
      <alignment horizontal="right"/>
    </xf>
    <xf numFmtId="1" fontId="5" fillId="7" borderId="2" xfId="0" applyNumberFormat="1" applyFont="1" applyFill="1" applyBorder="1" applyAlignment="1">
      <alignment horizontal="left"/>
    </xf>
    <xf numFmtId="49" fontId="4" fillId="7" borderId="2" xfId="0" applyNumberFormat="1" applyFont="1" applyFill="1" applyBorder="1" applyAlignment="1">
      <alignment horizontal="left"/>
    </xf>
    <xf numFmtId="1" fontId="6" fillId="3" borderId="1" xfId="0" applyNumberFormat="1" applyFont="1" applyFill="1" applyBorder="1"/>
    <xf numFmtId="49" fontId="2" fillId="3" borderId="1" xfId="0" applyNumberFormat="1" applyFont="1" applyFill="1" applyBorder="1"/>
    <xf numFmtId="49" fontId="4" fillId="0" borderId="1" xfId="0" applyNumberFormat="1" applyFont="1" applyBorder="1"/>
    <xf numFmtId="1" fontId="5" fillId="2" borderId="1" xfId="0" applyNumberFormat="1" applyFont="1" applyFill="1" applyBorder="1"/>
    <xf numFmtId="0" fontId="4" fillId="7" borderId="0" xfId="0" applyFont="1" applyFill="1" applyAlignment="1">
      <alignment horizontal="left"/>
    </xf>
    <xf numFmtId="0" fontId="4" fillId="4" borderId="0" xfId="0" applyFont="1" applyFill="1" applyAlignment="1">
      <alignment horizontal="left"/>
    </xf>
    <xf numFmtId="0" fontId="5" fillId="4" borderId="10" xfId="0" applyFont="1" applyFill="1" applyBorder="1" applyAlignment="1">
      <alignment horizontal="left"/>
    </xf>
    <xf numFmtId="0" fontId="5" fillId="4" borderId="10" xfId="0" applyFont="1" applyFill="1" applyBorder="1"/>
    <xf numFmtId="164" fontId="2" fillId="0" borderId="2" xfId="0" applyNumberFormat="1" applyFont="1" applyBorder="1" applyAlignment="1">
      <alignment horizontal="left"/>
    </xf>
    <xf numFmtId="164" fontId="4" fillId="4" borderId="2" xfId="0" applyNumberFormat="1" applyFont="1" applyFill="1" applyBorder="1" applyAlignment="1">
      <alignment horizontal="left"/>
    </xf>
    <xf numFmtId="0" fontId="6" fillId="4" borderId="2" xfId="0" applyFont="1" applyFill="1" applyBorder="1" applyAlignment="1">
      <alignment horizontal="left"/>
    </xf>
    <xf numFmtId="0" fontId="6" fillId="4" borderId="2" xfId="0" applyFont="1" applyFill="1" applyBorder="1"/>
    <xf numFmtId="164" fontId="4" fillId="4" borderId="1" xfId="0" applyNumberFormat="1" applyFont="1" applyFill="1" applyBorder="1" applyAlignment="1">
      <alignment horizontal="left"/>
    </xf>
    <xf numFmtId="0" fontId="6" fillId="4" borderId="1" xfId="0" applyFont="1" applyFill="1" applyBorder="1" applyAlignment="1">
      <alignment horizontal="left"/>
    </xf>
    <xf numFmtId="0" fontId="5" fillId="2" borderId="11" xfId="0" applyFont="1" applyFill="1" applyBorder="1"/>
    <xf numFmtId="0" fontId="6" fillId="4" borderId="11" xfId="0" applyFont="1" applyFill="1" applyBorder="1"/>
    <xf numFmtId="164" fontId="4" fillId="7" borderId="1" xfId="0" applyNumberFormat="1" applyFont="1" applyFill="1" applyBorder="1" applyAlignment="1">
      <alignment horizontal="left"/>
    </xf>
    <xf numFmtId="0" fontId="6" fillId="7" borderId="1" xfId="0" applyFont="1" applyFill="1" applyBorder="1" applyAlignment="1">
      <alignment horizontal="left"/>
    </xf>
    <xf numFmtId="1" fontId="5" fillId="3" borderId="1" xfId="0" applyNumberFormat="1" applyFont="1" applyFill="1" applyBorder="1"/>
    <xf numFmtId="49" fontId="4" fillId="3" borderId="1" xfId="0" applyNumberFormat="1" applyFont="1" applyFill="1" applyBorder="1"/>
    <xf numFmtId="164" fontId="4" fillId="3" borderId="1" xfId="0" applyNumberFormat="1" applyFont="1" applyFill="1" applyBorder="1" applyAlignment="1">
      <alignment horizontal="left"/>
    </xf>
    <xf numFmtId="164" fontId="4" fillId="7" borderId="2" xfId="0" applyNumberFormat="1" applyFont="1" applyFill="1" applyBorder="1" applyAlignment="1">
      <alignment horizontal="left"/>
    </xf>
    <xf numFmtId="0" fontId="6" fillId="7" borderId="2" xfId="0" applyFont="1" applyFill="1" applyBorder="1" applyAlignment="1">
      <alignment horizontal="left"/>
    </xf>
    <xf numFmtId="0" fontId="6" fillId="7" borderId="2" xfId="0" applyFont="1" applyFill="1" applyBorder="1"/>
    <xf numFmtId="3" fontId="8" fillId="8" borderId="3" xfId="0" applyNumberFormat="1" applyFont="1" applyFill="1" applyBorder="1"/>
    <xf numFmtId="3" fontId="8" fillId="2" borderId="3" xfId="0" applyNumberFormat="1" applyFont="1" applyFill="1" applyBorder="1"/>
    <xf numFmtId="3" fontId="8" fillId="9" borderId="3" xfId="0" applyNumberFormat="1" applyFont="1" applyFill="1" applyBorder="1"/>
    <xf numFmtId="3" fontId="8" fillId="0" borderId="2" xfId="0" applyNumberFormat="1" applyFont="1" applyBorder="1"/>
    <xf numFmtId="3" fontId="8" fillId="8" borderId="3" xfId="0" applyNumberFormat="1" applyFont="1" applyFill="1" applyBorder="1" applyAlignment="1">
      <alignment horizontal="right"/>
    </xf>
    <xf numFmtId="3" fontId="8" fillId="9" borderId="3" xfId="0" applyNumberFormat="1" applyFont="1" applyFill="1" applyBorder="1" applyAlignment="1">
      <alignment horizontal="right"/>
    </xf>
    <xf numFmtId="0" fontId="6" fillId="0" borderId="4" xfId="0" applyFont="1" applyBorder="1"/>
    <xf numFmtId="0" fontId="8" fillId="8" borderId="0" xfId="0" applyFont="1" applyFill="1" applyAlignment="1">
      <alignment horizontal="right"/>
    </xf>
    <xf numFmtId="49" fontId="18" fillId="0" borderId="1" xfId="0" applyNumberFormat="1" applyFont="1" applyBorder="1" applyAlignment="1">
      <alignment horizontal="left"/>
    </xf>
    <xf numFmtId="49" fontId="2" fillId="0" borderId="3" xfId="0" applyNumberFormat="1" applyFont="1" applyBorder="1" applyAlignment="1">
      <alignment horizontal="left"/>
    </xf>
    <xf numFmtId="49" fontId="2" fillId="0" borderId="10" xfId="0" applyNumberFormat="1" applyFont="1" applyBorder="1"/>
    <xf numFmtId="0" fontId="19" fillId="0" borderId="1" xfId="0" applyFont="1" applyBorder="1"/>
    <xf numFmtId="0" fontId="6" fillId="0" borderId="3" xfId="0" applyFont="1" applyBorder="1" applyAlignment="1">
      <alignment horizontal="left"/>
    </xf>
    <xf numFmtId="0" fontId="6" fillId="0" borderId="3" xfId="0" applyFont="1" applyBorder="1"/>
    <xf numFmtId="0" fontId="2" fillId="0" borderId="10" xfId="0" applyFont="1" applyBorder="1" applyAlignment="1">
      <alignment horizontal="left"/>
    </xf>
    <xf numFmtId="1" fontId="5" fillId="4" borderId="1" xfId="0" applyNumberFormat="1" applyFont="1" applyFill="1" applyBorder="1"/>
    <xf numFmtId="49" fontId="4" fillId="4" borderId="1" xfId="0" applyNumberFormat="1" applyFont="1" applyFill="1" applyBorder="1"/>
    <xf numFmtId="1" fontId="6" fillId="7" borderId="11" xfId="0" applyNumberFormat="1" applyFont="1" applyFill="1" applyBorder="1"/>
    <xf numFmtId="49" fontId="2" fillId="7" borderId="1" xfId="0" applyNumberFormat="1" applyFont="1" applyFill="1" applyBorder="1"/>
    <xf numFmtId="1" fontId="13" fillId="4" borderId="1" xfId="0" applyNumberFormat="1" applyFont="1" applyFill="1" applyBorder="1"/>
    <xf numFmtId="1" fontId="6" fillId="4" borderId="1" xfId="0" applyNumberFormat="1" applyFont="1" applyFill="1" applyBorder="1"/>
    <xf numFmtId="49" fontId="2" fillId="4" borderId="1" xfId="0" applyNumberFormat="1" applyFont="1" applyFill="1" applyBorder="1"/>
    <xf numFmtId="49" fontId="2" fillId="3" borderId="10" xfId="0" applyNumberFormat="1" applyFont="1" applyFill="1" applyBorder="1"/>
    <xf numFmtId="1" fontId="5" fillId="6" borderId="5" xfId="0" applyNumberFormat="1" applyFont="1" applyFill="1" applyBorder="1"/>
    <xf numFmtId="1" fontId="5" fillId="6" borderId="6" xfId="0" applyNumberFormat="1" applyFont="1" applyFill="1" applyBorder="1"/>
    <xf numFmtId="1" fontId="5" fillId="6" borderId="12" xfId="0" applyNumberFormat="1" applyFont="1" applyFill="1" applyBorder="1"/>
    <xf numFmtId="49" fontId="4" fillId="6" borderId="3" xfId="0" applyNumberFormat="1" applyFont="1" applyFill="1" applyBorder="1"/>
    <xf numFmtId="1" fontId="6" fillId="5" borderId="4" xfId="0" applyNumberFormat="1" applyFont="1" applyFill="1" applyBorder="1"/>
    <xf numFmtId="1" fontId="6" fillId="5" borderId="7" xfId="0" applyNumberFormat="1" applyFont="1" applyFill="1" applyBorder="1"/>
    <xf numFmtId="1" fontId="6" fillId="5" borderId="15" xfId="0" applyNumberFormat="1" applyFont="1" applyFill="1" applyBorder="1"/>
    <xf numFmtId="49" fontId="3" fillId="0" borderId="1" xfId="0" applyNumberFormat="1" applyFont="1" applyBorder="1"/>
    <xf numFmtId="49" fontId="2" fillId="3" borderId="10" xfId="0" applyNumberFormat="1" applyFont="1" applyFill="1" applyBorder="1" applyAlignment="1">
      <alignment horizontal="left"/>
    </xf>
    <xf numFmtId="0" fontId="4" fillId="7" borderId="1" xfId="0" applyFont="1" applyFill="1" applyBorder="1" applyAlignment="1">
      <alignment horizontal="left"/>
    </xf>
    <xf numFmtId="0" fontId="2" fillId="3" borderId="10" xfId="0" applyFont="1" applyFill="1" applyBorder="1" applyAlignment="1">
      <alignment horizontal="left"/>
    </xf>
    <xf numFmtId="0" fontId="6" fillId="3" borderId="10" xfId="0" applyFont="1" applyFill="1" applyBorder="1" applyAlignment="1">
      <alignment horizontal="left"/>
    </xf>
    <xf numFmtId="0" fontId="4" fillId="6" borderId="3" xfId="0" applyFont="1" applyFill="1" applyBorder="1" applyAlignment="1">
      <alignment horizontal="left"/>
    </xf>
    <xf numFmtId="0" fontId="5" fillId="6" borderId="3" xfId="0" applyFont="1" applyFill="1" applyBorder="1" applyAlignment="1">
      <alignment horizontal="left"/>
    </xf>
    <xf numFmtId="0" fontId="5" fillId="5" borderId="3" xfId="0" applyFont="1" applyFill="1" applyBorder="1"/>
    <xf numFmtId="0" fontId="2" fillId="5" borderId="15" xfId="0" applyFont="1" applyFill="1" applyBorder="1" applyAlignment="1">
      <alignment horizontal="left"/>
    </xf>
    <xf numFmtId="0" fontId="6" fillId="5" borderId="4" xfId="0" applyFont="1" applyFill="1" applyBorder="1" applyAlignment="1">
      <alignment horizontal="left"/>
    </xf>
    <xf numFmtId="0" fontId="13" fillId="5" borderId="15" xfId="0" applyFont="1" applyFill="1" applyBorder="1" applyAlignment="1">
      <alignment horizontal="left"/>
    </xf>
    <xf numFmtId="164" fontId="2" fillId="3" borderId="2" xfId="0" applyNumberFormat="1" applyFont="1" applyFill="1" applyBorder="1" applyAlignment="1">
      <alignment horizontal="left"/>
    </xf>
    <xf numFmtId="164" fontId="2" fillId="0" borderId="10" xfId="0" applyNumberFormat="1" applyFont="1" applyBorder="1" applyAlignment="1">
      <alignment horizontal="left"/>
    </xf>
    <xf numFmtId="164" fontId="4" fillId="0" borderId="10" xfId="0" applyNumberFormat="1" applyFont="1" applyBorder="1" applyAlignment="1">
      <alignment horizontal="left"/>
    </xf>
    <xf numFmtId="164" fontId="2" fillId="3" borderId="10" xfId="0" applyNumberFormat="1" applyFont="1" applyFill="1" applyBorder="1" applyAlignment="1">
      <alignment horizontal="left"/>
    </xf>
    <xf numFmtId="49" fontId="6" fillId="0" borderId="1" xfId="0" applyNumberFormat="1" applyFont="1" applyBorder="1"/>
    <xf numFmtId="49" fontId="6" fillId="3" borderId="1" xfId="0" applyNumberFormat="1" applyFont="1" applyFill="1" applyBorder="1"/>
    <xf numFmtId="49" fontId="4" fillId="6" borderId="10" xfId="0" applyNumberFormat="1" applyFont="1" applyFill="1" applyBorder="1"/>
    <xf numFmtId="1" fontId="5" fillId="5" borderId="4" xfId="0" applyNumberFormat="1" applyFont="1" applyFill="1" applyBorder="1"/>
    <xf numFmtId="1" fontId="5" fillId="5" borderId="7" xfId="0" applyNumberFormat="1" applyFont="1" applyFill="1" applyBorder="1"/>
    <xf numFmtId="1" fontId="5" fillId="5" borderId="15" xfId="0" applyNumberFormat="1" applyFont="1" applyFill="1" applyBorder="1"/>
    <xf numFmtId="1" fontId="13" fillId="7" borderId="9" xfId="0" applyNumberFormat="1" applyFont="1" applyFill="1" applyBorder="1" applyAlignment="1">
      <alignment horizontal="left"/>
    </xf>
    <xf numFmtId="1" fontId="6" fillId="7" borderId="14" xfId="0" applyNumberFormat="1" applyFont="1" applyFill="1" applyBorder="1" applyAlignment="1">
      <alignment horizontal="left"/>
    </xf>
    <xf numFmtId="1" fontId="6" fillId="7" borderId="11" xfId="0" applyNumberFormat="1" applyFont="1" applyFill="1" applyBorder="1" applyAlignment="1">
      <alignment horizontal="left"/>
    </xf>
    <xf numFmtId="0" fontId="6" fillId="0" borderId="1" xfId="0" applyFont="1" applyBorder="1" applyAlignment="1">
      <alignment horizontal="right"/>
    </xf>
    <xf numFmtId="0" fontId="4" fillId="6" borderId="10" xfId="0" applyFont="1" applyFill="1" applyBorder="1" applyAlignment="1">
      <alignment horizontal="left"/>
    </xf>
    <xf numFmtId="0" fontId="5" fillId="6" borderId="10" xfId="0" applyFont="1" applyFill="1" applyBorder="1" applyAlignment="1">
      <alignment horizontal="left"/>
    </xf>
    <xf numFmtId="0" fontId="4" fillId="5" borderId="15" xfId="0" applyFont="1" applyFill="1" applyBorder="1" applyAlignment="1">
      <alignment horizontal="left"/>
    </xf>
    <xf numFmtId="0" fontId="5" fillId="5" borderId="4" xfId="0" applyFont="1" applyFill="1" applyBorder="1" applyAlignment="1">
      <alignment horizontal="left"/>
    </xf>
    <xf numFmtId="49" fontId="5" fillId="5" borderId="15" xfId="0" applyNumberFormat="1" applyFont="1" applyFill="1" applyBorder="1"/>
    <xf numFmtId="1" fontId="5" fillId="2" borderId="2" xfId="0" applyNumberFormat="1" applyFont="1" applyFill="1" applyBorder="1" applyAlignment="1">
      <alignment horizontal="left"/>
    </xf>
    <xf numFmtId="49" fontId="4" fillId="2" borderId="2" xfId="0" applyNumberFormat="1" applyFont="1" applyFill="1" applyBorder="1" applyAlignment="1">
      <alignment horizontal="left"/>
    </xf>
    <xf numFmtId="1" fontId="13" fillId="7" borderId="1" xfId="0" applyNumberFormat="1" applyFont="1" applyFill="1" applyBorder="1" applyAlignment="1">
      <alignment horizontal="left"/>
    </xf>
    <xf numFmtId="49" fontId="4" fillId="0" borderId="2" xfId="0" applyNumberFormat="1" applyFont="1" applyBorder="1" applyAlignment="1">
      <alignment horizontal="left"/>
    </xf>
    <xf numFmtId="164" fontId="4" fillId="2" borderId="2" xfId="0" applyNumberFormat="1" applyFont="1" applyFill="1" applyBorder="1" applyAlignment="1">
      <alignment horizontal="left"/>
    </xf>
    <xf numFmtId="0" fontId="5" fillId="2" borderId="2" xfId="0" applyFont="1" applyFill="1" applyBorder="1" applyAlignment="1">
      <alignment horizontal="left"/>
    </xf>
    <xf numFmtId="0" fontId="5" fillId="2" borderId="2" xfId="0" applyFont="1" applyFill="1" applyBorder="1"/>
    <xf numFmtId="0" fontId="4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13" fillId="8" borderId="2" xfId="0" applyFont="1" applyFill="1" applyBorder="1" applyAlignment="1">
      <alignment horizontal="center"/>
    </xf>
    <xf numFmtId="0" fontId="13" fillId="2" borderId="2" xfId="0" applyFont="1" applyFill="1" applyBorder="1" applyAlignment="1">
      <alignment horizontal="center"/>
    </xf>
    <xf numFmtId="0" fontId="13" fillId="9" borderId="2" xfId="0" applyFont="1" applyFill="1" applyBorder="1" applyAlignment="1">
      <alignment horizontal="center"/>
    </xf>
    <xf numFmtId="0" fontId="13" fillId="8" borderId="2" xfId="0" applyFont="1" applyFill="1" applyBorder="1" applyAlignment="1">
      <alignment horizontal="right"/>
    </xf>
    <xf numFmtId="0" fontId="13" fillId="9" borderId="2" xfId="0" applyFont="1" applyFill="1" applyBorder="1" applyAlignment="1">
      <alignment horizontal="right"/>
    </xf>
    <xf numFmtId="0" fontId="17" fillId="0" borderId="0" xfId="0" applyFont="1"/>
    <xf numFmtId="1" fontId="6" fillId="10" borderId="1" xfId="0" applyNumberFormat="1" applyFont="1" applyFill="1" applyBorder="1"/>
    <xf numFmtId="49" fontId="2" fillId="10" borderId="1" xfId="0" applyNumberFormat="1" applyFont="1" applyFill="1" applyBorder="1" applyAlignment="1">
      <alignment horizontal="left"/>
    </xf>
    <xf numFmtId="49" fontId="5" fillId="0" borderId="1" xfId="0" applyNumberFormat="1" applyFont="1" applyBorder="1" applyAlignment="1">
      <alignment horizontal="left"/>
    </xf>
    <xf numFmtId="164" fontId="2" fillId="10" borderId="1" xfId="0" applyNumberFormat="1" applyFont="1" applyFill="1" applyBorder="1" applyAlignment="1">
      <alignment horizontal="left"/>
    </xf>
    <xf numFmtId="0" fontId="6" fillId="10" borderId="1" xfId="0" applyFont="1" applyFill="1" applyBorder="1" applyAlignment="1">
      <alignment horizontal="left"/>
    </xf>
    <xf numFmtId="0" fontId="6" fillId="10" borderId="1" xfId="0" applyFont="1" applyFill="1" applyBorder="1"/>
    <xf numFmtId="0" fontId="13" fillId="0" borderId="1" xfId="0" applyFont="1" applyBorder="1" applyAlignment="1">
      <alignment horizontal="left"/>
    </xf>
    <xf numFmtId="49" fontId="6" fillId="0" borderId="0" xfId="0" applyNumberFormat="1" applyFont="1"/>
    <xf numFmtId="0" fontId="8" fillId="0" borderId="0" xfId="0" applyFont="1" applyAlignment="1">
      <alignment horizontal="left"/>
    </xf>
    <xf numFmtId="1" fontId="8" fillId="0" borderId="0" xfId="0" applyNumberFormat="1" applyFont="1"/>
    <xf numFmtId="164" fontId="2" fillId="0" borderId="0" xfId="0" applyNumberFormat="1" applyFont="1" applyAlignment="1">
      <alignment horizontal="left"/>
    </xf>
    <xf numFmtId="3" fontId="8" fillId="0" borderId="0" xfId="0" applyNumberFormat="1" applyFont="1"/>
    <xf numFmtId="0" fontId="7" fillId="0" borderId="0" xfId="0" applyFont="1"/>
    <xf numFmtId="0" fontId="20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21" fillId="0" borderId="0" xfId="0" applyFont="1"/>
    <xf numFmtId="0" fontId="22" fillId="0" borderId="0" xfId="0" applyFont="1" applyAlignment="1">
      <alignment horizontal="center"/>
    </xf>
    <xf numFmtId="0" fontId="3" fillId="0" borderId="0" xfId="0" applyFont="1"/>
    <xf numFmtId="49" fontId="4" fillId="0" borderId="0" xfId="0" applyNumberFormat="1" applyFont="1"/>
    <xf numFmtId="3" fontId="23" fillId="0" borderId="0" xfId="0" applyNumberFormat="1" applyFont="1"/>
    <xf numFmtId="3" fontId="2" fillId="0" borderId="0" xfId="0" applyNumberFormat="1" applyFont="1"/>
    <xf numFmtId="3" fontId="3" fillId="0" borderId="0" xfId="0" applyNumberFormat="1" applyFont="1"/>
    <xf numFmtId="0" fontId="6" fillId="0" borderId="1" xfId="0" quotePrefix="1" applyFont="1" applyBorder="1"/>
    <xf numFmtId="0" fontId="6" fillId="0" borderId="11" xfId="0" quotePrefix="1" applyFont="1" applyBorder="1"/>
    <xf numFmtId="1" fontId="6" fillId="0" borderId="12" xfId="0" applyNumberFormat="1" applyFont="1" applyBorder="1" applyAlignment="1">
      <alignment horizontal="left"/>
    </xf>
    <xf numFmtId="1" fontId="6" fillId="0" borderId="10" xfId="0" applyNumberFormat="1" applyFont="1" applyBorder="1" applyAlignment="1">
      <alignment horizontal="left"/>
    </xf>
    <xf numFmtId="0" fontId="31" fillId="0" borderId="0" xfId="0" applyFont="1"/>
    <xf numFmtId="1" fontId="32" fillId="0" borderId="0" xfId="0" applyNumberFormat="1" applyFont="1"/>
    <xf numFmtId="0" fontId="32" fillId="0" borderId="0" xfId="0" applyFont="1"/>
    <xf numFmtId="165" fontId="13" fillId="10" borderId="0" xfId="0" applyNumberFormat="1" applyFont="1" applyFill="1"/>
    <xf numFmtId="165" fontId="13" fillId="10" borderId="0" xfId="0" applyNumberFormat="1" applyFont="1" applyFill="1" applyAlignment="1">
      <alignment horizontal="right"/>
    </xf>
    <xf numFmtId="165" fontId="14" fillId="10" borderId="0" xfId="0" applyNumberFormat="1" applyFont="1" applyFill="1"/>
    <xf numFmtId="165" fontId="15" fillId="10" borderId="0" xfId="0" applyNumberFormat="1" applyFont="1" applyFill="1"/>
    <xf numFmtId="165" fontId="13" fillId="0" borderId="0" xfId="0" applyNumberFormat="1" applyFont="1"/>
    <xf numFmtId="165" fontId="0" fillId="0" borderId="0" xfId="0" applyNumberFormat="1"/>
    <xf numFmtId="165" fontId="9" fillId="0" borderId="0" xfId="0" applyNumberFormat="1" applyFont="1"/>
    <xf numFmtId="165" fontId="12" fillId="0" borderId="0" xfId="0" applyNumberFormat="1" applyFont="1"/>
    <xf numFmtId="165" fontId="14" fillId="0" borderId="0" xfId="0" applyNumberFormat="1" applyFont="1"/>
    <xf numFmtId="165" fontId="8" fillId="10" borderId="0" xfId="0" applyNumberFormat="1" applyFont="1" applyFill="1"/>
    <xf numFmtId="165" fontId="8" fillId="10" borderId="0" xfId="0" applyNumberFormat="1" applyFont="1" applyFill="1" applyAlignment="1">
      <alignment horizontal="right"/>
    </xf>
    <xf numFmtId="165" fontId="9" fillId="10" borderId="0" xfId="0" applyNumberFormat="1" applyFont="1" applyFill="1"/>
    <xf numFmtId="165" fontId="10" fillId="10" borderId="0" xfId="0" applyNumberFormat="1" applyFont="1" applyFill="1"/>
    <xf numFmtId="165" fontId="8" fillId="0" borderId="0" xfId="0" applyNumberFormat="1" applyFont="1"/>
    <xf numFmtId="165" fontId="30" fillId="4" borderId="10" xfId="0" applyNumberFormat="1" applyFont="1" applyFill="1" applyBorder="1" applyAlignment="1">
      <alignment horizontal="center"/>
    </xf>
    <xf numFmtId="165" fontId="30" fillId="4" borderId="1" xfId="0" applyNumberFormat="1" applyFont="1" applyFill="1" applyBorder="1" applyAlignment="1">
      <alignment horizontal="center"/>
    </xf>
    <xf numFmtId="165" fontId="30" fillId="4" borderId="3" xfId="0" applyNumberFormat="1" applyFont="1" applyFill="1" applyBorder="1" applyAlignment="1">
      <alignment horizontal="center"/>
    </xf>
    <xf numFmtId="165" fontId="30" fillId="4" borderId="2" xfId="0" applyNumberFormat="1" applyFont="1" applyFill="1" applyBorder="1" applyAlignment="1">
      <alignment horizontal="center"/>
    </xf>
    <xf numFmtId="165" fontId="14" fillId="0" borderId="4" xfId="0" applyNumberFormat="1" applyFont="1" applyBorder="1" applyAlignment="1">
      <alignment horizontal="center" wrapText="1"/>
    </xf>
    <xf numFmtId="165" fontId="14" fillId="0" borderId="7" xfId="0" applyNumberFormat="1" applyFont="1" applyBorder="1" applyAlignment="1">
      <alignment horizontal="center" wrapText="1"/>
    </xf>
    <xf numFmtId="165" fontId="13" fillId="2" borderId="1" xfId="0" applyNumberFormat="1" applyFont="1" applyFill="1" applyBorder="1" applyAlignment="1">
      <alignment horizontal="right"/>
    </xf>
    <xf numFmtId="165" fontId="13" fillId="8" borderId="1" xfId="0" applyNumberFormat="1" applyFont="1" applyFill="1" applyBorder="1" applyAlignment="1">
      <alignment horizontal="right"/>
    </xf>
    <xf numFmtId="165" fontId="14" fillId="10" borderId="1" xfId="0" applyNumberFormat="1" applyFont="1" applyFill="1" applyBorder="1" applyAlignment="1">
      <alignment horizontal="right"/>
    </xf>
    <xf numFmtId="165" fontId="15" fillId="10" borderId="1" xfId="0" applyNumberFormat="1" applyFont="1" applyFill="1" applyBorder="1" applyAlignment="1">
      <alignment horizontal="right"/>
    </xf>
    <xf numFmtId="165" fontId="13" fillId="9" borderId="1" xfId="0" applyNumberFormat="1" applyFont="1" applyFill="1" applyBorder="1" applyAlignment="1">
      <alignment horizontal="right"/>
    </xf>
    <xf numFmtId="165" fontId="0" fillId="0" borderId="0" xfId="0" applyNumberFormat="1" applyAlignment="1">
      <alignment horizontal="right"/>
    </xf>
    <xf numFmtId="165" fontId="14" fillId="0" borderId="1" xfId="0" applyNumberFormat="1" applyFont="1" applyBorder="1" applyAlignment="1">
      <alignment horizontal="center"/>
    </xf>
    <xf numFmtId="165" fontId="13" fillId="2" borderId="10" xfId="0" applyNumberFormat="1" applyFont="1" applyFill="1" applyBorder="1" applyAlignment="1">
      <alignment horizontal="right"/>
    </xf>
    <xf numFmtId="165" fontId="13" fillId="8" borderId="10" xfId="0" applyNumberFormat="1" applyFont="1" applyFill="1" applyBorder="1" applyAlignment="1">
      <alignment horizontal="right"/>
    </xf>
    <xf numFmtId="165" fontId="14" fillId="10" borderId="10" xfId="0" applyNumberFormat="1" applyFont="1" applyFill="1" applyBorder="1" applyAlignment="1">
      <alignment horizontal="right"/>
    </xf>
    <xf numFmtId="165" fontId="15" fillId="10" borderId="10" xfId="0" applyNumberFormat="1" applyFont="1" applyFill="1" applyBorder="1" applyAlignment="1">
      <alignment horizontal="right"/>
    </xf>
    <xf numFmtId="165" fontId="13" fillId="9" borderId="10" xfId="0" applyNumberFormat="1" applyFont="1" applyFill="1" applyBorder="1" applyAlignment="1">
      <alignment horizontal="right"/>
    </xf>
    <xf numFmtId="165" fontId="14" fillId="0" borderId="10" xfId="0" applyNumberFormat="1" applyFont="1" applyBorder="1" applyAlignment="1">
      <alignment horizontal="center"/>
    </xf>
    <xf numFmtId="165" fontId="0" fillId="0" borderId="1" xfId="0" applyNumberFormat="1" applyBorder="1" applyAlignment="1">
      <alignment horizontal="right"/>
    </xf>
    <xf numFmtId="165" fontId="14" fillId="10" borderId="0" xfId="0" applyNumberFormat="1" applyFont="1" applyFill="1" applyAlignment="1">
      <alignment horizontal="right"/>
    </xf>
    <xf numFmtId="165" fontId="15" fillId="10" borderId="0" xfId="0" applyNumberFormat="1" applyFont="1" applyFill="1" applyAlignment="1">
      <alignment horizontal="right"/>
    </xf>
    <xf numFmtId="165" fontId="13" fillId="10" borderId="0" xfId="0" applyNumberFormat="1" applyFont="1" applyFill="1" applyAlignment="1">
      <alignment horizontal="center" wrapText="1"/>
    </xf>
    <xf numFmtId="165" fontId="13" fillId="10" borderId="0" xfId="0" applyNumberFormat="1" applyFont="1" applyFill="1" applyAlignment="1">
      <alignment horizontal="right" wrapText="1"/>
    </xf>
    <xf numFmtId="165" fontId="14" fillId="10" borderId="0" xfId="0" applyNumberFormat="1" applyFont="1" applyFill="1" applyAlignment="1">
      <alignment horizontal="center" wrapText="1"/>
    </xf>
    <xf numFmtId="165" fontId="13" fillId="9" borderId="0" xfId="0" applyNumberFormat="1" applyFont="1" applyFill="1" applyAlignment="1">
      <alignment horizontal="center" wrapText="1"/>
    </xf>
    <xf numFmtId="165" fontId="16" fillId="0" borderId="2" xfId="0" applyNumberFormat="1" applyFont="1" applyBorder="1" applyAlignment="1">
      <alignment wrapText="1"/>
    </xf>
    <xf numFmtId="165" fontId="9" fillId="0" borderId="9" xfId="0" applyNumberFormat="1" applyFont="1" applyBorder="1" applyAlignment="1">
      <alignment horizontal="center"/>
    </xf>
    <xf numFmtId="165" fontId="9" fillId="0" borderId="14" xfId="0" applyNumberFormat="1" applyFont="1" applyBorder="1" applyAlignment="1">
      <alignment horizontal="center"/>
    </xf>
    <xf numFmtId="165" fontId="9" fillId="0" borderId="11" xfId="0" applyNumberFormat="1" applyFont="1" applyBorder="1" applyAlignment="1">
      <alignment horizontal="center"/>
    </xf>
    <xf numFmtId="165" fontId="10" fillId="10" borderId="1" xfId="0" applyNumberFormat="1" applyFont="1" applyFill="1" applyBorder="1" applyAlignment="1">
      <alignment horizontal="right"/>
    </xf>
    <xf numFmtId="165" fontId="13" fillId="9" borderId="9" xfId="0" applyNumberFormat="1" applyFont="1" applyFill="1" applyBorder="1" applyAlignment="1">
      <alignment horizontal="right"/>
    </xf>
    <xf numFmtId="165" fontId="3" fillId="0" borderId="9" xfId="0" applyNumberFormat="1" applyFont="1" applyBorder="1" applyAlignment="1">
      <alignment horizontal="right"/>
    </xf>
    <xf numFmtId="165" fontId="30" fillId="2" borderId="1" xfId="0" applyNumberFormat="1" applyFont="1" applyFill="1" applyBorder="1" applyAlignment="1">
      <alignment horizontal="right"/>
    </xf>
    <xf numFmtId="165" fontId="9" fillId="0" borderId="1" xfId="0" applyNumberFormat="1" applyFont="1" applyBorder="1" applyAlignment="1">
      <alignment horizontal="center"/>
    </xf>
    <xf numFmtId="165" fontId="8" fillId="8" borderId="1" xfId="0" applyNumberFormat="1" applyFont="1" applyFill="1" applyBorder="1" applyAlignment="1">
      <alignment horizontal="right"/>
    </xf>
    <xf numFmtId="165" fontId="9" fillId="10" borderId="1" xfId="0" applyNumberFormat="1" applyFont="1" applyFill="1" applyBorder="1" applyAlignment="1">
      <alignment horizontal="right"/>
    </xf>
    <xf numFmtId="165" fontId="13" fillId="8" borderId="1" xfId="0" applyNumberFormat="1" applyFont="1" applyFill="1" applyBorder="1" applyAlignment="1">
      <alignment horizontal="right" wrapText="1"/>
    </xf>
    <xf numFmtId="165" fontId="14" fillId="10" borderId="1" xfId="0" applyNumberFormat="1" applyFont="1" applyFill="1" applyBorder="1" applyAlignment="1">
      <alignment horizontal="right" wrapText="1"/>
    </xf>
    <xf numFmtId="165" fontId="15" fillId="10" borderId="1" xfId="0" applyNumberFormat="1" applyFont="1" applyFill="1" applyBorder="1" applyAlignment="1">
      <alignment horizontal="right" wrapText="1"/>
    </xf>
    <xf numFmtId="165" fontId="8" fillId="8" borderId="1" xfId="0" applyNumberFormat="1" applyFont="1" applyFill="1" applyBorder="1" applyAlignment="1">
      <alignment horizontal="right" wrapText="1"/>
    </xf>
    <xf numFmtId="165" fontId="9" fillId="10" borderId="1" xfId="0" applyNumberFormat="1" applyFont="1" applyFill="1" applyBorder="1" applyAlignment="1">
      <alignment horizontal="right" wrapText="1"/>
    </xf>
    <xf numFmtId="165" fontId="10" fillId="10" borderId="1" xfId="0" applyNumberFormat="1" applyFont="1" applyFill="1" applyBorder="1" applyAlignment="1">
      <alignment horizontal="right" wrapText="1"/>
    </xf>
    <xf numFmtId="165" fontId="8" fillId="8" borderId="10" xfId="0" applyNumberFormat="1" applyFont="1" applyFill="1" applyBorder="1" applyAlignment="1">
      <alignment horizontal="right"/>
    </xf>
    <xf numFmtId="165" fontId="9" fillId="10" borderId="10" xfId="0" applyNumberFormat="1" applyFont="1" applyFill="1" applyBorder="1" applyAlignment="1">
      <alignment horizontal="right"/>
    </xf>
    <xf numFmtId="165" fontId="10" fillId="10" borderId="10" xfId="0" applyNumberFormat="1" applyFont="1" applyFill="1" applyBorder="1" applyAlignment="1">
      <alignment horizontal="right"/>
    </xf>
    <xf numFmtId="165" fontId="13" fillId="9" borderId="5" xfId="0" applyNumberFormat="1" applyFont="1" applyFill="1" applyBorder="1" applyAlignment="1">
      <alignment horizontal="right"/>
    </xf>
    <xf numFmtId="165" fontId="3" fillId="0" borderId="5" xfId="0" applyNumberFormat="1" applyFont="1" applyBorder="1" applyAlignment="1">
      <alignment horizontal="right"/>
    </xf>
    <xf numFmtId="165" fontId="13" fillId="10" borderId="0" xfId="0" applyNumberFormat="1" applyFont="1" applyFill="1" applyAlignment="1">
      <alignment horizontal="left"/>
    </xf>
    <xf numFmtId="165" fontId="14" fillId="10" borderId="0" xfId="0" applyNumberFormat="1" applyFont="1" applyFill="1" applyAlignment="1">
      <alignment horizontal="left"/>
    </xf>
    <xf numFmtId="165" fontId="15" fillId="10" borderId="0" xfId="0" applyNumberFormat="1" applyFont="1" applyFill="1" applyAlignment="1">
      <alignment horizontal="left"/>
    </xf>
    <xf numFmtId="165" fontId="10" fillId="10" borderId="6" xfId="0" applyNumberFormat="1" applyFont="1" applyFill="1" applyBorder="1" applyAlignment="1">
      <alignment horizontal="left"/>
    </xf>
    <xf numFmtId="165" fontId="14" fillId="10" borderId="1" xfId="0" applyNumberFormat="1" applyFont="1" applyFill="1" applyBorder="1" applyAlignment="1">
      <alignment horizontal="left"/>
    </xf>
    <xf numFmtId="165" fontId="13" fillId="0" borderId="0" xfId="0" applyNumberFormat="1" applyFont="1" applyAlignment="1">
      <alignment horizontal="left"/>
    </xf>
    <xf numFmtId="165" fontId="0" fillId="0" borderId="0" xfId="0" applyNumberFormat="1" applyAlignment="1">
      <alignment horizontal="left"/>
    </xf>
    <xf numFmtId="165" fontId="9" fillId="0" borderId="0" xfId="0" applyNumberFormat="1" applyFont="1" applyAlignment="1">
      <alignment horizontal="left"/>
    </xf>
    <xf numFmtId="165" fontId="10" fillId="10" borderId="7" xfId="0" applyNumberFormat="1" applyFont="1" applyFill="1" applyBorder="1" applyAlignment="1">
      <alignment horizontal="left"/>
    </xf>
    <xf numFmtId="165" fontId="8" fillId="9" borderId="1" xfId="0" applyNumberFormat="1" applyFont="1" applyFill="1" applyBorder="1" applyAlignment="1">
      <alignment horizontal="right"/>
    </xf>
    <xf numFmtId="165" fontId="13" fillId="9" borderId="1" xfId="0" applyNumberFormat="1" applyFont="1" applyFill="1" applyBorder="1" applyAlignment="1">
      <alignment horizontal="right" wrapText="1"/>
    </xf>
    <xf numFmtId="165" fontId="8" fillId="9" borderId="1" xfId="0" applyNumberFormat="1" applyFont="1" applyFill="1" applyBorder="1" applyAlignment="1">
      <alignment horizontal="right" wrapText="1"/>
    </xf>
    <xf numFmtId="165" fontId="0" fillId="10" borderId="0" xfId="0" applyNumberFormat="1" applyFill="1"/>
    <xf numFmtId="165" fontId="8" fillId="8" borderId="1" xfId="1" applyNumberFormat="1" applyFont="1" applyFill="1" applyBorder="1" applyAlignment="1">
      <alignment horizontal="right"/>
    </xf>
    <xf numFmtId="165" fontId="9" fillId="10" borderId="1" xfId="1" applyNumberFormat="1" applyFont="1" applyFill="1" applyBorder="1" applyAlignment="1">
      <alignment horizontal="right"/>
    </xf>
    <xf numFmtId="165" fontId="14" fillId="10" borderId="1" xfId="1" applyNumberFormat="1" applyFont="1" applyFill="1" applyBorder="1" applyAlignment="1">
      <alignment horizontal="right"/>
    </xf>
    <xf numFmtId="165" fontId="13" fillId="8" borderId="1" xfId="1" applyNumberFormat="1" applyFont="1" applyFill="1" applyBorder="1" applyAlignment="1">
      <alignment horizontal="right"/>
    </xf>
    <xf numFmtId="165" fontId="13" fillId="8" borderId="2" xfId="0" applyNumberFormat="1" applyFont="1" applyFill="1" applyBorder="1" applyAlignment="1">
      <alignment horizontal="right"/>
    </xf>
    <xf numFmtId="165" fontId="14" fillId="10" borderId="2" xfId="0" applyNumberFormat="1" applyFont="1" applyFill="1" applyBorder="1" applyAlignment="1">
      <alignment horizontal="right"/>
    </xf>
    <xf numFmtId="165" fontId="15" fillId="10" borderId="2" xfId="0" applyNumberFormat="1" applyFont="1" applyFill="1" applyBorder="1" applyAlignment="1">
      <alignment horizontal="right"/>
    </xf>
    <xf numFmtId="165" fontId="13" fillId="9" borderId="2" xfId="0" applyNumberFormat="1" applyFont="1" applyFill="1" applyBorder="1" applyAlignment="1">
      <alignment horizontal="right"/>
    </xf>
    <xf numFmtId="165" fontId="13" fillId="8" borderId="1" xfId="1" applyNumberFormat="1" applyFont="1" applyFill="1" applyBorder="1" applyAlignment="1">
      <alignment horizontal="right" wrapText="1"/>
    </xf>
    <xf numFmtId="165" fontId="14" fillId="10" borderId="1" xfId="1" applyNumberFormat="1" applyFont="1" applyFill="1" applyBorder="1" applyAlignment="1">
      <alignment horizontal="right" wrapText="1"/>
    </xf>
    <xf numFmtId="165" fontId="9" fillId="0" borderId="1" xfId="1" applyNumberFormat="1" applyFont="1" applyBorder="1" applyAlignment="1">
      <alignment horizontal="right"/>
    </xf>
    <xf numFmtId="165" fontId="14" fillId="0" borderId="1" xfId="1" applyNumberFormat="1" applyFont="1" applyBorder="1" applyAlignment="1">
      <alignment horizontal="right"/>
    </xf>
    <xf numFmtId="165" fontId="9" fillId="0" borderId="1" xfId="0" applyNumberFormat="1" applyFont="1" applyBorder="1" applyAlignment="1">
      <alignment horizontal="right"/>
    </xf>
    <xf numFmtId="165" fontId="10" fillId="0" borderId="1" xfId="0" applyNumberFormat="1" applyFont="1" applyBorder="1" applyAlignment="1">
      <alignment horizontal="right"/>
    </xf>
    <xf numFmtId="165" fontId="8" fillId="8" borderId="1" xfId="1" applyNumberFormat="1" applyFont="1" applyFill="1" applyBorder="1" applyAlignment="1">
      <alignment horizontal="right" wrapText="1"/>
    </xf>
    <xf numFmtId="165" fontId="9" fillId="10" borderId="1" xfId="1" applyNumberFormat="1" applyFont="1" applyFill="1" applyBorder="1" applyAlignment="1">
      <alignment horizontal="right" wrapText="1"/>
    </xf>
    <xf numFmtId="165" fontId="8" fillId="8" borderId="10" xfId="1" applyNumberFormat="1" applyFont="1" applyFill="1" applyBorder="1" applyAlignment="1">
      <alignment horizontal="right"/>
    </xf>
    <xf numFmtId="165" fontId="9" fillId="10" borderId="10" xfId="1" applyNumberFormat="1" applyFont="1" applyFill="1" applyBorder="1" applyAlignment="1">
      <alignment horizontal="right"/>
    </xf>
    <xf numFmtId="165" fontId="8" fillId="9" borderId="10" xfId="0" applyNumberFormat="1" applyFont="1" applyFill="1" applyBorder="1" applyAlignment="1">
      <alignment horizontal="right"/>
    </xf>
    <xf numFmtId="165" fontId="8" fillId="8" borderId="2" xfId="1" applyNumberFormat="1" applyFont="1" applyFill="1" applyBorder="1" applyAlignment="1">
      <alignment horizontal="right" wrapText="1"/>
    </xf>
    <xf numFmtId="165" fontId="9" fillId="10" borderId="2" xfId="1" applyNumberFormat="1" applyFont="1" applyFill="1" applyBorder="1" applyAlignment="1">
      <alignment horizontal="right" wrapText="1"/>
    </xf>
    <xf numFmtId="165" fontId="9" fillId="10" borderId="2" xfId="0" applyNumberFormat="1" applyFont="1" applyFill="1" applyBorder="1" applyAlignment="1">
      <alignment horizontal="right" wrapText="1"/>
    </xf>
    <xf numFmtId="165" fontId="10" fillId="10" borderId="2" xfId="0" applyNumberFormat="1" applyFont="1" applyFill="1" applyBorder="1" applyAlignment="1">
      <alignment horizontal="right" wrapText="1"/>
    </xf>
    <xf numFmtId="165" fontId="8" fillId="9" borderId="2" xfId="0" applyNumberFormat="1" applyFont="1" applyFill="1" applyBorder="1" applyAlignment="1">
      <alignment horizontal="right" wrapText="1"/>
    </xf>
    <xf numFmtId="165" fontId="8" fillId="8" borderId="2" xfId="1" applyNumberFormat="1" applyFont="1" applyFill="1" applyBorder="1" applyAlignment="1">
      <alignment horizontal="right"/>
    </xf>
    <xf numFmtId="165" fontId="9" fillId="10" borderId="2" xfId="1" applyNumberFormat="1" applyFont="1" applyFill="1" applyBorder="1" applyAlignment="1">
      <alignment horizontal="right"/>
    </xf>
    <xf numFmtId="165" fontId="9" fillId="10" borderId="2" xfId="0" applyNumberFormat="1" applyFont="1" applyFill="1" applyBorder="1" applyAlignment="1">
      <alignment horizontal="right"/>
    </xf>
    <xf numFmtId="165" fontId="10" fillId="10" borderId="2" xfId="0" applyNumberFormat="1" applyFont="1" applyFill="1" applyBorder="1" applyAlignment="1">
      <alignment horizontal="right"/>
    </xf>
    <xf numFmtId="165" fontId="8" fillId="9" borderId="2" xfId="0" applyNumberFormat="1" applyFont="1" applyFill="1" applyBorder="1" applyAlignment="1">
      <alignment horizontal="right"/>
    </xf>
    <xf numFmtId="165" fontId="8" fillId="0" borderId="1" xfId="0" applyNumberFormat="1" applyFont="1" applyBorder="1" applyAlignment="1">
      <alignment horizontal="right"/>
    </xf>
    <xf numFmtId="165" fontId="0" fillId="11" borderId="0" xfId="0" applyNumberFormat="1" applyFill="1" applyAlignment="1">
      <alignment horizontal="right"/>
    </xf>
    <xf numFmtId="165" fontId="8" fillId="8" borderId="3" xfId="1" applyNumberFormat="1" applyFont="1" applyFill="1" applyBorder="1" applyAlignment="1">
      <alignment horizontal="right"/>
    </xf>
    <xf numFmtId="165" fontId="9" fillId="10" borderId="3" xfId="1" applyNumberFormat="1" applyFont="1" applyFill="1" applyBorder="1" applyAlignment="1">
      <alignment horizontal="right"/>
    </xf>
    <xf numFmtId="165" fontId="9" fillId="10" borderId="3" xfId="0" applyNumberFormat="1" applyFont="1" applyFill="1" applyBorder="1" applyAlignment="1">
      <alignment horizontal="right"/>
    </xf>
    <xf numFmtId="165" fontId="10" fillId="10" borderId="3" xfId="0" applyNumberFormat="1" applyFont="1" applyFill="1" applyBorder="1" applyAlignment="1">
      <alignment horizontal="right"/>
    </xf>
    <xf numFmtId="165" fontId="8" fillId="9" borderId="3" xfId="0" applyNumberFormat="1" applyFont="1" applyFill="1" applyBorder="1" applyAlignment="1">
      <alignment horizontal="right"/>
    </xf>
    <xf numFmtId="165" fontId="9" fillId="10" borderId="0" xfId="0" applyNumberFormat="1" applyFont="1" applyFill="1" applyAlignment="1">
      <alignment horizontal="right"/>
    </xf>
    <xf numFmtId="165" fontId="8" fillId="9" borderId="0" xfId="0" applyNumberFormat="1" applyFont="1" applyFill="1" applyAlignment="1">
      <alignment horizontal="right"/>
    </xf>
    <xf numFmtId="165" fontId="1" fillId="0" borderId="0" xfId="0" applyNumberFormat="1" applyFont="1" applyAlignment="1">
      <alignment horizontal="right"/>
    </xf>
    <xf numFmtId="165" fontId="13" fillId="8" borderId="10" xfId="1" applyNumberFormat="1" applyFont="1" applyFill="1" applyBorder="1" applyAlignment="1">
      <alignment horizontal="right"/>
    </xf>
    <xf numFmtId="165" fontId="14" fillId="10" borderId="10" xfId="1" applyNumberFormat="1" applyFont="1" applyFill="1" applyBorder="1" applyAlignment="1">
      <alignment horizontal="right"/>
    </xf>
    <xf numFmtId="165" fontId="13" fillId="8" borderId="2" xfId="1" applyNumberFormat="1" applyFont="1" applyFill="1" applyBorder="1" applyAlignment="1">
      <alignment horizontal="right"/>
    </xf>
    <xf numFmtId="165" fontId="14" fillId="10" borderId="2" xfId="1" applyNumberFormat="1" applyFont="1" applyFill="1" applyBorder="1" applyAlignment="1">
      <alignment horizontal="right"/>
    </xf>
    <xf numFmtId="165" fontId="10" fillId="10" borderId="0" xfId="0" applyNumberFormat="1" applyFont="1" applyFill="1" applyAlignment="1">
      <alignment horizontal="right"/>
    </xf>
    <xf numFmtId="165" fontId="8" fillId="0" borderId="0" xfId="0" applyNumberFormat="1" applyFont="1" applyAlignment="1">
      <alignment horizontal="right"/>
    </xf>
    <xf numFmtId="165" fontId="7" fillId="0" borderId="0" xfId="0" applyNumberFormat="1" applyFont="1"/>
    <xf numFmtId="165" fontId="23" fillId="0" borderId="0" xfId="0" applyNumberFormat="1" applyFont="1"/>
    <xf numFmtId="165" fontId="2" fillId="0" borderId="0" xfId="0" applyNumberFormat="1" applyFont="1"/>
    <xf numFmtId="165" fontId="3" fillId="0" borderId="0" xfId="0" applyNumberFormat="1" applyFont="1"/>
    <xf numFmtId="165" fontId="4" fillId="0" borderId="0" xfId="0" applyNumberFormat="1" applyFont="1"/>
    <xf numFmtId="165" fontId="33" fillId="0" borderId="0" xfId="0" applyNumberFormat="1" applyFont="1"/>
    <xf numFmtId="165" fontId="34" fillId="10" borderId="0" xfId="0" applyNumberFormat="1" applyFont="1" applyFill="1"/>
    <xf numFmtId="3" fontId="35" fillId="0" borderId="1" xfId="0" applyNumberFormat="1" applyFont="1" applyBorder="1"/>
    <xf numFmtId="3" fontId="35" fillId="0" borderId="9" xfId="0" applyNumberFormat="1" applyFont="1" applyBorder="1"/>
    <xf numFmtId="165" fontId="14" fillId="0" borderId="9" xfId="0" applyNumberFormat="1" applyFont="1" applyBorder="1" applyAlignment="1">
      <alignment horizontal="center"/>
    </xf>
    <xf numFmtId="165" fontId="14" fillId="0" borderId="5" xfId="0" applyNumberFormat="1" applyFont="1" applyBorder="1" applyAlignment="1">
      <alignment horizontal="center"/>
    </xf>
    <xf numFmtId="3" fontId="35" fillId="0" borderId="11" xfId="0" applyNumberFormat="1" applyFont="1" applyBorder="1"/>
    <xf numFmtId="3" fontId="35" fillId="0" borderId="2" xfId="0" applyNumberFormat="1" applyFont="1" applyBorder="1"/>
    <xf numFmtId="3" fontId="35" fillId="0" borderId="0" xfId="0" applyNumberFormat="1" applyFont="1"/>
    <xf numFmtId="3" fontId="35" fillId="0" borderId="10" xfId="0" applyNumberFormat="1" applyFont="1" applyBorder="1"/>
    <xf numFmtId="0" fontId="6" fillId="0" borderId="0" xfId="0" applyFont="1" applyAlignment="1">
      <alignment horizontal="left"/>
    </xf>
    <xf numFmtId="1" fontId="31" fillId="0" borderId="0" xfId="0" applyNumberFormat="1" applyFont="1" applyAlignment="1">
      <alignment horizontal="left"/>
    </xf>
    <xf numFmtId="165" fontId="9" fillId="0" borderId="9" xfId="0" applyNumberFormat="1" applyFont="1" applyBorder="1" applyAlignment="1">
      <alignment horizontal="center"/>
    </xf>
    <xf numFmtId="165" fontId="9" fillId="0" borderId="14" xfId="0" applyNumberFormat="1" applyFont="1" applyBorder="1" applyAlignment="1">
      <alignment horizontal="center"/>
    </xf>
    <xf numFmtId="165" fontId="9" fillId="0" borderId="11" xfId="0" applyNumberFormat="1" applyFont="1" applyBorder="1" applyAlignment="1">
      <alignment horizontal="center"/>
    </xf>
    <xf numFmtId="165" fontId="14" fillId="0" borderId="10" xfId="0" applyNumberFormat="1" applyFont="1" applyBorder="1" applyAlignment="1">
      <alignment horizontal="center" wrapText="1"/>
    </xf>
    <xf numFmtId="165" fontId="14" fillId="0" borderId="2" xfId="0" applyNumberFormat="1" applyFont="1" applyBorder="1" applyAlignment="1">
      <alignment horizontal="center" wrapText="1"/>
    </xf>
    <xf numFmtId="165" fontId="14" fillId="0" borderId="5" xfId="0" applyNumberFormat="1" applyFont="1" applyBorder="1" applyAlignment="1">
      <alignment horizontal="center" wrapText="1"/>
    </xf>
    <xf numFmtId="165" fontId="14" fillId="0" borderId="4" xfId="0" applyNumberFormat="1" applyFont="1" applyBorder="1" applyAlignment="1">
      <alignment horizontal="center" wrapText="1"/>
    </xf>
    <xf numFmtId="0" fontId="11" fillId="0" borderId="0" xfId="0" applyFont="1" applyAlignment="1">
      <alignment horizontal="center"/>
    </xf>
    <xf numFmtId="0" fontId="0" fillId="0" borderId="0" xfId="0"/>
    <xf numFmtId="165" fontId="14" fillId="0" borderId="9" xfId="0" applyNumberFormat="1" applyFont="1" applyBorder="1" applyAlignment="1">
      <alignment horizontal="center" wrapText="1"/>
    </xf>
    <xf numFmtId="165" fontId="14" fillId="0" borderId="14" xfId="0" applyNumberFormat="1" applyFont="1" applyBorder="1" applyAlignment="1">
      <alignment horizontal="center" wrapText="1"/>
    </xf>
  </cellXfs>
  <cellStyles count="2">
    <cellStyle name="Normal" xfId="0" builtinId="0"/>
    <cellStyle name="Normal 2" xfId="1"/>
  </cellStyles>
  <dxfs count="43"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numFmt numFmtId="165" formatCode="#,##0\ _k_n"/>
      <fill>
        <patternFill patternType="solid">
          <fgColor indexed="64"/>
          <bgColor indexed="31"/>
        </patternFill>
      </fill>
      <alignment horizontal="center" vertical="bottom" textRotation="0" wrapText="0" indent="0" relativeIndent="0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6"/>
        <color auto="1"/>
        <name val="Arial"/>
        <scheme val="none"/>
      </font>
      <fill>
        <patternFill patternType="solid">
          <fgColor indexed="64"/>
          <bgColor indexed="9"/>
        </patternFill>
      </fill>
      <alignment horizontal="right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 Narrow"/>
        <scheme val="none"/>
      </font>
      <numFmt numFmtId="165" formatCode="#,##0\ _k_n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5" formatCode="#,##0\ _k_n"/>
      <fill>
        <patternFill patternType="solid">
          <fgColor indexed="64"/>
          <bgColor indexed="41"/>
        </patternFill>
      </fill>
      <alignment horizontal="right" vertical="bottom" textRotation="0" wrapText="0" indent="0" relativeIndent="0" justifyLastLine="0" shrinkToFit="0" mergeCell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6"/>
        <color auto="1"/>
        <name val="Arial"/>
        <scheme val="none"/>
      </font>
      <numFmt numFmtId="165" formatCode="#,##0\ _k_n"/>
      <fill>
        <patternFill patternType="solid">
          <fgColor indexed="64"/>
          <bgColor indexed="9"/>
        </patternFill>
      </fill>
      <alignment horizontal="right" vertical="bottom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6"/>
        <color auto="1"/>
        <name val="Arial"/>
        <scheme val="none"/>
      </font>
      <numFmt numFmtId="165" formatCode="#,##0\ _k_n"/>
      <fill>
        <patternFill patternType="solid">
          <fgColor indexed="64"/>
          <bgColor indexed="9"/>
        </patternFill>
      </fill>
      <alignment horizontal="right" vertical="bottom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6"/>
        <color auto="1"/>
        <name val="Arial"/>
        <scheme val="none"/>
      </font>
      <numFmt numFmtId="165" formatCode="#,##0\ _k_n"/>
      <fill>
        <patternFill patternType="solid">
          <fgColor indexed="64"/>
          <bgColor indexed="9"/>
        </patternFill>
      </fill>
      <alignment horizontal="right" vertical="bottom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6"/>
        <color auto="1"/>
        <name val="Arial"/>
        <scheme val="none"/>
      </font>
      <numFmt numFmtId="165" formatCode="#,##0\ _k_n"/>
      <fill>
        <patternFill patternType="solid">
          <fgColor indexed="64"/>
          <bgColor indexed="9"/>
        </patternFill>
      </fill>
      <alignment horizontal="right" vertical="bottom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6"/>
        <color auto="1"/>
        <name val="Arial"/>
        <scheme val="none"/>
      </font>
      <numFmt numFmtId="165" formatCode="#,##0\ _k_n"/>
      <fill>
        <patternFill patternType="solid">
          <fgColor indexed="64"/>
          <bgColor indexed="9"/>
        </patternFill>
      </fill>
      <alignment horizontal="right" vertical="bottom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6"/>
        <color auto="1"/>
        <name val="Arial Narrow"/>
        <scheme val="none"/>
      </font>
      <numFmt numFmtId="165" formatCode="#,##0\ _k_n"/>
      <fill>
        <patternFill patternType="solid">
          <fgColor indexed="64"/>
          <bgColor indexed="9"/>
        </patternFill>
      </fill>
      <alignment horizontal="right" vertical="bottom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6"/>
        <color auto="1"/>
        <name val="Arial Narrow"/>
        <scheme val="none"/>
      </font>
      <numFmt numFmtId="165" formatCode="#,##0\ _k_n"/>
      <fill>
        <patternFill patternType="solid">
          <fgColor indexed="64"/>
          <bgColor indexed="9"/>
        </patternFill>
      </fill>
      <alignment horizontal="right" vertical="bottom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6"/>
        <color auto="1"/>
        <name val="Arial Narrow"/>
        <scheme val="none"/>
      </font>
      <numFmt numFmtId="165" formatCode="#,##0\ _k_n"/>
      <fill>
        <patternFill patternType="solid">
          <fgColor indexed="64"/>
          <bgColor indexed="9"/>
        </patternFill>
      </fill>
      <alignment horizontal="right" vertical="bottom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6"/>
        <color auto="1"/>
        <name val="Arial Narrow"/>
        <scheme val="none"/>
      </font>
      <numFmt numFmtId="165" formatCode="#,##0\ _k_n"/>
      <fill>
        <patternFill patternType="solid">
          <fgColor indexed="64"/>
          <bgColor indexed="9"/>
        </patternFill>
      </fill>
      <alignment horizontal="right" vertical="bottom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6"/>
        <color auto="1"/>
        <name val="Arial Narrow"/>
        <scheme val="none"/>
      </font>
      <numFmt numFmtId="165" formatCode="#,##0\ _k_n"/>
      <fill>
        <patternFill patternType="solid">
          <fgColor indexed="64"/>
          <bgColor indexed="9"/>
        </patternFill>
      </fill>
      <alignment horizontal="right" vertical="bottom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6"/>
        <color auto="1"/>
        <name val="Arial Narrow"/>
        <scheme val="none"/>
      </font>
      <numFmt numFmtId="165" formatCode="#,##0\ _k_n"/>
      <fill>
        <patternFill patternType="solid">
          <fgColor indexed="64"/>
          <bgColor indexed="9"/>
        </patternFill>
      </fill>
      <alignment horizontal="right" vertical="bottom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6"/>
        <color auto="1"/>
        <name val="Arial"/>
        <scheme val="none"/>
      </font>
      <numFmt numFmtId="165" formatCode="#,##0\ _k_n"/>
      <fill>
        <patternFill patternType="solid">
          <fgColor indexed="64"/>
          <bgColor indexed="9"/>
        </patternFill>
      </fill>
      <alignment horizontal="right" vertical="bottom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6"/>
        <color auto="1"/>
        <name val="Arial"/>
        <scheme val="none"/>
      </font>
      <numFmt numFmtId="165" formatCode="#,##0\ _k_n"/>
      <fill>
        <patternFill patternType="solid">
          <fgColor indexed="64"/>
          <bgColor indexed="9"/>
        </patternFill>
      </fill>
      <alignment horizontal="right" vertical="bottom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6"/>
        <color auto="1"/>
        <name val="Arial"/>
        <scheme val="none"/>
      </font>
      <numFmt numFmtId="165" formatCode="#,##0\ _k_n"/>
      <fill>
        <patternFill patternType="solid">
          <fgColor indexed="64"/>
          <bgColor indexed="9"/>
        </patternFill>
      </fill>
      <alignment horizontal="right" vertical="bottom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6"/>
        <color auto="1"/>
        <name val="Arial"/>
        <scheme val="none"/>
      </font>
      <numFmt numFmtId="165" formatCode="#,##0\ _k_n"/>
      <fill>
        <patternFill patternType="solid">
          <fgColor indexed="64"/>
          <bgColor indexed="9"/>
        </patternFill>
      </fill>
      <alignment horizontal="right" vertical="bottom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5" formatCode="#,##0\ _k_n"/>
      <fill>
        <patternFill patternType="solid">
          <fgColor indexed="64"/>
          <bgColor indexed="43"/>
        </patternFill>
      </fill>
      <alignment horizontal="right" vertical="bottom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5" formatCode="#,##0\ _k_n"/>
      <fill>
        <patternFill patternType="solid">
          <fgColor indexed="64"/>
          <bgColor indexed="42"/>
        </patternFill>
      </fill>
      <alignment horizontal="right" vertical="bottom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5" formatCode="#,##0\ _k_n"/>
      <fill>
        <patternFill patternType="solid">
          <fgColor indexed="64"/>
          <bgColor indexed="42"/>
        </patternFill>
      </fill>
      <alignment horizontal="right" vertical="bottom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solid">
          <fgColor indexed="64"/>
          <bgColor indexed="41"/>
        </patternFill>
      </fill>
      <alignment horizontal="right" vertical="bottom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solid">
          <fgColor indexed="64"/>
          <bgColor indexed="41"/>
        </patternFill>
      </fill>
      <alignment horizontal="right" vertical="bottom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solid">
          <fgColor indexed="64"/>
          <bgColor indexed="41"/>
        </patternFill>
      </fill>
      <alignment horizontal="right" vertical="bottom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solid">
          <fgColor indexed="64"/>
          <bgColor indexed="43"/>
        </patternFill>
      </fill>
      <alignment horizontal="right" vertical="bottom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solid">
          <fgColor indexed="64"/>
          <bgColor indexed="4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solid">
          <fgColor indexed="64"/>
          <bgColor indexed="4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solid">
          <fgColor indexed="64"/>
          <bgColor indexed="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solid">
          <fgColor indexed="64"/>
          <bgColor indexed="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solid">
          <fgColor indexed="64"/>
          <bgColor indexed="43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solid">
          <fgColor indexed="64"/>
          <bgColor indexed="43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relativeIndent="0" justifyLastLine="0" shrinkToFit="0" mergeCell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 Narrow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relativeIndent="0" justifyLastLine="0" shrinkToFit="0" mergeCell="0" readingOrder="0"/>
      <border diagonalUp="0" diagonalDown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 Narrow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relativeIndent="0" justifyLastLine="0" shrinkToFit="0" mergeCell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" formatCode="0"/>
      <fill>
        <patternFill patternType="none">
          <fgColor indexed="64"/>
          <bgColor indexed="65"/>
        </patternFill>
      </fill>
      <alignment horizontal="left" vertical="bottom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" formatCode="0"/>
      <fill>
        <patternFill patternType="none">
          <fgColor indexed="64"/>
          <bgColor indexed="65"/>
        </patternFill>
      </fill>
      <alignment horizontal="left" vertical="bottom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" formatCode="0"/>
      <fill>
        <patternFill patternType="none">
          <fgColor indexed="64"/>
          <bgColor indexed="65"/>
        </patternFill>
      </fill>
      <alignment horizontal="left" vertical="bottom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" formatCode="0"/>
      <fill>
        <patternFill patternType="none">
          <fgColor indexed="64"/>
          <bgColor indexed="65"/>
        </patternFill>
      </fill>
      <alignment horizontal="left" vertical="bottom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" formatCode="0"/>
      <fill>
        <patternFill patternType="none">
          <fgColor indexed="64"/>
          <bgColor indexed="65"/>
        </patternFill>
      </fill>
      <alignment horizontal="left" vertical="bottom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" formatCode="0"/>
      <fill>
        <patternFill patternType="none">
          <fgColor indexed="64"/>
          <bgColor indexed="65"/>
        </patternFill>
      </fill>
      <alignment horizontal="left" vertical="bottom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" formatCode="0"/>
      <fill>
        <patternFill patternType="none">
          <fgColor indexed="64"/>
          <bgColor indexed="65"/>
        </patternFill>
      </fill>
      <alignment horizontal="left" vertical="bottom" textRotation="0" wrapText="0" indent="0" relativeIndent="0" justifyLastLine="0" shrinkToFit="0" mergeCell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1235</xdr:row>
      <xdr:rowOff>0</xdr:rowOff>
    </xdr:from>
    <xdr:to>
      <xdr:col>10</xdr:col>
      <xdr:colOff>0</xdr:colOff>
      <xdr:row>1238</xdr:row>
      <xdr:rowOff>95250</xdr:rowOff>
    </xdr:to>
    <xdr:pic>
      <xdr:nvPicPr>
        <xdr:cNvPr id="22835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24050" y="187309125"/>
          <a:ext cx="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0</xdr:colOff>
      <xdr:row>1241</xdr:row>
      <xdr:rowOff>76200</xdr:rowOff>
    </xdr:from>
    <xdr:to>
      <xdr:col>10</xdr:col>
      <xdr:colOff>0</xdr:colOff>
      <xdr:row>1244</xdr:row>
      <xdr:rowOff>0</xdr:rowOff>
    </xdr:to>
    <xdr:pic>
      <xdr:nvPicPr>
        <xdr:cNvPr id="22836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924050" y="188299725"/>
          <a:ext cx="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2085975</xdr:colOff>
      <xdr:row>1231</xdr:row>
      <xdr:rowOff>0</xdr:rowOff>
    </xdr:from>
    <xdr:to>
      <xdr:col>11</xdr:col>
      <xdr:colOff>0</xdr:colOff>
      <xdr:row>1234</xdr:row>
      <xdr:rowOff>95250</xdr:rowOff>
    </xdr:to>
    <xdr:pic>
      <xdr:nvPicPr>
        <xdr:cNvPr id="22837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752850" y="186699525"/>
          <a:ext cx="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1237</xdr:row>
      <xdr:rowOff>47625</xdr:rowOff>
    </xdr:from>
    <xdr:to>
      <xdr:col>11</xdr:col>
      <xdr:colOff>0</xdr:colOff>
      <xdr:row>1241</xdr:row>
      <xdr:rowOff>114300</xdr:rowOff>
    </xdr:to>
    <xdr:pic>
      <xdr:nvPicPr>
        <xdr:cNvPr id="22838" name="Picture 19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752850" y="187661550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1231</xdr:row>
      <xdr:rowOff>0</xdr:rowOff>
    </xdr:from>
    <xdr:to>
      <xdr:col>11</xdr:col>
      <xdr:colOff>0</xdr:colOff>
      <xdr:row>1234</xdr:row>
      <xdr:rowOff>95250</xdr:rowOff>
    </xdr:to>
    <xdr:pic>
      <xdr:nvPicPr>
        <xdr:cNvPr id="22839" name="Picture 6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752850" y="186699525"/>
          <a:ext cx="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1237</xdr:row>
      <xdr:rowOff>47625</xdr:rowOff>
    </xdr:from>
    <xdr:to>
      <xdr:col>11</xdr:col>
      <xdr:colOff>0</xdr:colOff>
      <xdr:row>1241</xdr:row>
      <xdr:rowOff>114300</xdr:rowOff>
    </xdr:to>
    <xdr:pic>
      <xdr:nvPicPr>
        <xdr:cNvPr id="22840" name="Picture 67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752850" y="187661550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2085975</xdr:colOff>
      <xdr:row>1232</xdr:row>
      <xdr:rowOff>0</xdr:rowOff>
    </xdr:from>
    <xdr:to>
      <xdr:col>11</xdr:col>
      <xdr:colOff>0</xdr:colOff>
      <xdr:row>1235</xdr:row>
      <xdr:rowOff>95250</xdr:rowOff>
    </xdr:to>
    <xdr:pic>
      <xdr:nvPicPr>
        <xdr:cNvPr id="22841" name="Picture 17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752850" y="186851925"/>
          <a:ext cx="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1237</xdr:row>
      <xdr:rowOff>0</xdr:rowOff>
    </xdr:from>
    <xdr:to>
      <xdr:col>11</xdr:col>
      <xdr:colOff>0</xdr:colOff>
      <xdr:row>1238</xdr:row>
      <xdr:rowOff>114300</xdr:rowOff>
    </xdr:to>
    <xdr:pic>
      <xdr:nvPicPr>
        <xdr:cNvPr id="22842" name="Picture 17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752850" y="187613925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1232</xdr:row>
      <xdr:rowOff>0</xdr:rowOff>
    </xdr:from>
    <xdr:to>
      <xdr:col>11</xdr:col>
      <xdr:colOff>0</xdr:colOff>
      <xdr:row>1235</xdr:row>
      <xdr:rowOff>95250</xdr:rowOff>
    </xdr:to>
    <xdr:pic>
      <xdr:nvPicPr>
        <xdr:cNvPr id="22843" name="Picture 17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752850" y="186851925"/>
          <a:ext cx="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1237</xdr:row>
      <xdr:rowOff>0</xdr:rowOff>
    </xdr:from>
    <xdr:to>
      <xdr:col>11</xdr:col>
      <xdr:colOff>0</xdr:colOff>
      <xdr:row>1238</xdr:row>
      <xdr:rowOff>114300</xdr:rowOff>
    </xdr:to>
    <xdr:pic>
      <xdr:nvPicPr>
        <xdr:cNvPr id="22844" name="Picture 175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752850" y="187613925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2085975</xdr:colOff>
      <xdr:row>1232</xdr:row>
      <xdr:rowOff>0</xdr:rowOff>
    </xdr:from>
    <xdr:to>
      <xdr:col>11</xdr:col>
      <xdr:colOff>0</xdr:colOff>
      <xdr:row>1235</xdr:row>
      <xdr:rowOff>95250</xdr:rowOff>
    </xdr:to>
    <xdr:pic>
      <xdr:nvPicPr>
        <xdr:cNvPr id="22845" name="Picture 17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752850" y="186851925"/>
          <a:ext cx="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1238</xdr:row>
      <xdr:rowOff>47625</xdr:rowOff>
    </xdr:from>
    <xdr:to>
      <xdr:col>11</xdr:col>
      <xdr:colOff>0</xdr:colOff>
      <xdr:row>1242</xdr:row>
      <xdr:rowOff>114300</xdr:rowOff>
    </xdr:to>
    <xdr:pic>
      <xdr:nvPicPr>
        <xdr:cNvPr id="22846" name="Picture 177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752850" y="187813950"/>
          <a:ext cx="0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2085975</xdr:colOff>
      <xdr:row>1230</xdr:row>
      <xdr:rowOff>0</xdr:rowOff>
    </xdr:from>
    <xdr:to>
      <xdr:col>11</xdr:col>
      <xdr:colOff>0</xdr:colOff>
      <xdr:row>1233</xdr:row>
      <xdr:rowOff>95250</xdr:rowOff>
    </xdr:to>
    <xdr:pic>
      <xdr:nvPicPr>
        <xdr:cNvPr id="22847" name="Picture 36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752850" y="186547125"/>
          <a:ext cx="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1236</xdr:row>
      <xdr:rowOff>47625</xdr:rowOff>
    </xdr:from>
    <xdr:to>
      <xdr:col>11</xdr:col>
      <xdr:colOff>0</xdr:colOff>
      <xdr:row>1240</xdr:row>
      <xdr:rowOff>114300</xdr:rowOff>
    </xdr:to>
    <xdr:pic>
      <xdr:nvPicPr>
        <xdr:cNvPr id="22848" name="Picture 365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752850" y="187509150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1230</xdr:row>
      <xdr:rowOff>0</xdr:rowOff>
    </xdr:from>
    <xdr:to>
      <xdr:col>11</xdr:col>
      <xdr:colOff>0</xdr:colOff>
      <xdr:row>1233</xdr:row>
      <xdr:rowOff>95250</xdr:rowOff>
    </xdr:to>
    <xdr:pic>
      <xdr:nvPicPr>
        <xdr:cNvPr id="22849" name="Picture 36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752850" y="186547125"/>
          <a:ext cx="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1236</xdr:row>
      <xdr:rowOff>47625</xdr:rowOff>
    </xdr:from>
    <xdr:to>
      <xdr:col>11</xdr:col>
      <xdr:colOff>0</xdr:colOff>
      <xdr:row>1240</xdr:row>
      <xdr:rowOff>114300</xdr:rowOff>
    </xdr:to>
    <xdr:pic>
      <xdr:nvPicPr>
        <xdr:cNvPr id="22850" name="Picture 367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752850" y="187509150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2085975</xdr:colOff>
      <xdr:row>1231</xdr:row>
      <xdr:rowOff>0</xdr:rowOff>
    </xdr:from>
    <xdr:to>
      <xdr:col>11</xdr:col>
      <xdr:colOff>0</xdr:colOff>
      <xdr:row>1234</xdr:row>
      <xdr:rowOff>95250</xdr:rowOff>
    </xdr:to>
    <xdr:pic>
      <xdr:nvPicPr>
        <xdr:cNvPr id="22851" name="Picture 368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752850" y="186699525"/>
          <a:ext cx="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1236</xdr:row>
      <xdr:rowOff>0</xdr:rowOff>
    </xdr:from>
    <xdr:to>
      <xdr:col>11</xdr:col>
      <xdr:colOff>0</xdr:colOff>
      <xdr:row>1237</xdr:row>
      <xdr:rowOff>114300</xdr:rowOff>
    </xdr:to>
    <xdr:pic>
      <xdr:nvPicPr>
        <xdr:cNvPr id="22852" name="Picture 369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752850" y="187461525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1231</xdr:row>
      <xdr:rowOff>0</xdr:rowOff>
    </xdr:from>
    <xdr:to>
      <xdr:col>11</xdr:col>
      <xdr:colOff>0</xdr:colOff>
      <xdr:row>1234</xdr:row>
      <xdr:rowOff>95250</xdr:rowOff>
    </xdr:to>
    <xdr:pic>
      <xdr:nvPicPr>
        <xdr:cNvPr id="22853" name="Picture 37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752850" y="186699525"/>
          <a:ext cx="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1236</xdr:row>
      <xdr:rowOff>0</xdr:rowOff>
    </xdr:from>
    <xdr:to>
      <xdr:col>11</xdr:col>
      <xdr:colOff>0</xdr:colOff>
      <xdr:row>1237</xdr:row>
      <xdr:rowOff>114300</xdr:rowOff>
    </xdr:to>
    <xdr:pic>
      <xdr:nvPicPr>
        <xdr:cNvPr id="22854" name="Picture 37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752850" y="187461525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2085975</xdr:colOff>
      <xdr:row>1231</xdr:row>
      <xdr:rowOff>0</xdr:rowOff>
    </xdr:from>
    <xdr:to>
      <xdr:col>11</xdr:col>
      <xdr:colOff>0</xdr:colOff>
      <xdr:row>1234</xdr:row>
      <xdr:rowOff>95250</xdr:rowOff>
    </xdr:to>
    <xdr:pic>
      <xdr:nvPicPr>
        <xdr:cNvPr id="22855" name="Picture 37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752850" y="186699525"/>
          <a:ext cx="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1237</xdr:row>
      <xdr:rowOff>47625</xdr:rowOff>
    </xdr:from>
    <xdr:to>
      <xdr:col>11</xdr:col>
      <xdr:colOff>0</xdr:colOff>
      <xdr:row>1241</xdr:row>
      <xdr:rowOff>114300</xdr:rowOff>
    </xdr:to>
    <xdr:pic>
      <xdr:nvPicPr>
        <xdr:cNvPr id="22856" name="Picture 37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752850" y="187661550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2085975</xdr:colOff>
      <xdr:row>1225</xdr:row>
      <xdr:rowOff>0</xdr:rowOff>
    </xdr:from>
    <xdr:to>
      <xdr:col>11</xdr:col>
      <xdr:colOff>0</xdr:colOff>
      <xdr:row>1232</xdr:row>
      <xdr:rowOff>95250</xdr:rowOff>
    </xdr:to>
    <xdr:pic>
      <xdr:nvPicPr>
        <xdr:cNvPr id="22857" name="Picture 37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752850" y="185785125"/>
          <a:ext cx="0" cy="1162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1235</xdr:row>
      <xdr:rowOff>47625</xdr:rowOff>
    </xdr:from>
    <xdr:to>
      <xdr:col>11</xdr:col>
      <xdr:colOff>0</xdr:colOff>
      <xdr:row>1239</xdr:row>
      <xdr:rowOff>114300</xdr:rowOff>
    </xdr:to>
    <xdr:pic>
      <xdr:nvPicPr>
        <xdr:cNvPr id="22858" name="Picture 375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752850" y="187356750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1225</xdr:row>
      <xdr:rowOff>0</xdr:rowOff>
    </xdr:from>
    <xdr:to>
      <xdr:col>11</xdr:col>
      <xdr:colOff>0</xdr:colOff>
      <xdr:row>1232</xdr:row>
      <xdr:rowOff>95250</xdr:rowOff>
    </xdr:to>
    <xdr:pic>
      <xdr:nvPicPr>
        <xdr:cNvPr id="22859" name="Picture 37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752850" y="185785125"/>
          <a:ext cx="0" cy="1162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1235</xdr:row>
      <xdr:rowOff>47625</xdr:rowOff>
    </xdr:from>
    <xdr:to>
      <xdr:col>11</xdr:col>
      <xdr:colOff>0</xdr:colOff>
      <xdr:row>1239</xdr:row>
      <xdr:rowOff>114300</xdr:rowOff>
    </xdr:to>
    <xdr:pic>
      <xdr:nvPicPr>
        <xdr:cNvPr id="22860" name="Picture 377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752850" y="187356750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2085975</xdr:colOff>
      <xdr:row>1230</xdr:row>
      <xdr:rowOff>0</xdr:rowOff>
    </xdr:from>
    <xdr:to>
      <xdr:col>11</xdr:col>
      <xdr:colOff>0</xdr:colOff>
      <xdr:row>1233</xdr:row>
      <xdr:rowOff>95250</xdr:rowOff>
    </xdr:to>
    <xdr:pic>
      <xdr:nvPicPr>
        <xdr:cNvPr id="22861" name="Picture 378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752850" y="186547125"/>
          <a:ext cx="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1235</xdr:row>
      <xdr:rowOff>0</xdr:rowOff>
    </xdr:from>
    <xdr:to>
      <xdr:col>11</xdr:col>
      <xdr:colOff>0</xdr:colOff>
      <xdr:row>1236</xdr:row>
      <xdr:rowOff>114300</xdr:rowOff>
    </xdr:to>
    <xdr:pic>
      <xdr:nvPicPr>
        <xdr:cNvPr id="22862" name="Picture 379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752850" y="187309125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1230</xdr:row>
      <xdr:rowOff>0</xdr:rowOff>
    </xdr:from>
    <xdr:to>
      <xdr:col>11</xdr:col>
      <xdr:colOff>0</xdr:colOff>
      <xdr:row>1233</xdr:row>
      <xdr:rowOff>95250</xdr:rowOff>
    </xdr:to>
    <xdr:pic>
      <xdr:nvPicPr>
        <xdr:cNvPr id="22863" name="Picture 38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752850" y="186547125"/>
          <a:ext cx="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1235</xdr:row>
      <xdr:rowOff>0</xdr:rowOff>
    </xdr:from>
    <xdr:to>
      <xdr:col>11</xdr:col>
      <xdr:colOff>0</xdr:colOff>
      <xdr:row>1236</xdr:row>
      <xdr:rowOff>114300</xdr:rowOff>
    </xdr:to>
    <xdr:pic>
      <xdr:nvPicPr>
        <xdr:cNvPr id="22864" name="Picture 38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752850" y="187309125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2085975</xdr:colOff>
      <xdr:row>1230</xdr:row>
      <xdr:rowOff>0</xdr:rowOff>
    </xdr:from>
    <xdr:to>
      <xdr:col>11</xdr:col>
      <xdr:colOff>0</xdr:colOff>
      <xdr:row>1233</xdr:row>
      <xdr:rowOff>95250</xdr:rowOff>
    </xdr:to>
    <xdr:pic>
      <xdr:nvPicPr>
        <xdr:cNvPr id="22865" name="Picture 38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752850" y="186547125"/>
          <a:ext cx="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1236</xdr:row>
      <xdr:rowOff>47625</xdr:rowOff>
    </xdr:from>
    <xdr:to>
      <xdr:col>11</xdr:col>
      <xdr:colOff>0</xdr:colOff>
      <xdr:row>1240</xdr:row>
      <xdr:rowOff>114300</xdr:rowOff>
    </xdr:to>
    <xdr:pic>
      <xdr:nvPicPr>
        <xdr:cNvPr id="22866" name="Picture 38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752850" y="187509150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1231</xdr:row>
      <xdr:rowOff>0</xdr:rowOff>
    </xdr:from>
    <xdr:to>
      <xdr:col>11</xdr:col>
      <xdr:colOff>0</xdr:colOff>
      <xdr:row>1234</xdr:row>
      <xdr:rowOff>95250</xdr:rowOff>
    </xdr:to>
    <xdr:pic>
      <xdr:nvPicPr>
        <xdr:cNvPr id="22867" name="Picture 447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752850" y="186699525"/>
          <a:ext cx="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1237</xdr:row>
      <xdr:rowOff>47625</xdr:rowOff>
    </xdr:from>
    <xdr:to>
      <xdr:col>11</xdr:col>
      <xdr:colOff>0</xdr:colOff>
      <xdr:row>1241</xdr:row>
      <xdr:rowOff>114300</xdr:rowOff>
    </xdr:to>
    <xdr:pic>
      <xdr:nvPicPr>
        <xdr:cNvPr id="22868" name="Picture 448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752850" y="187661550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2085975</xdr:colOff>
      <xdr:row>1231</xdr:row>
      <xdr:rowOff>0</xdr:rowOff>
    </xdr:from>
    <xdr:to>
      <xdr:col>11</xdr:col>
      <xdr:colOff>0</xdr:colOff>
      <xdr:row>1234</xdr:row>
      <xdr:rowOff>95250</xdr:rowOff>
    </xdr:to>
    <xdr:pic>
      <xdr:nvPicPr>
        <xdr:cNvPr id="22869" name="Picture 49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752850" y="186699525"/>
          <a:ext cx="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1237</xdr:row>
      <xdr:rowOff>47625</xdr:rowOff>
    </xdr:from>
    <xdr:to>
      <xdr:col>11</xdr:col>
      <xdr:colOff>0</xdr:colOff>
      <xdr:row>1241</xdr:row>
      <xdr:rowOff>114300</xdr:rowOff>
    </xdr:to>
    <xdr:pic>
      <xdr:nvPicPr>
        <xdr:cNvPr id="22870" name="Picture 49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752850" y="187661550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1231</xdr:row>
      <xdr:rowOff>0</xdr:rowOff>
    </xdr:from>
    <xdr:to>
      <xdr:col>11</xdr:col>
      <xdr:colOff>0</xdr:colOff>
      <xdr:row>1234</xdr:row>
      <xdr:rowOff>95250</xdr:rowOff>
    </xdr:to>
    <xdr:pic>
      <xdr:nvPicPr>
        <xdr:cNvPr id="22871" name="Picture 49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752850" y="186699525"/>
          <a:ext cx="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1237</xdr:row>
      <xdr:rowOff>47625</xdr:rowOff>
    </xdr:from>
    <xdr:to>
      <xdr:col>11</xdr:col>
      <xdr:colOff>0</xdr:colOff>
      <xdr:row>1241</xdr:row>
      <xdr:rowOff>114300</xdr:rowOff>
    </xdr:to>
    <xdr:pic>
      <xdr:nvPicPr>
        <xdr:cNvPr id="22872" name="Picture 49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752850" y="187661550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2085975</xdr:colOff>
      <xdr:row>1232</xdr:row>
      <xdr:rowOff>0</xdr:rowOff>
    </xdr:from>
    <xdr:to>
      <xdr:col>11</xdr:col>
      <xdr:colOff>0</xdr:colOff>
      <xdr:row>1235</xdr:row>
      <xdr:rowOff>95250</xdr:rowOff>
    </xdr:to>
    <xdr:pic>
      <xdr:nvPicPr>
        <xdr:cNvPr id="22873" name="Picture 49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752850" y="186851925"/>
          <a:ext cx="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1237</xdr:row>
      <xdr:rowOff>0</xdr:rowOff>
    </xdr:from>
    <xdr:to>
      <xdr:col>11</xdr:col>
      <xdr:colOff>0</xdr:colOff>
      <xdr:row>1238</xdr:row>
      <xdr:rowOff>114300</xdr:rowOff>
    </xdr:to>
    <xdr:pic>
      <xdr:nvPicPr>
        <xdr:cNvPr id="22874" name="Picture 495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752850" y="187613925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1232</xdr:row>
      <xdr:rowOff>0</xdr:rowOff>
    </xdr:from>
    <xdr:to>
      <xdr:col>11</xdr:col>
      <xdr:colOff>0</xdr:colOff>
      <xdr:row>1235</xdr:row>
      <xdr:rowOff>95250</xdr:rowOff>
    </xdr:to>
    <xdr:pic>
      <xdr:nvPicPr>
        <xdr:cNvPr id="22875" name="Picture 4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752850" y="186851925"/>
          <a:ext cx="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1237</xdr:row>
      <xdr:rowOff>0</xdr:rowOff>
    </xdr:from>
    <xdr:to>
      <xdr:col>11</xdr:col>
      <xdr:colOff>0</xdr:colOff>
      <xdr:row>1238</xdr:row>
      <xdr:rowOff>114300</xdr:rowOff>
    </xdr:to>
    <xdr:pic>
      <xdr:nvPicPr>
        <xdr:cNvPr id="22876" name="Picture 497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752850" y="187613925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2085975</xdr:colOff>
      <xdr:row>1232</xdr:row>
      <xdr:rowOff>0</xdr:rowOff>
    </xdr:from>
    <xdr:to>
      <xdr:col>11</xdr:col>
      <xdr:colOff>0</xdr:colOff>
      <xdr:row>1235</xdr:row>
      <xdr:rowOff>95250</xdr:rowOff>
    </xdr:to>
    <xdr:pic>
      <xdr:nvPicPr>
        <xdr:cNvPr id="22877" name="Picture 498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752850" y="186851925"/>
          <a:ext cx="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1238</xdr:row>
      <xdr:rowOff>47625</xdr:rowOff>
    </xdr:from>
    <xdr:to>
      <xdr:col>11</xdr:col>
      <xdr:colOff>0</xdr:colOff>
      <xdr:row>1242</xdr:row>
      <xdr:rowOff>114300</xdr:rowOff>
    </xdr:to>
    <xdr:pic>
      <xdr:nvPicPr>
        <xdr:cNvPr id="22878" name="Picture 499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752850" y="187813950"/>
          <a:ext cx="0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2085975</xdr:colOff>
      <xdr:row>1230</xdr:row>
      <xdr:rowOff>0</xdr:rowOff>
    </xdr:from>
    <xdr:to>
      <xdr:col>11</xdr:col>
      <xdr:colOff>0</xdr:colOff>
      <xdr:row>1233</xdr:row>
      <xdr:rowOff>95250</xdr:rowOff>
    </xdr:to>
    <xdr:pic>
      <xdr:nvPicPr>
        <xdr:cNvPr id="22879" name="Picture 50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752850" y="186547125"/>
          <a:ext cx="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1236</xdr:row>
      <xdr:rowOff>47625</xdr:rowOff>
    </xdr:from>
    <xdr:to>
      <xdr:col>11</xdr:col>
      <xdr:colOff>0</xdr:colOff>
      <xdr:row>1240</xdr:row>
      <xdr:rowOff>114300</xdr:rowOff>
    </xdr:to>
    <xdr:pic>
      <xdr:nvPicPr>
        <xdr:cNvPr id="22880" name="Picture 50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752850" y="187509150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1230</xdr:row>
      <xdr:rowOff>0</xdr:rowOff>
    </xdr:from>
    <xdr:to>
      <xdr:col>11</xdr:col>
      <xdr:colOff>0</xdr:colOff>
      <xdr:row>1233</xdr:row>
      <xdr:rowOff>95250</xdr:rowOff>
    </xdr:to>
    <xdr:pic>
      <xdr:nvPicPr>
        <xdr:cNvPr id="22881" name="Picture 50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752850" y="186547125"/>
          <a:ext cx="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1236</xdr:row>
      <xdr:rowOff>47625</xdr:rowOff>
    </xdr:from>
    <xdr:to>
      <xdr:col>11</xdr:col>
      <xdr:colOff>0</xdr:colOff>
      <xdr:row>1240</xdr:row>
      <xdr:rowOff>114300</xdr:rowOff>
    </xdr:to>
    <xdr:pic>
      <xdr:nvPicPr>
        <xdr:cNvPr id="22882" name="Picture 50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752850" y="187509150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2085975</xdr:colOff>
      <xdr:row>1231</xdr:row>
      <xdr:rowOff>0</xdr:rowOff>
    </xdr:from>
    <xdr:to>
      <xdr:col>11</xdr:col>
      <xdr:colOff>0</xdr:colOff>
      <xdr:row>1234</xdr:row>
      <xdr:rowOff>95250</xdr:rowOff>
    </xdr:to>
    <xdr:pic>
      <xdr:nvPicPr>
        <xdr:cNvPr id="22883" name="Picture 50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752850" y="186699525"/>
          <a:ext cx="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1236</xdr:row>
      <xdr:rowOff>0</xdr:rowOff>
    </xdr:from>
    <xdr:to>
      <xdr:col>11</xdr:col>
      <xdr:colOff>0</xdr:colOff>
      <xdr:row>1237</xdr:row>
      <xdr:rowOff>114300</xdr:rowOff>
    </xdr:to>
    <xdr:pic>
      <xdr:nvPicPr>
        <xdr:cNvPr id="22884" name="Picture 505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752850" y="187461525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1231</xdr:row>
      <xdr:rowOff>0</xdr:rowOff>
    </xdr:from>
    <xdr:to>
      <xdr:col>11</xdr:col>
      <xdr:colOff>0</xdr:colOff>
      <xdr:row>1234</xdr:row>
      <xdr:rowOff>95250</xdr:rowOff>
    </xdr:to>
    <xdr:pic>
      <xdr:nvPicPr>
        <xdr:cNvPr id="22885" name="Picture 50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752850" y="186699525"/>
          <a:ext cx="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1236</xdr:row>
      <xdr:rowOff>0</xdr:rowOff>
    </xdr:from>
    <xdr:to>
      <xdr:col>11</xdr:col>
      <xdr:colOff>0</xdr:colOff>
      <xdr:row>1237</xdr:row>
      <xdr:rowOff>114300</xdr:rowOff>
    </xdr:to>
    <xdr:pic>
      <xdr:nvPicPr>
        <xdr:cNvPr id="22886" name="Picture 507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752850" y="187461525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2085975</xdr:colOff>
      <xdr:row>1231</xdr:row>
      <xdr:rowOff>0</xdr:rowOff>
    </xdr:from>
    <xdr:to>
      <xdr:col>11</xdr:col>
      <xdr:colOff>0</xdr:colOff>
      <xdr:row>1234</xdr:row>
      <xdr:rowOff>95250</xdr:rowOff>
    </xdr:to>
    <xdr:pic>
      <xdr:nvPicPr>
        <xdr:cNvPr id="22887" name="Picture 508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752850" y="186699525"/>
          <a:ext cx="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1237</xdr:row>
      <xdr:rowOff>47625</xdr:rowOff>
    </xdr:from>
    <xdr:to>
      <xdr:col>11</xdr:col>
      <xdr:colOff>0</xdr:colOff>
      <xdr:row>1241</xdr:row>
      <xdr:rowOff>114300</xdr:rowOff>
    </xdr:to>
    <xdr:pic>
      <xdr:nvPicPr>
        <xdr:cNvPr id="22888" name="Picture 509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752850" y="187661550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2085975</xdr:colOff>
      <xdr:row>1225</xdr:row>
      <xdr:rowOff>0</xdr:rowOff>
    </xdr:from>
    <xdr:to>
      <xdr:col>11</xdr:col>
      <xdr:colOff>0</xdr:colOff>
      <xdr:row>1232</xdr:row>
      <xdr:rowOff>95250</xdr:rowOff>
    </xdr:to>
    <xdr:pic>
      <xdr:nvPicPr>
        <xdr:cNvPr id="22889" name="Picture 51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752850" y="185785125"/>
          <a:ext cx="0" cy="1162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1235</xdr:row>
      <xdr:rowOff>47625</xdr:rowOff>
    </xdr:from>
    <xdr:to>
      <xdr:col>11</xdr:col>
      <xdr:colOff>0</xdr:colOff>
      <xdr:row>1239</xdr:row>
      <xdr:rowOff>114300</xdr:rowOff>
    </xdr:to>
    <xdr:pic>
      <xdr:nvPicPr>
        <xdr:cNvPr id="22890" name="Picture 51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752850" y="187356750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1225</xdr:row>
      <xdr:rowOff>0</xdr:rowOff>
    </xdr:from>
    <xdr:to>
      <xdr:col>11</xdr:col>
      <xdr:colOff>0</xdr:colOff>
      <xdr:row>1232</xdr:row>
      <xdr:rowOff>95250</xdr:rowOff>
    </xdr:to>
    <xdr:pic>
      <xdr:nvPicPr>
        <xdr:cNvPr id="22891" name="Picture 51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752850" y="185785125"/>
          <a:ext cx="0" cy="1162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1235</xdr:row>
      <xdr:rowOff>47625</xdr:rowOff>
    </xdr:from>
    <xdr:to>
      <xdr:col>11</xdr:col>
      <xdr:colOff>0</xdr:colOff>
      <xdr:row>1239</xdr:row>
      <xdr:rowOff>114300</xdr:rowOff>
    </xdr:to>
    <xdr:pic>
      <xdr:nvPicPr>
        <xdr:cNvPr id="22892" name="Picture 51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752850" y="187356750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2085975</xdr:colOff>
      <xdr:row>1230</xdr:row>
      <xdr:rowOff>0</xdr:rowOff>
    </xdr:from>
    <xdr:to>
      <xdr:col>11</xdr:col>
      <xdr:colOff>0</xdr:colOff>
      <xdr:row>1233</xdr:row>
      <xdr:rowOff>95250</xdr:rowOff>
    </xdr:to>
    <xdr:pic>
      <xdr:nvPicPr>
        <xdr:cNvPr id="22893" name="Picture 51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752850" y="186547125"/>
          <a:ext cx="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1235</xdr:row>
      <xdr:rowOff>0</xdr:rowOff>
    </xdr:from>
    <xdr:to>
      <xdr:col>11</xdr:col>
      <xdr:colOff>0</xdr:colOff>
      <xdr:row>1236</xdr:row>
      <xdr:rowOff>114300</xdr:rowOff>
    </xdr:to>
    <xdr:pic>
      <xdr:nvPicPr>
        <xdr:cNvPr id="22894" name="Picture 515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752850" y="187309125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1230</xdr:row>
      <xdr:rowOff>0</xdr:rowOff>
    </xdr:from>
    <xdr:to>
      <xdr:col>11</xdr:col>
      <xdr:colOff>0</xdr:colOff>
      <xdr:row>1233</xdr:row>
      <xdr:rowOff>95250</xdr:rowOff>
    </xdr:to>
    <xdr:pic>
      <xdr:nvPicPr>
        <xdr:cNvPr id="22895" name="Picture 51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752850" y="186547125"/>
          <a:ext cx="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1235</xdr:row>
      <xdr:rowOff>0</xdr:rowOff>
    </xdr:from>
    <xdr:to>
      <xdr:col>11</xdr:col>
      <xdr:colOff>0</xdr:colOff>
      <xdr:row>1236</xdr:row>
      <xdr:rowOff>114300</xdr:rowOff>
    </xdr:to>
    <xdr:pic>
      <xdr:nvPicPr>
        <xdr:cNvPr id="22896" name="Picture 517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752850" y="187309125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1225</xdr:row>
      <xdr:rowOff>161925</xdr:rowOff>
    </xdr:from>
    <xdr:to>
      <xdr:col>11</xdr:col>
      <xdr:colOff>9525</xdr:colOff>
      <xdr:row>1233</xdr:row>
      <xdr:rowOff>85725</xdr:rowOff>
    </xdr:to>
    <xdr:pic>
      <xdr:nvPicPr>
        <xdr:cNvPr id="22897" name="Picture 518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752850" y="185937525"/>
          <a:ext cx="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1236</xdr:row>
      <xdr:rowOff>47625</xdr:rowOff>
    </xdr:from>
    <xdr:to>
      <xdr:col>11</xdr:col>
      <xdr:colOff>0</xdr:colOff>
      <xdr:row>1240</xdr:row>
      <xdr:rowOff>114300</xdr:rowOff>
    </xdr:to>
    <xdr:pic>
      <xdr:nvPicPr>
        <xdr:cNvPr id="22898" name="Picture 519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752850" y="187509150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1230</xdr:row>
      <xdr:rowOff>47625</xdr:rowOff>
    </xdr:from>
    <xdr:to>
      <xdr:col>11</xdr:col>
      <xdr:colOff>0</xdr:colOff>
      <xdr:row>1234</xdr:row>
      <xdr:rowOff>114300</xdr:rowOff>
    </xdr:to>
    <xdr:pic>
      <xdr:nvPicPr>
        <xdr:cNvPr id="22899" name="Picture 634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752850" y="186594750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1230</xdr:row>
      <xdr:rowOff>47625</xdr:rowOff>
    </xdr:from>
    <xdr:to>
      <xdr:col>11</xdr:col>
      <xdr:colOff>0</xdr:colOff>
      <xdr:row>1234</xdr:row>
      <xdr:rowOff>114300</xdr:rowOff>
    </xdr:to>
    <xdr:pic>
      <xdr:nvPicPr>
        <xdr:cNvPr id="22900" name="Picture 635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752850" y="186594750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1230</xdr:row>
      <xdr:rowOff>0</xdr:rowOff>
    </xdr:from>
    <xdr:to>
      <xdr:col>11</xdr:col>
      <xdr:colOff>0</xdr:colOff>
      <xdr:row>1231</xdr:row>
      <xdr:rowOff>114300</xdr:rowOff>
    </xdr:to>
    <xdr:pic>
      <xdr:nvPicPr>
        <xdr:cNvPr id="22901" name="Picture 636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752850" y="186547125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1230</xdr:row>
      <xdr:rowOff>0</xdr:rowOff>
    </xdr:from>
    <xdr:to>
      <xdr:col>11</xdr:col>
      <xdr:colOff>0</xdr:colOff>
      <xdr:row>1231</xdr:row>
      <xdr:rowOff>114300</xdr:rowOff>
    </xdr:to>
    <xdr:pic>
      <xdr:nvPicPr>
        <xdr:cNvPr id="22902" name="Picture 637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752850" y="186547125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1231</xdr:row>
      <xdr:rowOff>47625</xdr:rowOff>
    </xdr:from>
    <xdr:to>
      <xdr:col>11</xdr:col>
      <xdr:colOff>0</xdr:colOff>
      <xdr:row>1235</xdr:row>
      <xdr:rowOff>114300</xdr:rowOff>
    </xdr:to>
    <xdr:pic>
      <xdr:nvPicPr>
        <xdr:cNvPr id="22903" name="Picture 638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752850" y="186747150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1225</xdr:row>
      <xdr:rowOff>47625</xdr:rowOff>
    </xdr:from>
    <xdr:to>
      <xdr:col>11</xdr:col>
      <xdr:colOff>0</xdr:colOff>
      <xdr:row>1233</xdr:row>
      <xdr:rowOff>114300</xdr:rowOff>
    </xdr:to>
    <xdr:pic>
      <xdr:nvPicPr>
        <xdr:cNvPr id="22904" name="Picture 639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752850" y="185832750"/>
          <a:ext cx="0" cy="1285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1225</xdr:row>
      <xdr:rowOff>47625</xdr:rowOff>
    </xdr:from>
    <xdr:to>
      <xdr:col>11</xdr:col>
      <xdr:colOff>0</xdr:colOff>
      <xdr:row>1233</xdr:row>
      <xdr:rowOff>114300</xdr:rowOff>
    </xdr:to>
    <xdr:pic>
      <xdr:nvPicPr>
        <xdr:cNvPr id="22905" name="Picture 640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752850" y="185832750"/>
          <a:ext cx="0" cy="1285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1225</xdr:row>
      <xdr:rowOff>0</xdr:rowOff>
    </xdr:from>
    <xdr:to>
      <xdr:col>11</xdr:col>
      <xdr:colOff>0</xdr:colOff>
      <xdr:row>1230</xdr:row>
      <xdr:rowOff>114300</xdr:rowOff>
    </xdr:to>
    <xdr:pic>
      <xdr:nvPicPr>
        <xdr:cNvPr id="22906" name="Picture 64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752850" y="185785125"/>
          <a:ext cx="0" cy="876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1225</xdr:row>
      <xdr:rowOff>0</xdr:rowOff>
    </xdr:from>
    <xdr:to>
      <xdr:col>11</xdr:col>
      <xdr:colOff>0</xdr:colOff>
      <xdr:row>1230</xdr:row>
      <xdr:rowOff>114300</xdr:rowOff>
    </xdr:to>
    <xdr:pic>
      <xdr:nvPicPr>
        <xdr:cNvPr id="22907" name="Picture 64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752850" y="185785125"/>
          <a:ext cx="0" cy="876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1230</xdr:row>
      <xdr:rowOff>47625</xdr:rowOff>
    </xdr:from>
    <xdr:to>
      <xdr:col>11</xdr:col>
      <xdr:colOff>0</xdr:colOff>
      <xdr:row>1234</xdr:row>
      <xdr:rowOff>114300</xdr:rowOff>
    </xdr:to>
    <xdr:pic>
      <xdr:nvPicPr>
        <xdr:cNvPr id="22908" name="Picture 64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752850" y="186594750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1225</xdr:row>
      <xdr:rowOff>0</xdr:rowOff>
    </xdr:from>
    <xdr:to>
      <xdr:col>11</xdr:col>
      <xdr:colOff>0</xdr:colOff>
      <xdr:row>1232</xdr:row>
      <xdr:rowOff>114300</xdr:rowOff>
    </xdr:to>
    <xdr:pic>
      <xdr:nvPicPr>
        <xdr:cNvPr id="22909" name="Picture 644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752850" y="185785125"/>
          <a:ext cx="0" cy="1181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1225</xdr:row>
      <xdr:rowOff>0</xdr:rowOff>
    </xdr:from>
    <xdr:to>
      <xdr:col>11</xdr:col>
      <xdr:colOff>0</xdr:colOff>
      <xdr:row>1232</xdr:row>
      <xdr:rowOff>114300</xdr:rowOff>
    </xdr:to>
    <xdr:pic>
      <xdr:nvPicPr>
        <xdr:cNvPr id="22910" name="Picture 645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752850" y="185785125"/>
          <a:ext cx="0" cy="1181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1225</xdr:row>
      <xdr:rowOff>0</xdr:rowOff>
    </xdr:from>
    <xdr:to>
      <xdr:col>11</xdr:col>
      <xdr:colOff>0</xdr:colOff>
      <xdr:row>1225</xdr:row>
      <xdr:rowOff>114300</xdr:rowOff>
    </xdr:to>
    <xdr:pic>
      <xdr:nvPicPr>
        <xdr:cNvPr id="22911" name="Picture 646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752850" y="185785125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1225</xdr:row>
      <xdr:rowOff>0</xdr:rowOff>
    </xdr:from>
    <xdr:to>
      <xdr:col>11</xdr:col>
      <xdr:colOff>0</xdr:colOff>
      <xdr:row>1225</xdr:row>
      <xdr:rowOff>114300</xdr:rowOff>
    </xdr:to>
    <xdr:pic>
      <xdr:nvPicPr>
        <xdr:cNvPr id="22912" name="Picture 647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752850" y="185785125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1225</xdr:row>
      <xdr:rowOff>47625</xdr:rowOff>
    </xdr:from>
    <xdr:to>
      <xdr:col>11</xdr:col>
      <xdr:colOff>0</xdr:colOff>
      <xdr:row>1233</xdr:row>
      <xdr:rowOff>114300</xdr:rowOff>
    </xdr:to>
    <xdr:pic>
      <xdr:nvPicPr>
        <xdr:cNvPr id="22913" name="Picture 648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752850" y="185832750"/>
          <a:ext cx="0" cy="1285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1230</xdr:row>
      <xdr:rowOff>47625</xdr:rowOff>
    </xdr:from>
    <xdr:to>
      <xdr:col>11</xdr:col>
      <xdr:colOff>0</xdr:colOff>
      <xdr:row>1234</xdr:row>
      <xdr:rowOff>114300</xdr:rowOff>
    </xdr:to>
    <xdr:pic>
      <xdr:nvPicPr>
        <xdr:cNvPr id="22914" name="Picture 649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752850" y="186594750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1230</xdr:row>
      <xdr:rowOff>47625</xdr:rowOff>
    </xdr:from>
    <xdr:to>
      <xdr:col>11</xdr:col>
      <xdr:colOff>0</xdr:colOff>
      <xdr:row>1234</xdr:row>
      <xdr:rowOff>114300</xdr:rowOff>
    </xdr:to>
    <xdr:pic>
      <xdr:nvPicPr>
        <xdr:cNvPr id="22915" name="Picture 650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752850" y="186594750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1230</xdr:row>
      <xdr:rowOff>47625</xdr:rowOff>
    </xdr:from>
    <xdr:to>
      <xdr:col>11</xdr:col>
      <xdr:colOff>0</xdr:colOff>
      <xdr:row>1234</xdr:row>
      <xdr:rowOff>114300</xdr:rowOff>
    </xdr:to>
    <xdr:pic>
      <xdr:nvPicPr>
        <xdr:cNvPr id="22916" name="Picture 65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752850" y="186594750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1230</xdr:row>
      <xdr:rowOff>0</xdr:rowOff>
    </xdr:from>
    <xdr:to>
      <xdr:col>11</xdr:col>
      <xdr:colOff>0</xdr:colOff>
      <xdr:row>1231</xdr:row>
      <xdr:rowOff>114300</xdr:rowOff>
    </xdr:to>
    <xdr:pic>
      <xdr:nvPicPr>
        <xdr:cNvPr id="22917" name="Picture 65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752850" y="186547125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1230</xdr:row>
      <xdr:rowOff>0</xdr:rowOff>
    </xdr:from>
    <xdr:to>
      <xdr:col>11</xdr:col>
      <xdr:colOff>0</xdr:colOff>
      <xdr:row>1231</xdr:row>
      <xdr:rowOff>114300</xdr:rowOff>
    </xdr:to>
    <xdr:pic>
      <xdr:nvPicPr>
        <xdr:cNvPr id="22918" name="Picture 65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752850" y="186547125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1231</xdr:row>
      <xdr:rowOff>47625</xdr:rowOff>
    </xdr:from>
    <xdr:to>
      <xdr:col>11</xdr:col>
      <xdr:colOff>0</xdr:colOff>
      <xdr:row>1235</xdr:row>
      <xdr:rowOff>114300</xdr:rowOff>
    </xdr:to>
    <xdr:pic>
      <xdr:nvPicPr>
        <xdr:cNvPr id="22919" name="Picture 654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752850" y="186747150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1225</xdr:row>
      <xdr:rowOff>47625</xdr:rowOff>
    </xdr:from>
    <xdr:to>
      <xdr:col>11</xdr:col>
      <xdr:colOff>0</xdr:colOff>
      <xdr:row>1233</xdr:row>
      <xdr:rowOff>114300</xdr:rowOff>
    </xdr:to>
    <xdr:pic>
      <xdr:nvPicPr>
        <xdr:cNvPr id="22920" name="Picture 655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752850" y="185832750"/>
          <a:ext cx="0" cy="1285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1225</xdr:row>
      <xdr:rowOff>47625</xdr:rowOff>
    </xdr:from>
    <xdr:to>
      <xdr:col>11</xdr:col>
      <xdr:colOff>0</xdr:colOff>
      <xdr:row>1233</xdr:row>
      <xdr:rowOff>114300</xdr:rowOff>
    </xdr:to>
    <xdr:pic>
      <xdr:nvPicPr>
        <xdr:cNvPr id="22921" name="Picture 656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752850" y="185832750"/>
          <a:ext cx="0" cy="1285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1225</xdr:row>
      <xdr:rowOff>0</xdr:rowOff>
    </xdr:from>
    <xdr:to>
      <xdr:col>11</xdr:col>
      <xdr:colOff>0</xdr:colOff>
      <xdr:row>1230</xdr:row>
      <xdr:rowOff>114300</xdr:rowOff>
    </xdr:to>
    <xdr:pic>
      <xdr:nvPicPr>
        <xdr:cNvPr id="22922" name="Picture 657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752850" y="185785125"/>
          <a:ext cx="0" cy="876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1225</xdr:row>
      <xdr:rowOff>0</xdr:rowOff>
    </xdr:from>
    <xdr:to>
      <xdr:col>11</xdr:col>
      <xdr:colOff>0</xdr:colOff>
      <xdr:row>1230</xdr:row>
      <xdr:rowOff>114300</xdr:rowOff>
    </xdr:to>
    <xdr:pic>
      <xdr:nvPicPr>
        <xdr:cNvPr id="22923" name="Picture 658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752850" y="185785125"/>
          <a:ext cx="0" cy="876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1230</xdr:row>
      <xdr:rowOff>47625</xdr:rowOff>
    </xdr:from>
    <xdr:to>
      <xdr:col>11</xdr:col>
      <xdr:colOff>0</xdr:colOff>
      <xdr:row>1234</xdr:row>
      <xdr:rowOff>114300</xdr:rowOff>
    </xdr:to>
    <xdr:pic>
      <xdr:nvPicPr>
        <xdr:cNvPr id="22924" name="Picture 659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752850" y="186594750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1225</xdr:row>
      <xdr:rowOff>0</xdr:rowOff>
    </xdr:from>
    <xdr:to>
      <xdr:col>11</xdr:col>
      <xdr:colOff>0</xdr:colOff>
      <xdr:row>1232</xdr:row>
      <xdr:rowOff>114300</xdr:rowOff>
    </xdr:to>
    <xdr:pic>
      <xdr:nvPicPr>
        <xdr:cNvPr id="22925" name="Picture 660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752850" y="185785125"/>
          <a:ext cx="0" cy="1181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1225</xdr:row>
      <xdr:rowOff>0</xdr:rowOff>
    </xdr:from>
    <xdr:to>
      <xdr:col>11</xdr:col>
      <xdr:colOff>0</xdr:colOff>
      <xdr:row>1232</xdr:row>
      <xdr:rowOff>114300</xdr:rowOff>
    </xdr:to>
    <xdr:pic>
      <xdr:nvPicPr>
        <xdr:cNvPr id="22926" name="Picture 66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752850" y="185785125"/>
          <a:ext cx="0" cy="1181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1225</xdr:row>
      <xdr:rowOff>0</xdr:rowOff>
    </xdr:from>
    <xdr:to>
      <xdr:col>11</xdr:col>
      <xdr:colOff>0</xdr:colOff>
      <xdr:row>1225</xdr:row>
      <xdr:rowOff>114300</xdr:rowOff>
    </xdr:to>
    <xdr:pic>
      <xdr:nvPicPr>
        <xdr:cNvPr id="22927" name="Picture 66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752850" y="185785125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1225</xdr:row>
      <xdr:rowOff>0</xdr:rowOff>
    </xdr:from>
    <xdr:to>
      <xdr:col>11</xdr:col>
      <xdr:colOff>0</xdr:colOff>
      <xdr:row>1225</xdr:row>
      <xdr:rowOff>114300</xdr:rowOff>
    </xdr:to>
    <xdr:pic>
      <xdr:nvPicPr>
        <xdr:cNvPr id="22928" name="Picture 66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752850" y="185785125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1225</xdr:row>
      <xdr:rowOff>47625</xdr:rowOff>
    </xdr:from>
    <xdr:to>
      <xdr:col>11</xdr:col>
      <xdr:colOff>0</xdr:colOff>
      <xdr:row>1233</xdr:row>
      <xdr:rowOff>114300</xdr:rowOff>
    </xdr:to>
    <xdr:pic>
      <xdr:nvPicPr>
        <xdr:cNvPr id="22929" name="Picture 664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752850" y="185832750"/>
          <a:ext cx="0" cy="1285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1238</xdr:row>
      <xdr:rowOff>47625</xdr:rowOff>
    </xdr:from>
    <xdr:to>
      <xdr:col>11</xdr:col>
      <xdr:colOff>0</xdr:colOff>
      <xdr:row>1242</xdr:row>
      <xdr:rowOff>114300</xdr:rowOff>
    </xdr:to>
    <xdr:pic>
      <xdr:nvPicPr>
        <xdr:cNvPr id="22930" name="Picture 665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752850" y="187813950"/>
          <a:ext cx="0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1232</xdr:row>
      <xdr:rowOff>0</xdr:rowOff>
    </xdr:from>
    <xdr:to>
      <xdr:col>11</xdr:col>
      <xdr:colOff>0</xdr:colOff>
      <xdr:row>1235</xdr:row>
      <xdr:rowOff>95250</xdr:rowOff>
    </xdr:to>
    <xdr:pic>
      <xdr:nvPicPr>
        <xdr:cNvPr id="22931" name="Picture 66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752850" y="186851925"/>
          <a:ext cx="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1238</xdr:row>
      <xdr:rowOff>47625</xdr:rowOff>
    </xdr:from>
    <xdr:to>
      <xdr:col>11</xdr:col>
      <xdr:colOff>0</xdr:colOff>
      <xdr:row>1242</xdr:row>
      <xdr:rowOff>114300</xdr:rowOff>
    </xdr:to>
    <xdr:pic>
      <xdr:nvPicPr>
        <xdr:cNvPr id="22932" name="Picture 667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752850" y="187813950"/>
          <a:ext cx="0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1238</xdr:row>
      <xdr:rowOff>0</xdr:rowOff>
    </xdr:from>
    <xdr:to>
      <xdr:col>11</xdr:col>
      <xdr:colOff>0</xdr:colOff>
      <xdr:row>1239</xdr:row>
      <xdr:rowOff>114300</xdr:rowOff>
    </xdr:to>
    <xdr:pic>
      <xdr:nvPicPr>
        <xdr:cNvPr id="22933" name="Picture 668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752850" y="187766325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1233</xdr:row>
      <xdr:rowOff>0</xdr:rowOff>
    </xdr:from>
    <xdr:to>
      <xdr:col>11</xdr:col>
      <xdr:colOff>0</xdr:colOff>
      <xdr:row>1236</xdr:row>
      <xdr:rowOff>95250</xdr:rowOff>
    </xdr:to>
    <xdr:pic>
      <xdr:nvPicPr>
        <xdr:cNvPr id="22934" name="Picture 669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752850" y="187004325"/>
          <a:ext cx="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1238</xdr:row>
      <xdr:rowOff>0</xdr:rowOff>
    </xdr:from>
    <xdr:to>
      <xdr:col>11</xdr:col>
      <xdr:colOff>0</xdr:colOff>
      <xdr:row>1239</xdr:row>
      <xdr:rowOff>114300</xdr:rowOff>
    </xdr:to>
    <xdr:pic>
      <xdr:nvPicPr>
        <xdr:cNvPr id="22935" name="Picture 670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752850" y="187766325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1239</xdr:row>
      <xdr:rowOff>47625</xdr:rowOff>
    </xdr:from>
    <xdr:to>
      <xdr:col>11</xdr:col>
      <xdr:colOff>0</xdr:colOff>
      <xdr:row>1243</xdr:row>
      <xdr:rowOff>114300</xdr:rowOff>
    </xdr:to>
    <xdr:pic>
      <xdr:nvPicPr>
        <xdr:cNvPr id="22936" name="Picture 67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752850" y="187966350"/>
          <a:ext cx="0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1237</xdr:row>
      <xdr:rowOff>47625</xdr:rowOff>
    </xdr:from>
    <xdr:to>
      <xdr:col>11</xdr:col>
      <xdr:colOff>0</xdr:colOff>
      <xdr:row>1241</xdr:row>
      <xdr:rowOff>114300</xdr:rowOff>
    </xdr:to>
    <xdr:pic>
      <xdr:nvPicPr>
        <xdr:cNvPr id="22937" name="Picture 67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752850" y="187661550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1231</xdr:row>
      <xdr:rowOff>0</xdr:rowOff>
    </xdr:from>
    <xdr:to>
      <xdr:col>11</xdr:col>
      <xdr:colOff>0</xdr:colOff>
      <xdr:row>1234</xdr:row>
      <xdr:rowOff>95250</xdr:rowOff>
    </xdr:to>
    <xdr:pic>
      <xdr:nvPicPr>
        <xdr:cNvPr id="22938" name="Picture 673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752850" y="186699525"/>
          <a:ext cx="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1237</xdr:row>
      <xdr:rowOff>47625</xdr:rowOff>
    </xdr:from>
    <xdr:to>
      <xdr:col>11</xdr:col>
      <xdr:colOff>0</xdr:colOff>
      <xdr:row>1241</xdr:row>
      <xdr:rowOff>114300</xdr:rowOff>
    </xdr:to>
    <xdr:pic>
      <xdr:nvPicPr>
        <xdr:cNvPr id="22939" name="Picture 674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752850" y="187661550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1237</xdr:row>
      <xdr:rowOff>0</xdr:rowOff>
    </xdr:from>
    <xdr:to>
      <xdr:col>11</xdr:col>
      <xdr:colOff>0</xdr:colOff>
      <xdr:row>1238</xdr:row>
      <xdr:rowOff>114300</xdr:rowOff>
    </xdr:to>
    <xdr:pic>
      <xdr:nvPicPr>
        <xdr:cNvPr id="22940" name="Picture 675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752850" y="187613925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1237</xdr:row>
      <xdr:rowOff>0</xdr:rowOff>
    </xdr:from>
    <xdr:to>
      <xdr:col>11</xdr:col>
      <xdr:colOff>0</xdr:colOff>
      <xdr:row>1238</xdr:row>
      <xdr:rowOff>114300</xdr:rowOff>
    </xdr:to>
    <xdr:pic>
      <xdr:nvPicPr>
        <xdr:cNvPr id="22941" name="Picture 676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752850" y="187613925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1238</xdr:row>
      <xdr:rowOff>47625</xdr:rowOff>
    </xdr:from>
    <xdr:to>
      <xdr:col>11</xdr:col>
      <xdr:colOff>0</xdr:colOff>
      <xdr:row>1242</xdr:row>
      <xdr:rowOff>114300</xdr:rowOff>
    </xdr:to>
    <xdr:pic>
      <xdr:nvPicPr>
        <xdr:cNvPr id="22942" name="Picture 677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752850" y="187813950"/>
          <a:ext cx="0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1236</xdr:row>
      <xdr:rowOff>47625</xdr:rowOff>
    </xdr:from>
    <xdr:to>
      <xdr:col>11</xdr:col>
      <xdr:colOff>0</xdr:colOff>
      <xdr:row>1240</xdr:row>
      <xdr:rowOff>114300</xdr:rowOff>
    </xdr:to>
    <xdr:pic>
      <xdr:nvPicPr>
        <xdr:cNvPr id="22943" name="Picture 678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752850" y="187509150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1230</xdr:row>
      <xdr:rowOff>0</xdr:rowOff>
    </xdr:from>
    <xdr:to>
      <xdr:col>11</xdr:col>
      <xdr:colOff>0</xdr:colOff>
      <xdr:row>1233</xdr:row>
      <xdr:rowOff>95250</xdr:rowOff>
    </xdr:to>
    <xdr:pic>
      <xdr:nvPicPr>
        <xdr:cNvPr id="22944" name="Picture 679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752850" y="186547125"/>
          <a:ext cx="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1236</xdr:row>
      <xdr:rowOff>47625</xdr:rowOff>
    </xdr:from>
    <xdr:to>
      <xdr:col>11</xdr:col>
      <xdr:colOff>0</xdr:colOff>
      <xdr:row>1240</xdr:row>
      <xdr:rowOff>114300</xdr:rowOff>
    </xdr:to>
    <xdr:pic>
      <xdr:nvPicPr>
        <xdr:cNvPr id="22945" name="Picture 680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752850" y="187509150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1236</xdr:row>
      <xdr:rowOff>0</xdr:rowOff>
    </xdr:from>
    <xdr:to>
      <xdr:col>11</xdr:col>
      <xdr:colOff>0</xdr:colOff>
      <xdr:row>1237</xdr:row>
      <xdr:rowOff>114300</xdr:rowOff>
    </xdr:to>
    <xdr:pic>
      <xdr:nvPicPr>
        <xdr:cNvPr id="22946" name="Picture 68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752850" y="187461525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1231</xdr:row>
      <xdr:rowOff>0</xdr:rowOff>
    </xdr:from>
    <xdr:to>
      <xdr:col>11</xdr:col>
      <xdr:colOff>0</xdr:colOff>
      <xdr:row>1234</xdr:row>
      <xdr:rowOff>95250</xdr:rowOff>
    </xdr:to>
    <xdr:pic>
      <xdr:nvPicPr>
        <xdr:cNvPr id="22947" name="Picture 68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752850" y="186699525"/>
          <a:ext cx="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1237</xdr:row>
      <xdr:rowOff>47625</xdr:rowOff>
    </xdr:from>
    <xdr:to>
      <xdr:col>11</xdr:col>
      <xdr:colOff>0</xdr:colOff>
      <xdr:row>1241</xdr:row>
      <xdr:rowOff>114300</xdr:rowOff>
    </xdr:to>
    <xdr:pic>
      <xdr:nvPicPr>
        <xdr:cNvPr id="22948" name="Picture 68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752850" y="187661550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1238</xdr:row>
      <xdr:rowOff>47625</xdr:rowOff>
    </xdr:from>
    <xdr:to>
      <xdr:col>11</xdr:col>
      <xdr:colOff>0</xdr:colOff>
      <xdr:row>1242</xdr:row>
      <xdr:rowOff>114300</xdr:rowOff>
    </xdr:to>
    <xdr:pic>
      <xdr:nvPicPr>
        <xdr:cNvPr id="22949" name="Picture 684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752850" y="187813950"/>
          <a:ext cx="0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1238</xdr:row>
      <xdr:rowOff>47625</xdr:rowOff>
    </xdr:from>
    <xdr:to>
      <xdr:col>11</xdr:col>
      <xdr:colOff>0</xdr:colOff>
      <xdr:row>1242</xdr:row>
      <xdr:rowOff>114300</xdr:rowOff>
    </xdr:to>
    <xdr:pic>
      <xdr:nvPicPr>
        <xdr:cNvPr id="22950" name="Picture 685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752850" y="187813950"/>
          <a:ext cx="0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1238</xdr:row>
      <xdr:rowOff>47625</xdr:rowOff>
    </xdr:from>
    <xdr:to>
      <xdr:col>11</xdr:col>
      <xdr:colOff>0</xdr:colOff>
      <xdr:row>1242</xdr:row>
      <xdr:rowOff>114300</xdr:rowOff>
    </xdr:to>
    <xdr:pic>
      <xdr:nvPicPr>
        <xdr:cNvPr id="22951" name="Picture 686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752850" y="187813950"/>
          <a:ext cx="0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1238</xdr:row>
      <xdr:rowOff>0</xdr:rowOff>
    </xdr:from>
    <xdr:to>
      <xdr:col>11</xdr:col>
      <xdr:colOff>0</xdr:colOff>
      <xdr:row>1239</xdr:row>
      <xdr:rowOff>114300</xdr:rowOff>
    </xdr:to>
    <xdr:pic>
      <xdr:nvPicPr>
        <xdr:cNvPr id="22952" name="Picture 687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752850" y="187766325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1238</xdr:row>
      <xdr:rowOff>0</xdr:rowOff>
    </xdr:from>
    <xdr:to>
      <xdr:col>11</xdr:col>
      <xdr:colOff>0</xdr:colOff>
      <xdr:row>1239</xdr:row>
      <xdr:rowOff>114300</xdr:rowOff>
    </xdr:to>
    <xdr:pic>
      <xdr:nvPicPr>
        <xdr:cNvPr id="22953" name="Picture 688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752850" y="187766325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1239</xdr:row>
      <xdr:rowOff>47625</xdr:rowOff>
    </xdr:from>
    <xdr:to>
      <xdr:col>11</xdr:col>
      <xdr:colOff>0</xdr:colOff>
      <xdr:row>1243</xdr:row>
      <xdr:rowOff>114300</xdr:rowOff>
    </xdr:to>
    <xdr:pic>
      <xdr:nvPicPr>
        <xdr:cNvPr id="22954" name="Picture 689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752850" y="187966350"/>
          <a:ext cx="0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1237</xdr:row>
      <xdr:rowOff>47625</xdr:rowOff>
    </xdr:from>
    <xdr:to>
      <xdr:col>11</xdr:col>
      <xdr:colOff>0</xdr:colOff>
      <xdr:row>1241</xdr:row>
      <xdr:rowOff>114300</xdr:rowOff>
    </xdr:to>
    <xdr:pic>
      <xdr:nvPicPr>
        <xdr:cNvPr id="22955" name="Picture 690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752850" y="187661550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1237</xdr:row>
      <xdr:rowOff>47625</xdr:rowOff>
    </xdr:from>
    <xdr:to>
      <xdr:col>11</xdr:col>
      <xdr:colOff>0</xdr:colOff>
      <xdr:row>1241</xdr:row>
      <xdr:rowOff>114300</xdr:rowOff>
    </xdr:to>
    <xdr:pic>
      <xdr:nvPicPr>
        <xdr:cNvPr id="22956" name="Picture 69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752850" y="187661550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1237</xdr:row>
      <xdr:rowOff>0</xdr:rowOff>
    </xdr:from>
    <xdr:to>
      <xdr:col>11</xdr:col>
      <xdr:colOff>0</xdr:colOff>
      <xdr:row>1238</xdr:row>
      <xdr:rowOff>114300</xdr:rowOff>
    </xdr:to>
    <xdr:pic>
      <xdr:nvPicPr>
        <xdr:cNvPr id="22957" name="Picture 69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752850" y="187613925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1237</xdr:row>
      <xdr:rowOff>0</xdr:rowOff>
    </xdr:from>
    <xdr:to>
      <xdr:col>11</xdr:col>
      <xdr:colOff>0</xdr:colOff>
      <xdr:row>1238</xdr:row>
      <xdr:rowOff>114300</xdr:rowOff>
    </xdr:to>
    <xdr:pic>
      <xdr:nvPicPr>
        <xdr:cNvPr id="22958" name="Picture 69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752850" y="187613925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1238</xdr:row>
      <xdr:rowOff>47625</xdr:rowOff>
    </xdr:from>
    <xdr:to>
      <xdr:col>11</xdr:col>
      <xdr:colOff>0</xdr:colOff>
      <xdr:row>1242</xdr:row>
      <xdr:rowOff>114300</xdr:rowOff>
    </xdr:to>
    <xdr:pic>
      <xdr:nvPicPr>
        <xdr:cNvPr id="22959" name="Picture 694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752850" y="187813950"/>
          <a:ext cx="0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1236</xdr:row>
      <xdr:rowOff>47625</xdr:rowOff>
    </xdr:from>
    <xdr:to>
      <xdr:col>11</xdr:col>
      <xdr:colOff>0</xdr:colOff>
      <xdr:row>1240</xdr:row>
      <xdr:rowOff>114300</xdr:rowOff>
    </xdr:to>
    <xdr:pic>
      <xdr:nvPicPr>
        <xdr:cNvPr id="22960" name="Picture 695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752850" y="187509150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1238</xdr:row>
      <xdr:rowOff>47625</xdr:rowOff>
    </xdr:from>
    <xdr:to>
      <xdr:col>11</xdr:col>
      <xdr:colOff>0</xdr:colOff>
      <xdr:row>1242</xdr:row>
      <xdr:rowOff>114300</xdr:rowOff>
    </xdr:to>
    <xdr:pic>
      <xdr:nvPicPr>
        <xdr:cNvPr id="22961" name="Picture 696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752850" y="187813950"/>
          <a:ext cx="0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1232</xdr:row>
      <xdr:rowOff>0</xdr:rowOff>
    </xdr:from>
    <xdr:to>
      <xdr:col>11</xdr:col>
      <xdr:colOff>0</xdr:colOff>
      <xdr:row>1235</xdr:row>
      <xdr:rowOff>95250</xdr:rowOff>
    </xdr:to>
    <xdr:pic>
      <xdr:nvPicPr>
        <xdr:cNvPr id="22962" name="Picture 697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752850" y="186851925"/>
          <a:ext cx="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1238</xdr:row>
      <xdr:rowOff>47625</xdr:rowOff>
    </xdr:from>
    <xdr:to>
      <xdr:col>11</xdr:col>
      <xdr:colOff>0</xdr:colOff>
      <xdr:row>1242</xdr:row>
      <xdr:rowOff>114300</xdr:rowOff>
    </xdr:to>
    <xdr:pic>
      <xdr:nvPicPr>
        <xdr:cNvPr id="22963" name="Picture 698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752850" y="187813950"/>
          <a:ext cx="0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1238</xdr:row>
      <xdr:rowOff>0</xdr:rowOff>
    </xdr:from>
    <xdr:to>
      <xdr:col>11</xdr:col>
      <xdr:colOff>0</xdr:colOff>
      <xdr:row>1239</xdr:row>
      <xdr:rowOff>114300</xdr:rowOff>
    </xdr:to>
    <xdr:pic>
      <xdr:nvPicPr>
        <xdr:cNvPr id="22964" name="Picture 699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752850" y="187766325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1233</xdr:row>
      <xdr:rowOff>0</xdr:rowOff>
    </xdr:from>
    <xdr:to>
      <xdr:col>11</xdr:col>
      <xdr:colOff>0</xdr:colOff>
      <xdr:row>1236</xdr:row>
      <xdr:rowOff>95250</xdr:rowOff>
    </xdr:to>
    <xdr:pic>
      <xdr:nvPicPr>
        <xdr:cNvPr id="22965" name="Picture 70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752850" y="187004325"/>
          <a:ext cx="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1238</xdr:row>
      <xdr:rowOff>0</xdr:rowOff>
    </xdr:from>
    <xdr:to>
      <xdr:col>11</xdr:col>
      <xdr:colOff>0</xdr:colOff>
      <xdr:row>1239</xdr:row>
      <xdr:rowOff>114300</xdr:rowOff>
    </xdr:to>
    <xdr:pic>
      <xdr:nvPicPr>
        <xdr:cNvPr id="22966" name="Picture 70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752850" y="187766325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1239</xdr:row>
      <xdr:rowOff>47625</xdr:rowOff>
    </xdr:from>
    <xdr:to>
      <xdr:col>11</xdr:col>
      <xdr:colOff>0</xdr:colOff>
      <xdr:row>1243</xdr:row>
      <xdr:rowOff>114300</xdr:rowOff>
    </xdr:to>
    <xdr:pic>
      <xdr:nvPicPr>
        <xdr:cNvPr id="22967" name="Picture 70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752850" y="187966350"/>
          <a:ext cx="0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1237</xdr:row>
      <xdr:rowOff>47625</xdr:rowOff>
    </xdr:from>
    <xdr:to>
      <xdr:col>11</xdr:col>
      <xdr:colOff>0</xdr:colOff>
      <xdr:row>1241</xdr:row>
      <xdr:rowOff>114300</xdr:rowOff>
    </xdr:to>
    <xdr:pic>
      <xdr:nvPicPr>
        <xdr:cNvPr id="22968" name="Picture 70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752850" y="187661550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1231</xdr:row>
      <xdr:rowOff>0</xdr:rowOff>
    </xdr:from>
    <xdr:to>
      <xdr:col>11</xdr:col>
      <xdr:colOff>0</xdr:colOff>
      <xdr:row>1234</xdr:row>
      <xdr:rowOff>95250</xdr:rowOff>
    </xdr:to>
    <xdr:pic>
      <xdr:nvPicPr>
        <xdr:cNvPr id="22969" name="Picture 70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752850" y="186699525"/>
          <a:ext cx="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1237</xdr:row>
      <xdr:rowOff>47625</xdr:rowOff>
    </xdr:from>
    <xdr:to>
      <xdr:col>11</xdr:col>
      <xdr:colOff>0</xdr:colOff>
      <xdr:row>1241</xdr:row>
      <xdr:rowOff>114300</xdr:rowOff>
    </xdr:to>
    <xdr:pic>
      <xdr:nvPicPr>
        <xdr:cNvPr id="22970" name="Picture 705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752850" y="187661550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1237</xdr:row>
      <xdr:rowOff>0</xdr:rowOff>
    </xdr:from>
    <xdr:to>
      <xdr:col>11</xdr:col>
      <xdr:colOff>0</xdr:colOff>
      <xdr:row>1238</xdr:row>
      <xdr:rowOff>114300</xdr:rowOff>
    </xdr:to>
    <xdr:pic>
      <xdr:nvPicPr>
        <xdr:cNvPr id="22971" name="Picture 706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752850" y="187613925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1232</xdr:row>
      <xdr:rowOff>0</xdr:rowOff>
    </xdr:from>
    <xdr:to>
      <xdr:col>11</xdr:col>
      <xdr:colOff>0</xdr:colOff>
      <xdr:row>1235</xdr:row>
      <xdr:rowOff>95250</xdr:rowOff>
    </xdr:to>
    <xdr:pic>
      <xdr:nvPicPr>
        <xdr:cNvPr id="22972" name="Picture 707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752850" y="186851925"/>
          <a:ext cx="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1237</xdr:row>
      <xdr:rowOff>0</xdr:rowOff>
    </xdr:from>
    <xdr:to>
      <xdr:col>11</xdr:col>
      <xdr:colOff>0</xdr:colOff>
      <xdr:row>1238</xdr:row>
      <xdr:rowOff>114300</xdr:rowOff>
    </xdr:to>
    <xdr:pic>
      <xdr:nvPicPr>
        <xdr:cNvPr id="22973" name="Picture 708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752850" y="187613925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1238</xdr:row>
      <xdr:rowOff>47625</xdr:rowOff>
    </xdr:from>
    <xdr:to>
      <xdr:col>11</xdr:col>
      <xdr:colOff>0</xdr:colOff>
      <xdr:row>1242</xdr:row>
      <xdr:rowOff>114300</xdr:rowOff>
    </xdr:to>
    <xdr:pic>
      <xdr:nvPicPr>
        <xdr:cNvPr id="22974" name="Picture 709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752850" y="187813950"/>
          <a:ext cx="0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1236</xdr:row>
      <xdr:rowOff>47625</xdr:rowOff>
    </xdr:from>
    <xdr:to>
      <xdr:col>11</xdr:col>
      <xdr:colOff>0</xdr:colOff>
      <xdr:row>1240</xdr:row>
      <xdr:rowOff>114300</xdr:rowOff>
    </xdr:to>
    <xdr:pic>
      <xdr:nvPicPr>
        <xdr:cNvPr id="22975" name="Picture 710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752850" y="187509150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1230</xdr:row>
      <xdr:rowOff>0</xdr:rowOff>
    </xdr:from>
    <xdr:to>
      <xdr:col>11</xdr:col>
      <xdr:colOff>0</xdr:colOff>
      <xdr:row>1233</xdr:row>
      <xdr:rowOff>95250</xdr:rowOff>
    </xdr:to>
    <xdr:pic>
      <xdr:nvPicPr>
        <xdr:cNvPr id="22976" name="Picture 71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752850" y="186547125"/>
          <a:ext cx="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1236</xdr:row>
      <xdr:rowOff>47625</xdr:rowOff>
    </xdr:from>
    <xdr:to>
      <xdr:col>11</xdr:col>
      <xdr:colOff>0</xdr:colOff>
      <xdr:row>1240</xdr:row>
      <xdr:rowOff>114300</xdr:rowOff>
    </xdr:to>
    <xdr:pic>
      <xdr:nvPicPr>
        <xdr:cNvPr id="22977" name="Picture 71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752850" y="187509150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1236</xdr:row>
      <xdr:rowOff>0</xdr:rowOff>
    </xdr:from>
    <xdr:to>
      <xdr:col>11</xdr:col>
      <xdr:colOff>0</xdr:colOff>
      <xdr:row>1237</xdr:row>
      <xdr:rowOff>114300</xdr:rowOff>
    </xdr:to>
    <xdr:pic>
      <xdr:nvPicPr>
        <xdr:cNvPr id="22978" name="Picture 71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752850" y="187461525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1231</xdr:row>
      <xdr:rowOff>0</xdr:rowOff>
    </xdr:from>
    <xdr:to>
      <xdr:col>11</xdr:col>
      <xdr:colOff>0</xdr:colOff>
      <xdr:row>1234</xdr:row>
      <xdr:rowOff>95250</xdr:rowOff>
    </xdr:to>
    <xdr:pic>
      <xdr:nvPicPr>
        <xdr:cNvPr id="22979" name="Picture 71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752850" y="186699525"/>
          <a:ext cx="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1236</xdr:row>
      <xdr:rowOff>0</xdr:rowOff>
    </xdr:from>
    <xdr:to>
      <xdr:col>11</xdr:col>
      <xdr:colOff>0</xdr:colOff>
      <xdr:row>1237</xdr:row>
      <xdr:rowOff>114300</xdr:rowOff>
    </xdr:to>
    <xdr:pic>
      <xdr:nvPicPr>
        <xdr:cNvPr id="22980" name="Picture 715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752850" y="187461525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1237</xdr:row>
      <xdr:rowOff>47625</xdr:rowOff>
    </xdr:from>
    <xdr:to>
      <xdr:col>11</xdr:col>
      <xdr:colOff>0</xdr:colOff>
      <xdr:row>1241</xdr:row>
      <xdr:rowOff>114300</xdr:rowOff>
    </xdr:to>
    <xdr:pic>
      <xdr:nvPicPr>
        <xdr:cNvPr id="22981" name="Picture 716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752850" y="187661550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1232</xdr:row>
      <xdr:rowOff>0</xdr:rowOff>
    </xdr:from>
    <xdr:to>
      <xdr:col>11</xdr:col>
      <xdr:colOff>0</xdr:colOff>
      <xdr:row>1235</xdr:row>
      <xdr:rowOff>95250</xdr:rowOff>
    </xdr:to>
    <xdr:pic>
      <xdr:nvPicPr>
        <xdr:cNvPr id="22982" name="Picture 717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752850" y="186851925"/>
          <a:ext cx="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1238</xdr:row>
      <xdr:rowOff>47625</xdr:rowOff>
    </xdr:from>
    <xdr:to>
      <xdr:col>11</xdr:col>
      <xdr:colOff>0</xdr:colOff>
      <xdr:row>1242</xdr:row>
      <xdr:rowOff>114300</xdr:rowOff>
    </xdr:to>
    <xdr:pic>
      <xdr:nvPicPr>
        <xdr:cNvPr id="22983" name="Picture 718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752850" y="187813950"/>
          <a:ext cx="0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1238</xdr:row>
      <xdr:rowOff>47625</xdr:rowOff>
    </xdr:from>
    <xdr:to>
      <xdr:col>11</xdr:col>
      <xdr:colOff>0</xdr:colOff>
      <xdr:row>1242</xdr:row>
      <xdr:rowOff>114300</xdr:rowOff>
    </xdr:to>
    <xdr:pic>
      <xdr:nvPicPr>
        <xdr:cNvPr id="22984" name="Picture 719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752850" y="187813950"/>
          <a:ext cx="0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1232</xdr:row>
      <xdr:rowOff>0</xdr:rowOff>
    </xdr:from>
    <xdr:to>
      <xdr:col>11</xdr:col>
      <xdr:colOff>0</xdr:colOff>
      <xdr:row>1235</xdr:row>
      <xdr:rowOff>95250</xdr:rowOff>
    </xdr:to>
    <xdr:pic>
      <xdr:nvPicPr>
        <xdr:cNvPr id="22985" name="Picture 72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752850" y="186851925"/>
          <a:ext cx="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1238</xdr:row>
      <xdr:rowOff>47625</xdr:rowOff>
    </xdr:from>
    <xdr:to>
      <xdr:col>11</xdr:col>
      <xdr:colOff>0</xdr:colOff>
      <xdr:row>1242</xdr:row>
      <xdr:rowOff>114300</xdr:rowOff>
    </xdr:to>
    <xdr:pic>
      <xdr:nvPicPr>
        <xdr:cNvPr id="22986" name="Picture 72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752850" y="187813950"/>
          <a:ext cx="0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1238</xdr:row>
      <xdr:rowOff>0</xdr:rowOff>
    </xdr:from>
    <xdr:to>
      <xdr:col>11</xdr:col>
      <xdr:colOff>0</xdr:colOff>
      <xdr:row>1239</xdr:row>
      <xdr:rowOff>114300</xdr:rowOff>
    </xdr:to>
    <xdr:pic>
      <xdr:nvPicPr>
        <xdr:cNvPr id="22987" name="Picture 72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752850" y="187766325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1233</xdr:row>
      <xdr:rowOff>0</xdr:rowOff>
    </xdr:from>
    <xdr:to>
      <xdr:col>11</xdr:col>
      <xdr:colOff>0</xdr:colOff>
      <xdr:row>1236</xdr:row>
      <xdr:rowOff>95250</xdr:rowOff>
    </xdr:to>
    <xdr:pic>
      <xdr:nvPicPr>
        <xdr:cNvPr id="22988" name="Picture 723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752850" y="187004325"/>
          <a:ext cx="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1238</xdr:row>
      <xdr:rowOff>0</xdr:rowOff>
    </xdr:from>
    <xdr:to>
      <xdr:col>11</xdr:col>
      <xdr:colOff>0</xdr:colOff>
      <xdr:row>1239</xdr:row>
      <xdr:rowOff>114300</xdr:rowOff>
    </xdr:to>
    <xdr:pic>
      <xdr:nvPicPr>
        <xdr:cNvPr id="22989" name="Picture 724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752850" y="187766325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1239</xdr:row>
      <xdr:rowOff>47625</xdr:rowOff>
    </xdr:from>
    <xdr:to>
      <xdr:col>11</xdr:col>
      <xdr:colOff>0</xdr:colOff>
      <xdr:row>1243</xdr:row>
      <xdr:rowOff>114300</xdr:rowOff>
    </xdr:to>
    <xdr:pic>
      <xdr:nvPicPr>
        <xdr:cNvPr id="22990" name="Picture 725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752850" y="187966350"/>
          <a:ext cx="0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1237</xdr:row>
      <xdr:rowOff>47625</xdr:rowOff>
    </xdr:from>
    <xdr:to>
      <xdr:col>11</xdr:col>
      <xdr:colOff>0</xdr:colOff>
      <xdr:row>1241</xdr:row>
      <xdr:rowOff>114300</xdr:rowOff>
    </xdr:to>
    <xdr:pic>
      <xdr:nvPicPr>
        <xdr:cNvPr id="22991" name="Picture 726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752850" y="187661550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1231</xdr:row>
      <xdr:rowOff>0</xdr:rowOff>
    </xdr:from>
    <xdr:to>
      <xdr:col>11</xdr:col>
      <xdr:colOff>0</xdr:colOff>
      <xdr:row>1234</xdr:row>
      <xdr:rowOff>95250</xdr:rowOff>
    </xdr:to>
    <xdr:pic>
      <xdr:nvPicPr>
        <xdr:cNvPr id="22992" name="Picture 727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752850" y="186699525"/>
          <a:ext cx="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1237</xdr:row>
      <xdr:rowOff>47625</xdr:rowOff>
    </xdr:from>
    <xdr:to>
      <xdr:col>11</xdr:col>
      <xdr:colOff>0</xdr:colOff>
      <xdr:row>1241</xdr:row>
      <xdr:rowOff>114300</xdr:rowOff>
    </xdr:to>
    <xdr:pic>
      <xdr:nvPicPr>
        <xdr:cNvPr id="22993" name="Picture 728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752850" y="187661550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1237</xdr:row>
      <xdr:rowOff>0</xdr:rowOff>
    </xdr:from>
    <xdr:to>
      <xdr:col>11</xdr:col>
      <xdr:colOff>0</xdr:colOff>
      <xdr:row>1238</xdr:row>
      <xdr:rowOff>114300</xdr:rowOff>
    </xdr:to>
    <xdr:pic>
      <xdr:nvPicPr>
        <xdr:cNvPr id="22994" name="Picture 729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752850" y="187613925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1232</xdr:row>
      <xdr:rowOff>0</xdr:rowOff>
    </xdr:from>
    <xdr:to>
      <xdr:col>11</xdr:col>
      <xdr:colOff>0</xdr:colOff>
      <xdr:row>1235</xdr:row>
      <xdr:rowOff>95250</xdr:rowOff>
    </xdr:to>
    <xdr:pic>
      <xdr:nvPicPr>
        <xdr:cNvPr id="22995" name="Picture 73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752850" y="186851925"/>
          <a:ext cx="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1237</xdr:row>
      <xdr:rowOff>0</xdr:rowOff>
    </xdr:from>
    <xdr:to>
      <xdr:col>11</xdr:col>
      <xdr:colOff>0</xdr:colOff>
      <xdr:row>1238</xdr:row>
      <xdr:rowOff>114300</xdr:rowOff>
    </xdr:to>
    <xdr:pic>
      <xdr:nvPicPr>
        <xdr:cNvPr id="22996" name="Picture 73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752850" y="187613925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1238</xdr:row>
      <xdr:rowOff>47625</xdr:rowOff>
    </xdr:from>
    <xdr:to>
      <xdr:col>11</xdr:col>
      <xdr:colOff>0</xdr:colOff>
      <xdr:row>1242</xdr:row>
      <xdr:rowOff>114300</xdr:rowOff>
    </xdr:to>
    <xdr:pic>
      <xdr:nvPicPr>
        <xdr:cNvPr id="22997" name="Picture 73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752850" y="187813950"/>
          <a:ext cx="0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1236</xdr:row>
      <xdr:rowOff>47625</xdr:rowOff>
    </xdr:from>
    <xdr:to>
      <xdr:col>11</xdr:col>
      <xdr:colOff>0</xdr:colOff>
      <xdr:row>1240</xdr:row>
      <xdr:rowOff>114300</xdr:rowOff>
    </xdr:to>
    <xdr:pic>
      <xdr:nvPicPr>
        <xdr:cNvPr id="22998" name="Picture 73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752850" y="187509150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1230</xdr:row>
      <xdr:rowOff>0</xdr:rowOff>
    </xdr:from>
    <xdr:to>
      <xdr:col>11</xdr:col>
      <xdr:colOff>0</xdr:colOff>
      <xdr:row>1233</xdr:row>
      <xdr:rowOff>95250</xdr:rowOff>
    </xdr:to>
    <xdr:pic>
      <xdr:nvPicPr>
        <xdr:cNvPr id="22999" name="Picture 73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752850" y="186547125"/>
          <a:ext cx="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1236</xdr:row>
      <xdr:rowOff>47625</xdr:rowOff>
    </xdr:from>
    <xdr:to>
      <xdr:col>11</xdr:col>
      <xdr:colOff>0</xdr:colOff>
      <xdr:row>1240</xdr:row>
      <xdr:rowOff>114300</xdr:rowOff>
    </xdr:to>
    <xdr:pic>
      <xdr:nvPicPr>
        <xdr:cNvPr id="23000" name="Picture 735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752850" y="187509150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1236</xdr:row>
      <xdr:rowOff>0</xdr:rowOff>
    </xdr:from>
    <xdr:to>
      <xdr:col>11</xdr:col>
      <xdr:colOff>0</xdr:colOff>
      <xdr:row>1237</xdr:row>
      <xdr:rowOff>114300</xdr:rowOff>
    </xdr:to>
    <xdr:pic>
      <xdr:nvPicPr>
        <xdr:cNvPr id="23001" name="Picture 736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752850" y="187461525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1231</xdr:row>
      <xdr:rowOff>0</xdr:rowOff>
    </xdr:from>
    <xdr:to>
      <xdr:col>11</xdr:col>
      <xdr:colOff>0</xdr:colOff>
      <xdr:row>1234</xdr:row>
      <xdr:rowOff>95250</xdr:rowOff>
    </xdr:to>
    <xdr:pic>
      <xdr:nvPicPr>
        <xdr:cNvPr id="23002" name="Picture 737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752850" y="186699525"/>
          <a:ext cx="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1236</xdr:row>
      <xdr:rowOff>0</xdr:rowOff>
    </xdr:from>
    <xdr:to>
      <xdr:col>11</xdr:col>
      <xdr:colOff>0</xdr:colOff>
      <xdr:row>1237</xdr:row>
      <xdr:rowOff>114300</xdr:rowOff>
    </xdr:to>
    <xdr:pic>
      <xdr:nvPicPr>
        <xdr:cNvPr id="23003" name="Picture 738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752850" y="187461525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1225</xdr:row>
      <xdr:rowOff>161925</xdr:rowOff>
    </xdr:from>
    <xdr:to>
      <xdr:col>12</xdr:col>
      <xdr:colOff>9525</xdr:colOff>
      <xdr:row>1233</xdr:row>
      <xdr:rowOff>85725</xdr:rowOff>
    </xdr:to>
    <xdr:pic>
      <xdr:nvPicPr>
        <xdr:cNvPr id="23004" name="Picture 79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752850" y="185937525"/>
          <a:ext cx="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2085975</xdr:colOff>
      <xdr:row>1230</xdr:row>
      <xdr:rowOff>0</xdr:rowOff>
    </xdr:from>
    <xdr:to>
      <xdr:col>11</xdr:col>
      <xdr:colOff>0</xdr:colOff>
      <xdr:row>1233</xdr:row>
      <xdr:rowOff>95250</xdr:rowOff>
    </xdr:to>
    <xdr:pic>
      <xdr:nvPicPr>
        <xdr:cNvPr id="23005" name="Picture 84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752850" y="186547125"/>
          <a:ext cx="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1236</xdr:row>
      <xdr:rowOff>47625</xdr:rowOff>
    </xdr:from>
    <xdr:to>
      <xdr:col>11</xdr:col>
      <xdr:colOff>0</xdr:colOff>
      <xdr:row>1240</xdr:row>
      <xdr:rowOff>114300</xdr:rowOff>
    </xdr:to>
    <xdr:pic>
      <xdr:nvPicPr>
        <xdr:cNvPr id="23006" name="Picture 847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752850" y="187509150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1230</xdr:row>
      <xdr:rowOff>0</xdr:rowOff>
    </xdr:from>
    <xdr:to>
      <xdr:col>11</xdr:col>
      <xdr:colOff>0</xdr:colOff>
      <xdr:row>1233</xdr:row>
      <xdr:rowOff>95250</xdr:rowOff>
    </xdr:to>
    <xdr:pic>
      <xdr:nvPicPr>
        <xdr:cNvPr id="23007" name="Picture 848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752850" y="186547125"/>
          <a:ext cx="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1236</xdr:row>
      <xdr:rowOff>47625</xdr:rowOff>
    </xdr:from>
    <xdr:to>
      <xdr:col>11</xdr:col>
      <xdr:colOff>0</xdr:colOff>
      <xdr:row>1240</xdr:row>
      <xdr:rowOff>114300</xdr:rowOff>
    </xdr:to>
    <xdr:pic>
      <xdr:nvPicPr>
        <xdr:cNvPr id="23008" name="Picture 849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752850" y="187509150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2085975</xdr:colOff>
      <xdr:row>1231</xdr:row>
      <xdr:rowOff>0</xdr:rowOff>
    </xdr:from>
    <xdr:to>
      <xdr:col>11</xdr:col>
      <xdr:colOff>0</xdr:colOff>
      <xdr:row>1234</xdr:row>
      <xdr:rowOff>95250</xdr:rowOff>
    </xdr:to>
    <xdr:pic>
      <xdr:nvPicPr>
        <xdr:cNvPr id="23009" name="Picture 85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752850" y="186699525"/>
          <a:ext cx="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1236</xdr:row>
      <xdr:rowOff>0</xdr:rowOff>
    </xdr:from>
    <xdr:to>
      <xdr:col>11</xdr:col>
      <xdr:colOff>0</xdr:colOff>
      <xdr:row>1237</xdr:row>
      <xdr:rowOff>114300</xdr:rowOff>
    </xdr:to>
    <xdr:pic>
      <xdr:nvPicPr>
        <xdr:cNvPr id="23010" name="Picture 85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752850" y="187461525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1231</xdr:row>
      <xdr:rowOff>0</xdr:rowOff>
    </xdr:from>
    <xdr:to>
      <xdr:col>11</xdr:col>
      <xdr:colOff>0</xdr:colOff>
      <xdr:row>1234</xdr:row>
      <xdr:rowOff>95250</xdr:rowOff>
    </xdr:to>
    <xdr:pic>
      <xdr:nvPicPr>
        <xdr:cNvPr id="23011" name="Picture 85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752850" y="186699525"/>
          <a:ext cx="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1236</xdr:row>
      <xdr:rowOff>0</xdr:rowOff>
    </xdr:from>
    <xdr:to>
      <xdr:col>11</xdr:col>
      <xdr:colOff>0</xdr:colOff>
      <xdr:row>1237</xdr:row>
      <xdr:rowOff>114300</xdr:rowOff>
    </xdr:to>
    <xdr:pic>
      <xdr:nvPicPr>
        <xdr:cNvPr id="23012" name="Picture 85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752850" y="187461525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2085975</xdr:colOff>
      <xdr:row>1231</xdr:row>
      <xdr:rowOff>0</xdr:rowOff>
    </xdr:from>
    <xdr:to>
      <xdr:col>11</xdr:col>
      <xdr:colOff>0</xdr:colOff>
      <xdr:row>1234</xdr:row>
      <xdr:rowOff>95250</xdr:rowOff>
    </xdr:to>
    <xdr:pic>
      <xdr:nvPicPr>
        <xdr:cNvPr id="23013" name="Picture 85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752850" y="186699525"/>
          <a:ext cx="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1237</xdr:row>
      <xdr:rowOff>47625</xdr:rowOff>
    </xdr:from>
    <xdr:to>
      <xdr:col>11</xdr:col>
      <xdr:colOff>0</xdr:colOff>
      <xdr:row>1241</xdr:row>
      <xdr:rowOff>114300</xdr:rowOff>
    </xdr:to>
    <xdr:pic>
      <xdr:nvPicPr>
        <xdr:cNvPr id="23014" name="Picture 855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752850" y="187661550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2085975</xdr:colOff>
      <xdr:row>1225</xdr:row>
      <xdr:rowOff>0</xdr:rowOff>
    </xdr:from>
    <xdr:to>
      <xdr:col>11</xdr:col>
      <xdr:colOff>0</xdr:colOff>
      <xdr:row>1232</xdr:row>
      <xdr:rowOff>95250</xdr:rowOff>
    </xdr:to>
    <xdr:pic>
      <xdr:nvPicPr>
        <xdr:cNvPr id="23015" name="Picture 85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752850" y="185785125"/>
          <a:ext cx="0" cy="1162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1235</xdr:row>
      <xdr:rowOff>47625</xdr:rowOff>
    </xdr:from>
    <xdr:to>
      <xdr:col>11</xdr:col>
      <xdr:colOff>0</xdr:colOff>
      <xdr:row>1239</xdr:row>
      <xdr:rowOff>114300</xdr:rowOff>
    </xdr:to>
    <xdr:pic>
      <xdr:nvPicPr>
        <xdr:cNvPr id="23016" name="Picture 857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752850" y="187356750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1225</xdr:row>
      <xdr:rowOff>0</xdr:rowOff>
    </xdr:from>
    <xdr:to>
      <xdr:col>11</xdr:col>
      <xdr:colOff>0</xdr:colOff>
      <xdr:row>1232</xdr:row>
      <xdr:rowOff>95250</xdr:rowOff>
    </xdr:to>
    <xdr:pic>
      <xdr:nvPicPr>
        <xdr:cNvPr id="23017" name="Picture 858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752850" y="185785125"/>
          <a:ext cx="0" cy="1162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1235</xdr:row>
      <xdr:rowOff>47625</xdr:rowOff>
    </xdr:from>
    <xdr:to>
      <xdr:col>11</xdr:col>
      <xdr:colOff>0</xdr:colOff>
      <xdr:row>1239</xdr:row>
      <xdr:rowOff>114300</xdr:rowOff>
    </xdr:to>
    <xdr:pic>
      <xdr:nvPicPr>
        <xdr:cNvPr id="23018" name="Picture 859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752850" y="187356750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2085975</xdr:colOff>
      <xdr:row>1230</xdr:row>
      <xdr:rowOff>0</xdr:rowOff>
    </xdr:from>
    <xdr:to>
      <xdr:col>11</xdr:col>
      <xdr:colOff>0</xdr:colOff>
      <xdr:row>1233</xdr:row>
      <xdr:rowOff>95250</xdr:rowOff>
    </xdr:to>
    <xdr:pic>
      <xdr:nvPicPr>
        <xdr:cNvPr id="23019" name="Picture 86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752850" y="186547125"/>
          <a:ext cx="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1235</xdr:row>
      <xdr:rowOff>0</xdr:rowOff>
    </xdr:from>
    <xdr:to>
      <xdr:col>11</xdr:col>
      <xdr:colOff>0</xdr:colOff>
      <xdr:row>1236</xdr:row>
      <xdr:rowOff>114300</xdr:rowOff>
    </xdr:to>
    <xdr:pic>
      <xdr:nvPicPr>
        <xdr:cNvPr id="23020" name="Picture 86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752850" y="187309125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1230</xdr:row>
      <xdr:rowOff>0</xdr:rowOff>
    </xdr:from>
    <xdr:to>
      <xdr:col>11</xdr:col>
      <xdr:colOff>0</xdr:colOff>
      <xdr:row>1233</xdr:row>
      <xdr:rowOff>95250</xdr:rowOff>
    </xdr:to>
    <xdr:pic>
      <xdr:nvPicPr>
        <xdr:cNvPr id="23021" name="Picture 86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752850" y="186547125"/>
          <a:ext cx="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1235</xdr:row>
      <xdr:rowOff>0</xdr:rowOff>
    </xdr:from>
    <xdr:to>
      <xdr:col>11</xdr:col>
      <xdr:colOff>0</xdr:colOff>
      <xdr:row>1236</xdr:row>
      <xdr:rowOff>114300</xdr:rowOff>
    </xdr:to>
    <xdr:pic>
      <xdr:nvPicPr>
        <xdr:cNvPr id="23022" name="Picture 86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752850" y="187309125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2085975</xdr:colOff>
      <xdr:row>1230</xdr:row>
      <xdr:rowOff>0</xdr:rowOff>
    </xdr:from>
    <xdr:to>
      <xdr:col>11</xdr:col>
      <xdr:colOff>0</xdr:colOff>
      <xdr:row>1233</xdr:row>
      <xdr:rowOff>95250</xdr:rowOff>
    </xdr:to>
    <xdr:pic>
      <xdr:nvPicPr>
        <xdr:cNvPr id="23023" name="Picture 86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752850" y="186547125"/>
          <a:ext cx="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1236</xdr:row>
      <xdr:rowOff>47625</xdr:rowOff>
    </xdr:from>
    <xdr:to>
      <xdr:col>11</xdr:col>
      <xdr:colOff>0</xdr:colOff>
      <xdr:row>1240</xdr:row>
      <xdr:rowOff>114300</xdr:rowOff>
    </xdr:to>
    <xdr:pic>
      <xdr:nvPicPr>
        <xdr:cNvPr id="23024" name="Picture 865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752850" y="187509150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2085975</xdr:colOff>
      <xdr:row>1224</xdr:row>
      <xdr:rowOff>0</xdr:rowOff>
    </xdr:from>
    <xdr:to>
      <xdr:col>11</xdr:col>
      <xdr:colOff>0</xdr:colOff>
      <xdr:row>1231</xdr:row>
      <xdr:rowOff>95250</xdr:rowOff>
    </xdr:to>
    <xdr:pic>
      <xdr:nvPicPr>
        <xdr:cNvPr id="23025" name="Picture 86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752850" y="185632725"/>
          <a:ext cx="0" cy="1162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1234</xdr:row>
      <xdr:rowOff>47625</xdr:rowOff>
    </xdr:from>
    <xdr:to>
      <xdr:col>11</xdr:col>
      <xdr:colOff>0</xdr:colOff>
      <xdr:row>1238</xdr:row>
      <xdr:rowOff>114300</xdr:rowOff>
    </xdr:to>
    <xdr:pic>
      <xdr:nvPicPr>
        <xdr:cNvPr id="23026" name="Picture 867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752850" y="187204350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1224</xdr:row>
      <xdr:rowOff>0</xdr:rowOff>
    </xdr:from>
    <xdr:to>
      <xdr:col>11</xdr:col>
      <xdr:colOff>0</xdr:colOff>
      <xdr:row>1231</xdr:row>
      <xdr:rowOff>95250</xdr:rowOff>
    </xdr:to>
    <xdr:pic>
      <xdr:nvPicPr>
        <xdr:cNvPr id="23027" name="Picture 868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752850" y="185632725"/>
          <a:ext cx="0" cy="1162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1234</xdr:row>
      <xdr:rowOff>47625</xdr:rowOff>
    </xdr:from>
    <xdr:to>
      <xdr:col>11</xdr:col>
      <xdr:colOff>0</xdr:colOff>
      <xdr:row>1238</xdr:row>
      <xdr:rowOff>114300</xdr:rowOff>
    </xdr:to>
    <xdr:pic>
      <xdr:nvPicPr>
        <xdr:cNvPr id="23028" name="Picture 869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752850" y="187204350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2085975</xdr:colOff>
      <xdr:row>1225</xdr:row>
      <xdr:rowOff>0</xdr:rowOff>
    </xdr:from>
    <xdr:to>
      <xdr:col>11</xdr:col>
      <xdr:colOff>0</xdr:colOff>
      <xdr:row>1232</xdr:row>
      <xdr:rowOff>95250</xdr:rowOff>
    </xdr:to>
    <xdr:pic>
      <xdr:nvPicPr>
        <xdr:cNvPr id="23029" name="Picture 87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752850" y="185785125"/>
          <a:ext cx="0" cy="1162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1234</xdr:row>
      <xdr:rowOff>0</xdr:rowOff>
    </xdr:from>
    <xdr:to>
      <xdr:col>11</xdr:col>
      <xdr:colOff>0</xdr:colOff>
      <xdr:row>1235</xdr:row>
      <xdr:rowOff>114300</xdr:rowOff>
    </xdr:to>
    <xdr:pic>
      <xdr:nvPicPr>
        <xdr:cNvPr id="23030" name="Picture 87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752850" y="187156725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1225</xdr:row>
      <xdr:rowOff>0</xdr:rowOff>
    </xdr:from>
    <xdr:to>
      <xdr:col>11</xdr:col>
      <xdr:colOff>0</xdr:colOff>
      <xdr:row>1232</xdr:row>
      <xdr:rowOff>95250</xdr:rowOff>
    </xdr:to>
    <xdr:pic>
      <xdr:nvPicPr>
        <xdr:cNvPr id="23031" name="Picture 87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752850" y="185785125"/>
          <a:ext cx="0" cy="1162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1234</xdr:row>
      <xdr:rowOff>0</xdr:rowOff>
    </xdr:from>
    <xdr:to>
      <xdr:col>11</xdr:col>
      <xdr:colOff>0</xdr:colOff>
      <xdr:row>1235</xdr:row>
      <xdr:rowOff>114300</xdr:rowOff>
    </xdr:to>
    <xdr:pic>
      <xdr:nvPicPr>
        <xdr:cNvPr id="23032" name="Picture 87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752850" y="187156725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2085975</xdr:colOff>
      <xdr:row>1225</xdr:row>
      <xdr:rowOff>0</xdr:rowOff>
    </xdr:from>
    <xdr:to>
      <xdr:col>11</xdr:col>
      <xdr:colOff>0</xdr:colOff>
      <xdr:row>1232</xdr:row>
      <xdr:rowOff>95250</xdr:rowOff>
    </xdr:to>
    <xdr:pic>
      <xdr:nvPicPr>
        <xdr:cNvPr id="23033" name="Picture 87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752850" y="185785125"/>
          <a:ext cx="0" cy="1162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1235</xdr:row>
      <xdr:rowOff>47625</xdr:rowOff>
    </xdr:from>
    <xdr:to>
      <xdr:col>11</xdr:col>
      <xdr:colOff>0</xdr:colOff>
      <xdr:row>1239</xdr:row>
      <xdr:rowOff>114300</xdr:rowOff>
    </xdr:to>
    <xdr:pic>
      <xdr:nvPicPr>
        <xdr:cNvPr id="23034" name="Picture 875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752850" y="187356750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1230</xdr:row>
      <xdr:rowOff>0</xdr:rowOff>
    </xdr:from>
    <xdr:to>
      <xdr:col>11</xdr:col>
      <xdr:colOff>0</xdr:colOff>
      <xdr:row>1233</xdr:row>
      <xdr:rowOff>95250</xdr:rowOff>
    </xdr:to>
    <xdr:pic>
      <xdr:nvPicPr>
        <xdr:cNvPr id="23035" name="Picture 87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752850" y="186547125"/>
          <a:ext cx="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1236</xdr:row>
      <xdr:rowOff>47625</xdr:rowOff>
    </xdr:from>
    <xdr:to>
      <xdr:col>11</xdr:col>
      <xdr:colOff>0</xdr:colOff>
      <xdr:row>1240</xdr:row>
      <xdr:rowOff>114300</xdr:rowOff>
    </xdr:to>
    <xdr:pic>
      <xdr:nvPicPr>
        <xdr:cNvPr id="23036" name="Picture 877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752850" y="187509150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2085975</xdr:colOff>
      <xdr:row>1230</xdr:row>
      <xdr:rowOff>0</xdr:rowOff>
    </xdr:from>
    <xdr:to>
      <xdr:col>11</xdr:col>
      <xdr:colOff>0</xdr:colOff>
      <xdr:row>1233</xdr:row>
      <xdr:rowOff>95250</xdr:rowOff>
    </xdr:to>
    <xdr:pic>
      <xdr:nvPicPr>
        <xdr:cNvPr id="23037" name="Picture 878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752850" y="186547125"/>
          <a:ext cx="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1236</xdr:row>
      <xdr:rowOff>47625</xdr:rowOff>
    </xdr:from>
    <xdr:to>
      <xdr:col>11</xdr:col>
      <xdr:colOff>0</xdr:colOff>
      <xdr:row>1240</xdr:row>
      <xdr:rowOff>114300</xdr:rowOff>
    </xdr:to>
    <xdr:pic>
      <xdr:nvPicPr>
        <xdr:cNvPr id="23038" name="Picture 879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752850" y="187509150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1230</xdr:row>
      <xdr:rowOff>0</xdr:rowOff>
    </xdr:from>
    <xdr:to>
      <xdr:col>11</xdr:col>
      <xdr:colOff>0</xdr:colOff>
      <xdr:row>1233</xdr:row>
      <xdr:rowOff>95250</xdr:rowOff>
    </xdr:to>
    <xdr:pic>
      <xdr:nvPicPr>
        <xdr:cNvPr id="23039" name="Picture 88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752850" y="186547125"/>
          <a:ext cx="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1236</xdr:row>
      <xdr:rowOff>47625</xdr:rowOff>
    </xdr:from>
    <xdr:to>
      <xdr:col>11</xdr:col>
      <xdr:colOff>0</xdr:colOff>
      <xdr:row>1240</xdr:row>
      <xdr:rowOff>114300</xdr:rowOff>
    </xdr:to>
    <xdr:pic>
      <xdr:nvPicPr>
        <xdr:cNvPr id="23040" name="Picture 88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752850" y="187509150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2085975</xdr:colOff>
      <xdr:row>1231</xdr:row>
      <xdr:rowOff>0</xdr:rowOff>
    </xdr:from>
    <xdr:to>
      <xdr:col>11</xdr:col>
      <xdr:colOff>0</xdr:colOff>
      <xdr:row>1234</xdr:row>
      <xdr:rowOff>95250</xdr:rowOff>
    </xdr:to>
    <xdr:pic>
      <xdr:nvPicPr>
        <xdr:cNvPr id="23041" name="Picture 88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752850" y="186699525"/>
          <a:ext cx="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1236</xdr:row>
      <xdr:rowOff>0</xdr:rowOff>
    </xdr:from>
    <xdr:to>
      <xdr:col>11</xdr:col>
      <xdr:colOff>0</xdr:colOff>
      <xdr:row>1237</xdr:row>
      <xdr:rowOff>114300</xdr:rowOff>
    </xdr:to>
    <xdr:pic>
      <xdr:nvPicPr>
        <xdr:cNvPr id="23042" name="Picture 88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752850" y="187461525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1231</xdr:row>
      <xdr:rowOff>0</xdr:rowOff>
    </xdr:from>
    <xdr:to>
      <xdr:col>11</xdr:col>
      <xdr:colOff>0</xdr:colOff>
      <xdr:row>1234</xdr:row>
      <xdr:rowOff>95250</xdr:rowOff>
    </xdr:to>
    <xdr:pic>
      <xdr:nvPicPr>
        <xdr:cNvPr id="23043" name="Picture 88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752850" y="186699525"/>
          <a:ext cx="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1236</xdr:row>
      <xdr:rowOff>0</xdr:rowOff>
    </xdr:from>
    <xdr:to>
      <xdr:col>11</xdr:col>
      <xdr:colOff>0</xdr:colOff>
      <xdr:row>1237</xdr:row>
      <xdr:rowOff>114300</xdr:rowOff>
    </xdr:to>
    <xdr:pic>
      <xdr:nvPicPr>
        <xdr:cNvPr id="23044" name="Picture 885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752850" y="187461525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2085975</xdr:colOff>
      <xdr:row>1231</xdr:row>
      <xdr:rowOff>0</xdr:rowOff>
    </xdr:from>
    <xdr:to>
      <xdr:col>11</xdr:col>
      <xdr:colOff>0</xdr:colOff>
      <xdr:row>1234</xdr:row>
      <xdr:rowOff>95250</xdr:rowOff>
    </xdr:to>
    <xdr:pic>
      <xdr:nvPicPr>
        <xdr:cNvPr id="23045" name="Picture 88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752850" y="186699525"/>
          <a:ext cx="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1237</xdr:row>
      <xdr:rowOff>47625</xdr:rowOff>
    </xdr:from>
    <xdr:to>
      <xdr:col>11</xdr:col>
      <xdr:colOff>0</xdr:colOff>
      <xdr:row>1241</xdr:row>
      <xdr:rowOff>114300</xdr:rowOff>
    </xdr:to>
    <xdr:pic>
      <xdr:nvPicPr>
        <xdr:cNvPr id="23046" name="Picture 887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752850" y="187661550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2085975</xdr:colOff>
      <xdr:row>1225</xdr:row>
      <xdr:rowOff>0</xdr:rowOff>
    </xdr:from>
    <xdr:to>
      <xdr:col>11</xdr:col>
      <xdr:colOff>0</xdr:colOff>
      <xdr:row>1232</xdr:row>
      <xdr:rowOff>95250</xdr:rowOff>
    </xdr:to>
    <xdr:pic>
      <xdr:nvPicPr>
        <xdr:cNvPr id="23047" name="Picture 888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752850" y="185785125"/>
          <a:ext cx="0" cy="1162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1235</xdr:row>
      <xdr:rowOff>47625</xdr:rowOff>
    </xdr:from>
    <xdr:to>
      <xdr:col>11</xdr:col>
      <xdr:colOff>0</xdr:colOff>
      <xdr:row>1239</xdr:row>
      <xdr:rowOff>114300</xdr:rowOff>
    </xdr:to>
    <xdr:pic>
      <xdr:nvPicPr>
        <xdr:cNvPr id="23048" name="Picture 889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752850" y="187356750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1225</xdr:row>
      <xdr:rowOff>0</xdr:rowOff>
    </xdr:from>
    <xdr:to>
      <xdr:col>11</xdr:col>
      <xdr:colOff>0</xdr:colOff>
      <xdr:row>1232</xdr:row>
      <xdr:rowOff>95250</xdr:rowOff>
    </xdr:to>
    <xdr:pic>
      <xdr:nvPicPr>
        <xdr:cNvPr id="23049" name="Picture 89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752850" y="185785125"/>
          <a:ext cx="0" cy="1162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1235</xdr:row>
      <xdr:rowOff>47625</xdr:rowOff>
    </xdr:from>
    <xdr:to>
      <xdr:col>11</xdr:col>
      <xdr:colOff>0</xdr:colOff>
      <xdr:row>1239</xdr:row>
      <xdr:rowOff>114300</xdr:rowOff>
    </xdr:to>
    <xdr:pic>
      <xdr:nvPicPr>
        <xdr:cNvPr id="23050" name="Picture 89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752850" y="187356750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2085975</xdr:colOff>
      <xdr:row>1230</xdr:row>
      <xdr:rowOff>0</xdr:rowOff>
    </xdr:from>
    <xdr:to>
      <xdr:col>11</xdr:col>
      <xdr:colOff>0</xdr:colOff>
      <xdr:row>1233</xdr:row>
      <xdr:rowOff>95250</xdr:rowOff>
    </xdr:to>
    <xdr:pic>
      <xdr:nvPicPr>
        <xdr:cNvPr id="23051" name="Picture 89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752850" y="186547125"/>
          <a:ext cx="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1235</xdr:row>
      <xdr:rowOff>0</xdr:rowOff>
    </xdr:from>
    <xdr:to>
      <xdr:col>11</xdr:col>
      <xdr:colOff>0</xdr:colOff>
      <xdr:row>1236</xdr:row>
      <xdr:rowOff>114300</xdr:rowOff>
    </xdr:to>
    <xdr:pic>
      <xdr:nvPicPr>
        <xdr:cNvPr id="23052" name="Picture 89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752850" y="187309125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1230</xdr:row>
      <xdr:rowOff>0</xdr:rowOff>
    </xdr:from>
    <xdr:to>
      <xdr:col>11</xdr:col>
      <xdr:colOff>0</xdr:colOff>
      <xdr:row>1233</xdr:row>
      <xdr:rowOff>95250</xdr:rowOff>
    </xdr:to>
    <xdr:pic>
      <xdr:nvPicPr>
        <xdr:cNvPr id="23053" name="Picture 89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752850" y="186547125"/>
          <a:ext cx="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1235</xdr:row>
      <xdr:rowOff>0</xdr:rowOff>
    </xdr:from>
    <xdr:to>
      <xdr:col>11</xdr:col>
      <xdr:colOff>0</xdr:colOff>
      <xdr:row>1236</xdr:row>
      <xdr:rowOff>114300</xdr:rowOff>
    </xdr:to>
    <xdr:pic>
      <xdr:nvPicPr>
        <xdr:cNvPr id="23054" name="Picture 895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752850" y="187309125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2085975</xdr:colOff>
      <xdr:row>1230</xdr:row>
      <xdr:rowOff>0</xdr:rowOff>
    </xdr:from>
    <xdr:to>
      <xdr:col>11</xdr:col>
      <xdr:colOff>0</xdr:colOff>
      <xdr:row>1233</xdr:row>
      <xdr:rowOff>95250</xdr:rowOff>
    </xdr:to>
    <xdr:pic>
      <xdr:nvPicPr>
        <xdr:cNvPr id="23055" name="Picture 8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752850" y="186547125"/>
          <a:ext cx="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1236</xdr:row>
      <xdr:rowOff>47625</xdr:rowOff>
    </xdr:from>
    <xdr:to>
      <xdr:col>11</xdr:col>
      <xdr:colOff>0</xdr:colOff>
      <xdr:row>1240</xdr:row>
      <xdr:rowOff>114300</xdr:rowOff>
    </xdr:to>
    <xdr:pic>
      <xdr:nvPicPr>
        <xdr:cNvPr id="23056" name="Picture 897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752850" y="187509150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2085975</xdr:colOff>
      <xdr:row>1224</xdr:row>
      <xdr:rowOff>0</xdr:rowOff>
    </xdr:from>
    <xdr:to>
      <xdr:col>11</xdr:col>
      <xdr:colOff>0</xdr:colOff>
      <xdr:row>1231</xdr:row>
      <xdr:rowOff>95250</xdr:rowOff>
    </xdr:to>
    <xdr:pic>
      <xdr:nvPicPr>
        <xdr:cNvPr id="23057" name="Picture 898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752850" y="185632725"/>
          <a:ext cx="0" cy="1162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1234</xdr:row>
      <xdr:rowOff>47625</xdr:rowOff>
    </xdr:from>
    <xdr:to>
      <xdr:col>11</xdr:col>
      <xdr:colOff>0</xdr:colOff>
      <xdr:row>1238</xdr:row>
      <xdr:rowOff>114300</xdr:rowOff>
    </xdr:to>
    <xdr:pic>
      <xdr:nvPicPr>
        <xdr:cNvPr id="23058" name="Picture 899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752850" y="187204350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1224</xdr:row>
      <xdr:rowOff>0</xdr:rowOff>
    </xdr:from>
    <xdr:to>
      <xdr:col>11</xdr:col>
      <xdr:colOff>0</xdr:colOff>
      <xdr:row>1231</xdr:row>
      <xdr:rowOff>95250</xdr:rowOff>
    </xdr:to>
    <xdr:pic>
      <xdr:nvPicPr>
        <xdr:cNvPr id="23059" name="Picture 90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752850" y="185632725"/>
          <a:ext cx="0" cy="1162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1234</xdr:row>
      <xdr:rowOff>47625</xdr:rowOff>
    </xdr:from>
    <xdr:to>
      <xdr:col>11</xdr:col>
      <xdr:colOff>0</xdr:colOff>
      <xdr:row>1238</xdr:row>
      <xdr:rowOff>114300</xdr:rowOff>
    </xdr:to>
    <xdr:pic>
      <xdr:nvPicPr>
        <xdr:cNvPr id="23060" name="Picture 90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752850" y="187204350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2085975</xdr:colOff>
      <xdr:row>1225</xdr:row>
      <xdr:rowOff>0</xdr:rowOff>
    </xdr:from>
    <xdr:to>
      <xdr:col>11</xdr:col>
      <xdr:colOff>0</xdr:colOff>
      <xdr:row>1232</xdr:row>
      <xdr:rowOff>95250</xdr:rowOff>
    </xdr:to>
    <xdr:pic>
      <xdr:nvPicPr>
        <xdr:cNvPr id="23061" name="Picture 90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752850" y="185785125"/>
          <a:ext cx="0" cy="1162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1234</xdr:row>
      <xdr:rowOff>0</xdr:rowOff>
    </xdr:from>
    <xdr:to>
      <xdr:col>11</xdr:col>
      <xdr:colOff>0</xdr:colOff>
      <xdr:row>1235</xdr:row>
      <xdr:rowOff>114300</xdr:rowOff>
    </xdr:to>
    <xdr:pic>
      <xdr:nvPicPr>
        <xdr:cNvPr id="23062" name="Picture 90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752850" y="187156725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1225</xdr:row>
      <xdr:rowOff>0</xdr:rowOff>
    </xdr:from>
    <xdr:to>
      <xdr:col>11</xdr:col>
      <xdr:colOff>0</xdr:colOff>
      <xdr:row>1232</xdr:row>
      <xdr:rowOff>95250</xdr:rowOff>
    </xdr:to>
    <xdr:pic>
      <xdr:nvPicPr>
        <xdr:cNvPr id="23063" name="Picture 90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752850" y="185785125"/>
          <a:ext cx="0" cy="1162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1234</xdr:row>
      <xdr:rowOff>0</xdr:rowOff>
    </xdr:from>
    <xdr:to>
      <xdr:col>11</xdr:col>
      <xdr:colOff>0</xdr:colOff>
      <xdr:row>1235</xdr:row>
      <xdr:rowOff>114300</xdr:rowOff>
    </xdr:to>
    <xdr:pic>
      <xdr:nvPicPr>
        <xdr:cNvPr id="23064" name="Picture 905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752850" y="187156725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1224</xdr:row>
      <xdr:rowOff>161925</xdr:rowOff>
    </xdr:from>
    <xdr:to>
      <xdr:col>11</xdr:col>
      <xdr:colOff>9525</xdr:colOff>
      <xdr:row>1232</xdr:row>
      <xdr:rowOff>85725</xdr:rowOff>
    </xdr:to>
    <xdr:pic>
      <xdr:nvPicPr>
        <xdr:cNvPr id="23065" name="Picture 90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752850" y="185785125"/>
          <a:ext cx="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1235</xdr:row>
      <xdr:rowOff>47625</xdr:rowOff>
    </xdr:from>
    <xdr:to>
      <xdr:col>11</xdr:col>
      <xdr:colOff>0</xdr:colOff>
      <xdr:row>1239</xdr:row>
      <xdr:rowOff>114300</xdr:rowOff>
    </xdr:to>
    <xdr:pic>
      <xdr:nvPicPr>
        <xdr:cNvPr id="23066" name="Picture 907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752850" y="187356750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1225</xdr:row>
      <xdr:rowOff>47625</xdr:rowOff>
    </xdr:from>
    <xdr:to>
      <xdr:col>11</xdr:col>
      <xdr:colOff>0</xdr:colOff>
      <xdr:row>1233</xdr:row>
      <xdr:rowOff>114300</xdr:rowOff>
    </xdr:to>
    <xdr:pic>
      <xdr:nvPicPr>
        <xdr:cNvPr id="23067" name="Picture 908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752850" y="185832750"/>
          <a:ext cx="0" cy="1285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1225</xdr:row>
      <xdr:rowOff>47625</xdr:rowOff>
    </xdr:from>
    <xdr:to>
      <xdr:col>11</xdr:col>
      <xdr:colOff>0</xdr:colOff>
      <xdr:row>1233</xdr:row>
      <xdr:rowOff>114300</xdr:rowOff>
    </xdr:to>
    <xdr:pic>
      <xdr:nvPicPr>
        <xdr:cNvPr id="23068" name="Picture 909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752850" y="185832750"/>
          <a:ext cx="0" cy="1285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1225</xdr:row>
      <xdr:rowOff>0</xdr:rowOff>
    </xdr:from>
    <xdr:to>
      <xdr:col>11</xdr:col>
      <xdr:colOff>0</xdr:colOff>
      <xdr:row>1230</xdr:row>
      <xdr:rowOff>114300</xdr:rowOff>
    </xdr:to>
    <xdr:pic>
      <xdr:nvPicPr>
        <xdr:cNvPr id="23069" name="Picture 910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752850" y="185785125"/>
          <a:ext cx="0" cy="876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1225</xdr:row>
      <xdr:rowOff>0</xdr:rowOff>
    </xdr:from>
    <xdr:to>
      <xdr:col>11</xdr:col>
      <xdr:colOff>0</xdr:colOff>
      <xdr:row>1230</xdr:row>
      <xdr:rowOff>114300</xdr:rowOff>
    </xdr:to>
    <xdr:pic>
      <xdr:nvPicPr>
        <xdr:cNvPr id="23070" name="Picture 91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752850" y="185785125"/>
          <a:ext cx="0" cy="876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1230</xdr:row>
      <xdr:rowOff>47625</xdr:rowOff>
    </xdr:from>
    <xdr:to>
      <xdr:col>11</xdr:col>
      <xdr:colOff>0</xdr:colOff>
      <xdr:row>1234</xdr:row>
      <xdr:rowOff>114300</xdr:rowOff>
    </xdr:to>
    <xdr:pic>
      <xdr:nvPicPr>
        <xdr:cNvPr id="23071" name="Picture 91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752850" y="186594750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1224</xdr:row>
      <xdr:rowOff>47625</xdr:rowOff>
    </xdr:from>
    <xdr:to>
      <xdr:col>11</xdr:col>
      <xdr:colOff>0</xdr:colOff>
      <xdr:row>1232</xdr:row>
      <xdr:rowOff>114300</xdr:rowOff>
    </xdr:to>
    <xdr:pic>
      <xdr:nvPicPr>
        <xdr:cNvPr id="23072" name="Picture 91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752850" y="185680350"/>
          <a:ext cx="0" cy="1285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1224</xdr:row>
      <xdr:rowOff>47625</xdr:rowOff>
    </xdr:from>
    <xdr:to>
      <xdr:col>11</xdr:col>
      <xdr:colOff>0</xdr:colOff>
      <xdr:row>1232</xdr:row>
      <xdr:rowOff>114300</xdr:rowOff>
    </xdr:to>
    <xdr:pic>
      <xdr:nvPicPr>
        <xdr:cNvPr id="23073" name="Picture 914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752850" y="185680350"/>
          <a:ext cx="0" cy="1285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1224</xdr:row>
      <xdr:rowOff>0</xdr:rowOff>
    </xdr:from>
    <xdr:to>
      <xdr:col>11</xdr:col>
      <xdr:colOff>0</xdr:colOff>
      <xdr:row>1225</xdr:row>
      <xdr:rowOff>114300</xdr:rowOff>
    </xdr:to>
    <xdr:pic>
      <xdr:nvPicPr>
        <xdr:cNvPr id="23074" name="Picture 915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752850" y="185632725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1224</xdr:row>
      <xdr:rowOff>0</xdr:rowOff>
    </xdr:from>
    <xdr:to>
      <xdr:col>11</xdr:col>
      <xdr:colOff>0</xdr:colOff>
      <xdr:row>1225</xdr:row>
      <xdr:rowOff>114300</xdr:rowOff>
    </xdr:to>
    <xdr:pic>
      <xdr:nvPicPr>
        <xdr:cNvPr id="23075" name="Picture 916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752850" y="185632725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1225</xdr:row>
      <xdr:rowOff>47625</xdr:rowOff>
    </xdr:from>
    <xdr:to>
      <xdr:col>11</xdr:col>
      <xdr:colOff>0</xdr:colOff>
      <xdr:row>1233</xdr:row>
      <xdr:rowOff>114300</xdr:rowOff>
    </xdr:to>
    <xdr:pic>
      <xdr:nvPicPr>
        <xdr:cNvPr id="23076" name="Picture 917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752850" y="185832750"/>
          <a:ext cx="0" cy="1285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1224</xdr:row>
      <xdr:rowOff>0</xdr:rowOff>
    </xdr:from>
    <xdr:to>
      <xdr:col>11</xdr:col>
      <xdr:colOff>0</xdr:colOff>
      <xdr:row>1231</xdr:row>
      <xdr:rowOff>114300</xdr:rowOff>
    </xdr:to>
    <xdr:pic>
      <xdr:nvPicPr>
        <xdr:cNvPr id="23077" name="Picture 918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752850" y="185632725"/>
          <a:ext cx="0" cy="1181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1224</xdr:row>
      <xdr:rowOff>0</xdr:rowOff>
    </xdr:from>
    <xdr:to>
      <xdr:col>11</xdr:col>
      <xdr:colOff>0</xdr:colOff>
      <xdr:row>1231</xdr:row>
      <xdr:rowOff>114300</xdr:rowOff>
    </xdr:to>
    <xdr:pic>
      <xdr:nvPicPr>
        <xdr:cNvPr id="23078" name="Picture 919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752850" y="185632725"/>
          <a:ext cx="0" cy="1181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1224</xdr:row>
      <xdr:rowOff>47625</xdr:rowOff>
    </xdr:from>
    <xdr:to>
      <xdr:col>11</xdr:col>
      <xdr:colOff>0</xdr:colOff>
      <xdr:row>1232</xdr:row>
      <xdr:rowOff>114300</xdr:rowOff>
    </xdr:to>
    <xdr:pic>
      <xdr:nvPicPr>
        <xdr:cNvPr id="23079" name="Picture 920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752850" y="185680350"/>
          <a:ext cx="0" cy="1285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1225</xdr:row>
      <xdr:rowOff>47625</xdr:rowOff>
    </xdr:from>
    <xdr:to>
      <xdr:col>11</xdr:col>
      <xdr:colOff>0</xdr:colOff>
      <xdr:row>1233</xdr:row>
      <xdr:rowOff>114300</xdr:rowOff>
    </xdr:to>
    <xdr:pic>
      <xdr:nvPicPr>
        <xdr:cNvPr id="23080" name="Picture 92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752850" y="185832750"/>
          <a:ext cx="0" cy="1285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1225</xdr:row>
      <xdr:rowOff>47625</xdr:rowOff>
    </xdr:from>
    <xdr:to>
      <xdr:col>11</xdr:col>
      <xdr:colOff>0</xdr:colOff>
      <xdr:row>1233</xdr:row>
      <xdr:rowOff>114300</xdr:rowOff>
    </xdr:to>
    <xdr:pic>
      <xdr:nvPicPr>
        <xdr:cNvPr id="23081" name="Picture 92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752850" y="185832750"/>
          <a:ext cx="0" cy="1285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1225</xdr:row>
      <xdr:rowOff>47625</xdr:rowOff>
    </xdr:from>
    <xdr:to>
      <xdr:col>11</xdr:col>
      <xdr:colOff>0</xdr:colOff>
      <xdr:row>1233</xdr:row>
      <xdr:rowOff>114300</xdr:rowOff>
    </xdr:to>
    <xdr:pic>
      <xdr:nvPicPr>
        <xdr:cNvPr id="23082" name="Picture 92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752850" y="185832750"/>
          <a:ext cx="0" cy="1285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1225</xdr:row>
      <xdr:rowOff>0</xdr:rowOff>
    </xdr:from>
    <xdr:to>
      <xdr:col>11</xdr:col>
      <xdr:colOff>0</xdr:colOff>
      <xdr:row>1230</xdr:row>
      <xdr:rowOff>114300</xdr:rowOff>
    </xdr:to>
    <xdr:pic>
      <xdr:nvPicPr>
        <xdr:cNvPr id="23083" name="Picture 924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752850" y="185785125"/>
          <a:ext cx="0" cy="876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1225</xdr:row>
      <xdr:rowOff>0</xdr:rowOff>
    </xdr:from>
    <xdr:to>
      <xdr:col>11</xdr:col>
      <xdr:colOff>0</xdr:colOff>
      <xdr:row>1230</xdr:row>
      <xdr:rowOff>114300</xdr:rowOff>
    </xdr:to>
    <xdr:pic>
      <xdr:nvPicPr>
        <xdr:cNvPr id="23084" name="Picture 925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752850" y="185785125"/>
          <a:ext cx="0" cy="876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1230</xdr:row>
      <xdr:rowOff>47625</xdr:rowOff>
    </xdr:from>
    <xdr:to>
      <xdr:col>11</xdr:col>
      <xdr:colOff>0</xdr:colOff>
      <xdr:row>1234</xdr:row>
      <xdr:rowOff>114300</xdr:rowOff>
    </xdr:to>
    <xdr:pic>
      <xdr:nvPicPr>
        <xdr:cNvPr id="23085" name="Picture 926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752850" y="186594750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1224</xdr:row>
      <xdr:rowOff>47625</xdr:rowOff>
    </xdr:from>
    <xdr:to>
      <xdr:col>11</xdr:col>
      <xdr:colOff>0</xdr:colOff>
      <xdr:row>1232</xdr:row>
      <xdr:rowOff>114300</xdr:rowOff>
    </xdr:to>
    <xdr:pic>
      <xdr:nvPicPr>
        <xdr:cNvPr id="23086" name="Picture 927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752850" y="185680350"/>
          <a:ext cx="0" cy="1285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1224</xdr:row>
      <xdr:rowOff>47625</xdr:rowOff>
    </xdr:from>
    <xdr:to>
      <xdr:col>11</xdr:col>
      <xdr:colOff>0</xdr:colOff>
      <xdr:row>1232</xdr:row>
      <xdr:rowOff>114300</xdr:rowOff>
    </xdr:to>
    <xdr:pic>
      <xdr:nvPicPr>
        <xdr:cNvPr id="23087" name="Picture 928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752850" y="185680350"/>
          <a:ext cx="0" cy="1285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1224</xdr:row>
      <xdr:rowOff>0</xdr:rowOff>
    </xdr:from>
    <xdr:to>
      <xdr:col>11</xdr:col>
      <xdr:colOff>0</xdr:colOff>
      <xdr:row>1225</xdr:row>
      <xdr:rowOff>114300</xdr:rowOff>
    </xdr:to>
    <xdr:pic>
      <xdr:nvPicPr>
        <xdr:cNvPr id="23088" name="Picture 929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752850" y="185632725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1224</xdr:row>
      <xdr:rowOff>0</xdr:rowOff>
    </xdr:from>
    <xdr:to>
      <xdr:col>11</xdr:col>
      <xdr:colOff>0</xdr:colOff>
      <xdr:row>1225</xdr:row>
      <xdr:rowOff>114300</xdr:rowOff>
    </xdr:to>
    <xdr:pic>
      <xdr:nvPicPr>
        <xdr:cNvPr id="23089" name="Picture 930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752850" y="185632725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1225</xdr:row>
      <xdr:rowOff>47625</xdr:rowOff>
    </xdr:from>
    <xdr:to>
      <xdr:col>11</xdr:col>
      <xdr:colOff>0</xdr:colOff>
      <xdr:row>1233</xdr:row>
      <xdr:rowOff>114300</xdr:rowOff>
    </xdr:to>
    <xdr:pic>
      <xdr:nvPicPr>
        <xdr:cNvPr id="23090" name="Picture 93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752850" y="185832750"/>
          <a:ext cx="0" cy="1285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1224</xdr:row>
      <xdr:rowOff>0</xdr:rowOff>
    </xdr:from>
    <xdr:to>
      <xdr:col>11</xdr:col>
      <xdr:colOff>0</xdr:colOff>
      <xdr:row>1231</xdr:row>
      <xdr:rowOff>114300</xdr:rowOff>
    </xdr:to>
    <xdr:pic>
      <xdr:nvPicPr>
        <xdr:cNvPr id="23091" name="Picture 93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752850" y="185632725"/>
          <a:ext cx="0" cy="1181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1224</xdr:row>
      <xdr:rowOff>0</xdr:rowOff>
    </xdr:from>
    <xdr:to>
      <xdr:col>11</xdr:col>
      <xdr:colOff>0</xdr:colOff>
      <xdr:row>1231</xdr:row>
      <xdr:rowOff>114300</xdr:rowOff>
    </xdr:to>
    <xdr:pic>
      <xdr:nvPicPr>
        <xdr:cNvPr id="23092" name="Picture 93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752850" y="185632725"/>
          <a:ext cx="0" cy="1181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1224</xdr:row>
      <xdr:rowOff>47625</xdr:rowOff>
    </xdr:from>
    <xdr:to>
      <xdr:col>11</xdr:col>
      <xdr:colOff>0</xdr:colOff>
      <xdr:row>1232</xdr:row>
      <xdr:rowOff>114300</xdr:rowOff>
    </xdr:to>
    <xdr:pic>
      <xdr:nvPicPr>
        <xdr:cNvPr id="23093" name="Picture 934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752850" y="185680350"/>
          <a:ext cx="0" cy="1285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1237</xdr:row>
      <xdr:rowOff>47625</xdr:rowOff>
    </xdr:from>
    <xdr:to>
      <xdr:col>11</xdr:col>
      <xdr:colOff>0</xdr:colOff>
      <xdr:row>1241</xdr:row>
      <xdr:rowOff>114300</xdr:rowOff>
    </xdr:to>
    <xdr:pic>
      <xdr:nvPicPr>
        <xdr:cNvPr id="23094" name="Picture 935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752850" y="187661550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1231</xdr:row>
      <xdr:rowOff>0</xdr:rowOff>
    </xdr:from>
    <xdr:to>
      <xdr:col>11</xdr:col>
      <xdr:colOff>0</xdr:colOff>
      <xdr:row>1234</xdr:row>
      <xdr:rowOff>95250</xdr:rowOff>
    </xdr:to>
    <xdr:pic>
      <xdr:nvPicPr>
        <xdr:cNvPr id="23095" name="Picture 93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752850" y="186699525"/>
          <a:ext cx="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1237</xdr:row>
      <xdr:rowOff>47625</xdr:rowOff>
    </xdr:from>
    <xdr:to>
      <xdr:col>11</xdr:col>
      <xdr:colOff>0</xdr:colOff>
      <xdr:row>1241</xdr:row>
      <xdr:rowOff>114300</xdr:rowOff>
    </xdr:to>
    <xdr:pic>
      <xdr:nvPicPr>
        <xdr:cNvPr id="23096" name="Picture 937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752850" y="187661550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1237</xdr:row>
      <xdr:rowOff>0</xdr:rowOff>
    </xdr:from>
    <xdr:to>
      <xdr:col>11</xdr:col>
      <xdr:colOff>0</xdr:colOff>
      <xdr:row>1238</xdr:row>
      <xdr:rowOff>114300</xdr:rowOff>
    </xdr:to>
    <xdr:pic>
      <xdr:nvPicPr>
        <xdr:cNvPr id="23097" name="Picture 938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752850" y="187613925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1232</xdr:row>
      <xdr:rowOff>0</xdr:rowOff>
    </xdr:from>
    <xdr:to>
      <xdr:col>11</xdr:col>
      <xdr:colOff>0</xdr:colOff>
      <xdr:row>1235</xdr:row>
      <xdr:rowOff>95250</xdr:rowOff>
    </xdr:to>
    <xdr:pic>
      <xdr:nvPicPr>
        <xdr:cNvPr id="23098" name="Picture 939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752850" y="186851925"/>
          <a:ext cx="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1237</xdr:row>
      <xdr:rowOff>0</xdr:rowOff>
    </xdr:from>
    <xdr:to>
      <xdr:col>11</xdr:col>
      <xdr:colOff>0</xdr:colOff>
      <xdr:row>1238</xdr:row>
      <xdr:rowOff>114300</xdr:rowOff>
    </xdr:to>
    <xdr:pic>
      <xdr:nvPicPr>
        <xdr:cNvPr id="23099" name="Picture 940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752850" y="187613925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1238</xdr:row>
      <xdr:rowOff>47625</xdr:rowOff>
    </xdr:from>
    <xdr:to>
      <xdr:col>11</xdr:col>
      <xdr:colOff>0</xdr:colOff>
      <xdr:row>1242</xdr:row>
      <xdr:rowOff>114300</xdr:rowOff>
    </xdr:to>
    <xdr:pic>
      <xdr:nvPicPr>
        <xdr:cNvPr id="23100" name="Picture 94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752850" y="187813950"/>
          <a:ext cx="0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1236</xdr:row>
      <xdr:rowOff>47625</xdr:rowOff>
    </xdr:from>
    <xdr:to>
      <xdr:col>11</xdr:col>
      <xdr:colOff>0</xdr:colOff>
      <xdr:row>1240</xdr:row>
      <xdr:rowOff>114300</xdr:rowOff>
    </xdr:to>
    <xdr:pic>
      <xdr:nvPicPr>
        <xdr:cNvPr id="23101" name="Picture 94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752850" y="187509150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1230</xdr:row>
      <xdr:rowOff>0</xdr:rowOff>
    </xdr:from>
    <xdr:to>
      <xdr:col>11</xdr:col>
      <xdr:colOff>0</xdr:colOff>
      <xdr:row>1233</xdr:row>
      <xdr:rowOff>95250</xdr:rowOff>
    </xdr:to>
    <xdr:pic>
      <xdr:nvPicPr>
        <xdr:cNvPr id="23102" name="Picture 943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752850" y="186547125"/>
          <a:ext cx="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1236</xdr:row>
      <xdr:rowOff>47625</xdr:rowOff>
    </xdr:from>
    <xdr:to>
      <xdr:col>11</xdr:col>
      <xdr:colOff>0</xdr:colOff>
      <xdr:row>1240</xdr:row>
      <xdr:rowOff>114300</xdr:rowOff>
    </xdr:to>
    <xdr:pic>
      <xdr:nvPicPr>
        <xdr:cNvPr id="23103" name="Picture 944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752850" y="187509150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1236</xdr:row>
      <xdr:rowOff>0</xdr:rowOff>
    </xdr:from>
    <xdr:to>
      <xdr:col>11</xdr:col>
      <xdr:colOff>0</xdr:colOff>
      <xdr:row>1237</xdr:row>
      <xdr:rowOff>114300</xdr:rowOff>
    </xdr:to>
    <xdr:pic>
      <xdr:nvPicPr>
        <xdr:cNvPr id="23104" name="Picture 945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752850" y="187461525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1236</xdr:row>
      <xdr:rowOff>0</xdr:rowOff>
    </xdr:from>
    <xdr:to>
      <xdr:col>11</xdr:col>
      <xdr:colOff>0</xdr:colOff>
      <xdr:row>1237</xdr:row>
      <xdr:rowOff>114300</xdr:rowOff>
    </xdr:to>
    <xdr:pic>
      <xdr:nvPicPr>
        <xdr:cNvPr id="23105" name="Picture 946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752850" y="187461525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1237</xdr:row>
      <xdr:rowOff>47625</xdr:rowOff>
    </xdr:from>
    <xdr:to>
      <xdr:col>11</xdr:col>
      <xdr:colOff>0</xdr:colOff>
      <xdr:row>1241</xdr:row>
      <xdr:rowOff>114300</xdr:rowOff>
    </xdr:to>
    <xdr:pic>
      <xdr:nvPicPr>
        <xdr:cNvPr id="23106" name="Picture 947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752850" y="187661550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1235</xdr:row>
      <xdr:rowOff>47625</xdr:rowOff>
    </xdr:from>
    <xdr:to>
      <xdr:col>11</xdr:col>
      <xdr:colOff>0</xdr:colOff>
      <xdr:row>1239</xdr:row>
      <xdr:rowOff>114300</xdr:rowOff>
    </xdr:to>
    <xdr:pic>
      <xdr:nvPicPr>
        <xdr:cNvPr id="23107" name="Picture 948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752850" y="187356750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1225</xdr:row>
      <xdr:rowOff>0</xdr:rowOff>
    </xdr:from>
    <xdr:to>
      <xdr:col>11</xdr:col>
      <xdr:colOff>0</xdr:colOff>
      <xdr:row>1232</xdr:row>
      <xdr:rowOff>95250</xdr:rowOff>
    </xdr:to>
    <xdr:pic>
      <xdr:nvPicPr>
        <xdr:cNvPr id="23108" name="Picture 949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752850" y="185785125"/>
          <a:ext cx="0" cy="1162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1235</xdr:row>
      <xdr:rowOff>47625</xdr:rowOff>
    </xdr:from>
    <xdr:to>
      <xdr:col>11</xdr:col>
      <xdr:colOff>0</xdr:colOff>
      <xdr:row>1239</xdr:row>
      <xdr:rowOff>114300</xdr:rowOff>
    </xdr:to>
    <xdr:pic>
      <xdr:nvPicPr>
        <xdr:cNvPr id="23109" name="Picture 950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752850" y="187356750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1235</xdr:row>
      <xdr:rowOff>0</xdr:rowOff>
    </xdr:from>
    <xdr:to>
      <xdr:col>11</xdr:col>
      <xdr:colOff>0</xdr:colOff>
      <xdr:row>1236</xdr:row>
      <xdr:rowOff>114300</xdr:rowOff>
    </xdr:to>
    <xdr:pic>
      <xdr:nvPicPr>
        <xdr:cNvPr id="23110" name="Picture 95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752850" y="187309125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1230</xdr:row>
      <xdr:rowOff>0</xdr:rowOff>
    </xdr:from>
    <xdr:to>
      <xdr:col>11</xdr:col>
      <xdr:colOff>0</xdr:colOff>
      <xdr:row>1233</xdr:row>
      <xdr:rowOff>95250</xdr:rowOff>
    </xdr:to>
    <xdr:pic>
      <xdr:nvPicPr>
        <xdr:cNvPr id="23111" name="Picture 95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752850" y="186547125"/>
          <a:ext cx="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1236</xdr:row>
      <xdr:rowOff>47625</xdr:rowOff>
    </xdr:from>
    <xdr:to>
      <xdr:col>11</xdr:col>
      <xdr:colOff>0</xdr:colOff>
      <xdr:row>1240</xdr:row>
      <xdr:rowOff>114300</xdr:rowOff>
    </xdr:to>
    <xdr:pic>
      <xdr:nvPicPr>
        <xdr:cNvPr id="23112" name="Picture 95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752850" y="187509150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1237</xdr:row>
      <xdr:rowOff>47625</xdr:rowOff>
    </xdr:from>
    <xdr:to>
      <xdr:col>11</xdr:col>
      <xdr:colOff>0</xdr:colOff>
      <xdr:row>1241</xdr:row>
      <xdr:rowOff>114300</xdr:rowOff>
    </xdr:to>
    <xdr:pic>
      <xdr:nvPicPr>
        <xdr:cNvPr id="23113" name="Picture 954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752850" y="187661550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1237</xdr:row>
      <xdr:rowOff>47625</xdr:rowOff>
    </xdr:from>
    <xdr:to>
      <xdr:col>11</xdr:col>
      <xdr:colOff>0</xdr:colOff>
      <xdr:row>1241</xdr:row>
      <xdr:rowOff>114300</xdr:rowOff>
    </xdr:to>
    <xdr:pic>
      <xdr:nvPicPr>
        <xdr:cNvPr id="23114" name="Picture 955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752850" y="187661550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1237</xdr:row>
      <xdr:rowOff>47625</xdr:rowOff>
    </xdr:from>
    <xdr:to>
      <xdr:col>11</xdr:col>
      <xdr:colOff>0</xdr:colOff>
      <xdr:row>1241</xdr:row>
      <xdr:rowOff>114300</xdr:rowOff>
    </xdr:to>
    <xdr:pic>
      <xdr:nvPicPr>
        <xdr:cNvPr id="23115" name="Picture 956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752850" y="187661550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1237</xdr:row>
      <xdr:rowOff>0</xdr:rowOff>
    </xdr:from>
    <xdr:to>
      <xdr:col>11</xdr:col>
      <xdr:colOff>0</xdr:colOff>
      <xdr:row>1238</xdr:row>
      <xdr:rowOff>114300</xdr:rowOff>
    </xdr:to>
    <xdr:pic>
      <xdr:nvPicPr>
        <xdr:cNvPr id="23116" name="Picture 957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752850" y="187613925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1237</xdr:row>
      <xdr:rowOff>0</xdr:rowOff>
    </xdr:from>
    <xdr:to>
      <xdr:col>11</xdr:col>
      <xdr:colOff>0</xdr:colOff>
      <xdr:row>1238</xdr:row>
      <xdr:rowOff>114300</xdr:rowOff>
    </xdr:to>
    <xdr:pic>
      <xdr:nvPicPr>
        <xdr:cNvPr id="23117" name="Picture 958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752850" y="187613925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1238</xdr:row>
      <xdr:rowOff>47625</xdr:rowOff>
    </xdr:from>
    <xdr:to>
      <xdr:col>11</xdr:col>
      <xdr:colOff>0</xdr:colOff>
      <xdr:row>1242</xdr:row>
      <xdr:rowOff>114300</xdr:rowOff>
    </xdr:to>
    <xdr:pic>
      <xdr:nvPicPr>
        <xdr:cNvPr id="23118" name="Picture 959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752850" y="187813950"/>
          <a:ext cx="0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1236</xdr:row>
      <xdr:rowOff>47625</xdr:rowOff>
    </xdr:from>
    <xdr:to>
      <xdr:col>11</xdr:col>
      <xdr:colOff>0</xdr:colOff>
      <xdr:row>1240</xdr:row>
      <xdr:rowOff>114300</xdr:rowOff>
    </xdr:to>
    <xdr:pic>
      <xdr:nvPicPr>
        <xdr:cNvPr id="23119" name="Picture 960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752850" y="187509150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1236</xdr:row>
      <xdr:rowOff>47625</xdr:rowOff>
    </xdr:from>
    <xdr:to>
      <xdr:col>11</xdr:col>
      <xdr:colOff>0</xdr:colOff>
      <xdr:row>1240</xdr:row>
      <xdr:rowOff>114300</xdr:rowOff>
    </xdr:to>
    <xdr:pic>
      <xdr:nvPicPr>
        <xdr:cNvPr id="23120" name="Picture 96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752850" y="187509150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1236</xdr:row>
      <xdr:rowOff>0</xdr:rowOff>
    </xdr:from>
    <xdr:to>
      <xdr:col>11</xdr:col>
      <xdr:colOff>0</xdr:colOff>
      <xdr:row>1237</xdr:row>
      <xdr:rowOff>114300</xdr:rowOff>
    </xdr:to>
    <xdr:pic>
      <xdr:nvPicPr>
        <xdr:cNvPr id="23121" name="Picture 96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752850" y="187461525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1236</xdr:row>
      <xdr:rowOff>0</xdr:rowOff>
    </xdr:from>
    <xdr:to>
      <xdr:col>11</xdr:col>
      <xdr:colOff>0</xdr:colOff>
      <xdr:row>1237</xdr:row>
      <xdr:rowOff>114300</xdr:rowOff>
    </xdr:to>
    <xdr:pic>
      <xdr:nvPicPr>
        <xdr:cNvPr id="23122" name="Picture 96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752850" y="187461525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1237</xdr:row>
      <xdr:rowOff>47625</xdr:rowOff>
    </xdr:from>
    <xdr:to>
      <xdr:col>11</xdr:col>
      <xdr:colOff>0</xdr:colOff>
      <xdr:row>1241</xdr:row>
      <xdr:rowOff>114300</xdr:rowOff>
    </xdr:to>
    <xdr:pic>
      <xdr:nvPicPr>
        <xdr:cNvPr id="23123" name="Picture 964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752850" y="187661550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1235</xdr:row>
      <xdr:rowOff>47625</xdr:rowOff>
    </xdr:from>
    <xdr:to>
      <xdr:col>11</xdr:col>
      <xdr:colOff>0</xdr:colOff>
      <xdr:row>1239</xdr:row>
      <xdr:rowOff>114300</xdr:rowOff>
    </xdr:to>
    <xdr:pic>
      <xdr:nvPicPr>
        <xdr:cNvPr id="23124" name="Picture 965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752850" y="187356750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1237</xdr:row>
      <xdr:rowOff>47625</xdr:rowOff>
    </xdr:from>
    <xdr:to>
      <xdr:col>11</xdr:col>
      <xdr:colOff>0</xdr:colOff>
      <xdr:row>1241</xdr:row>
      <xdr:rowOff>114300</xdr:rowOff>
    </xdr:to>
    <xdr:pic>
      <xdr:nvPicPr>
        <xdr:cNvPr id="23125" name="Picture 966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752850" y="187661550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1231</xdr:row>
      <xdr:rowOff>0</xdr:rowOff>
    </xdr:from>
    <xdr:to>
      <xdr:col>11</xdr:col>
      <xdr:colOff>0</xdr:colOff>
      <xdr:row>1234</xdr:row>
      <xdr:rowOff>95250</xdr:rowOff>
    </xdr:to>
    <xdr:pic>
      <xdr:nvPicPr>
        <xdr:cNvPr id="23126" name="Picture 967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752850" y="186699525"/>
          <a:ext cx="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1237</xdr:row>
      <xdr:rowOff>47625</xdr:rowOff>
    </xdr:from>
    <xdr:to>
      <xdr:col>11</xdr:col>
      <xdr:colOff>0</xdr:colOff>
      <xdr:row>1241</xdr:row>
      <xdr:rowOff>114300</xdr:rowOff>
    </xdr:to>
    <xdr:pic>
      <xdr:nvPicPr>
        <xdr:cNvPr id="23127" name="Picture 968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752850" y="187661550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1237</xdr:row>
      <xdr:rowOff>0</xdr:rowOff>
    </xdr:from>
    <xdr:to>
      <xdr:col>11</xdr:col>
      <xdr:colOff>0</xdr:colOff>
      <xdr:row>1238</xdr:row>
      <xdr:rowOff>114300</xdr:rowOff>
    </xdr:to>
    <xdr:pic>
      <xdr:nvPicPr>
        <xdr:cNvPr id="23128" name="Picture 969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752850" y="187613925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1232</xdr:row>
      <xdr:rowOff>0</xdr:rowOff>
    </xdr:from>
    <xdr:to>
      <xdr:col>11</xdr:col>
      <xdr:colOff>0</xdr:colOff>
      <xdr:row>1235</xdr:row>
      <xdr:rowOff>95250</xdr:rowOff>
    </xdr:to>
    <xdr:pic>
      <xdr:nvPicPr>
        <xdr:cNvPr id="23129" name="Picture 97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752850" y="186851925"/>
          <a:ext cx="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1237</xdr:row>
      <xdr:rowOff>0</xdr:rowOff>
    </xdr:from>
    <xdr:to>
      <xdr:col>11</xdr:col>
      <xdr:colOff>0</xdr:colOff>
      <xdr:row>1238</xdr:row>
      <xdr:rowOff>114300</xdr:rowOff>
    </xdr:to>
    <xdr:pic>
      <xdr:nvPicPr>
        <xdr:cNvPr id="23130" name="Picture 97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752850" y="187613925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1238</xdr:row>
      <xdr:rowOff>47625</xdr:rowOff>
    </xdr:from>
    <xdr:to>
      <xdr:col>11</xdr:col>
      <xdr:colOff>0</xdr:colOff>
      <xdr:row>1242</xdr:row>
      <xdr:rowOff>114300</xdr:rowOff>
    </xdr:to>
    <xdr:pic>
      <xdr:nvPicPr>
        <xdr:cNvPr id="23131" name="Picture 97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752850" y="187813950"/>
          <a:ext cx="0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1236</xdr:row>
      <xdr:rowOff>47625</xdr:rowOff>
    </xdr:from>
    <xdr:to>
      <xdr:col>11</xdr:col>
      <xdr:colOff>0</xdr:colOff>
      <xdr:row>1240</xdr:row>
      <xdr:rowOff>114300</xdr:rowOff>
    </xdr:to>
    <xdr:pic>
      <xdr:nvPicPr>
        <xdr:cNvPr id="23132" name="Picture 97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752850" y="187509150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1230</xdr:row>
      <xdr:rowOff>0</xdr:rowOff>
    </xdr:from>
    <xdr:to>
      <xdr:col>11</xdr:col>
      <xdr:colOff>0</xdr:colOff>
      <xdr:row>1233</xdr:row>
      <xdr:rowOff>95250</xdr:rowOff>
    </xdr:to>
    <xdr:pic>
      <xdr:nvPicPr>
        <xdr:cNvPr id="23133" name="Picture 97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752850" y="186547125"/>
          <a:ext cx="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1236</xdr:row>
      <xdr:rowOff>47625</xdr:rowOff>
    </xdr:from>
    <xdr:to>
      <xdr:col>11</xdr:col>
      <xdr:colOff>0</xdr:colOff>
      <xdr:row>1240</xdr:row>
      <xdr:rowOff>114300</xdr:rowOff>
    </xdr:to>
    <xdr:pic>
      <xdr:nvPicPr>
        <xdr:cNvPr id="23134" name="Picture 975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752850" y="187509150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1236</xdr:row>
      <xdr:rowOff>0</xdr:rowOff>
    </xdr:from>
    <xdr:to>
      <xdr:col>11</xdr:col>
      <xdr:colOff>0</xdr:colOff>
      <xdr:row>1237</xdr:row>
      <xdr:rowOff>114300</xdr:rowOff>
    </xdr:to>
    <xdr:pic>
      <xdr:nvPicPr>
        <xdr:cNvPr id="23135" name="Picture 976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752850" y="187461525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1231</xdr:row>
      <xdr:rowOff>0</xdr:rowOff>
    </xdr:from>
    <xdr:to>
      <xdr:col>11</xdr:col>
      <xdr:colOff>0</xdr:colOff>
      <xdr:row>1234</xdr:row>
      <xdr:rowOff>95250</xdr:rowOff>
    </xdr:to>
    <xdr:pic>
      <xdr:nvPicPr>
        <xdr:cNvPr id="23136" name="Picture 977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752850" y="186699525"/>
          <a:ext cx="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1236</xdr:row>
      <xdr:rowOff>0</xdr:rowOff>
    </xdr:from>
    <xdr:to>
      <xdr:col>11</xdr:col>
      <xdr:colOff>0</xdr:colOff>
      <xdr:row>1237</xdr:row>
      <xdr:rowOff>114300</xdr:rowOff>
    </xdr:to>
    <xdr:pic>
      <xdr:nvPicPr>
        <xdr:cNvPr id="23137" name="Picture 978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752850" y="187461525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1237</xdr:row>
      <xdr:rowOff>47625</xdr:rowOff>
    </xdr:from>
    <xdr:to>
      <xdr:col>11</xdr:col>
      <xdr:colOff>0</xdr:colOff>
      <xdr:row>1241</xdr:row>
      <xdr:rowOff>114300</xdr:rowOff>
    </xdr:to>
    <xdr:pic>
      <xdr:nvPicPr>
        <xdr:cNvPr id="23138" name="Picture 979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752850" y="187661550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1235</xdr:row>
      <xdr:rowOff>47625</xdr:rowOff>
    </xdr:from>
    <xdr:to>
      <xdr:col>11</xdr:col>
      <xdr:colOff>0</xdr:colOff>
      <xdr:row>1239</xdr:row>
      <xdr:rowOff>114300</xdr:rowOff>
    </xdr:to>
    <xdr:pic>
      <xdr:nvPicPr>
        <xdr:cNvPr id="23139" name="Picture 980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752850" y="187356750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1225</xdr:row>
      <xdr:rowOff>0</xdr:rowOff>
    </xdr:from>
    <xdr:to>
      <xdr:col>11</xdr:col>
      <xdr:colOff>0</xdr:colOff>
      <xdr:row>1232</xdr:row>
      <xdr:rowOff>95250</xdr:rowOff>
    </xdr:to>
    <xdr:pic>
      <xdr:nvPicPr>
        <xdr:cNvPr id="23140" name="Picture 98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752850" y="185785125"/>
          <a:ext cx="0" cy="1162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1235</xdr:row>
      <xdr:rowOff>47625</xdr:rowOff>
    </xdr:from>
    <xdr:to>
      <xdr:col>11</xdr:col>
      <xdr:colOff>0</xdr:colOff>
      <xdr:row>1239</xdr:row>
      <xdr:rowOff>114300</xdr:rowOff>
    </xdr:to>
    <xdr:pic>
      <xdr:nvPicPr>
        <xdr:cNvPr id="23141" name="Picture 98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752850" y="187356750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1235</xdr:row>
      <xdr:rowOff>0</xdr:rowOff>
    </xdr:from>
    <xdr:to>
      <xdr:col>11</xdr:col>
      <xdr:colOff>0</xdr:colOff>
      <xdr:row>1236</xdr:row>
      <xdr:rowOff>114300</xdr:rowOff>
    </xdr:to>
    <xdr:pic>
      <xdr:nvPicPr>
        <xdr:cNvPr id="23142" name="Picture 98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752850" y="187309125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1230</xdr:row>
      <xdr:rowOff>0</xdr:rowOff>
    </xdr:from>
    <xdr:to>
      <xdr:col>11</xdr:col>
      <xdr:colOff>0</xdr:colOff>
      <xdr:row>1233</xdr:row>
      <xdr:rowOff>95250</xdr:rowOff>
    </xdr:to>
    <xdr:pic>
      <xdr:nvPicPr>
        <xdr:cNvPr id="23143" name="Picture 98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752850" y="186547125"/>
          <a:ext cx="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1235</xdr:row>
      <xdr:rowOff>0</xdr:rowOff>
    </xdr:from>
    <xdr:to>
      <xdr:col>11</xdr:col>
      <xdr:colOff>0</xdr:colOff>
      <xdr:row>1236</xdr:row>
      <xdr:rowOff>114300</xdr:rowOff>
    </xdr:to>
    <xdr:pic>
      <xdr:nvPicPr>
        <xdr:cNvPr id="23144" name="Picture 985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752850" y="187309125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1236</xdr:row>
      <xdr:rowOff>47625</xdr:rowOff>
    </xdr:from>
    <xdr:to>
      <xdr:col>11</xdr:col>
      <xdr:colOff>0</xdr:colOff>
      <xdr:row>1240</xdr:row>
      <xdr:rowOff>114300</xdr:rowOff>
    </xdr:to>
    <xdr:pic>
      <xdr:nvPicPr>
        <xdr:cNvPr id="23145" name="Picture 986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752850" y="187509150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1231</xdr:row>
      <xdr:rowOff>0</xdr:rowOff>
    </xdr:from>
    <xdr:to>
      <xdr:col>11</xdr:col>
      <xdr:colOff>0</xdr:colOff>
      <xdr:row>1234</xdr:row>
      <xdr:rowOff>95250</xdr:rowOff>
    </xdr:to>
    <xdr:pic>
      <xdr:nvPicPr>
        <xdr:cNvPr id="23146" name="Picture 987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752850" y="186699525"/>
          <a:ext cx="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1237</xdr:row>
      <xdr:rowOff>47625</xdr:rowOff>
    </xdr:from>
    <xdr:to>
      <xdr:col>11</xdr:col>
      <xdr:colOff>0</xdr:colOff>
      <xdr:row>1241</xdr:row>
      <xdr:rowOff>114300</xdr:rowOff>
    </xdr:to>
    <xdr:pic>
      <xdr:nvPicPr>
        <xdr:cNvPr id="23147" name="Picture 988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752850" y="187661550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1237</xdr:row>
      <xdr:rowOff>47625</xdr:rowOff>
    </xdr:from>
    <xdr:to>
      <xdr:col>11</xdr:col>
      <xdr:colOff>0</xdr:colOff>
      <xdr:row>1241</xdr:row>
      <xdr:rowOff>114300</xdr:rowOff>
    </xdr:to>
    <xdr:pic>
      <xdr:nvPicPr>
        <xdr:cNvPr id="23148" name="Picture 989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752850" y="187661550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1231</xdr:row>
      <xdr:rowOff>0</xdr:rowOff>
    </xdr:from>
    <xdr:to>
      <xdr:col>11</xdr:col>
      <xdr:colOff>0</xdr:colOff>
      <xdr:row>1234</xdr:row>
      <xdr:rowOff>95250</xdr:rowOff>
    </xdr:to>
    <xdr:pic>
      <xdr:nvPicPr>
        <xdr:cNvPr id="23149" name="Picture 99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752850" y="186699525"/>
          <a:ext cx="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1237</xdr:row>
      <xdr:rowOff>47625</xdr:rowOff>
    </xdr:from>
    <xdr:to>
      <xdr:col>11</xdr:col>
      <xdr:colOff>0</xdr:colOff>
      <xdr:row>1241</xdr:row>
      <xdr:rowOff>114300</xdr:rowOff>
    </xdr:to>
    <xdr:pic>
      <xdr:nvPicPr>
        <xdr:cNvPr id="23150" name="Picture 99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752850" y="187661550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1237</xdr:row>
      <xdr:rowOff>0</xdr:rowOff>
    </xdr:from>
    <xdr:to>
      <xdr:col>11</xdr:col>
      <xdr:colOff>0</xdr:colOff>
      <xdr:row>1238</xdr:row>
      <xdr:rowOff>114300</xdr:rowOff>
    </xdr:to>
    <xdr:pic>
      <xdr:nvPicPr>
        <xdr:cNvPr id="23151" name="Picture 99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752850" y="187613925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1232</xdr:row>
      <xdr:rowOff>0</xdr:rowOff>
    </xdr:from>
    <xdr:to>
      <xdr:col>11</xdr:col>
      <xdr:colOff>0</xdr:colOff>
      <xdr:row>1235</xdr:row>
      <xdr:rowOff>95250</xdr:rowOff>
    </xdr:to>
    <xdr:pic>
      <xdr:nvPicPr>
        <xdr:cNvPr id="23152" name="Picture 993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752850" y="186851925"/>
          <a:ext cx="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1237</xdr:row>
      <xdr:rowOff>0</xdr:rowOff>
    </xdr:from>
    <xdr:to>
      <xdr:col>11</xdr:col>
      <xdr:colOff>0</xdr:colOff>
      <xdr:row>1238</xdr:row>
      <xdr:rowOff>114300</xdr:rowOff>
    </xdr:to>
    <xdr:pic>
      <xdr:nvPicPr>
        <xdr:cNvPr id="23153" name="Picture 994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752850" y="187613925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1238</xdr:row>
      <xdr:rowOff>47625</xdr:rowOff>
    </xdr:from>
    <xdr:to>
      <xdr:col>11</xdr:col>
      <xdr:colOff>0</xdr:colOff>
      <xdr:row>1242</xdr:row>
      <xdr:rowOff>114300</xdr:rowOff>
    </xdr:to>
    <xdr:pic>
      <xdr:nvPicPr>
        <xdr:cNvPr id="23154" name="Picture 995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752850" y="187813950"/>
          <a:ext cx="0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1236</xdr:row>
      <xdr:rowOff>47625</xdr:rowOff>
    </xdr:from>
    <xdr:to>
      <xdr:col>11</xdr:col>
      <xdr:colOff>0</xdr:colOff>
      <xdr:row>1240</xdr:row>
      <xdr:rowOff>114300</xdr:rowOff>
    </xdr:to>
    <xdr:pic>
      <xdr:nvPicPr>
        <xdr:cNvPr id="23155" name="Picture 996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752850" y="187509150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1230</xdr:row>
      <xdr:rowOff>0</xdr:rowOff>
    </xdr:from>
    <xdr:to>
      <xdr:col>11</xdr:col>
      <xdr:colOff>0</xdr:colOff>
      <xdr:row>1233</xdr:row>
      <xdr:rowOff>95250</xdr:rowOff>
    </xdr:to>
    <xdr:pic>
      <xdr:nvPicPr>
        <xdr:cNvPr id="23156" name="Picture 997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752850" y="186547125"/>
          <a:ext cx="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1236</xdr:row>
      <xdr:rowOff>47625</xdr:rowOff>
    </xdr:from>
    <xdr:to>
      <xdr:col>11</xdr:col>
      <xdr:colOff>0</xdr:colOff>
      <xdr:row>1240</xdr:row>
      <xdr:rowOff>114300</xdr:rowOff>
    </xdr:to>
    <xdr:pic>
      <xdr:nvPicPr>
        <xdr:cNvPr id="23157" name="Picture 998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752850" y="187509150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1236</xdr:row>
      <xdr:rowOff>0</xdr:rowOff>
    </xdr:from>
    <xdr:to>
      <xdr:col>11</xdr:col>
      <xdr:colOff>0</xdr:colOff>
      <xdr:row>1237</xdr:row>
      <xdr:rowOff>114300</xdr:rowOff>
    </xdr:to>
    <xdr:pic>
      <xdr:nvPicPr>
        <xdr:cNvPr id="23158" name="Picture 999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752850" y="187461525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1231</xdr:row>
      <xdr:rowOff>0</xdr:rowOff>
    </xdr:from>
    <xdr:to>
      <xdr:col>11</xdr:col>
      <xdr:colOff>0</xdr:colOff>
      <xdr:row>1234</xdr:row>
      <xdr:rowOff>95250</xdr:rowOff>
    </xdr:to>
    <xdr:pic>
      <xdr:nvPicPr>
        <xdr:cNvPr id="23159" name="Picture 100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752850" y="186699525"/>
          <a:ext cx="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1236</xdr:row>
      <xdr:rowOff>0</xdr:rowOff>
    </xdr:from>
    <xdr:to>
      <xdr:col>11</xdr:col>
      <xdr:colOff>0</xdr:colOff>
      <xdr:row>1237</xdr:row>
      <xdr:rowOff>114300</xdr:rowOff>
    </xdr:to>
    <xdr:pic>
      <xdr:nvPicPr>
        <xdr:cNvPr id="23160" name="Picture 100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752850" y="187461525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1237</xdr:row>
      <xdr:rowOff>47625</xdr:rowOff>
    </xdr:from>
    <xdr:to>
      <xdr:col>11</xdr:col>
      <xdr:colOff>0</xdr:colOff>
      <xdr:row>1241</xdr:row>
      <xdr:rowOff>114300</xdr:rowOff>
    </xdr:to>
    <xdr:pic>
      <xdr:nvPicPr>
        <xdr:cNvPr id="23161" name="Picture 100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752850" y="187661550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1235</xdr:row>
      <xdr:rowOff>47625</xdr:rowOff>
    </xdr:from>
    <xdr:to>
      <xdr:col>11</xdr:col>
      <xdr:colOff>0</xdr:colOff>
      <xdr:row>1239</xdr:row>
      <xdr:rowOff>114300</xdr:rowOff>
    </xdr:to>
    <xdr:pic>
      <xdr:nvPicPr>
        <xdr:cNvPr id="23162" name="Picture 100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752850" y="187356750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1225</xdr:row>
      <xdr:rowOff>0</xdr:rowOff>
    </xdr:from>
    <xdr:to>
      <xdr:col>11</xdr:col>
      <xdr:colOff>0</xdr:colOff>
      <xdr:row>1232</xdr:row>
      <xdr:rowOff>95250</xdr:rowOff>
    </xdr:to>
    <xdr:pic>
      <xdr:nvPicPr>
        <xdr:cNvPr id="23163" name="Picture 100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752850" y="185785125"/>
          <a:ext cx="0" cy="1162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1235</xdr:row>
      <xdr:rowOff>47625</xdr:rowOff>
    </xdr:from>
    <xdr:to>
      <xdr:col>11</xdr:col>
      <xdr:colOff>0</xdr:colOff>
      <xdr:row>1239</xdr:row>
      <xdr:rowOff>114300</xdr:rowOff>
    </xdr:to>
    <xdr:pic>
      <xdr:nvPicPr>
        <xdr:cNvPr id="23164" name="Picture 1005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752850" y="187356750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1235</xdr:row>
      <xdr:rowOff>0</xdr:rowOff>
    </xdr:from>
    <xdr:to>
      <xdr:col>11</xdr:col>
      <xdr:colOff>0</xdr:colOff>
      <xdr:row>1236</xdr:row>
      <xdr:rowOff>114300</xdr:rowOff>
    </xdr:to>
    <xdr:pic>
      <xdr:nvPicPr>
        <xdr:cNvPr id="23165" name="Picture 1006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752850" y="187309125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1230</xdr:row>
      <xdr:rowOff>0</xdr:rowOff>
    </xdr:from>
    <xdr:to>
      <xdr:col>11</xdr:col>
      <xdr:colOff>0</xdr:colOff>
      <xdr:row>1233</xdr:row>
      <xdr:rowOff>95250</xdr:rowOff>
    </xdr:to>
    <xdr:pic>
      <xdr:nvPicPr>
        <xdr:cNvPr id="23166" name="Picture 1007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752850" y="186547125"/>
          <a:ext cx="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1235</xdr:row>
      <xdr:rowOff>0</xdr:rowOff>
    </xdr:from>
    <xdr:to>
      <xdr:col>11</xdr:col>
      <xdr:colOff>0</xdr:colOff>
      <xdr:row>1236</xdr:row>
      <xdr:rowOff>114300</xdr:rowOff>
    </xdr:to>
    <xdr:pic>
      <xdr:nvPicPr>
        <xdr:cNvPr id="23167" name="Picture 1008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752850" y="187309125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2428875</xdr:colOff>
      <xdr:row>1224</xdr:row>
      <xdr:rowOff>85725</xdr:rowOff>
    </xdr:from>
    <xdr:to>
      <xdr:col>12</xdr:col>
      <xdr:colOff>0</xdr:colOff>
      <xdr:row>1233</xdr:row>
      <xdr:rowOff>114300</xdr:rowOff>
    </xdr:to>
    <xdr:pic>
      <xdr:nvPicPr>
        <xdr:cNvPr id="23168" name="Picture 1009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752850" y="185718450"/>
          <a:ext cx="0" cy="1400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66675</xdr:colOff>
      <xdr:row>1236</xdr:row>
      <xdr:rowOff>47625</xdr:rowOff>
    </xdr:from>
    <xdr:to>
      <xdr:col>11</xdr:col>
      <xdr:colOff>609600</xdr:colOff>
      <xdr:row>1240</xdr:row>
      <xdr:rowOff>114300</xdr:rowOff>
    </xdr:to>
    <xdr:pic>
      <xdr:nvPicPr>
        <xdr:cNvPr id="23169" name="Picture 1010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752850" y="187509150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723900</xdr:colOff>
      <xdr:row>1231</xdr:row>
      <xdr:rowOff>57150</xdr:rowOff>
    </xdr:from>
    <xdr:to>
      <xdr:col>10</xdr:col>
      <xdr:colOff>723900</xdr:colOff>
      <xdr:row>1237</xdr:row>
      <xdr:rowOff>28575</xdr:rowOff>
    </xdr:to>
    <xdr:pic>
      <xdr:nvPicPr>
        <xdr:cNvPr id="23170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2647950" y="186756675"/>
          <a:ext cx="0" cy="885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752475</xdr:colOff>
      <xdr:row>1240</xdr:row>
      <xdr:rowOff>19050</xdr:rowOff>
    </xdr:from>
    <xdr:to>
      <xdr:col>10</xdr:col>
      <xdr:colOff>752475</xdr:colOff>
      <xdr:row>1244</xdr:row>
      <xdr:rowOff>28575</xdr:rowOff>
    </xdr:to>
    <xdr:pic>
      <xdr:nvPicPr>
        <xdr:cNvPr id="23171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2676525" y="188090175"/>
          <a:ext cx="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533400</xdr:colOff>
      <xdr:row>1232</xdr:row>
      <xdr:rowOff>85725</xdr:rowOff>
    </xdr:from>
    <xdr:to>
      <xdr:col>10</xdr:col>
      <xdr:colOff>1095375</xdr:colOff>
      <xdr:row>1237</xdr:row>
      <xdr:rowOff>0</xdr:rowOff>
    </xdr:to>
    <xdr:pic>
      <xdr:nvPicPr>
        <xdr:cNvPr id="23172" name="Picture 8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457450" y="186937650"/>
          <a:ext cx="5619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552450</xdr:colOff>
      <xdr:row>1240</xdr:row>
      <xdr:rowOff>47625</xdr:rowOff>
    </xdr:from>
    <xdr:to>
      <xdr:col>10</xdr:col>
      <xdr:colOff>1095375</xdr:colOff>
      <xdr:row>1244</xdr:row>
      <xdr:rowOff>57150</xdr:rowOff>
    </xdr:to>
    <xdr:pic>
      <xdr:nvPicPr>
        <xdr:cNvPr id="23173" name="Picture 10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2476500" y="188118750"/>
          <a:ext cx="542925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ynesisXLS/Op&#263;ina%202024/Izvr&#353;enje_prora&#269;una_po_pozicijama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zvršenje_proračuna_po_pozicija"/>
    </sheetNames>
    <sheetDataSet>
      <sheetData sheetId="0" refreshError="1">
        <row r="2">
          <cell r="B2" t="str">
            <v>61</v>
          </cell>
          <cell r="E2">
            <v>134973.64000000001</v>
          </cell>
        </row>
        <row r="3">
          <cell r="B3" t="str">
            <v>61-1</v>
          </cell>
          <cell r="E3">
            <v>602278.37</v>
          </cell>
        </row>
        <row r="4">
          <cell r="B4" t="str">
            <v>611-2</v>
          </cell>
          <cell r="E4">
            <v>158847.59</v>
          </cell>
        </row>
        <row r="5">
          <cell r="B5" t="str">
            <v>611-3</v>
          </cell>
          <cell r="E5">
            <v>216708.02</v>
          </cell>
        </row>
        <row r="6">
          <cell r="B6" t="str">
            <v>611-4</v>
          </cell>
          <cell r="E6">
            <v>102688.59</v>
          </cell>
        </row>
        <row r="7">
          <cell r="B7" t="str">
            <v>611-5</v>
          </cell>
          <cell r="E7">
            <v>32193.53</v>
          </cell>
        </row>
        <row r="8">
          <cell r="B8" t="str">
            <v>61-2</v>
          </cell>
          <cell r="E8">
            <v>2512935.87</v>
          </cell>
        </row>
        <row r="9">
          <cell r="B9" t="str">
            <v>61-3</v>
          </cell>
          <cell r="E9">
            <v>192066.11</v>
          </cell>
        </row>
        <row r="10">
          <cell r="B10" t="str">
            <v>61-4</v>
          </cell>
          <cell r="E10">
            <v>80794.899999999994</v>
          </cell>
        </row>
        <row r="11">
          <cell r="B11" t="str">
            <v>63</v>
          </cell>
          <cell r="E11">
            <v>72252.490000000005</v>
          </cell>
        </row>
        <row r="12">
          <cell r="B12" t="str">
            <v>63-1</v>
          </cell>
          <cell r="E12">
            <v>69569.399999999994</v>
          </cell>
        </row>
        <row r="13">
          <cell r="B13" t="str">
            <v>63-2</v>
          </cell>
          <cell r="E13">
            <v>323702.05</v>
          </cell>
        </row>
        <row r="14">
          <cell r="B14" t="str">
            <v>64</v>
          </cell>
          <cell r="E14">
            <v>57390.31</v>
          </cell>
        </row>
        <row r="15">
          <cell r="B15" t="str">
            <v>64-0</v>
          </cell>
          <cell r="E15">
            <v>0.69</v>
          </cell>
        </row>
        <row r="16">
          <cell r="B16" t="str">
            <v>64-1</v>
          </cell>
          <cell r="E16">
            <v>1580.86</v>
          </cell>
        </row>
        <row r="17">
          <cell r="B17" t="str">
            <v>64-2</v>
          </cell>
          <cell r="E17">
            <v>152.12</v>
          </cell>
        </row>
        <row r="18">
          <cell r="B18" t="str">
            <v>64-3</v>
          </cell>
          <cell r="E18">
            <v>114323.7</v>
          </cell>
        </row>
        <row r="19">
          <cell r="B19" t="str">
            <v>64-9</v>
          </cell>
          <cell r="E19">
            <v>31033.07</v>
          </cell>
        </row>
        <row r="20">
          <cell r="B20" t="str">
            <v>65</v>
          </cell>
          <cell r="E20">
            <v>342309.39</v>
          </cell>
        </row>
        <row r="21">
          <cell r="B21" t="str">
            <v>65-1</v>
          </cell>
          <cell r="E21">
            <v>163021.82999999999</v>
          </cell>
        </row>
        <row r="22">
          <cell r="B22" t="str">
            <v>65-2</v>
          </cell>
          <cell r="E22">
            <v>1299.1199999999999</v>
          </cell>
        </row>
        <row r="23">
          <cell r="B23" t="str">
            <v>65-3</v>
          </cell>
          <cell r="E23">
            <v>38.520000000000003</v>
          </cell>
        </row>
        <row r="24">
          <cell r="B24" t="str">
            <v>65-4</v>
          </cell>
          <cell r="E24">
            <v>126421.15</v>
          </cell>
        </row>
        <row r="25">
          <cell r="B25" t="str">
            <v>66</v>
          </cell>
          <cell r="E25">
            <v>4187.84</v>
          </cell>
        </row>
        <row r="26">
          <cell r="B26" t="str">
            <v>68</v>
          </cell>
          <cell r="E26">
            <v>16263.79</v>
          </cell>
        </row>
        <row r="27">
          <cell r="B27" t="str">
            <v>69</v>
          </cell>
          <cell r="E27">
            <v>20003.330000000002</v>
          </cell>
        </row>
        <row r="28">
          <cell r="B28" t="str">
            <v>71</v>
          </cell>
          <cell r="E28">
            <v>4613.33</v>
          </cell>
        </row>
        <row r="29">
          <cell r="B29" t="str">
            <v>72</v>
          </cell>
          <cell r="E29">
            <v>683.52</v>
          </cell>
        </row>
        <row r="30">
          <cell r="B30" t="str">
            <v>001</v>
          </cell>
          <cell r="E30">
            <v>210994.59</v>
          </cell>
        </row>
        <row r="31">
          <cell r="B31" t="str">
            <v>001-1</v>
          </cell>
          <cell r="E31">
            <v>0</v>
          </cell>
        </row>
        <row r="32">
          <cell r="B32" t="str">
            <v>004</v>
          </cell>
          <cell r="E32">
            <v>1085.17</v>
          </cell>
        </row>
        <row r="33">
          <cell r="B33" t="str">
            <v>006</v>
          </cell>
          <cell r="E33">
            <v>34814.07</v>
          </cell>
        </row>
        <row r="34">
          <cell r="B34" t="str">
            <v>008</v>
          </cell>
          <cell r="E34">
            <v>10462.36</v>
          </cell>
        </row>
        <row r="35">
          <cell r="B35" t="str">
            <v>008-1</v>
          </cell>
          <cell r="E35">
            <v>1773.52</v>
          </cell>
        </row>
        <row r="36">
          <cell r="B36" t="str">
            <v>009</v>
          </cell>
          <cell r="E36">
            <v>4176.3</v>
          </cell>
        </row>
        <row r="37">
          <cell r="B37" t="str">
            <v>010</v>
          </cell>
          <cell r="E37">
            <v>3776.5</v>
          </cell>
        </row>
        <row r="38">
          <cell r="B38" t="str">
            <v>011</v>
          </cell>
          <cell r="E38">
            <v>4610</v>
          </cell>
        </row>
        <row r="39">
          <cell r="B39" t="str">
            <v>012</v>
          </cell>
          <cell r="E39">
            <v>10412.94</v>
          </cell>
        </row>
        <row r="40">
          <cell r="B40" t="str">
            <v>013</v>
          </cell>
          <cell r="E40">
            <v>725.41</v>
          </cell>
        </row>
        <row r="41">
          <cell r="B41" t="str">
            <v>014</v>
          </cell>
          <cell r="E41">
            <v>756.6</v>
          </cell>
        </row>
        <row r="42">
          <cell r="B42" t="str">
            <v>014-1</v>
          </cell>
          <cell r="E42">
            <v>2624.53</v>
          </cell>
        </row>
        <row r="43">
          <cell r="B43" t="str">
            <v>015</v>
          </cell>
          <cell r="E43">
            <v>21508.31</v>
          </cell>
        </row>
        <row r="44">
          <cell r="B44" t="str">
            <v>016</v>
          </cell>
          <cell r="E44">
            <v>9826.2800000000007</v>
          </cell>
        </row>
        <row r="45">
          <cell r="B45" t="str">
            <v>017</v>
          </cell>
          <cell r="E45">
            <v>8311.2999999999993</v>
          </cell>
        </row>
        <row r="46">
          <cell r="B46" t="str">
            <v>018</v>
          </cell>
          <cell r="E46">
            <v>202.5</v>
          </cell>
        </row>
        <row r="47">
          <cell r="B47" t="str">
            <v>019</v>
          </cell>
          <cell r="E47">
            <v>12401.75</v>
          </cell>
        </row>
        <row r="48">
          <cell r="B48" t="str">
            <v>020</v>
          </cell>
          <cell r="E48">
            <v>29908.22</v>
          </cell>
        </row>
        <row r="49">
          <cell r="B49" t="str">
            <v>021</v>
          </cell>
          <cell r="E49">
            <v>9375</v>
          </cell>
        </row>
        <row r="50">
          <cell r="B50" t="str">
            <v>021-1</v>
          </cell>
          <cell r="E50">
            <v>3667.3</v>
          </cell>
        </row>
        <row r="51">
          <cell r="B51" t="str">
            <v>022</v>
          </cell>
          <cell r="E51">
            <v>1149.75</v>
          </cell>
        </row>
        <row r="52">
          <cell r="B52" t="str">
            <v>024</v>
          </cell>
          <cell r="E52">
            <v>7136.18</v>
          </cell>
        </row>
        <row r="53">
          <cell r="B53" t="str">
            <v>025</v>
          </cell>
          <cell r="E53">
            <v>370.21</v>
          </cell>
        </row>
        <row r="54">
          <cell r="B54" t="str">
            <v>025-1</v>
          </cell>
          <cell r="E54">
            <v>33.18</v>
          </cell>
        </row>
        <row r="55">
          <cell r="B55" t="str">
            <v>026</v>
          </cell>
          <cell r="E55">
            <v>89237.26</v>
          </cell>
        </row>
        <row r="56">
          <cell r="B56" t="str">
            <v>026-1</v>
          </cell>
          <cell r="E56">
            <v>0</v>
          </cell>
        </row>
        <row r="57">
          <cell r="B57" t="str">
            <v>026-2</v>
          </cell>
          <cell r="E57">
            <v>4601.0200000000004</v>
          </cell>
        </row>
        <row r="58">
          <cell r="B58" t="str">
            <v>026-4</v>
          </cell>
          <cell r="E58">
            <v>2750</v>
          </cell>
        </row>
        <row r="59">
          <cell r="B59" t="str">
            <v>026-6</v>
          </cell>
          <cell r="E59">
            <v>0</v>
          </cell>
        </row>
        <row r="60">
          <cell r="B60" t="str">
            <v>027</v>
          </cell>
          <cell r="E60">
            <v>7664.76</v>
          </cell>
        </row>
        <row r="61">
          <cell r="B61" t="str">
            <v>028</v>
          </cell>
          <cell r="E61">
            <v>4297</v>
          </cell>
        </row>
        <row r="62">
          <cell r="B62" t="str">
            <v>029-1</v>
          </cell>
          <cell r="E62">
            <v>19650</v>
          </cell>
        </row>
        <row r="63">
          <cell r="B63" t="str">
            <v>030</v>
          </cell>
          <cell r="E63">
            <v>17286.759999999998</v>
          </cell>
        </row>
        <row r="64">
          <cell r="B64" t="str">
            <v>031</v>
          </cell>
          <cell r="E64">
            <v>0</v>
          </cell>
        </row>
        <row r="65">
          <cell r="B65" t="str">
            <v>070</v>
          </cell>
          <cell r="E65">
            <v>47214.21</v>
          </cell>
        </row>
        <row r="66">
          <cell r="B66" t="str">
            <v>071</v>
          </cell>
          <cell r="E66">
            <v>0</v>
          </cell>
        </row>
        <row r="67">
          <cell r="B67" t="str">
            <v>078-0</v>
          </cell>
          <cell r="E67">
            <v>0</v>
          </cell>
        </row>
        <row r="68">
          <cell r="B68" t="str">
            <v>090</v>
          </cell>
          <cell r="E68">
            <v>37605.480000000003</v>
          </cell>
        </row>
        <row r="69">
          <cell r="B69" t="str">
            <v>090-32</v>
          </cell>
          <cell r="E69">
            <v>0</v>
          </cell>
        </row>
        <row r="70">
          <cell r="B70" t="str">
            <v>090-8</v>
          </cell>
          <cell r="E70">
            <v>0</v>
          </cell>
        </row>
        <row r="71">
          <cell r="B71" t="str">
            <v>091-2</v>
          </cell>
          <cell r="E71">
            <v>12633.97</v>
          </cell>
        </row>
        <row r="72">
          <cell r="B72" t="str">
            <v>091-3</v>
          </cell>
          <cell r="E72">
            <v>440605.47</v>
          </cell>
        </row>
        <row r="73">
          <cell r="B73" t="str">
            <v>094</v>
          </cell>
          <cell r="E73">
            <v>130442.64</v>
          </cell>
        </row>
        <row r="74">
          <cell r="B74" t="str">
            <v>097</v>
          </cell>
          <cell r="E74">
            <v>137983.85999999999</v>
          </cell>
        </row>
        <row r="75">
          <cell r="B75" t="str">
            <v>097-1</v>
          </cell>
          <cell r="E75">
            <v>50808.57</v>
          </cell>
        </row>
        <row r="76">
          <cell r="B76" t="str">
            <v>098-0</v>
          </cell>
          <cell r="E76">
            <v>69227.66</v>
          </cell>
        </row>
        <row r="77">
          <cell r="B77" t="str">
            <v>098-3</v>
          </cell>
          <cell r="E77">
            <v>39059.339999999997</v>
          </cell>
        </row>
        <row r="78">
          <cell r="B78" t="str">
            <v>098-4</v>
          </cell>
          <cell r="E78">
            <v>38787</v>
          </cell>
        </row>
        <row r="79">
          <cell r="B79" t="str">
            <v>102-0</v>
          </cell>
          <cell r="E79">
            <v>10738.29</v>
          </cell>
        </row>
        <row r="80">
          <cell r="B80" t="str">
            <v>102-1</v>
          </cell>
          <cell r="E80">
            <v>0</v>
          </cell>
        </row>
        <row r="81">
          <cell r="B81" t="str">
            <v>102-2</v>
          </cell>
          <cell r="E81">
            <v>13976.15</v>
          </cell>
        </row>
        <row r="82">
          <cell r="B82" t="str">
            <v>109</v>
          </cell>
          <cell r="E82">
            <v>13881.76</v>
          </cell>
        </row>
        <row r="83">
          <cell r="B83" t="str">
            <v>110</v>
          </cell>
          <cell r="E83">
            <v>8911.26</v>
          </cell>
        </row>
        <row r="84">
          <cell r="B84" t="str">
            <v>111</v>
          </cell>
          <cell r="E84">
            <v>15235</v>
          </cell>
        </row>
        <row r="85">
          <cell r="B85" t="str">
            <v>112-1</v>
          </cell>
          <cell r="E85">
            <v>18784.599999999999</v>
          </cell>
        </row>
        <row r="86">
          <cell r="B86" t="str">
            <v>113-1</v>
          </cell>
          <cell r="E86">
            <v>86912.25</v>
          </cell>
        </row>
        <row r="87">
          <cell r="B87" t="str">
            <v>113-5</v>
          </cell>
          <cell r="E87">
            <v>1700</v>
          </cell>
        </row>
        <row r="88">
          <cell r="B88" t="str">
            <v>114</v>
          </cell>
          <cell r="E88">
            <v>0</v>
          </cell>
        </row>
        <row r="89">
          <cell r="B89" t="str">
            <v>114-3</v>
          </cell>
          <cell r="E89">
            <v>15375</v>
          </cell>
        </row>
        <row r="90">
          <cell r="B90" t="str">
            <v>114-4</v>
          </cell>
          <cell r="E90">
            <v>16691.73</v>
          </cell>
        </row>
        <row r="91">
          <cell r="B91" t="str">
            <v>116</v>
          </cell>
          <cell r="E91">
            <v>12477.1</v>
          </cell>
        </row>
        <row r="92">
          <cell r="B92" t="str">
            <v>116-2</v>
          </cell>
          <cell r="E92">
            <v>0</v>
          </cell>
        </row>
        <row r="93">
          <cell r="B93" t="str">
            <v>120-5</v>
          </cell>
          <cell r="E93">
            <v>0</v>
          </cell>
        </row>
        <row r="94">
          <cell r="B94" t="str">
            <v>122</v>
          </cell>
          <cell r="E94">
            <v>4509.63</v>
          </cell>
        </row>
        <row r="95">
          <cell r="B95" t="str">
            <v>122-1</v>
          </cell>
          <cell r="E95">
            <v>995.43</v>
          </cell>
        </row>
        <row r="96">
          <cell r="B96" t="str">
            <v>123</v>
          </cell>
          <cell r="E96">
            <v>24670.29</v>
          </cell>
        </row>
        <row r="97">
          <cell r="B97" t="str">
            <v>124-1</v>
          </cell>
          <cell r="E97">
            <v>1261.49</v>
          </cell>
        </row>
        <row r="98">
          <cell r="B98" t="str">
            <v>124-2</v>
          </cell>
          <cell r="E98">
            <v>0</v>
          </cell>
        </row>
        <row r="99">
          <cell r="B99" t="str">
            <v>125-1</v>
          </cell>
          <cell r="E99">
            <v>100</v>
          </cell>
        </row>
        <row r="100">
          <cell r="B100" t="str">
            <v>125-3</v>
          </cell>
          <cell r="E100">
            <v>29250</v>
          </cell>
        </row>
        <row r="101">
          <cell r="B101" t="str">
            <v>125-5</v>
          </cell>
          <cell r="E101">
            <v>0</v>
          </cell>
        </row>
        <row r="102">
          <cell r="B102" t="str">
            <v>126</v>
          </cell>
          <cell r="E102">
            <v>13163.44</v>
          </cell>
        </row>
        <row r="103">
          <cell r="B103" t="str">
            <v>126-6</v>
          </cell>
          <cell r="E103">
            <v>600</v>
          </cell>
        </row>
        <row r="104">
          <cell r="B104" t="str">
            <v>126-8</v>
          </cell>
          <cell r="E104">
            <v>743.75</v>
          </cell>
        </row>
        <row r="105">
          <cell r="B105" t="str">
            <v>127-0</v>
          </cell>
          <cell r="E105">
            <v>33000</v>
          </cell>
        </row>
        <row r="106">
          <cell r="B106" t="str">
            <v>127-3</v>
          </cell>
          <cell r="E106">
            <v>67000</v>
          </cell>
        </row>
        <row r="107">
          <cell r="B107" t="str">
            <v>127-4</v>
          </cell>
          <cell r="E107">
            <v>2507</v>
          </cell>
        </row>
        <row r="108">
          <cell r="B108" t="str">
            <v>127-7</v>
          </cell>
          <cell r="E108">
            <v>18778.7</v>
          </cell>
        </row>
        <row r="109">
          <cell r="B109" t="str">
            <v>127-8</v>
          </cell>
          <cell r="E109">
            <v>1500</v>
          </cell>
        </row>
        <row r="110">
          <cell r="B110" t="str">
            <v>128-1</v>
          </cell>
          <cell r="E110">
            <v>537.29999999999995</v>
          </cell>
        </row>
        <row r="111">
          <cell r="B111" t="str">
            <v>128-2</v>
          </cell>
          <cell r="E111">
            <v>26.48</v>
          </cell>
        </row>
        <row r="112">
          <cell r="B112" t="str">
            <v>128-4</v>
          </cell>
          <cell r="E112">
            <v>0</v>
          </cell>
        </row>
        <row r="113">
          <cell r="B113" t="str">
            <v>128-5</v>
          </cell>
          <cell r="E113">
            <v>0</v>
          </cell>
        </row>
        <row r="114">
          <cell r="B114" t="str">
            <v>128-9</v>
          </cell>
          <cell r="E114">
            <v>466.87</v>
          </cell>
        </row>
        <row r="115">
          <cell r="B115" t="str">
            <v>129-6</v>
          </cell>
          <cell r="E115">
            <v>0</v>
          </cell>
        </row>
        <row r="116">
          <cell r="B116" t="str">
            <v>130</v>
          </cell>
          <cell r="E116">
            <v>61768.72</v>
          </cell>
        </row>
        <row r="117">
          <cell r="B117" t="str">
            <v>131</v>
          </cell>
          <cell r="E117">
            <v>0</v>
          </cell>
        </row>
        <row r="118">
          <cell r="B118" t="str">
            <v>132</v>
          </cell>
          <cell r="E118">
            <v>13300</v>
          </cell>
        </row>
        <row r="119">
          <cell r="B119" t="str">
            <v>132-1</v>
          </cell>
          <cell r="E119">
            <v>21193.68</v>
          </cell>
        </row>
        <row r="120">
          <cell r="B120" t="str">
            <v>134</v>
          </cell>
          <cell r="E120">
            <v>7376</v>
          </cell>
        </row>
        <row r="121">
          <cell r="B121" t="str">
            <v>134-1</v>
          </cell>
          <cell r="E121">
            <v>23519.91</v>
          </cell>
        </row>
        <row r="122">
          <cell r="B122" t="str">
            <v>135-0</v>
          </cell>
          <cell r="E122">
            <v>16800</v>
          </cell>
        </row>
        <row r="123">
          <cell r="B123" t="str">
            <v>135-4</v>
          </cell>
          <cell r="E123">
            <v>2423.75</v>
          </cell>
        </row>
        <row r="124">
          <cell r="B124" t="str">
            <v>135-5</v>
          </cell>
          <cell r="E124">
            <v>1500</v>
          </cell>
        </row>
        <row r="125">
          <cell r="B125" t="str">
            <v>136</v>
          </cell>
          <cell r="E125">
            <v>2750</v>
          </cell>
        </row>
        <row r="126">
          <cell r="B126" t="str">
            <v>140-7</v>
          </cell>
          <cell r="E126">
            <v>7002</v>
          </cell>
        </row>
        <row r="127">
          <cell r="B127" t="str">
            <v>141-1</v>
          </cell>
          <cell r="E127">
            <v>0</v>
          </cell>
        </row>
        <row r="128">
          <cell r="B128" t="str">
            <v>142-0</v>
          </cell>
          <cell r="E128">
            <v>15529</v>
          </cell>
        </row>
        <row r="129">
          <cell r="B129" t="str">
            <v>146-0</v>
          </cell>
          <cell r="E129">
            <v>57200</v>
          </cell>
        </row>
        <row r="130">
          <cell r="B130" t="str">
            <v>156</v>
          </cell>
          <cell r="E130">
            <v>0</v>
          </cell>
        </row>
        <row r="131">
          <cell r="B131" t="str">
            <v>158</v>
          </cell>
          <cell r="E131">
            <v>20000</v>
          </cell>
        </row>
        <row r="132">
          <cell r="B132" t="str">
            <v>158-1</v>
          </cell>
          <cell r="E132">
            <v>30000</v>
          </cell>
        </row>
        <row r="133">
          <cell r="B133" t="str">
            <v>158-3</v>
          </cell>
          <cell r="E133">
            <v>4000</v>
          </cell>
        </row>
        <row r="134">
          <cell r="B134" t="str">
            <v>158-4</v>
          </cell>
          <cell r="E134">
            <v>51853.14</v>
          </cell>
        </row>
        <row r="135">
          <cell r="B135" t="str">
            <v>160-0</v>
          </cell>
          <cell r="E135">
            <v>27600</v>
          </cell>
        </row>
        <row r="136">
          <cell r="B136" t="str">
            <v>163</v>
          </cell>
          <cell r="E136">
            <v>3240.18</v>
          </cell>
        </row>
        <row r="137">
          <cell r="B137" t="str">
            <v>164</v>
          </cell>
          <cell r="E137">
            <v>750.08</v>
          </cell>
        </row>
        <row r="138">
          <cell r="B138" t="str">
            <v>164-3</v>
          </cell>
          <cell r="E138">
            <v>0</v>
          </cell>
        </row>
        <row r="139">
          <cell r="B139" t="str">
            <v>165</v>
          </cell>
          <cell r="E139">
            <v>3000</v>
          </cell>
        </row>
        <row r="140">
          <cell r="B140" t="str">
            <v>168</v>
          </cell>
          <cell r="E140">
            <v>0</v>
          </cell>
        </row>
        <row r="141">
          <cell r="B141" t="str">
            <v>171-1</v>
          </cell>
          <cell r="E141">
            <v>16597.53</v>
          </cell>
        </row>
        <row r="142">
          <cell r="B142" t="str">
            <v>172</v>
          </cell>
          <cell r="E142">
            <v>115000</v>
          </cell>
        </row>
        <row r="143">
          <cell r="B143" t="str">
            <v>172-0</v>
          </cell>
          <cell r="E143">
            <v>247000</v>
          </cell>
        </row>
        <row r="144">
          <cell r="B144" t="str">
            <v>172-1</v>
          </cell>
          <cell r="E144">
            <v>305000</v>
          </cell>
        </row>
        <row r="145">
          <cell r="B145" t="str">
            <v>172-3</v>
          </cell>
          <cell r="E145">
            <v>0</v>
          </cell>
        </row>
        <row r="146">
          <cell r="B146" t="str">
            <v>174</v>
          </cell>
          <cell r="E146">
            <v>0</v>
          </cell>
        </row>
        <row r="147">
          <cell r="B147" t="str">
            <v>175-4</v>
          </cell>
          <cell r="E147">
            <v>0</v>
          </cell>
        </row>
        <row r="148">
          <cell r="B148" t="str">
            <v>179-2</v>
          </cell>
          <cell r="E148">
            <v>35000</v>
          </cell>
        </row>
        <row r="149">
          <cell r="B149" t="str">
            <v>179-7</v>
          </cell>
          <cell r="E149">
            <v>0</v>
          </cell>
        </row>
        <row r="150">
          <cell r="B150" t="str">
            <v>179-8</v>
          </cell>
          <cell r="E150">
            <v>1337.5</v>
          </cell>
        </row>
        <row r="151">
          <cell r="B151" t="str">
            <v>186-2</v>
          </cell>
          <cell r="E151">
            <v>37225.360000000001</v>
          </cell>
        </row>
        <row r="152">
          <cell r="B152" t="str">
            <v>186-4</v>
          </cell>
          <cell r="E152">
            <v>19261.25</v>
          </cell>
        </row>
        <row r="153">
          <cell r="B153" t="str">
            <v>200</v>
          </cell>
          <cell r="E153">
            <v>21301.48</v>
          </cell>
        </row>
      </sheetData>
    </sheetDataSet>
  </externalBook>
</externalLink>
</file>

<file path=xl/tables/table1.xml><?xml version="1.0" encoding="utf-8"?>
<table xmlns="http://schemas.openxmlformats.org/spreadsheetml/2006/main" id="3" name="Table14" displayName="Table14" ref="A43:AO192" insertRowShift="1" totalsRowShown="0" headerRowDxfId="0" dataDxfId="1">
  <tableColumns count="41">
    <tableColumn id="1" name="Column1" dataDxfId="42"/>
    <tableColumn id="2" name="Column2" dataDxfId="41"/>
    <tableColumn id="3" name="Column3" dataDxfId="40"/>
    <tableColumn id="4" name="Column4" dataDxfId="39"/>
    <tableColumn id="5" name="Column5" dataDxfId="38"/>
    <tableColumn id="6" name="Column6" dataDxfId="37"/>
    <tableColumn id="7" name="Column7" dataDxfId="36"/>
    <tableColumn id="8" name="Column8" dataDxfId="35"/>
    <tableColumn id="9" name="Column9" dataDxfId="34"/>
    <tableColumn id="10" name="Column10" dataDxfId="33"/>
    <tableColumn id="11" name="Column11" dataDxfId="32"/>
    <tableColumn id="12" name="Column12" dataDxfId="31"/>
    <tableColumn id="13" name="Column13" dataDxfId="30"/>
    <tableColumn id="14" name="Column14" dataDxfId="29"/>
    <tableColumn id="15" name="Column15" dataDxfId="28"/>
    <tableColumn id="16" name="Column16" dataDxfId="27"/>
    <tableColumn id="17" name="Column17" dataDxfId="26"/>
    <tableColumn id="18" name="Column18" dataDxfId="25" dataCellStyle="Normal 2"/>
    <tableColumn id="19" name="Column19" dataDxfId="24"/>
    <tableColumn id="20" name="Column20" dataDxfId="23"/>
    <tableColumn id="21" name="Column21" dataDxfId="22">
      <calculatedColumnFormula>__xlfn.ISFORMULA(S44)</calculatedColumnFormula>
    </tableColumn>
    <tableColumn id="35" name="Column23" dataDxfId="21"/>
    <tableColumn id="22" name="Column232" dataDxfId="20"/>
    <tableColumn id="23" name="Column24" dataDxfId="19"/>
    <tableColumn id="36" name="Column25" dataDxfId="18"/>
    <tableColumn id="34" name="Column26" dataDxfId="17"/>
    <tableColumn id="24" name="Column27" dataDxfId="16"/>
    <tableColumn id="25" name="Column28" dataDxfId="15"/>
    <tableColumn id="26" name="Column29" dataDxfId="14"/>
    <tableColumn id="27" name="Column30" dataDxfId="13"/>
    <tableColumn id="28" name="Column31" dataDxfId="12"/>
    <tableColumn id="29" name="Column32" dataDxfId="11"/>
    <tableColumn id="30" name="Column33" dataDxfId="10"/>
    <tableColumn id="31" name="Column34" dataDxfId="9"/>
    <tableColumn id="32" name="Column35" dataDxfId="8"/>
    <tableColumn id="38" name="Column36" dataDxfId="7"/>
    <tableColumn id="39" name="Column37" dataDxfId="6"/>
    <tableColumn id="41" name="Column38" dataDxfId="5"/>
    <tableColumn id="40" name="Column39" dataDxfId="4"/>
    <tableColumn id="33" name="Column40" dataDxfId="3">
      <calculatedColumnFormula>__xlfn.ISFORMULA(#REF!)</calculatedColumnFormula>
    </tableColumn>
    <tableColumn id="37" name="Column41" dataDxfId="2">
      <calculatedColumnFormula>__xlfn.ISFORMULA(#REF!)</calculatedColumnFormula>
    </tableColumn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L1252"/>
  <sheetViews>
    <sheetView tabSelected="1" workbookViewId="0">
      <selection activeCell="K1267" sqref="K1267"/>
    </sheetView>
  </sheetViews>
  <sheetFormatPr defaultColWidth="9" defaultRowHeight="12.75"/>
  <cols>
    <col min="1" max="1" width="10.140625" customWidth="1"/>
    <col min="2" max="2" width="0.140625" customWidth="1"/>
    <col min="3" max="7" width="0" hidden="1" customWidth="1"/>
    <col min="8" max="8" width="5.5703125" customWidth="1"/>
    <col min="9" max="9" width="5" customWidth="1"/>
    <col min="10" max="10" width="8" customWidth="1"/>
    <col min="11" max="11" width="27.42578125" customWidth="1"/>
    <col min="12" max="21" width="0" hidden="1" customWidth="1"/>
    <col min="22" max="22" width="11" customWidth="1"/>
    <col min="23" max="23" width="11.42578125" customWidth="1"/>
    <col min="24" max="42" width="0" hidden="1" customWidth="1"/>
    <col min="43" max="43" width="11.140625" customWidth="1"/>
    <col min="44" max="48" width="0" hidden="1" customWidth="1"/>
    <col min="49" max="49" width="16.85546875" bestFit="1" customWidth="1"/>
    <col min="50" max="60" width="6.7109375" customWidth="1"/>
    <col min="61" max="73" width="0" hidden="1" customWidth="1"/>
  </cols>
  <sheetData>
    <row r="1" spans="1:61" ht="12" customHeight="1">
      <c r="A1" s="629" t="s">
        <v>0</v>
      </c>
      <c r="B1" s="629"/>
      <c r="C1" s="629"/>
      <c r="D1" s="629"/>
      <c r="E1" s="629"/>
      <c r="F1" s="629"/>
      <c r="G1" s="629"/>
      <c r="H1" s="629"/>
      <c r="I1" s="629"/>
      <c r="J1" s="629"/>
      <c r="K1" s="629"/>
      <c r="L1" s="630"/>
      <c r="M1" s="630"/>
      <c r="N1" s="630"/>
      <c r="O1" s="630"/>
      <c r="P1" s="630"/>
      <c r="Q1" s="630"/>
      <c r="R1" s="630"/>
      <c r="S1" s="630"/>
      <c r="T1" s="630"/>
      <c r="U1" s="630"/>
      <c r="V1" s="630"/>
      <c r="W1" s="630"/>
      <c r="X1" s="630"/>
      <c r="Y1" s="630"/>
      <c r="Z1" s="630"/>
      <c r="AA1" s="630"/>
      <c r="AB1" s="630"/>
      <c r="AC1" s="630"/>
      <c r="AD1" s="630"/>
      <c r="AE1" s="630"/>
      <c r="AF1" s="630"/>
      <c r="AG1" s="630"/>
      <c r="AH1" s="630"/>
      <c r="AI1" s="630"/>
      <c r="AJ1" s="630"/>
      <c r="AK1" s="630"/>
      <c r="AL1" s="630"/>
      <c r="AM1" s="630"/>
      <c r="AN1" s="630"/>
      <c r="AO1" s="630"/>
      <c r="AP1" s="630"/>
      <c r="AQ1" s="630"/>
      <c r="AR1" s="491"/>
      <c r="AS1" s="491"/>
      <c r="AT1" s="491"/>
      <c r="AU1" s="491"/>
      <c r="AV1" s="491"/>
      <c r="AW1" s="618"/>
      <c r="AX1" s="618"/>
      <c r="AY1" s="618"/>
      <c r="AZ1" s="618"/>
      <c r="BA1" s="618"/>
      <c r="BB1" s="618"/>
      <c r="BC1" s="618"/>
      <c r="BD1" s="618"/>
      <c r="BE1" s="618"/>
      <c r="BF1" s="618"/>
      <c r="BG1" s="618"/>
      <c r="BH1" s="618"/>
      <c r="BI1" s="616"/>
    </row>
    <row r="2" spans="1:61" s="26" customFormat="1" ht="12" customHeight="1">
      <c r="A2" s="26" t="s">
        <v>915</v>
      </c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V2" s="492"/>
      <c r="W2" s="492"/>
      <c r="X2" s="492"/>
      <c r="Y2" s="492"/>
      <c r="Z2" s="492"/>
      <c r="AA2" s="492"/>
      <c r="AB2" s="492"/>
      <c r="AC2" s="492"/>
      <c r="AD2" s="492"/>
      <c r="AE2" s="492"/>
      <c r="AF2" s="492"/>
      <c r="AG2" s="492"/>
      <c r="AH2" s="492"/>
      <c r="AI2" s="492"/>
      <c r="AJ2" s="492"/>
      <c r="AK2" s="492"/>
      <c r="AL2" s="492"/>
      <c r="AM2" s="492"/>
      <c r="AN2" s="492"/>
      <c r="AO2" s="492"/>
      <c r="AP2" s="492"/>
      <c r="AQ2" s="492"/>
      <c r="AR2" s="492"/>
      <c r="AS2" s="493"/>
      <c r="AT2" s="493"/>
      <c r="AU2" s="493"/>
      <c r="AV2" s="613"/>
      <c r="AW2" s="618"/>
      <c r="AX2" s="618"/>
      <c r="AY2" s="618"/>
      <c r="AZ2" s="618"/>
      <c r="BA2" s="618"/>
      <c r="BB2" s="618"/>
      <c r="BC2" s="618"/>
      <c r="BD2" s="618"/>
      <c r="BE2" s="618"/>
      <c r="BF2" s="618"/>
      <c r="BG2" s="618"/>
      <c r="BH2" s="618"/>
    </row>
    <row r="3" spans="1:61" ht="12" customHeight="1">
      <c r="A3" s="33"/>
      <c r="B3" s="33"/>
      <c r="C3" s="33"/>
      <c r="D3" s="33"/>
      <c r="E3" s="33"/>
      <c r="F3" s="33"/>
      <c r="G3" s="33"/>
      <c r="H3" s="34" t="s">
        <v>1</v>
      </c>
      <c r="I3" s="71"/>
      <c r="J3" s="34"/>
      <c r="K3" s="34"/>
      <c r="L3" s="70"/>
      <c r="M3" s="70"/>
      <c r="N3" s="70"/>
      <c r="O3" s="70"/>
      <c r="P3" s="70"/>
      <c r="Q3" s="70"/>
      <c r="R3" s="100"/>
      <c r="S3" s="100"/>
      <c r="T3" s="100"/>
      <c r="U3" s="100"/>
      <c r="V3" s="485"/>
      <c r="W3" s="492"/>
      <c r="X3" s="486"/>
      <c r="Y3" s="487"/>
      <c r="Z3" s="487"/>
      <c r="AA3" s="487"/>
      <c r="AB3" s="487"/>
      <c r="AC3" s="488"/>
      <c r="AD3" s="488"/>
      <c r="AE3" s="488"/>
      <c r="AF3" s="488"/>
      <c r="AG3" s="488"/>
      <c r="AH3" s="488"/>
      <c r="AI3" s="487"/>
      <c r="AJ3" s="487"/>
      <c r="AK3" s="487"/>
      <c r="AL3" s="487"/>
      <c r="AM3" s="487"/>
      <c r="AN3" s="489"/>
      <c r="AO3" s="490"/>
      <c r="AP3" s="490"/>
      <c r="AQ3" s="485"/>
      <c r="AR3" s="491"/>
      <c r="AS3" s="491"/>
      <c r="AT3" s="491"/>
      <c r="AU3" s="491"/>
      <c r="AV3" s="491"/>
      <c r="AW3" s="618"/>
      <c r="AX3" s="618"/>
      <c r="AY3" s="618"/>
      <c r="AZ3" s="618"/>
      <c r="BA3" s="618"/>
      <c r="BB3" s="618"/>
      <c r="BC3" s="618"/>
      <c r="BD3" s="618"/>
      <c r="BE3" s="618"/>
      <c r="BF3" s="618"/>
      <c r="BG3" s="618"/>
      <c r="BH3" s="618"/>
      <c r="BI3" s="616"/>
    </row>
    <row r="4" spans="1:61" ht="12" customHeight="1">
      <c r="A4" s="28"/>
      <c r="B4" s="28"/>
      <c r="C4" s="28"/>
      <c r="D4" s="28"/>
      <c r="E4" s="28"/>
      <c r="F4" s="28"/>
      <c r="G4" s="28"/>
      <c r="H4" s="29"/>
      <c r="I4" s="30"/>
      <c r="J4" s="29"/>
      <c r="K4" s="29"/>
      <c r="L4" s="31"/>
      <c r="M4" s="31"/>
      <c r="N4" s="31"/>
      <c r="O4" s="31"/>
      <c r="P4" s="31"/>
      <c r="Q4" s="31"/>
      <c r="R4" s="102"/>
      <c r="S4" s="102"/>
      <c r="T4" s="102"/>
      <c r="U4" s="102"/>
      <c r="V4" s="494"/>
      <c r="W4" s="494"/>
      <c r="X4" s="495"/>
      <c r="Y4" s="496"/>
      <c r="Z4" s="496"/>
      <c r="AA4" s="496"/>
      <c r="AB4" s="496"/>
      <c r="AC4" s="497"/>
      <c r="AD4" s="497"/>
      <c r="AE4" s="497"/>
      <c r="AF4" s="497"/>
      <c r="AG4" s="497"/>
      <c r="AH4" s="497"/>
      <c r="AI4" s="496"/>
      <c r="AJ4" s="496"/>
      <c r="AK4" s="496"/>
      <c r="AL4" s="496"/>
      <c r="AM4" s="496"/>
      <c r="AN4" s="498"/>
      <c r="AO4" s="490"/>
      <c r="AP4" s="490"/>
      <c r="AQ4" s="494"/>
      <c r="AR4" s="491"/>
      <c r="AS4" s="491"/>
      <c r="AT4" s="491"/>
      <c r="AU4" s="491"/>
      <c r="AV4" s="491"/>
      <c r="AW4" s="618"/>
      <c r="AX4" s="618"/>
      <c r="AY4" s="618"/>
      <c r="AZ4" s="618"/>
      <c r="BA4" s="618"/>
      <c r="BB4" s="618"/>
      <c r="BC4" s="618"/>
      <c r="BD4" s="618"/>
      <c r="BE4" s="618"/>
      <c r="BF4" s="618"/>
      <c r="BG4" s="618"/>
      <c r="BH4" s="618"/>
      <c r="BI4" s="616"/>
    </row>
    <row r="5" spans="1:61" ht="12" customHeight="1">
      <c r="A5" s="33"/>
      <c r="B5" s="33"/>
      <c r="C5" s="33"/>
      <c r="D5" s="33"/>
      <c r="E5" s="33"/>
      <c r="F5" s="33"/>
      <c r="G5" s="33"/>
      <c r="H5" s="34" t="s">
        <v>2</v>
      </c>
      <c r="I5" s="71"/>
      <c r="J5" s="34"/>
      <c r="K5" s="34"/>
      <c r="L5" s="70"/>
      <c r="M5" s="70"/>
      <c r="N5" s="70"/>
      <c r="O5" s="70"/>
      <c r="P5" s="70"/>
      <c r="Q5" s="70"/>
      <c r="R5" s="100"/>
      <c r="S5" s="100"/>
      <c r="T5" s="100"/>
      <c r="U5" s="100"/>
      <c r="V5" s="485"/>
      <c r="W5" s="485"/>
      <c r="X5" s="486"/>
      <c r="Y5" s="487"/>
      <c r="Z5" s="487"/>
      <c r="AA5" s="487"/>
      <c r="AB5" s="487"/>
      <c r="AC5" s="488"/>
      <c r="AD5" s="488"/>
      <c r="AE5" s="488"/>
      <c r="AF5" s="488"/>
      <c r="AG5" s="488"/>
      <c r="AH5" s="488"/>
      <c r="AI5" s="487"/>
      <c r="AJ5" s="487"/>
      <c r="AK5" s="487"/>
      <c r="AL5" s="487"/>
      <c r="AM5" s="487"/>
      <c r="AN5" s="489"/>
      <c r="AO5" s="490"/>
      <c r="AP5" s="490"/>
      <c r="AQ5" s="485"/>
      <c r="AR5" s="491"/>
      <c r="AS5" s="491"/>
      <c r="AT5" s="491"/>
      <c r="AU5" s="491"/>
      <c r="AV5" s="491"/>
      <c r="AW5" s="618"/>
      <c r="AX5" s="618"/>
      <c r="AY5" s="618"/>
      <c r="AZ5" s="618"/>
      <c r="BA5" s="618"/>
      <c r="BB5" s="618"/>
      <c r="BC5" s="618"/>
      <c r="BD5" s="618"/>
      <c r="BE5" s="618"/>
      <c r="BF5" s="618"/>
      <c r="BG5" s="618"/>
      <c r="BH5" s="618"/>
      <c r="BI5" s="616"/>
    </row>
    <row r="6" spans="1:61" ht="12" customHeight="1">
      <c r="A6" s="28"/>
      <c r="B6" s="28"/>
      <c r="C6" s="28"/>
      <c r="D6" s="28"/>
      <c r="E6" s="28"/>
      <c r="F6" s="28"/>
      <c r="G6" s="28"/>
      <c r="H6" s="29"/>
      <c r="I6" s="30"/>
      <c r="J6" s="29"/>
      <c r="K6" s="29"/>
      <c r="L6" s="31"/>
      <c r="M6" s="31"/>
      <c r="N6" s="31"/>
      <c r="O6" s="31"/>
      <c r="P6" s="31"/>
      <c r="Q6" s="31"/>
      <c r="R6" s="102"/>
      <c r="S6" s="102"/>
      <c r="T6" s="102"/>
      <c r="U6" s="102"/>
      <c r="V6" s="494"/>
      <c r="W6" s="494"/>
      <c r="X6" s="495"/>
      <c r="Y6" s="496"/>
      <c r="Z6" s="496"/>
      <c r="AA6" s="496"/>
      <c r="AB6" s="496"/>
      <c r="AC6" s="497"/>
      <c r="AD6" s="497"/>
      <c r="AE6" s="497"/>
      <c r="AF6" s="497"/>
      <c r="AG6" s="497"/>
      <c r="AH6" s="497"/>
      <c r="AI6" s="496"/>
      <c r="AJ6" s="496"/>
      <c r="AK6" s="496"/>
      <c r="AL6" s="496"/>
      <c r="AM6" s="496"/>
      <c r="AN6" s="498"/>
      <c r="AO6" s="490"/>
      <c r="AP6" s="490"/>
      <c r="AQ6" s="494"/>
      <c r="AR6" s="491"/>
      <c r="AS6" s="491"/>
      <c r="AT6" s="491"/>
      <c r="AU6" s="491"/>
      <c r="AV6" s="491"/>
      <c r="AW6" s="618"/>
      <c r="AX6" s="618"/>
      <c r="AY6" s="618"/>
      <c r="AZ6" s="618"/>
      <c r="BA6" s="618"/>
      <c r="BB6" s="618"/>
      <c r="BC6" s="618"/>
      <c r="BD6" s="618"/>
      <c r="BE6" s="618"/>
      <c r="BF6" s="618"/>
      <c r="BG6" s="618"/>
      <c r="BH6" s="618"/>
      <c r="BI6" s="616"/>
    </row>
    <row r="7" spans="1:61" ht="12" customHeight="1">
      <c r="A7" s="35"/>
      <c r="B7" s="36" t="s">
        <v>3</v>
      </c>
      <c r="C7" s="36"/>
      <c r="D7" s="36"/>
      <c r="E7" s="36"/>
      <c r="F7" s="36"/>
      <c r="G7" s="36"/>
      <c r="H7" s="37"/>
      <c r="I7" s="72"/>
      <c r="J7" s="73"/>
      <c r="K7" s="74"/>
      <c r="L7" s="75" t="s">
        <v>4</v>
      </c>
      <c r="M7" s="75" t="s">
        <v>4</v>
      </c>
      <c r="N7" s="76" t="s">
        <v>5</v>
      </c>
      <c r="O7" s="76" t="s">
        <v>5</v>
      </c>
      <c r="P7" s="77" t="s">
        <v>6</v>
      </c>
      <c r="Q7" s="142" t="s">
        <v>7</v>
      </c>
      <c r="R7" s="143"/>
      <c r="S7" s="144" t="s">
        <v>8</v>
      </c>
      <c r="T7" s="145"/>
      <c r="U7" s="146"/>
      <c r="V7" s="499" t="s">
        <v>9</v>
      </c>
      <c r="W7" s="499" t="s">
        <v>10</v>
      </c>
      <c r="X7" s="500" t="s">
        <v>11</v>
      </c>
      <c r="Y7" s="500" t="s">
        <v>12</v>
      </c>
      <c r="Z7" s="500" t="s">
        <v>12</v>
      </c>
      <c r="AA7" s="500" t="s">
        <v>12</v>
      </c>
      <c r="AB7" s="500" t="s">
        <v>12</v>
      </c>
      <c r="AC7" s="500" t="s">
        <v>12</v>
      </c>
      <c r="AD7" s="500" t="s">
        <v>12</v>
      </c>
      <c r="AE7" s="500" t="s">
        <v>12</v>
      </c>
      <c r="AF7" s="500" t="s">
        <v>12</v>
      </c>
      <c r="AG7" s="500" t="s">
        <v>12</v>
      </c>
      <c r="AH7" s="500" t="s">
        <v>12</v>
      </c>
      <c r="AI7" s="500" t="s">
        <v>12</v>
      </c>
      <c r="AJ7" s="500" t="s">
        <v>12</v>
      </c>
      <c r="AK7" s="500"/>
      <c r="AL7" s="500"/>
      <c r="AM7" s="500"/>
      <c r="AN7" s="500"/>
      <c r="AO7" s="500"/>
      <c r="AP7" s="500"/>
      <c r="AQ7" s="499" t="s">
        <v>13</v>
      </c>
      <c r="AR7" s="625" t="s">
        <v>14</v>
      </c>
      <c r="AS7" s="625" t="s">
        <v>15</v>
      </c>
      <c r="AT7" s="625" t="s">
        <v>16</v>
      </c>
      <c r="AU7" s="625" t="s">
        <v>17</v>
      </c>
      <c r="AV7" s="627" t="s">
        <v>18</v>
      </c>
      <c r="AW7" s="618"/>
      <c r="AX7" s="618"/>
      <c r="AY7" s="618"/>
      <c r="AZ7" s="618"/>
      <c r="BA7" s="618"/>
      <c r="BB7" s="618"/>
      <c r="BC7" s="618"/>
      <c r="BD7" s="618"/>
      <c r="BE7" s="618"/>
      <c r="BF7" s="618"/>
      <c r="BG7" s="618"/>
      <c r="BH7" s="618"/>
      <c r="BI7" s="616"/>
    </row>
    <row r="8" spans="1:61" ht="12" customHeight="1">
      <c r="A8" s="38"/>
      <c r="B8" s="39"/>
      <c r="C8" s="39"/>
      <c r="D8" s="39"/>
      <c r="E8" s="39"/>
      <c r="F8" s="39"/>
      <c r="G8" s="39"/>
      <c r="H8" s="40"/>
      <c r="I8" s="71"/>
      <c r="J8" s="34"/>
      <c r="K8" s="78"/>
      <c r="L8" s="79" t="s">
        <v>19</v>
      </c>
      <c r="M8" s="79" t="s">
        <v>20</v>
      </c>
      <c r="N8" s="80" t="s">
        <v>19</v>
      </c>
      <c r="O8" s="80" t="s">
        <v>20</v>
      </c>
      <c r="P8" s="81" t="s">
        <v>20</v>
      </c>
      <c r="Q8" s="81" t="s">
        <v>20</v>
      </c>
      <c r="R8" s="147" t="s">
        <v>21</v>
      </c>
      <c r="S8" s="145" t="s">
        <v>22</v>
      </c>
      <c r="T8" s="145"/>
      <c r="U8" s="146"/>
      <c r="V8" s="501" t="s">
        <v>23</v>
      </c>
      <c r="W8" s="501" t="s">
        <v>23</v>
      </c>
      <c r="X8" s="500"/>
      <c r="Y8" s="500"/>
      <c r="Z8" s="500"/>
      <c r="AA8" s="500"/>
      <c r="AB8" s="500"/>
      <c r="AC8" s="500"/>
      <c r="AD8" s="500"/>
      <c r="AE8" s="500"/>
      <c r="AF8" s="500"/>
      <c r="AG8" s="500"/>
      <c r="AH8" s="500"/>
      <c r="AI8" s="500"/>
      <c r="AJ8" s="500"/>
      <c r="AK8" s="500"/>
      <c r="AL8" s="500"/>
      <c r="AM8" s="500"/>
      <c r="AN8" s="500"/>
      <c r="AO8" s="500"/>
      <c r="AP8" s="500"/>
      <c r="AQ8" s="501" t="s">
        <v>24</v>
      </c>
      <c r="AR8" s="626"/>
      <c r="AS8" s="626"/>
      <c r="AT8" s="626"/>
      <c r="AU8" s="626"/>
      <c r="AV8" s="628"/>
      <c r="AW8" s="618"/>
      <c r="AX8" s="618"/>
      <c r="AY8" s="618"/>
      <c r="AZ8" s="618"/>
      <c r="BA8" s="618"/>
      <c r="BB8" s="618"/>
      <c r="BC8" s="618"/>
      <c r="BD8" s="618"/>
      <c r="BE8" s="618"/>
      <c r="BF8" s="618"/>
      <c r="BG8" s="618"/>
      <c r="BH8" s="618"/>
      <c r="BI8" s="616"/>
    </row>
    <row r="9" spans="1:61" ht="12" customHeight="1">
      <c r="A9" s="38"/>
      <c r="B9" s="39"/>
      <c r="C9" s="39"/>
      <c r="D9" s="39"/>
      <c r="E9" s="39"/>
      <c r="F9" s="39"/>
      <c r="G9" s="39"/>
      <c r="H9" s="40"/>
      <c r="I9" s="71"/>
      <c r="J9" s="34"/>
      <c r="K9" s="82"/>
      <c r="L9" s="79"/>
      <c r="M9" s="79"/>
      <c r="N9" s="80"/>
      <c r="O9" s="80"/>
      <c r="P9" s="81"/>
      <c r="Q9" s="81"/>
      <c r="R9" s="148"/>
      <c r="S9" s="145"/>
      <c r="T9" s="145"/>
      <c r="U9" s="146"/>
      <c r="V9" s="502" t="s">
        <v>25</v>
      </c>
      <c r="W9" s="502" t="s">
        <v>26</v>
      </c>
      <c r="X9" s="500"/>
      <c r="Y9" s="500"/>
      <c r="Z9" s="500"/>
      <c r="AA9" s="500"/>
      <c r="AB9" s="500"/>
      <c r="AC9" s="500"/>
      <c r="AD9" s="500"/>
      <c r="AE9" s="500"/>
      <c r="AF9" s="500"/>
      <c r="AG9" s="500"/>
      <c r="AH9" s="500"/>
      <c r="AI9" s="500"/>
      <c r="AJ9" s="500"/>
      <c r="AK9" s="500"/>
      <c r="AL9" s="500"/>
      <c r="AM9" s="500"/>
      <c r="AN9" s="500"/>
      <c r="AO9" s="500"/>
      <c r="AP9" s="500"/>
      <c r="AQ9" s="502"/>
      <c r="AR9" s="503"/>
      <c r="AS9" s="504"/>
      <c r="AT9" s="504"/>
      <c r="AU9" s="504"/>
      <c r="AV9" s="504"/>
      <c r="AW9" s="618"/>
      <c r="AX9" s="618"/>
      <c r="AY9" s="618"/>
      <c r="AZ9" s="618"/>
      <c r="BA9" s="618"/>
      <c r="BB9" s="618"/>
      <c r="BC9" s="618"/>
      <c r="BD9" s="618"/>
      <c r="BE9" s="618"/>
      <c r="BF9" s="618"/>
      <c r="BG9" s="618"/>
      <c r="BH9" s="618"/>
      <c r="BI9" s="616"/>
    </row>
    <row r="10" spans="1:61" ht="12" customHeight="1">
      <c r="A10" s="41"/>
      <c r="B10" s="41"/>
      <c r="C10" s="41"/>
      <c r="D10" s="41"/>
      <c r="E10" s="41"/>
      <c r="F10" s="41"/>
      <c r="G10" s="41"/>
      <c r="H10" s="37"/>
      <c r="I10" s="72"/>
      <c r="J10" s="73"/>
      <c r="K10" s="83"/>
      <c r="L10" s="84">
        <v>1</v>
      </c>
      <c r="M10" s="84">
        <v>2</v>
      </c>
      <c r="N10" s="85">
        <v>3</v>
      </c>
      <c r="O10" s="85">
        <v>4</v>
      </c>
      <c r="P10" s="86">
        <v>5</v>
      </c>
      <c r="Q10" s="86">
        <v>6</v>
      </c>
      <c r="R10" s="145">
        <v>1</v>
      </c>
      <c r="S10" s="145">
        <v>5</v>
      </c>
      <c r="T10" s="145"/>
      <c r="U10" s="145"/>
      <c r="V10" s="500">
        <v>2</v>
      </c>
      <c r="W10" s="500">
        <v>3</v>
      </c>
      <c r="X10" s="500">
        <v>4</v>
      </c>
      <c r="Y10" s="500">
        <v>5</v>
      </c>
      <c r="Z10" s="500"/>
      <c r="AA10" s="500"/>
      <c r="AB10" s="500"/>
      <c r="AC10" s="500">
        <v>7</v>
      </c>
      <c r="AD10" s="500">
        <v>8</v>
      </c>
      <c r="AE10" s="500">
        <v>9</v>
      </c>
      <c r="AF10" s="500">
        <v>10</v>
      </c>
      <c r="AG10" s="500">
        <v>11</v>
      </c>
      <c r="AH10" s="500">
        <v>12</v>
      </c>
      <c r="AI10" s="500"/>
      <c r="AJ10" s="500">
        <v>5</v>
      </c>
      <c r="AK10" s="500">
        <v>7</v>
      </c>
      <c r="AL10" s="500">
        <v>8</v>
      </c>
      <c r="AM10" s="500">
        <v>9</v>
      </c>
      <c r="AN10" s="500"/>
      <c r="AO10" s="500"/>
      <c r="AP10" s="500" t="s">
        <v>27</v>
      </c>
      <c r="AQ10" s="500">
        <v>4</v>
      </c>
      <c r="AR10" s="631"/>
      <c r="AS10" s="632"/>
      <c r="AT10" s="632"/>
      <c r="AU10" s="632"/>
      <c r="AV10" s="632"/>
      <c r="AW10" s="618"/>
      <c r="AX10" s="618"/>
      <c r="AY10" s="618"/>
      <c r="AZ10" s="618"/>
      <c r="BA10" s="618"/>
      <c r="BB10" s="618"/>
      <c r="BC10" s="618"/>
      <c r="BD10" s="618"/>
      <c r="BE10" s="618"/>
      <c r="BF10" s="618"/>
      <c r="BG10" s="618"/>
      <c r="BH10" s="618"/>
      <c r="BI10" s="616"/>
    </row>
    <row r="11" spans="1:61" ht="12" customHeight="1">
      <c r="A11" s="41"/>
      <c r="B11" s="41"/>
      <c r="C11" s="41">
        <v>3</v>
      </c>
      <c r="D11" s="41">
        <v>4</v>
      </c>
      <c r="E11" s="41"/>
      <c r="F11" s="41"/>
      <c r="G11" s="41"/>
      <c r="H11" s="3" t="s">
        <v>28</v>
      </c>
      <c r="I11" s="15"/>
      <c r="J11" s="3"/>
      <c r="K11" s="3"/>
      <c r="L11" s="87">
        <f t="shared" ref="L11:Y11" si="0">L48</f>
        <v>26862820</v>
      </c>
      <c r="M11" s="87">
        <f t="shared" si="0"/>
        <v>3565309.0405468177</v>
      </c>
      <c r="N11" s="88">
        <f t="shared" si="0"/>
        <v>28595356</v>
      </c>
      <c r="O11" s="88">
        <f t="shared" si="0"/>
        <v>3795255.9559360268</v>
      </c>
      <c r="P11" s="89">
        <f t="shared" si="0"/>
        <v>5029020</v>
      </c>
      <c r="Q11" s="89">
        <f t="shared" si="0"/>
        <v>4231370</v>
      </c>
      <c r="R11" s="87">
        <f t="shared" si="0"/>
        <v>4231370</v>
      </c>
      <c r="S11" s="89">
        <f t="shared" si="0"/>
        <v>2806152.65</v>
      </c>
      <c r="T11" s="89">
        <f t="shared" si="0"/>
        <v>1547844.5100000002</v>
      </c>
      <c r="U11" s="89" t="e">
        <f t="shared" ca="1" si="0"/>
        <v>#NAME?</v>
      </c>
      <c r="V11" s="505">
        <f t="shared" si="0"/>
        <v>5476000</v>
      </c>
      <c r="W11" s="505">
        <f t="shared" si="0"/>
        <v>5476000</v>
      </c>
      <c r="X11" s="506">
        <f t="shared" si="0"/>
        <v>6790720</v>
      </c>
      <c r="Y11" s="507">
        <f t="shared" si="0"/>
        <v>6922720</v>
      </c>
      <c r="Z11" s="507"/>
      <c r="AA11" s="507"/>
      <c r="AB11" s="507"/>
      <c r="AC11" s="508">
        <f>AC48</f>
        <v>4123970</v>
      </c>
      <c r="AD11" s="508">
        <f>AD48</f>
        <v>4123970</v>
      </c>
      <c r="AE11" s="508">
        <f t="shared" ref="AE11:AE16" si="1">O11/M11*100</f>
        <v>106.4495647578966</v>
      </c>
      <c r="AF11" s="508">
        <f>P11/O11*100</f>
        <v>132.50805896593843</v>
      </c>
      <c r="AG11" s="508">
        <f t="shared" ref="AG11:AG16" si="2">Q11/P11*100</f>
        <v>84.139056913673045</v>
      </c>
      <c r="AH11" s="508">
        <f t="shared" ref="AH11:AH16" si="3">AC11/Q11*100</f>
        <v>97.461814967729126</v>
      </c>
      <c r="AI11" s="507"/>
      <c r="AJ11" s="507">
        <v>6922720</v>
      </c>
      <c r="AK11" s="507">
        <f t="shared" ref="AK11:AK17" si="4">W11/R11*100</f>
        <v>129.41435043496548</v>
      </c>
      <c r="AL11" s="507">
        <f t="shared" ref="AL11:AM16" si="5">X11/W11*100</f>
        <v>124.00876552227903</v>
      </c>
      <c r="AM11" s="507">
        <f t="shared" si="5"/>
        <v>101.94382922576692</v>
      </c>
      <c r="AN11" s="509"/>
      <c r="AO11" s="510" t="e">
        <f t="shared" ref="AO11:AO30" ca="1" si="6">__xlfn.ISFORMULA(N11)</f>
        <v>#NAME?</v>
      </c>
      <c r="AP11" s="510" t="e">
        <f t="shared" ref="AP11:AP38" ca="1" si="7">__xlfn.ISFORMULA(X11)</f>
        <v>#NAME?</v>
      </c>
      <c r="AQ11" s="505">
        <f>AQ48</f>
        <v>4785432.96</v>
      </c>
      <c r="AR11" s="511">
        <f t="shared" ref="AR11:AR17" si="8">V11/R11*100</f>
        <v>129.41435043496548</v>
      </c>
      <c r="AS11" s="511">
        <f t="shared" ref="AS11:AS16" si="9">W11/V11*100</f>
        <v>100</v>
      </c>
      <c r="AT11" s="511">
        <f t="shared" ref="AT11:AT17" si="10">W11/R11*100</f>
        <v>129.41435043496548</v>
      </c>
      <c r="AU11" s="511">
        <f t="shared" ref="AU11:AU17" si="11">AQ11/W11*100</f>
        <v>87.389206720233744</v>
      </c>
      <c r="AV11" s="614">
        <f t="shared" ref="AV11:AV17" si="12">AQ11/R11*100</f>
        <v>113.09417422725974</v>
      </c>
      <c r="AW11" s="618"/>
      <c r="AX11" s="618"/>
      <c r="AY11" s="618"/>
      <c r="AZ11" s="618"/>
      <c r="BA11" s="618"/>
      <c r="BB11" s="618"/>
      <c r="BC11" s="618"/>
      <c r="BD11" s="618"/>
      <c r="BE11" s="618"/>
      <c r="BF11" s="618"/>
      <c r="BG11" s="618"/>
      <c r="BH11" s="618"/>
      <c r="BI11" s="616"/>
    </row>
    <row r="12" spans="1:61" ht="12" customHeight="1">
      <c r="A12" s="41"/>
      <c r="B12" s="41"/>
      <c r="C12" s="41"/>
      <c r="D12" s="41"/>
      <c r="E12" s="41"/>
      <c r="F12" s="41">
        <v>6</v>
      </c>
      <c r="G12" s="41"/>
      <c r="H12" s="3" t="s">
        <v>29</v>
      </c>
      <c r="I12" s="15"/>
      <c r="J12" s="3"/>
      <c r="K12" s="3"/>
      <c r="L12" s="87">
        <f t="shared" ref="L12:Y12" si="13">L173</f>
        <v>57946</v>
      </c>
      <c r="M12" s="87">
        <f t="shared" si="13"/>
        <v>7690.7558563939201</v>
      </c>
      <c r="N12" s="88">
        <f t="shared" si="13"/>
        <v>2919</v>
      </c>
      <c r="O12" s="88">
        <f t="shared" si="13"/>
        <v>387.41787776229341</v>
      </c>
      <c r="P12" s="89">
        <f t="shared" si="13"/>
        <v>420530</v>
      </c>
      <c r="Q12" s="89">
        <f t="shared" si="13"/>
        <v>327930</v>
      </c>
      <c r="R12" s="87">
        <f t="shared" si="13"/>
        <v>327930</v>
      </c>
      <c r="S12" s="89">
        <f t="shared" si="13"/>
        <v>0</v>
      </c>
      <c r="T12" s="89">
        <f t="shared" si="13"/>
        <v>0</v>
      </c>
      <c r="U12" s="89" t="e">
        <f t="shared" ca="1" si="13"/>
        <v>#NAME?</v>
      </c>
      <c r="V12" s="505">
        <f t="shared" si="13"/>
        <v>5130</v>
      </c>
      <c r="W12" s="505">
        <f t="shared" si="13"/>
        <v>5130</v>
      </c>
      <c r="X12" s="506">
        <f t="shared" si="13"/>
        <v>200530</v>
      </c>
      <c r="Y12" s="507">
        <f t="shared" si="13"/>
        <v>530</v>
      </c>
      <c r="Z12" s="507"/>
      <c r="AA12" s="507"/>
      <c r="AB12" s="507"/>
      <c r="AC12" s="508">
        <f>AC173</f>
        <v>100530</v>
      </c>
      <c r="AD12" s="508">
        <f>AD173</f>
        <v>100530</v>
      </c>
      <c r="AE12" s="508">
        <f t="shared" si="1"/>
        <v>5.0374486590964</v>
      </c>
      <c r="AF12" s="508"/>
      <c r="AG12" s="508">
        <f t="shared" si="2"/>
        <v>77.980167883385249</v>
      </c>
      <c r="AH12" s="508">
        <f t="shared" si="3"/>
        <v>30.655932668557313</v>
      </c>
      <c r="AI12" s="507"/>
      <c r="AJ12" s="507">
        <v>530</v>
      </c>
      <c r="AK12" s="507">
        <f t="shared" si="4"/>
        <v>1.5643582471868995</v>
      </c>
      <c r="AL12" s="507">
        <f t="shared" si="5"/>
        <v>3908.966861598441</v>
      </c>
      <c r="AM12" s="507">
        <f t="shared" si="5"/>
        <v>0.26429960604398345</v>
      </c>
      <c r="AN12" s="509"/>
      <c r="AO12" s="510" t="e">
        <f t="shared" ca="1" si="6"/>
        <v>#NAME?</v>
      </c>
      <c r="AP12" s="510" t="e">
        <f t="shared" ca="1" si="7"/>
        <v>#NAME?</v>
      </c>
      <c r="AQ12" s="505">
        <f>AQ173</f>
        <v>4971.54</v>
      </c>
      <c r="AR12" s="511">
        <f t="shared" si="8"/>
        <v>1.5643582471868995</v>
      </c>
      <c r="AS12" s="511">
        <f t="shared" si="9"/>
        <v>100</v>
      </c>
      <c r="AT12" s="511">
        <f t="shared" si="10"/>
        <v>1.5643582471868995</v>
      </c>
      <c r="AU12" s="511">
        <f t="shared" si="11"/>
        <v>96.911111111111111</v>
      </c>
      <c r="AV12" s="614">
        <f t="shared" si="12"/>
        <v>1.5160369591071265</v>
      </c>
      <c r="AW12" s="618"/>
      <c r="AX12" s="618"/>
      <c r="AY12" s="618"/>
      <c r="AZ12" s="618"/>
      <c r="BA12" s="618"/>
      <c r="BB12" s="618"/>
      <c r="BC12" s="618"/>
      <c r="BD12" s="618"/>
      <c r="BE12" s="618"/>
      <c r="BF12" s="618"/>
      <c r="BG12" s="618"/>
      <c r="BH12" s="618"/>
      <c r="BI12" s="616"/>
    </row>
    <row r="13" spans="1:61" ht="12" customHeight="1">
      <c r="A13" s="41"/>
      <c r="B13" s="41"/>
      <c r="C13" s="41"/>
      <c r="D13" s="41"/>
      <c r="E13" s="41"/>
      <c r="F13" s="41"/>
      <c r="G13" s="41"/>
      <c r="H13" s="3" t="s">
        <v>30</v>
      </c>
      <c r="I13" s="15"/>
      <c r="J13" s="42"/>
      <c r="K13" s="90"/>
      <c r="L13" s="87">
        <f t="shared" ref="L13:AD13" si="14">L11+L12</f>
        <v>26920766</v>
      </c>
      <c r="M13" s="87">
        <f t="shared" si="14"/>
        <v>3572999.7964032115</v>
      </c>
      <c r="N13" s="88">
        <f t="shared" si="14"/>
        <v>28598275</v>
      </c>
      <c r="O13" s="88">
        <f t="shared" si="14"/>
        <v>3795643.3738137889</v>
      </c>
      <c r="P13" s="89">
        <f t="shared" si="14"/>
        <v>5449550</v>
      </c>
      <c r="Q13" s="89">
        <f t="shared" si="14"/>
        <v>4559300</v>
      </c>
      <c r="R13" s="87">
        <f t="shared" si="14"/>
        <v>4559300</v>
      </c>
      <c r="S13" s="89">
        <f t="shared" si="14"/>
        <v>2806152.65</v>
      </c>
      <c r="T13" s="89">
        <f t="shared" si="14"/>
        <v>1547844.5100000002</v>
      </c>
      <c r="U13" s="89" t="e">
        <f t="shared" ca="1" si="14"/>
        <v>#NAME?</v>
      </c>
      <c r="V13" s="505">
        <f t="shared" si="14"/>
        <v>5481130</v>
      </c>
      <c r="W13" s="505">
        <f t="shared" si="14"/>
        <v>5481130</v>
      </c>
      <c r="X13" s="506">
        <f t="shared" si="14"/>
        <v>6991250</v>
      </c>
      <c r="Y13" s="507">
        <f t="shared" si="14"/>
        <v>6923250</v>
      </c>
      <c r="Z13" s="507"/>
      <c r="AA13" s="507"/>
      <c r="AB13" s="507"/>
      <c r="AC13" s="508">
        <f t="shared" si="14"/>
        <v>4224500</v>
      </c>
      <c r="AD13" s="508">
        <f t="shared" si="14"/>
        <v>4224500</v>
      </c>
      <c r="AE13" s="508">
        <f t="shared" si="1"/>
        <v>106.23127876006888</v>
      </c>
      <c r="AF13" s="508">
        <f>P13/O13*100</f>
        <v>143.57381511647122</v>
      </c>
      <c r="AG13" s="508">
        <f t="shared" si="2"/>
        <v>83.66378875319981</v>
      </c>
      <c r="AH13" s="508">
        <f t="shared" si="3"/>
        <v>92.65676748623693</v>
      </c>
      <c r="AI13" s="507"/>
      <c r="AJ13" s="507">
        <v>6923250</v>
      </c>
      <c r="AK13" s="507">
        <f t="shared" si="4"/>
        <v>120.21867391924199</v>
      </c>
      <c r="AL13" s="507">
        <f t="shared" si="5"/>
        <v>127.55125311751409</v>
      </c>
      <c r="AM13" s="507">
        <f t="shared" si="5"/>
        <v>99.027355623100306</v>
      </c>
      <c r="AN13" s="509"/>
      <c r="AO13" s="510" t="e">
        <f t="shared" ca="1" si="6"/>
        <v>#NAME?</v>
      </c>
      <c r="AP13" s="510" t="e">
        <f t="shared" ca="1" si="7"/>
        <v>#NAME?</v>
      </c>
      <c r="AQ13" s="505">
        <f>AQ11+AQ12</f>
        <v>4790404.5</v>
      </c>
      <c r="AR13" s="511">
        <f t="shared" si="8"/>
        <v>120.21867391924199</v>
      </c>
      <c r="AS13" s="511">
        <f t="shared" si="9"/>
        <v>100</v>
      </c>
      <c r="AT13" s="511">
        <f t="shared" si="10"/>
        <v>120.21867391924199</v>
      </c>
      <c r="AU13" s="511">
        <f t="shared" si="11"/>
        <v>87.398118636120657</v>
      </c>
      <c r="AV13" s="614">
        <f t="shared" si="12"/>
        <v>105.06885925471015</v>
      </c>
      <c r="AW13" s="618"/>
      <c r="AX13" s="618"/>
      <c r="AY13" s="618"/>
      <c r="AZ13" s="618"/>
      <c r="BA13" s="618"/>
      <c r="BB13" s="618"/>
      <c r="BC13" s="618"/>
      <c r="BD13" s="618"/>
      <c r="BE13" s="618"/>
      <c r="BF13" s="618"/>
      <c r="BG13" s="618"/>
      <c r="BH13" s="618"/>
      <c r="BI13" s="616"/>
    </row>
    <row r="14" spans="1:61" ht="12" customHeight="1">
      <c r="A14" s="41"/>
      <c r="B14" s="41"/>
      <c r="C14" s="41">
        <v>3</v>
      </c>
      <c r="D14" s="41">
        <v>4</v>
      </c>
      <c r="E14" s="41"/>
      <c r="F14" s="41"/>
      <c r="G14" s="41"/>
      <c r="H14" s="3" t="s">
        <v>31</v>
      </c>
      <c r="I14" s="15"/>
      <c r="J14" s="3"/>
      <c r="K14" s="3"/>
      <c r="L14" s="87">
        <f t="shared" ref="L14:Y14" si="15">L204</f>
        <v>20517207</v>
      </c>
      <c r="M14" s="87">
        <f t="shared" si="15"/>
        <v>2723101.3338642246</v>
      </c>
      <c r="N14" s="88">
        <f t="shared" si="15"/>
        <v>22082242</v>
      </c>
      <c r="O14" s="88">
        <f t="shared" si="15"/>
        <v>2930817.1743314085</v>
      </c>
      <c r="P14" s="89">
        <f t="shared" si="15"/>
        <v>3636679.5089256088</v>
      </c>
      <c r="Q14" s="89">
        <f t="shared" si="15"/>
        <v>3883760</v>
      </c>
      <c r="R14" s="87">
        <f t="shared" si="15"/>
        <v>3466709</v>
      </c>
      <c r="S14" s="89" t="e">
        <f t="shared" ca="1" si="15"/>
        <v>#NAME?</v>
      </c>
      <c r="T14" s="89">
        <f t="shared" si="15"/>
        <v>0</v>
      </c>
      <c r="U14" s="89" t="e">
        <f t="shared" ca="1" si="15"/>
        <v>#NAME?</v>
      </c>
      <c r="V14" s="505">
        <f t="shared" si="15"/>
        <v>4580459.93</v>
      </c>
      <c r="W14" s="505">
        <f t="shared" si="15"/>
        <v>4579688.93</v>
      </c>
      <c r="X14" s="506">
        <f t="shared" si="15"/>
        <v>5886750</v>
      </c>
      <c r="Y14" s="507" t="e">
        <f t="shared" ca="1" si="15"/>
        <v>#NAME?</v>
      </c>
      <c r="Z14" s="507"/>
      <c r="AA14" s="507"/>
      <c r="AB14" s="507"/>
      <c r="AC14" s="508">
        <f>AC204</f>
        <v>3729400</v>
      </c>
      <c r="AD14" s="508">
        <f>AD204</f>
        <v>3729400</v>
      </c>
      <c r="AE14" s="508">
        <f t="shared" si="1"/>
        <v>107.62791446223649</v>
      </c>
      <c r="AF14" s="508">
        <f>P14/O14*100</f>
        <v>124.08414761508367</v>
      </c>
      <c r="AG14" s="508">
        <f t="shared" si="2"/>
        <v>106.79412333333124</v>
      </c>
      <c r="AH14" s="508">
        <f t="shared" si="3"/>
        <v>96.025501060827651</v>
      </c>
      <c r="AI14" s="507"/>
      <c r="AJ14" s="507">
        <v>6011750</v>
      </c>
      <c r="AK14" s="507">
        <f t="shared" si="4"/>
        <v>132.10479823948302</v>
      </c>
      <c r="AL14" s="507">
        <f t="shared" si="5"/>
        <v>128.54038975088207</v>
      </c>
      <c r="AM14" s="507" t="e">
        <f t="shared" ca="1" si="5"/>
        <v>#NAME?</v>
      </c>
      <c r="AN14" s="509"/>
      <c r="AO14" s="510" t="e">
        <f t="shared" ca="1" si="6"/>
        <v>#NAME?</v>
      </c>
      <c r="AP14" s="510" t="e">
        <f t="shared" ca="1" si="7"/>
        <v>#NAME?</v>
      </c>
      <c r="AQ14" s="505">
        <f>AQ204</f>
        <v>4098086.93</v>
      </c>
      <c r="AR14" s="511">
        <f t="shared" si="8"/>
        <v>132.12703835251241</v>
      </c>
      <c r="AS14" s="511">
        <f t="shared" si="9"/>
        <v>99.983167629194824</v>
      </c>
      <c r="AT14" s="511">
        <f t="shared" si="10"/>
        <v>132.10479823948302</v>
      </c>
      <c r="AU14" s="511">
        <f t="shared" si="11"/>
        <v>89.483958247793055</v>
      </c>
      <c r="AV14" s="614">
        <f t="shared" si="12"/>
        <v>118.21260249995025</v>
      </c>
      <c r="AW14" s="618"/>
      <c r="AX14" s="618"/>
      <c r="AY14" s="618"/>
      <c r="AZ14" s="618"/>
      <c r="BA14" s="618"/>
      <c r="BB14" s="618"/>
      <c r="BC14" s="618"/>
      <c r="BD14" s="618"/>
      <c r="BE14" s="618"/>
      <c r="BF14" s="618"/>
      <c r="BG14" s="618"/>
      <c r="BH14" s="618"/>
      <c r="BI14" s="616"/>
    </row>
    <row r="15" spans="1:61" ht="12" customHeight="1">
      <c r="A15" s="41"/>
      <c r="B15" s="41"/>
      <c r="C15" s="41">
        <v>3</v>
      </c>
      <c r="D15" s="41">
        <v>4</v>
      </c>
      <c r="E15" s="41"/>
      <c r="F15" s="41">
        <v>6</v>
      </c>
      <c r="G15" s="41"/>
      <c r="H15" s="3" t="s">
        <v>32</v>
      </c>
      <c r="I15" s="15"/>
      <c r="J15" s="3"/>
      <c r="K15" s="3"/>
      <c r="L15" s="87">
        <f t="shared" ref="L15:Y15" si="16">L311</f>
        <v>4478424</v>
      </c>
      <c r="M15" s="87">
        <f t="shared" si="16"/>
        <v>594389.01055146323</v>
      </c>
      <c r="N15" s="88">
        <f t="shared" si="16"/>
        <v>2004477</v>
      </c>
      <c r="O15" s="88">
        <f t="shared" si="16"/>
        <v>266039.81684252433</v>
      </c>
      <c r="P15" s="89">
        <f t="shared" si="16"/>
        <v>1536700</v>
      </c>
      <c r="Q15" s="89">
        <f t="shared" si="16"/>
        <v>662060</v>
      </c>
      <c r="R15" s="87">
        <f t="shared" si="16"/>
        <v>728804</v>
      </c>
      <c r="S15" s="89" t="e">
        <f t="shared" ca="1" si="16"/>
        <v>#NAME?</v>
      </c>
      <c r="T15" s="89">
        <f t="shared" si="16"/>
        <v>0</v>
      </c>
      <c r="U15" s="89" t="e">
        <f t="shared" ca="1" si="16"/>
        <v>#NAME?</v>
      </c>
      <c r="V15" s="505">
        <f t="shared" si="16"/>
        <v>730000</v>
      </c>
      <c r="W15" s="505">
        <f t="shared" si="16"/>
        <v>730771</v>
      </c>
      <c r="X15" s="506">
        <f t="shared" si="16"/>
        <v>1104500</v>
      </c>
      <c r="Y15" s="507">
        <f t="shared" si="16"/>
        <v>911500.3</v>
      </c>
      <c r="Z15" s="507"/>
      <c r="AA15" s="507"/>
      <c r="AB15" s="507"/>
      <c r="AC15" s="508">
        <f>AC311</f>
        <v>495100</v>
      </c>
      <c r="AD15" s="508">
        <f>AD311</f>
        <v>495100</v>
      </c>
      <c r="AE15" s="508">
        <f t="shared" si="1"/>
        <v>44.75853559198503</v>
      </c>
      <c r="AF15" s="508">
        <f>P15/O15*100</f>
        <v>577.62030444849211</v>
      </c>
      <c r="AG15" s="508">
        <f t="shared" si="2"/>
        <v>43.083230298692001</v>
      </c>
      <c r="AH15" s="508">
        <f t="shared" si="3"/>
        <v>74.781741836087363</v>
      </c>
      <c r="AI15" s="507"/>
      <c r="AJ15" s="507">
        <v>911500.3</v>
      </c>
      <c r="AK15" s="507">
        <f t="shared" si="4"/>
        <v>100.26989423768255</v>
      </c>
      <c r="AL15" s="507">
        <f t="shared" si="5"/>
        <v>151.14173934105213</v>
      </c>
      <c r="AM15" s="507">
        <f t="shared" si="5"/>
        <v>82.526057039384341</v>
      </c>
      <c r="AN15" s="509"/>
      <c r="AO15" s="510" t="e">
        <f t="shared" ca="1" si="6"/>
        <v>#NAME?</v>
      </c>
      <c r="AP15" s="510" t="e">
        <f t="shared" ca="1" si="7"/>
        <v>#NAME?</v>
      </c>
      <c r="AQ15" s="505">
        <f>AQ311</f>
        <v>648786.97999999986</v>
      </c>
      <c r="AR15" s="511">
        <f t="shared" si="8"/>
        <v>100.16410447802153</v>
      </c>
      <c r="AS15" s="511">
        <f t="shared" si="9"/>
        <v>100.10561643835617</v>
      </c>
      <c r="AT15" s="511">
        <f t="shared" si="10"/>
        <v>100.26989423768255</v>
      </c>
      <c r="AU15" s="511">
        <f t="shared" si="11"/>
        <v>88.781161266662181</v>
      </c>
      <c r="AV15" s="614">
        <f t="shared" si="12"/>
        <v>89.020776505068554</v>
      </c>
      <c r="AW15" s="618"/>
      <c r="AX15" s="618"/>
      <c r="AY15" s="618"/>
      <c r="AZ15" s="618"/>
      <c r="BA15" s="618"/>
      <c r="BB15" s="618"/>
      <c r="BC15" s="618"/>
      <c r="BD15" s="618"/>
      <c r="BE15" s="618"/>
      <c r="BF15" s="618"/>
      <c r="BG15" s="618"/>
      <c r="BH15" s="618"/>
      <c r="BI15" s="616"/>
    </row>
    <row r="16" spans="1:61" ht="12" customHeight="1">
      <c r="A16" s="41"/>
      <c r="B16" s="41"/>
      <c r="C16" s="41"/>
      <c r="D16" s="41"/>
      <c r="E16" s="41"/>
      <c r="F16" s="41"/>
      <c r="G16" s="41"/>
      <c r="H16" s="3" t="s">
        <v>33</v>
      </c>
      <c r="I16" s="15"/>
      <c r="J16" s="3"/>
      <c r="K16" s="3"/>
      <c r="L16" s="87">
        <f t="shared" ref="L16:AD16" si="17">L14+L15</f>
        <v>24995631</v>
      </c>
      <c r="M16" s="87">
        <f t="shared" si="17"/>
        <v>3317490.344415688</v>
      </c>
      <c r="N16" s="88">
        <f t="shared" si="17"/>
        <v>24086719</v>
      </c>
      <c r="O16" s="88">
        <f t="shared" si="17"/>
        <v>3196856.9911739328</v>
      </c>
      <c r="P16" s="89">
        <f t="shared" si="17"/>
        <v>5173379.5089256093</v>
      </c>
      <c r="Q16" s="89">
        <f t="shared" si="17"/>
        <v>4545820</v>
      </c>
      <c r="R16" s="87">
        <f t="shared" si="17"/>
        <v>4195513</v>
      </c>
      <c r="S16" s="89" t="e">
        <f t="shared" ca="1" si="17"/>
        <v>#NAME?</v>
      </c>
      <c r="T16" s="89">
        <f t="shared" si="17"/>
        <v>0</v>
      </c>
      <c r="U16" s="89" t="e">
        <f t="shared" ca="1" si="17"/>
        <v>#NAME?</v>
      </c>
      <c r="V16" s="505">
        <f t="shared" si="17"/>
        <v>5310459.93</v>
      </c>
      <c r="W16" s="505">
        <f t="shared" si="17"/>
        <v>5310459.93</v>
      </c>
      <c r="X16" s="506">
        <f t="shared" si="17"/>
        <v>6991250</v>
      </c>
      <c r="Y16" s="507" t="e">
        <f t="shared" ca="1" si="17"/>
        <v>#NAME?</v>
      </c>
      <c r="Z16" s="507"/>
      <c r="AA16" s="507"/>
      <c r="AB16" s="507"/>
      <c r="AC16" s="508">
        <f t="shared" si="17"/>
        <v>4224500</v>
      </c>
      <c r="AD16" s="508">
        <f t="shared" si="17"/>
        <v>4224500</v>
      </c>
      <c r="AE16" s="508">
        <f t="shared" si="1"/>
        <v>96.363716523099569</v>
      </c>
      <c r="AF16" s="508">
        <f>P16/O16*100</f>
        <v>161.82705461046817</v>
      </c>
      <c r="AG16" s="508">
        <f t="shared" si="2"/>
        <v>87.869447662927428</v>
      </c>
      <c r="AH16" s="508">
        <f t="shared" si="3"/>
        <v>92.93152830512426</v>
      </c>
      <c r="AI16" s="507"/>
      <c r="AJ16" s="507">
        <v>6923250.2999999998</v>
      </c>
      <c r="AK16" s="507">
        <f t="shared" si="4"/>
        <v>126.57474616334163</v>
      </c>
      <c r="AL16" s="507">
        <f t="shared" si="5"/>
        <v>131.65055554802012</v>
      </c>
      <c r="AM16" s="507" t="e">
        <f t="shared" ca="1" si="5"/>
        <v>#NAME?</v>
      </c>
      <c r="AN16" s="509"/>
      <c r="AO16" s="510" t="e">
        <f t="shared" ca="1" si="6"/>
        <v>#NAME?</v>
      </c>
      <c r="AP16" s="510" t="e">
        <f t="shared" ca="1" si="7"/>
        <v>#NAME?</v>
      </c>
      <c r="AQ16" s="505">
        <f>AQ14+AQ15</f>
        <v>4746873.91</v>
      </c>
      <c r="AR16" s="511">
        <f t="shared" si="8"/>
        <v>126.57474616334163</v>
      </c>
      <c r="AS16" s="511">
        <f t="shared" si="9"/>
        <v>100</v>
      </c>
      <c r="AT16" s="511">
        <f t="shared" si="10"/>
        <v>126.57474616334163</v>
      </c>
      <c r="AU16" s="511">
        <f t="shared" si="11"/>
        <v>89.38724653930305</v>
      </c>
      <c r="AV16" s="614">
        <f t="shared" si="12"/>
        <v>113.14168040952322</v>
      </c>
      <c r="AW16" s="618"/>
      <c r="AX16" s="618"/>
      <c r="AY16" s="618"/>
      <c r="AZ16" s="618"/>
      <c r="BA16" s="618"/>
      <c r="BB16" s="618"/>
      <c r="BC16" s="618"/>
      <c r="BD16" s="618"/>
      <c r="BE16" s="618"/>
      <c r="BF16" s="618"/>
      <c r="BG16" s="618"/>
      <c r="BH16" s="618"/>
      <c r="BI16" s="616"/>
    </row>
    <row r="17" spans="1:61" ht="12" customHeight="1">
      <c r="A17" s="41"/>
      <c r="B17" s="41"/>
      <c r="C17" s="41"/>
      <c r="D17" s="41"/>
      <c r="E17" s="41"/>
      <c r="F17" s="41"/>
      <c r="G17" s="41"/>
      <c r="H17" s="3" t="s">
        <v>34</v>
      </c>
      <c r="I17" s="91"/>
      <c r="J17" s="92"/>
      <c r="K17" s="90"/>
      <c r="L17" s="87">
        <f t="shared" ref="L17:AD17" si="18">L13-L16</f>
        <v>1925135</v>
      </c>
      <c r="M17" s="87">
        <f t="shared" si="18"/>
        <v>255509.45198752359</v>
      </c>
      <c r="N17" s="88">
        <f t="shared" si="18"/>
        <v>4511556</v>
      </c>
      <c r="O17" s="88">
        <f t="shared" si="18"/>
        <v>598786.38263985608</v>
      </c>
      <c r="P17" s="89">
        <f t="shared" si="18"/>
        <v>276170.49107439071</v>
      </c>
      <c r="Q17" s="89">
        <f t="shared" si="18"/>
        <v>13480</v>
      </c>
      <c r="R17" s="87">
        <f t="shared" si="18"/>
        <v>363787</v>
      </c>
      <c r="S17" s="89" t="e">
        <f t="shared" ca="1" si="18"/>
        <v>#NAME?</v>
      </c>
      <c r="T17" s="89">
        <f t="shared" si="18"/>
        <v>1547844.5100000002</v>
      </c>
      <c r="U17" s="89" t="e">
        <f t="shared" ca="1" si="18"/>
        <v>#NAME?</v>
      </c>
      <c r="V17" s="505">
        <f t="shared" si="18"/>
        <v>170670.0700000003</v>
      </c>
      <c r="W17" s="505">
        <f t="shared" si="18"/>
        <v>170670.0700000003</v>
      </c>
      <c r="X17" s="506">
        <f t="shared" si="18"/>
        <v>0</v>
      </c>
      <c r="Y17" s="507" t="e">
        <f t="shared" ca="1" si="18"/>
        <v>#NAME?</v>
      </c>
      <c r="Z17" s="507"/>
      <c r="AA17" s="507"/>
      <c r="AB17" s="507"/>
      <c r="AC17" s="508">
        <f t="shared" si="18"/>
        <v>0</v>
      </c>
      <c r="AD17" s="508">
        <f t="shared" si="18"/>
        <v>0</v>
      </c>
      <c r="AE17" s="508"/>
      <c r="AF17" s="508"/>
      <c r="AG17" s="508"/>
      <c r="AH17" s="508"/>
      <c r="AI17" s="507"/>
      <c r="AJ17" s="507">
        <v>-0.29999999981373499</v>
      </c>
      <c r="AK17" s="507">
        <f t="shared" si="4"/>
        <v>46.91483477969259</v>
      </c>
      <c r="AL17" s="507">
        <f>X17/W17*100</f>
        <v>0</v>
      </c>
      <c r="AM17" s="507"/>
      <c r="AN17" s="509"/>
      <c r="AO17" s="510" t="e">
        <f t="shared" ca="1" si="6"/>
        <v>#NAME?</v>
      </c>
      <c r="AP17" s="510" t="e">
        <f t="shared" ca="1" si="7"/>
        <v>#NAME?</v>
      </c>
      <c r="AQ17" s="505">
        <f>AQ13-AQ16</f>
        <v>43530.589999999851</v>
      </c>
      <c r="AR17" s="511">
        <f t="shared" si="8"/>
        <v>46.91483477969259</v>
      </c>
      <c r="AS17" s="511"/>
      <c r="AT17" s="511">
        <f t="shared" si="10"/>
        <v>46.91483477969259</v>
      </c>
      <c r="AU17" s="511">
        <f t="shared" si="11"/>
        <v>25.505696458670098</v>
      </c>
      <c r="AV17" s="614">
        <f t="shared" si="12"/>
        <v>11.96595535299498</v>
      </c>
      <c r="AW17" s="618"/>
      <c r="AX17" s="618"/>
      <c r="AY17" s="618"/>
      <c r="AZ17" s="618"/>
      <c r="BA17" s="618"/>
      <c r="BB17" s="618"/>
      <c r="BC17" s="618"/>
      <c r="BD17" s="618"/>
      <c r="BE17" s="618"/>
      <c r="BF17" s="618"/>
      <c r="BG17" s="618"/>
      <c r="BH17" s="618"/>
      <c r="BI17" s="616"/>
    </row>
    <row r="18" spans="1:61" ht="12" customHeight="1">
      <c r="A18" s="41"/>
      <c r="B18" s="41"/>
      <c r="C18" s="41"/>
      <c r="D18" s="41"/>
      <c r="E18" s="41"/>
      <c r="F18" s="41"/>
      <c r="G18" s="41"/>
      <c r="H18" s="3" t="s">
        <v>35</v>
      </c>
      <c r="I18" s="15"/>
      <c r="J18" s="3"/>
      <c r="K18" s="3"/>
      <c r="L18" s="87"/>
      <c r="M18" s="87"/>
      <c r="N18" s="88"/>
      <c r="O18" s="88"/>
      <c r="P18" s="89"/>
      <c r="Q18" s="89"/>
      <c r="R18" s="87"/>
      <c r="S18" s="89"/>
      <c r="T18" s="89"/>
      <c r="U18" s="89"/>
      <c r="V18" s="505"/>
      <c r="W18" s="505"/>
      <c r="X18" s="506"/>
      <c r="Y18" s="507"/>
      <c r="Z18" s="507"/>
      <c r="AA18" s="507"/>
      <c r="AB18" s="507"/>
      <c r="AC18" s="508"/>
      <c r="AD18" s="508"/>
      <c r="AE18" s="508"/>
      <c r="AF18" s="508"/>
      <c r="AG18" s="508"/>
      <c r="AH18" s="508"/>
      <c r="AI18" s="507"/>
      <c r="AJ18" s="507"/>
      <c r="AK18" s="507"/>
      <c r="AL18" s="507"/>
      <c r="AM18" s="507"/>
      <c r="AN18" s="509"/>
      <c r="AO18" s="510" t="e">
        <f t="shared" ca="1" si="6"/>
        <v>#NAME?</v>
      </c>
      <c r="AP18" s="510" t="e">
        <f t="shared" ca="1" si="7"/>
        <v>#NAME?</v>
      </c>
      <c r="AQ18" s="505"/>
      <c r="AR18" s="511"/>
      <c r="AS18" s="511"/>
      <c r="AT18" s="511"/>
      <c r="AU18" s="511"/>
      <c r="AV18" s="614"/>
      <c r="AW18" s="618"/>
      <c r="AX18" s="618"/>
      <c r="AY18" s="618"/>
      <c r="AZ18" s="618"/>
      <c r="BA18" s="618"/>
      <c r="BB18" s="618"/>
      <c r="BC18" s="618"/>
      <c r="BD18" s="618"/>
      <c r="BE18" s="618"/>
      <c r="BF18" s="618"/>
      <c r="BG18" s="618"/>
      <c r="BH18" s="618"/>
      <c r="BI18" s="616"/>
    </row>
    <row r="19" spans="1:61" ht="12" customHeight="1">
      <c r="A19" s="41"/>
      <c r="B19" s="41"/>
      <c r="C19" s="41"/>
      <c r="D19" s="41"/>
      <c r="E19" s="41"/>
      <c r="F19" s="41"/>
      <c r="G19" s="41"/>
      <c r="H19" s="3" t="s">
        <v>36</v>
      </c>
      <c r="I19" s="15"/>
      <c r="J19" s="3"/>
      <c r="K19" s="3"/>
      <c r="L19" s="87"/>
      <c r="M19" s="87"/>
      <c r="N19" s="88"/>
      <c r="O19" s="88"/>
      <c r="P19" s="89"/>
      <c r="Q19" s="89"/>
      <c r="R19" s="87"/>
      <c r="S19" s="89"/>
      <c r="T19" s="89"/>
      <c r="U19" s="89"/>
      <c r="V19" s="505"/>
      <c r="W19" s="505"/>
      <c r="X19" s="506"/>
      <c r="Y19" s="507"/>
      <c r="Z19" s="507"/>
      <c r="AA19" s="507"/>
      <c r="AB19" s="507"/>
      <c r="AC19" s="508"/>
      <c r="AD19" s="508"/>
      <c r="AE19" s="508"/>
      <c r="AF19" s="508"/>
      <c r="AG19" s="508"/>
      <c r="AH19" s="508"/>
      <c r="AI19" s="507"/>
      <c r="AJ19" s="507"/>
      <c r="AK19" s="507"/>
      <c r="AL19" s="507"/>
      <c r="AM19" s="507"/>
      <c r="AN19" s="509"/>
      <c r="AO19" s="510" t="e">
        <f t="shared" ca="1" si="6"/>
        <v>#NAME?</v>
      </c>
      <c r="AP19" s="510" t="e">
        <f t="shared" ca="1" si="7"/>
        <v>#NAME?</v>
      </c>
      <c r="AQ19" s="505"/>
      <c r="AR19" s="511"/>
      <c r="AS19" s="511"/>
      <c r="AT19" s="511"/>
      <c r="AU19" s="511"/>
      <c r="AV19" s="614"/>
      <c r="AW19" s="618"/>
      <c r="AX19" s="618"/>
      <c r="AY19" s="618"/>
      <c r="AZ19" s="618"/>
      <c r="BA19" s="618"/>
      <c r="BB19" s="618"/>
      <c r="BC19" s="618"/>
      <c r="BD19" s="618"/>
      <c r="BE19" s="618"/>
      <c r="BF19" s="618"/>
      <c r="BG19" s="618"/>
      <c r="BH19" s="618"/>
      <c r="BI19" s="616"/>
    </row>
    <row r="20" spans="1:61" ht="12" customHeight="1">
      <c r="A20" s="41"/>
      <c r="B20" s="41"/>
      <c r="C20" s="41"/>
      <c r="D20" s="41"/>
      <c r="E20" s="41"/>
      <c r="F20" s="41"/>
      <c r="G20" s="41"/>
      <c r="H20" s="3" t="s">
        <v>37</v>
      </c>
      <c r="I20" s="15"/>
      <c r="J20" s="3"/>
      <c r="K20" s="3"/>
      <c r="L20" s="87"/>
      <c r="M20" s="87"/>
      <c r="N20" s="88">
        <v>-602523</v>
      </c>
      <c r="O20" s="88">
        <f>N20/7.5345</f>
        <v>-79968.544694405733</v>
      </c>
      <c r="P20" s="89"/>
      <c r="Q20" s="89"/>
      <c r="R20" s="87"/>
      <c r="S20" s="89"/>
      <c r="T20" s="89"/>
      <c r="U20" s="89"/>
      <c r="V20" s="505"/>
      <c r="W20" s="505"/>
      <c r="X20" s="506"/>
      <c r="Y20" s="507"/>
      <c r="Z20" s="507"/>
      <c r="AA20" s="507"/>
      <c r="AB20" s="507"/>
      <c r="AC20" s="508"/>
      <c r="AD20" s="508"/>
      <c r="AE20" s="508"/>
      <c r="AF20" s="508"/>
      <c r="AG20" s="508"/>
      <c r="AH20" s="508"/>
      <c r="AI20" s="507"/>
      <c r="AJ20" s="507"/>
      <c r="AK20" s="507"/>
      <c r="AL20" s="507"/>
      <c r="AM20" s="507"/>
      <c r="AN20" s="509"/>
      <c r="AO20" s="510" t="e">
        <f t="shared" ca="1" si="6"/>
        <v>#NAME?</v>
      </c>
      <c r="AP20" s="510" t="e">
        <f t="shared" ca="1" si="7"/>
        <v>#NAME?</v>
      </c>
      <c r="AQ20" s="505"/>
      <c r="AR20" s="511"/>
      <c r="AS20" s="511"/>
      <c r="AT20" s="511"/>
      <c r="AU20" s="511"/>
      <c r="AV20" s="614"/>
      <c r="AW20" s="618"/>
      <c r="AX20" s="618"/>
      <c r="AY20" s="618"/>
      <c r="AZ20" s="618"/>
      <c r="BA20" s="618"/>
      <c r="BB20" s="618"/>
      <c r="BC20" s="618"/>
      <c r="BD20" s="618"/>
      <c r="BE20" s="618"/>
      <c r="BF20" s="618"/>
      <c r="BG20" s="618"/>
      <c r="BH20" s="618"/>
      <c r="BI20" s="616"/>
    </row>
    <row r="21" spans="1:61" ht="12" customHeight="1">
      <c r="A21" s="41"/>
      <c r="B21" s="41"/>
      <c r="C21" s="41"/>
      <c r="D21" s="41"/>
      <c r="E21" s="41"/>
      <c r="F21" s="41"/>
      <c r="G21" s="41"/>
      <c r="H21" s="3" t="s">
        <v>38</v>
      </c>
      <c r="I21" s="15"/>
      <c r="J21" s="3"/>
      <c r="K21" s="3"/>
      <c r="L21" s="87">
        <v>-9059</v>
      </c>
      <c r="M21" s="87">
        <f>-9059/7.5345</f>
        <v>-1202.3359214280974</v>
      </c>
      <c r="N21" s="88">
        <v>-1790</v>
      </c>
      <c r="O21" s="88">
        <f>N21/7.5345</f>
        <v>-237.57382706218061</v>
      </c>
      <c r="P21" s="89">
        <v>-14110</v>
      </c>
      <c r="Q21" s="89">
        <v>-14110</v>
      </c>
      <c r="R21" s="87">
        <v>-68</v>
      </c>
      <c r="S21" s="89">
        <v>-68</v>
      </c>
      <c r="T21" s="89">
        <v>-68</v>
      </c>
      <c r="U21" s="89">
        <v>-68</v>
      </c>
      <c r="V21" s="505">
        <v>-14050</v>
      </c>
      <c r="W21" s="505">
        <v>-14050</v>
      </c>
      <c r="X21" s="506"/>
      <c r="Y21" s="507"/>
      <c r="Z21" s="507"/>
      <c r="AA21" s="507"/>
      <c r="AB21" s="507"/>
      <c r="AC21" s="508"/>
      <c r="AD21" s="508"/>
      <c r="AE21" s="508"/>
      <c r="AF21" s="508"/>
      <c r="AG21" s="508"/>
      <c r="AH21" s="508"/>
      <c r="AI21" s="507"/>
      <c r="AJ21" s="507"/>
      <c r="AK21" s="507"/>
      <c r="AL21" s="507">
        <f>X21/W21*100</f>
        <v>0</v>
      </c>
      <c r="AM21" s="507"/>
      <c r="AN21" s="509"/>
      <c r="AO21" s="510" t="e">
        <f t="shared" ca="1" si="6"/>
        <v>#NAME?</v>
      </c>
      <c r="AP21" s="510" t="e">
        <f t="shared" ca="1" si="7"/>
        <v>#NAME?</v>
      </c>
      <c r="AQ21" s="505">
        <v>0</v>
      </c>
      <c r="AR21" s="511"/>
      <c r="AS21" s="511"/>
      <c r="AT21" s="511"/>
      <c r="AU21" s="511"/>
      <c r="AV21" s="614"/>
      <c r="AW21" s="618"/>
      <c r="AX21" s="618"/>
      <c r="AY21" s="618"/>
      <c r="AZ21" s="618"/>
      <c r="BA21" s="618"/>
      <c r="BB21" s="618"/>
      <c r="BC21" s="618"/>
      <c r="BD21" s="618"/>
      <c r="BE21" s="618"/>
      <c r="BF21" s="618"/>
      <c r="BG21" s="618"/>
      <c r="BH21" s="618"/>
      <c r="BI21" s="616"/>
    </row>
    <row r="22" spans="1:61" ht="12" customHeight="1">
      <c r="A22" s="41"/>
      <c r="B22" s="41"/>
      <c r="C22" s="41"/>
      <c r="D22" s="41"/>
      <c r="E22" s="41"/>
      <c r="F22" s="41"/>
      <c r="G22" s="41"/>
      <c r="H22" s="3" t="s">
        <v>39</v>
      </c>
      <c r="I22" s="15"/>
      <c r="J22" s="3"/>
      <c r="K22" s="3"/>
      <c r="L22" s="87"/>
      <c r="M22" s="87"/>
      <c r="N22" s="88">
        <v>260041</v>
      </c>
      <c r="O22" s="88">
        <f>N22/7.5345</f>
        <v>34513.371822947774</v>
      </c>
      <c r="P22" s="89"/>
      <c r="Q22" s="89"/>
      <c r="R22" s="87"/>
      <c r="S22" s="89"/>
      <c r="T22" s="89"/>
      <c r="U22" s="89"/>
      <c r="V22" s="505"/>
      <c r="W22" s="505"/>
      <c r="X22" s="506"/>
      <c r="Y22" s="507"/>
      <c r="Z22" s="507"/>
      <c r="AA22" s="507"/>
      <c r="AB22" s="507"/>
      <c r="AC22" s="508"/>
      <c r="AD22" s="508"/>
      <c r="AE22" s="508"/>
      <c r="AF22" s="508"/>
      <c r="AG22" s="508"/>
      <c r="AH22" s="508"/>
      <c r="AI22" s="507"/>
      <c r="AJ22" s="507"/>
      <c r="AK22" s="507"/>
      <c r="AL22" s="507"/>
      <c r="AM22" s="507"/>
      <c r="AN22" s="509"/>
      <c r="AO22" s="510" t="e">
        <f t="shared" ca="1" si="6"/>
        <v>#NAME?</v>
      </c>
      <c r="AP22" s="510" t="e">
        <f t="shared" ca="1" si="7"/>
        <v>#NAME?</v>
      </c>
      <c r="AQ22" s="505"/>
      <c r="AR22" s="511"/>
      <c r="AS22" s="511"/>
      <c r="AT22" s="511"/>
      <c r="AU22" s="511"/>
      <c r="AV22" s="614"/>
      <c r="AW22" s="618"/>
      <c r="AX22" s="618"/>
      <c r="AY22" s="618"/>
      <c r="AZ22" s="618"/>
      <c r="BA22" s="618"/>
      <c r="BB22" s="618"/>
      <c r="BC22" s="618"/>
      <c r="BD22" s="618"/>
      <c r="BE22" s="618"/>
      <c r="BF22" s="618"/>
      <c r="BG22" s="618"/>
      <c r="BH22" s="618"/>
      <c r="BI22" s="616"/>
    </row>
    <row r="23" spans="1:61" ht="12" customHeight="1">
      <c r="A23" s="41"/>
      <c r="B23" s="41"/>
      <c r="C23" s="41"/>
      <c r="D23" s="41"/>
      <c r="E23" s="41"/>
      <c r="F23" s="41"/>
      <c r="G23" s="41"/>
      <c r="H23" s="3" t="s">
        <v>40</v>
      </c>
      <c r="I23" s="15"/>
      <c r="J23" s="3"/>
      <c r="K23" s="3"/>
      <c r="L23" s="87">
        <v>-2243000</v>
      </c>
      <c r="M23" s="87">
        <f>-2243000/7.5345</f>
        <v>-297697.25927400624</v>
      </c>
      <c r="N23" s="88">
        <v>-4162534</v>
      </c>
      <c r="O23" s="88">
        <f>N23/7.5345</f>
        <v>-552463.20260136703</v>
      </c>
      <c r="P23" s="89">
        <v>-262060</v>
      </c>
      <c r="Q23" s="89">
        <v>630</v>
      </c>
      <c r="R23" s="87">
        <v>-27262</v>
      </c>
      <c r="S23" s="89">
        <v>-27262</v>
      </c>
      <c r="T23" s="89">
        <v>-27262</v>
      </c>
      <c r="U23" s="89">
        <v>-27262</v>
      </c>
      <c r="V23" s="505">
        <v>-156620</v>
      </c>
      <c r="W23" s="505">
        <v>-156620</v>
      </c>
      <c r="X23" s="505">
        <v>-156620</v>
      </c>
      <c r="Y23" s="505">
        <v>-156620</v>
      </c>
      <c r="Z23" s="505">
        <v>-156620</v>
      </c>
      <c r="AA23" s="505">
        <v>-156620</v>
      </c>
      <c r="AB23" s="505">
        <v>-156620</v>
      </c>
      <c r="AC23" s="505">
        <v>-156620</v>
      </c>
      <c r="AD23" s="505">
        <v>-156620</v>
      </c>
      <c r="AE23" s="505">
        <v>-156620</v>
      </c>
      <c r="AF23" s="505">
        <v>-156620</v>
      </c>
      <c r="AG23" s="505">
        <v>-156620</v>
      </c>
      <c r="AH23" s="505">
        <v>-156620</v>
      </c>
      <c r="AI23" s="505">
        <v>-156620</v>
      </c>
      <c r="AJ23" s="505">
        <v>-156620</v>
      </c>
      <c r="AK23" s="505">
        <v>-156620</v>
      </c>
      <c r="AL23" s="505">
        <v>-156620</v>
      </c>
      <c r="AM23" s="505">
        <v>-156620</v>
      </c>
      <c r="AN23" s="505">
        <v>-156620</v>
      </c>
      <c r="AO23" s="505">
        <v>-156620</v>
      </c>
      <c r="AP23" s="505">
        <v>-156620</v>
      </c>
      <c r="AQ23" s="505">
        <v>-156620</v>
      </c>
      <c r="AR23" s="511"/>
      <c r="AS23" s="511"/>
      <c r="AT23" s="511"/>
      <c r="AU23" s="511"/>
      <c r="AV23" s="614"/>
      <c r="AW23" s="618"/>
      <c r="AX23" s="618"/>
      <c r="AY23" s="618"/>
      <c r="AZ23" s="618"/>
      <c r="BA23" s="618"/>
      <c r="BB23" s="618"/>
      <c r="BC23" s="618"/>
      <c r="BD23" s="618"/>
      <c r="BE23" s="618"/>
      <c r="BF23" s="618"/>
      <c r="BG23" s="618"/>
      <c r="BH23" s="618"/>
      <c r="BI23" s="616"/>
    </row>
    <row r="24" spans="1:61" ht="12" customHeight="1">
      <c r="A24" s="41"/>
      <c r="B24" s="41"/>
      <c r="C24" s="41"/>
      <c r="D24" s="41"/>
      <c r="E24" s="41"/>
      <c r="F24" s="41"/>
      <c r="G24" s="41"/>
      <c r="H24" s="42" t="s">
        <v>41</v>
      </c>
      <c r="I24" s="93"/>
      <c r="J24" s="92"/>
      <c r="K24" s="90"/>
      <c r="L24" s="87"/>
      <c r="M24" s="87"/>
      <c r="N24" s="88"/>
      <c r="O24" s="88"/>
      <c r="P24" s="89"/>
      <c r="Q24" s="89"/>
      <c r="R24" s="87"/>
      <c r="S24" s="89"/>
      <c r="T24" s="89"/>
      <c r="U24" s="89"/>
      <c r="V24" s="505"/>
      <c r="W24" s="505"/>
      <c r="X24" s="506"/>
      <c r="Y24" s="507"/>
      <c r="Z24" s="507"/>
      <c r="AA24" s="507"/>
      <c r="AB24" s="507"/>
      <c r="AC24" s="508"/>
      <c r="AD24" s="508"/>
      <c r="AE24" s="508"/>
      <c r="AF24" s="508"/>
      <c r="AG24" s="508"/>
      <c r="AH24" s="508"/>
      <c r="AI24" s="507"/>
      <c r="AJ24" s="507"/>
      <c r="AK24" s="507"/>
      <c r="AL24" s="507"/>
      <c r="AM24" s="507"/>
      <c r="AN24" s="509"/>
      <c r="AO24" s="510" t="e">
        <f t="shared" ca="1" si="6"/>
        <v>#NAME?</v>
      </c>
      <c r="AP24" s="510" t="e">
        <f t="shared" ca="1" si="7"/>
        <v>#NAME?</v>
      </c>
      <c r="AQ24" s="505"/>
      <c r="AR24" s="511"/>
      <c r="AS24" s="511"/>
      <c r="AT24" s="511"/>
      <c r="AU24" s="511"/>
      <c r="AV24" s="614"/>
      <c r="AW24" s="618"/>
      <c r="AX24" s="618"/>
      <c r="AY24" s="618"/>
      <c r="AZ24" s="618"/>
      <c r="BA24" s="618"/>
      <c r="BB24" s="618"/>
      <c r="BC24" s="618"/>
      <c r="BD24" s="618"/>
      <c r="BE24" s="618"/>
      <c r="BF24" s="618"/>
      <c r="BG24" s="618"/>
      <c r="BH24" s="618"/>
      <c r="BI24" s="616"/>
    </row>
    <row r="25" spans="1:61" ht="12" customHeight="1">
      <c r="A25" s="41"/>
      <c r="B25" s="41"/>
      <c r="C25" s="41"/>
      <c r="D25" s="41"/>
      <c r="E25" s="41"/>
      <c r="F25" s="41"/>
      <c r="G25" s="41"/>
      <c r="H25" s="42" t="s">
        <v>42</v>
      </c>
      <c r="I25" s="93"/>
      <c r="J25" s="92"/>
      <c r="K25" s="90"/>
      <c r="L25" s="87"/>
      <c r="M25" s="87"/>
      <c r="N25" s="88"/>
      <c r="O25" s="88"/>
      <c r="P25" s="89"/>
      <c r="Q25" s="89"/>
      <c r="R25" s="87"/>
      <c r="S25" s="89"/>
      <c r="T25" s="89"/>
      <c r="U25" s="89"/>
      <c r="V25" s="505"/>
      <c r="W25" s="505"/>
      <c r="X25" s="506"/>
      <c r="Y25" s="507"/>
      <c r="Z25" s="507"/>
      <c r="AA25" s="507"/>
      <c r="AB25" s="507"/>
      <c r="AC25" s="508"/>
      <c r="AD25" s="508"/>
      <c r="AE25" s="508"/>
      <c r="AF25" s="508"/>
      <c r="AG25" s="508"/>
      <c r="AH25" s="508"/>
      <c r="AI25" s="507"/>
      <c r="AJ25" s="507"/>
      <c r="AK25" s="507"/>
      <c r="AL25" s="507"/>
      <c r="AM25" s="507"/>
      <c r="AN25" s="509"/>
      <c r="AO25" s="510" t="e">
        <f t="shared" ca="1" si="6"/>
        <v>#NAME?</v>
      </c>
      <c r="AP25" s="510" t="e">
        <f t="shared" ca="1" si="7"/>
        <v>#NAME?</v>
      </c>
      <c r="AQ25" s="505"/>
      <c r="AR25" s="511"/>
      <c r="AS25" s="511"/>
      <c r="AT25" s="511"/>
      <c r="AU25" s="511"/>
      <c r="AV25" s="614"/>
      <c r="AW25" s="618"/>
      <c r="AX25" s="618"/>
      <c r="AY25" s="618"/>
      <c r="AZ25" s="618"/>
      <c r="BA25" s="618"/>
      <c r="BB25" s="618"/>
      <c r="BC25" s="618"/>
      <c r="BD25" s="618"/>
      <c r="BE25" s="618"/>
      <c r="BF25" s="618"/>
      <c r="BG25" s="618"/>
      <c r="BH25" s="618"/>
      <c r="BI25" s="616"/>
    </row>
    <row r="26" spans="1:61" ht="12" customHeight="1">
      <c r="A26" s="41"/>
      <c r="B26" s="41"/>
      <c r="C26" s="41"/>
      <c r="D26" s="41"/>
      <c r="E26" s="41"/>
      <c r="F26" s="41"/>
      <c r="G26" s="41"/>
      <c r="H26" s="42" t="s">
        <v>43</v>
      </c>
      <c r="I26" s="93"/>
      <c r="J26" s="92"/>
      <c r="K26" s="90"/>
      <c r="L26" s="87">
        <f>L17+L18+L19+L20+L21+L23+L24</f>
        <v>-326924</v>
      </c>
      <c r="M26" s="87">
        <f>M17+M18+M19+M20+M21+M23+M24</f>
        <v>-43390.143207910762</v>
      </c>
      <c r="N26" s="88">
        <f t="shared" ref="N26:Y26" si="19">N17+N18+N19+N20+N21+N22+N23+N24+N25</f>
        <v>4750</v>
      </c>
      <c r="O26" s="88">
        <f t="shared" si="19"/>
        <v>630.43333996890578</v>
      </c>
      <c r="P26" s="89">
        <f t="shared" si="19"/>
        <v>0.49107439070940018</v>
      </c>
      <c r="Q26" s="89">
        <f t="shared" si="19"/>
        <v>0</v>
      </c>
      <c r="R26" s="87">
        <f t="shared" si="19"/>
        <v>336457</v>
      </c>
      <c r="S26" s="89" t="e">
        <f t="shared" ca="1" si="19"/>
        <v>#NAME?</v>
      </c>
      <c r="T26" s="89">
        <f t="shared" si="19"/>
        <v>1520514.5100000002</v>
      </c>
      <c r="U26" s="89" t="e">
        <f t="shared" ca="1" si="19"/>
        <v>#NAME?</v>
      </c>
      <c r="V26" s="505"/>
      <c r="W26" s="505"/>
      <c r="X26" s="506">
        <f t="shared" si="19"/>
        <v>-156620</v>
      </c>
      <c r="Y26" s="507" t="e">
        <f t="shared" ca="1" si="19"/>
        <v>#NAME?</v>
      </c>
      <c r="Z26" s="507"/>
      <c r="AA26" s="507"/>
      <c r="AB26" s="507"/>
      <c r="AC26" s="508">
        <f>AC17+AC18+AC23+AC24</f>
        <v>-156620</v>
      </c>
      <c r="AD26" s="508">
        <f>AD17+AD18+AD23+AD24</f>
        <v>-156620</v>
      </c>
      <c r="AE26" s="508"/>
      <c r="AF26" s="508"/>
      <c r="AG26" s="508"/>
      <c r="AH26" s="508"/>
      <c r="AI26" s="507"/>
      <c r="AJ26" s="507">
        <v>-0.29999999981373499</v>
      </c>
      <c r="AK26" s="507">
        <f>W26/R26*100</f>
        <v>0</v>
      </c>
      <c r="AL26" s="507" t="e">
        <f>X26/W26*100</f>
        <v>#DIV/0!</v>
      </c>
      <c r="AM26" s="507"/>
      <c r="AN26" s="509"/>
      <c r="AO26" s="510" t="e">
        <f t="shared" ca="1" si="6"/>
        <v>#NAME?</v>
      </c>
      <c r="AP26" s="510" t="e">
        <f t="shared" ca="1" si="7"/>
        <v>#NAME?</v>
      </c>
      <c r="AQ26" s="505">
        <f>AQ17+AQ18+AQ19+AQ20+AQ21+AQ22+AQ23+AQ24+AQ25</f>
        <v>-113089.41000000015</v>
      </c>
      <c r="AR26" s="511"/>
      <c r="AS26" s="511"/>
      <c r="AT26" s="511"/>
      <c r="AU26" s="511"/>
      <c r="AV26" s="614"/>
      <c r="AW26" s="618"/>
      <c r="AX26" s="618"/>
      <c r="AY26" s="618"/>
      <c r="AZ26" s="618"/>
      <c r="BA26" s="618"/>
      <c r="BB26" s="618"/>
      <c r="BC26" s="618"/>
      <c r="BD26" s="618"/>
      <c r="BE26" s="618"/>
      <c r="BF26" s="618"/>
      <c r="BG26" s="618"/>
      <c r="BH26" s="618"/>
      <c r="BI26" s="616"/>
    </row>
    <row r="27" spans="1:61" ht="12" customHeight="1">
      <c r="A27" s="41"/>
      <c r="B27" s="41"/>
      <c r="C27" s="41"/>
      <c r="D27" s="41"/>
      <c r="E27" s="41"/>
      <c r="F27" s="41"/>
      <c r="G27" s="41"/>
      <c r="H27" s="3" t="s">
        <v>44</v>
      </c>
      <c r="I27" s="15"/>
      <c r="J27" s="3"/>
      <c r="K27" s="3"/>
      <c r="L27" s="87">
        <v>-338762</v>
      </c>
      <c r="M27" s="87">
        <f>-338762/7.5345</f>
        <v>-44961.444024155549</v>
      </c>
      <c r="N27" s="88">
        <v>-281683</v>
      </c>
      <c r="O27" s="88">
        <f>N27/7.5345</f>
        <v>-37385.758842657109</v>
      </c>
      <c r="P27" s="89"/>
      <c r="Q27" s="89"/>
      <c r="R27" s="87">
        <v>-210602</v>
      </c>
      <c r="S27" s="89">
        <v>-210602</v>
      </c>
      <c r="T27" s="89">
        <v>-210602</v>
      </c>
      <c r="U27" s="89">
        <v>-210602</v>
      </c>
      <c r="V27" s="505"/>
      <c r="W27" s="505"/>
      <c r="X27" s="506"/>
      <c r="Y27" s="507"/>
      <c r="Z27" s="507"/>
      <c r="AA27" s="507"/>
      <c r="AB27" s="507"/>
      <c r="AC27" s="508"/>
      <c r="AD27" s="508"/>
      <c r="AE27" s="508"/>
      <c r="AF27" s="508"/>
      <c r="AG27" s="508"/>
      <c r="AH27" s="508"/>
      <c r="AI27" s="507"/>
      <c r="AJ27" s="507"/>
      <c r="AK27" s="507">
        <f>W27/R27*100</f>
        <v>0</v>
      </c>
      <c r="AL27" s="507"/>
      <c r="AM27" s="507"/>
      <c r="AN27" s="509"/>
      <c r="AO27" s="510" t="e">
        <f t="shared" ca="1" si="6"/>
        <v>#NAME?</v>
      </c>
      <c r="AP27" s="510" t="e">
        <f t="shared" ca="1" si="7"/>
        <v>#NAME?</v>
      </c>
      <c r="AQ27" s="505"/>
      <c r="AR27" s="511"/>
      <c r="AS27" s="511"/>
      <c r="AT27" s="511"/>
      <c r="AU27" s="511"/>
      <c r="AV27" s="614"/>
      <c r="AW27" s="618"/>
      <c r="AX27" s="618"/>
      <c r="AY27" s="618"/>
      <c r="AZ27" s="618"/>
      <c r="BA27" s="618"/>
      <c r="BB27" s="618"/>
      <c r="BC27" s="618"/>
      <c r="BD27" s="618"/>
      <c r="BE27" s="618"/>
      <c r="BF27" s="618"/>
      <c r="BG27" s="618"/>
      <c r="BH27" s="618"/>
      <c r="BI27" s="616"/>
    </row>
    <row r="28" spans="1:61" ht="12" customHeight="1">
      <c r="A28" s="41"/>
      <c r="B28" s="41"/>
      <c r="C28" s="41"/>
      <c r="D28" s="41"/>
      <c r="E28" s="41"/>
      <c r="F28" s="41"/>
      <c r="G28" s="41"/>
      <c r="H28" s="3" t="s">
        <v>45</v>
      </c>
      <c r="I28" s="15"/>
      <c r="J28" s="3"/>
      <c r="K28" s="3"/>
      <c r="L28" s="87">
        <v>38562</v>
      </c>
      <c r="M28" s="87">
        <f>38562/7.5345</f>
        <v>5118.0569380848092</v>
      </c>
      <c r="N28" s="88">
        <v>42757</v>
      </c>
      <c r="O28" s="88">
        <f>N28/7.5345</f>
        <v>5674.829119384166</v>
      </c>
      <c r="P28" s="89"/>
      <c r="Q28" s="89"/>
      <c r="R28" s="87">
        <v>39360</v>
      </c>
      <c r="S28" s="89">
        <v>39360</v>
      </c>
      <c r="T28" s="89">
        <v>39360</v>
      </c>
      <c r="U28" s="89">
        <v>39360</v>
      </c>
      <c r="V28" s="505"/>
      <c r="W28" s="505"/>
      <c r="X28" s="506"/>
      <c r="Y28" s="507"/>
      <c r="Z28" s="507"/>
      <c r="AA28" s="507"/>
      <c r="AB28" s="507"/>
      <c r="AC28" s="508"/>
      <c r="AD28" s="508"/>
      <c r="AE28" s="508"/>
      <c r="AF28" s="508"/>
      <c r="AG28" s="508"/>
      <c r="AH28" s="508"/>
      <c r="AI28" s="507"/>
      <c r="AJ28" s="507"/>
      <c r="AK28" s="507">
        <f>W28/R28*100</f>
        <v>0</v>
      </c>
      <c r="AL28" s="507"/>
      <c r="AM28" s="507"/>
      <c r="AN28" s="509"/>
      <c r="AO28" s="510" t="e">
        <f t="shared" ca="1" si="6"/>
        <v>#NAME?</v>
      </c>
      <c r="AP28" s="510" t="e">
        <f t="shared" ca="1" si="7"/>
        <v>#NAME?</v>
      </c>
      <c r="AQ28" s="505"/>
      <c r="AR28" s="511"/>
      <c r="AS28" s="511"/>
      <c r="AT28" s="511"/>
      <c r="AU28" s="511"/>
      <c r="AV28" s="614"/>
      <c r="AW28" s="618"/>
      <c r="AX28" s="618"/>
      <c r="AY28" s="618"/>
      <c r="AZ28" s="618"/>
      <c r="BA28" s="618"/>
      <c r="BB28" s="618"/>
      <c r="BC28" s="618"/>
      <c r="BD28" s="618"/>
      <c r="BE28" s="618"/>
      <c r="BF28" s="618"/>
      <c r="BG28" s="618"/>
      <c r="BH28" s="618"/>
      <c r="BI28" s="616"/>
    </row>
    <row r="29" spans="1:61" ht="12" customHeight="1">
      <c r="A29" s="43"/>
      <c r="B29" s="43"/>
      <c r="C29" s="43"/>
      <c r="D29" s="43"/>
      <c r="E29" s="43"/>
      <c r="F29" s="43"/>
      <c r="G29" s="43"/>
      <c r="H29" s="44" t="s">
        <v>46</v>
      </c>
      <c r="I29" s="94"/>
      <c r="J29" s="44"/>
      <c r="K29" s="44"/>
      <c r="L29" s="95">
        <v>-13062</v>
      </c>
      <c r="M29" s="95">
        <f>-13062/7.5345</f>
        <v>-1733.6253235118454</v>
      </c>
      <c r="N29" s="96">
        <v>-6423</v>
      </c>
      <c r="O29" s="96">
        <f>N29/7.5345</f>
        <v>-852.4785984471431</v>
      </c>
      <c r="P29" s="97"/>
      <c r="Q29" s="97"/>
      <c r="R29" s="95">
        <v>5590</v>
      </c>
      <c r="S29" s="97">
        <v>5590</v>
      </c>
      <c r="T29" s="97">
        <v>5590</v>
      </c>
      <c r="U29" s="97">
        <v>5590</v>
      </c>
      <c r="V29" s="512"/>
      <c r="W29" s="512"/>
      <c r="X29" s="513"/>
      <c r="Y29" s="514"/>
      <c r="Z29" s="514"/>
      <c r="AA29" s="514"/>
      <c r="AB29" s="514"/>
      <c r="AC29" s="515"/>
      <c r="AD29" s="515"/>
      <c r="AE29" s="515"/>
      <c r="AF29" s="515"/>
      <c r="AG29" s="515"/>
      <c r="AH29" s="515"/>
      <c r="AI29" s="514"/>
      <c r="AJ29" s="514"/>
      <c r="AK29" s="514">
        <f>W29/R29*100</f>
        <v>0</v>
      </c>
      <c r="AL29" s="514"/>
      <c r="AM29" s="514"/>
      <c r="AN29" s="516"/>
      <c r="AO29" s="510" t="e">
        <f t="shared" ca="1" si="6"/>
        <v>#NAME?</v>
      </c>
      <c r="AP29" s="510" t="e">
        <f t="shared" ca="1" si="7"/>
        <v>#NAME?</v>
      </c>
      <c r="AQ29" s="512"/>
      <c r="AR29" s="517"/>
      <c r="AS29" s="517"/>
      <c r="AT29" s="517"/>
      <c r="AU29" s="517"/>
      <c r="AV29" s="615"/>
      <c r="AW29" s="618"/>
      <c r="AX29" s="618"/>
      <c r="AY29" s="618"/>
      <c r="AZ29" s="618"/>
      <c r="BA29" s="618"/>
      <c r="BB29" s="618"/>
      <c r="BC29" s="618"/>
      <c r="BD29" s="618"/>
      <c r="BE29" s="618"/>
      <c r="BF29" s="618"/>
      <c r="BG29" s="618"/>
      <c r="BH29" s="618"/>
      <c r="BI29" s="616"/>
    </row>
    <row r="30" spans="1:61" ht="12" customHeight="1">
      <c r="A30" s="41"/>
      <c r="B30" s="41"/>
      <c r="C30" s="41"/>
      <c r="D30" s="41"/>
      <c r="E30" s="41"/>
      <c r="F30" s="41"/>
      <c r="G30" s="41"/>
      <c r="H30" s="3" t="s">
        <v>47</v>
      </c>
      <c r="I30" s="15"/>
      <c r="J30" s="3"/>
      <c r="K30" s="3"/>
      <c r="L30" s="87">
        <v>-13662</v>
      </c>
      <c r="M30" s="87">
        <f>-13662/7.5345</f>
        <v>-1813.2590085606209</v>
      </c>
      <c r="N30" s="88">
        <v>250099</v>
      </c>
      <c r="O30" s="88">
        <f>N30/7.5345</f>
        <v>33193.841661689563</v>
      </c>
      <c r="P30" s="89"/>
      <c r="Q30" s="89"/>
      <c r="R30" s="87">
        <v>9035</v>
      </c>
      <c r="S30" s="89">
        <v>9035</v>
      </c>
      <c r="T30" s="89">
        <v>9035</v>
      </c>
      <c r="U30" s="89">
        <v>9035</v>
      </c>
      <c r="V30" s="505"/>
      <c r="W30" s="505"/>
      <c r="X30" s="506"/>
      <c r="Y30" s="507"/>
      <c r="Z30" s="507"/>
      <c r="AA30" s="507"/>
      <c r="AB30" s="507"/>
      <c r="AC30" s="508"/>
      <c r="AD30" s="508"/>
      <c r="AE30" s="508"/>
      <c r="AF30" s="508"/>
      <c r="AG30" s="508"/>
      <c r="AH30" s="508"/>
      <c r="AI30" s="507"/>
      <c r="AJ30" s="507"/>
      <c r="AK30" s="507">
        <f>W30/R30*100</f>
        <v>0</v>
      </c>
      <c r="AL30" s="507"/>
      <c r="AM30" s="507"/>
      <c r="AN30" s="509"/>
      <c r="AO30" s="518" t="e">
        <f t="shared" ca="1" si="6"/>
        <v>#NAME?</v>
      </c>
      <c r="AP30" s="518" t="e">
        <f t="shared" ca="1" si="7"/>
        <v>#NAME?</v>
      </c>
      <c r="AQ30" s="505"/>
      <c r="AR30" s="511"/>
      <c r="AS30" s="511"/>
      <c r="AT30" s="511"/>
      <c r="AU30" s="511"/>
      <c r="AV30" s="614"/>
      <c r="AW30" s="618"/>
      <c r="AX30" s="618"/>
      <c r="AY30" s="618"/>
      <c r="AZ30" s="618"/>
      <c r="BA30" s="618"/>
      <c r="BB30" s="618"/>
      <c r="BC30" s="618"/>
      <c r="BD30" s="618"/>
      <c r="BE30" s="618"/>
      <c r="BF30" s="618"/>
      <c r="BG30" s="618"/>
      <c r="BH30" s="618"/>
      <c r="BI30" s="616"/>
    </row>
    <row r="31" spans="1:61" ht="12" customHeight="1">
      <c r="A31" s="33"/>
      <c r="B31" s="33"/>
      <c r="C31" s="33"/>
      <c r="D31" s="33"/>
      <c r="E31" s="33"/>
      <c r="F31" s="33"/>
      <c r="G31" s="33"/>
      <c r="H31" s="34"/>
      <c r="I31" s="71"/>
      <c r="J31" s="34"/>
      <c r="K31" s="98"/>
      <c r="L31" s="99"/>
      <c r="M31" s="99"/>
      <c r="N31" s="99"/>
      <c r="O31" s="99"/>
      <c r="P31" s="99"/>
      <c r="Q31" s="99"/>
      <c r="R31" s="99"/>
      <c r="S31" s="99"/>
      <c r="T31" s="99"/>
      <c r="U31" s="99"/>
      <c r="V31" s="486"/>
      <c r="W31" s="486"/>
      <c r="X31" s="486"/>
      <c r="Y31" s="519"/>
      <c r="Z31" s="519"/>
      <c r="AA31" s="519"/>
      <c r="AB31" s="519"/>
      <c r="AC31" s="520"/>
      <c r="AD31" s="520"/>
      <c r="AE31" s="520"/>
      <c r="AF31" s="520"/>
      <c r="AG31" s="520"/>
      <c r="AH31" s="520"/>
      <c r="AI31" s="519"/>
      <c r="AJ31" s="519"/>
      <c r="AK31" s="519"/>
      <c r="AL31" s="519"/>
      <c r="AM31" s="519"/>
      <c r="AN31" s="486"/>
      <c r="AO31" s="490"/>
      <c r="AP31" s="490" t="e">
        <f t="shared" ca="1" si="7"/>
        <v>#NAME?</v>
      </c>
      <c r="AQ31" s="486"/>
      <c r="AR31" s="491"/>
      <c r="AS31" s="491"/>
      <c r="AT31" s="491"/>
      <c r="AU31" s="491"/>
      <c r="AV31" s="491"/>
      <c r="AW31" s="618"/>
      <c r="AX31" s="618"/>
      <c r="AY31" s="618"/>
      <c r="AZ31" s="618"/>
      <c r="BA31" s="618"/>
      <c r="BB31" s="618"/>
      <c r="BC31" s="618"/>
      <c r="BD31" s="618"/>
      <c r="BE31" s="618"/>
      <c r="BF31" s="618"/>
      <c r="BG31" s="618"/>
      <c r="BH31" s="618"/>
      <c r="BI31" s="616"/>
    </row>
    <row r="32" spans="1:61" ht="12" customHeight="1">
      <c r="A32" s="33"/>
      <c r="B32" s="33"/>
      <c r="C32" s="33"/>
      <c r="D32" s="33"/>
      <c r="E32" s="33"/>
      <c r="F32" s="33"/>
      <c r="G32" s="33"/>
      <c r="H32" s="34"/>
      <c r="I32" s="71"/>
      <c r="J32" s="34"/>
      <c r="K32" s="98"/>
      <c r="L32" s="99"/>
      <c r="M32" s="99"/>
      <c r="N32" s="99"/>
      <c r="O32" s="99"/>
      <c r="P32" s="99"/>
      <c r="Q32" s="99"/>
      <c r="R32" s="99"/>
      <c r="S32" s="99"/>
      <c r="T32" s="99"/>
      <c r="U32" s="99"/>
      <c r="V32" s="486"/>
      <c r="W32" s="486"/>
      <c r="X32" s="486"/>
      <c r="Y32" s="519"/>
      <c r="Z32" s="519"/>
      <c r="AA32" s="519"/>
      <c r="AB32" s="519"/>
      <c r="AC32" s="520"/>
      <c r="AD32" s="520"/>
      <c r="AE32" s="520"/>
      <c r="AF32" s="520"/>
      <c r="AG32" s="520"/>
      <c r="AH32" s="520"/>
      <c r="AI32" s="519"/>
      <c r="AJ32" s="519"/>
      <c r="AK32" s="519"/>
      <c r="AL32" s="519"/>
      <c r="AM32" s="519"/>
      <c r="AN32" s="486"/>
      <c r="AO32" s="490"/>
      <c r="AP32" s="490" t="e">
        <f t="shared" ca="1" si="7"/>
        <v>#NAME?</v>
      </c>
      <c r="AQ32" s="486"/>
      <c r="AR32" s="491"/>
      <c r="AS32" s="491"/>
      <c r="AT32" s="491"/>
      <c r="AU32" s="491"/>
      <c r="AV32" s="491"/>
      <c r="AW32" s="618"/>
      <c r="AX32" s="618"/>
      <c r="AY32" s="618"/>
      <c r="AZ32" s="618"/>
      <c r="BA32" s="618"/>
      <c r="BB32" s="618"/>
      <c r="BC32" s="618"/>
      <c r="BD32" s="618"/>
      <c r="BE32" s="618"/>
      <c r="BF32" s="618"/>
      <c r="BG32" s="618"/>
      <c r="BH32" s="618"/>
      <c r="BI32" s="616"/>
    </row>
    <row r="33" spans="1:61" ht="12" customHeight="1">
      <c r="A33" s="33"/>
      <c r="B33" s="33"/>
      <c r="C33" s="33"/>
      <c r="D33" s="33"/>
      <c r="E33" s="33"/>
      <c r="F33" s="33"/>
      <c r="G33" s="33"/>
      <c r="H33" s="34"/>
      <c r="I33" s="71"/>
      <c r="J33" s="34"/>
      <c r="K33" s="98"/>
      <c r="L33" s="99"/>
      <c r="M33" s="99"/>
      <c r="N33" s="99"/>
      <c r="O33" s="99"/>
      <c r="P33" s="99"/>
      <c r="Q33" s="99"/>
      <c r="R33" s="99"/>
      <c r="S33" s="99"/>
      <c r="T33" s="99"/>
      <c r="U33" s="99"/>
      <c r="V33" s="486"/>
      <c r="W33" s="486"/>
      <c r="X33" s="486"/>
      <c r="Y33" s="519"/>
      <c r="Z33" s="519"/>
      <c r="AA33" s="519"/>
      <c r="AB33" s="519"/>
      <c r="AC33" s="520"/>
      <c r="AD33" s="520"/>
      <c r="AE33" s="520"/>
      <c r="AF33" s="520"/>
      <c r="AG33" s="520"/>
      <c r="AH33" s="520"/>
      <c r="AI33" s="519"/>
      <c r="AJ33" s="519"/>
      <c r="AK33" s="519"/>
      <c r="AL33" s="519"/>
      <c r="AM33" s="519"/>
      <c r="AN33" s="486"/>
      <c r="AO33" s="490"/>
      <c r="AP33" s="490" t="e">
        <f t="shared" ca="1" si="7"/>
        <v>#NAME?</v>
      </c>
      <c r="AQ33" s="486"/>
      <c r="AR33" s="491"/>
      <c r="AS33" s="491"/>
      <c r="AT33" s="491"/>
      <c r="AU33" s="491"/>
      <c r="AV33" s="491"/>
      <c r="AW33" s="618"/>
      <c r="AX33" s="618"/>
      <c r="AY33" s="618"/>
      <c r="AZ33" s="618"/>
      <c r="BA33" s="618"/>
      <c r="BB33" s="618"/>
      <c r="BC33" s="618"/>
      <c r="BD33" s="618"/>
      <c r="BE33" s="618"/>
      <c r="BF33" s="618"/>
      <c r="BG33" s="618"/>
      <c r="BH33" s="618"/>
      <c r="BI33" s="616"/>
    </row>
    <row r="34" spans="1:61" ht="12" customHeight="1">
      <c r="A34" s="33"/>
      <c r="B34" s="33"/>
      <c r="C34" s="33"/>
      <c r="D34" s="33"/>
      <c r="E34" s="33"/>
      <c r="F34" s="33"/>
      <c r="G34" s="33"/>
      <c r="H34" s="34"/>
      <c r="I34" s="71"/>
      <c r="J34" s="34"/>
      <c r="K34" s="98"/>
      <c r="L34" s="99"/>
      <c r="M34" s="99"/>
      <c r="N34" s="99"/>
      <c r="O34" s="99"/>
      <c r="P34" s="99"/>
      <c r="Q34" s="99"/>
      <c r="R34" s="99"/>
      <c r="S34" s="99"/>
      <c r="T34" s="99"/>
      <c r="U34" s="99"/>
      <c r="V34" s="486"/>
      <c r="W34" s="486"/>
      <c r="X34" s="486"/>
      <c r="Y34" s="519"/>
      <c r="Z34" s="519"/>
      <c r="AA34" s="519"/>
      <c r="AB34" s="519"/>
      <c r="AC34" s="520"/>
      <c r="AD34" s="520"/>
      <c r="AE34" s="520"/>
      <c r="AF34" s="520"/>
      <c r="AG34" s="520"/>
      <c r="AH34" s="520"/>
      <c r="AI34" s="519"/>
      <c r="AJ34" s="519"/>
      <c r="AK34" s="519"/>
      <c r="AL34" s="519"/>
      <c r="AM34" s="519"/>
      <c r="AN34" s="486"/>
      <c r="AO34" s="490"/>
      <c r="AP34" s="490" t="e">
        <f t="shared" ca="1" si="7"/>
        <v>#NAME?</v>
      </c>
      <c r="AQ34" s="486"/>
      <c r="AR34" s="491"/>
      <c r="AS34" s="491"/>
      <c r="AT34" s="491"/>
      <c r="AU34" s="491"/>
      <c r="AV34" s="491"/>
      <c r="AW34" s="618"/>
      <c r="AX34" s="618"/>
      <c r="AY34" s="618"/>
      <c r="AZ34" s="618"/>
      <c r="BA34" s="618"/>
      <c r="BB34" s="618"/>
      <c r="BC34" s="618"/>
      <c r="BD34" s="618"/>
      <c r="BE34" s="618"/>
      <c r="BF34" s="618"/>
      <c r="BG34" s="618"/>
      <c r="BH34" s="618"/>
      <c r="BI34" s="616"/>
    </row>
    <row r="35" spans="1:61" ht="12" customHeight="1">
      <c r="A35" s="33"/>
      <c r="B35" s="33"/>
      <c r="C35" s="33"/>
      <c r="D35" s="33"/>
      <c r="E35" s="33"/>
      <c r="F35" s="33"/>
      <c r="G35" s="33"/>
      <c r="H35" s="34"/>
      <c r="I35" s="71"/>
      <c r="J35" s="34"/>
      <c r="K35" s="98"/>
      <c r="L35" s="99"/>
      <c r="M35" s="99"/>
      <c r="N35" s="99"/>
      <c r="O35" s="99"/>
      <c r="P35" s="99"/>
      <c r="Q35" s="99"/>
      <c r="R35" s="99"/>
      <c r="S35" s="99"/>
      <c r="T35" s="99"/>
      <c r="U35" s="99"/>
      <c r="V35" s="486"/>
      <c r="W35" s="486"/>
      <c r="X35" s="486"/>
      <c r="Y35" s="519"/>
      <c r="Z35" s="519"/>
      <c r="AA35" s="519"/>
      <c r="AB35" s="519"/>
      <c r="AC35" s="520"/>
      <c r="AD35" s="520"/>
      <c r="AE35" s="520"/>
      <c r="AF35" s="520"/>
      <c r="AG35" s="520"/>
      <c r="AH35" s="520"/>
      <c r="AI35" s="519"/>
      <c r="AJ35" s="519"/>
      <c r="AK35" s="519"/>
      <c r="AL35" s="519"/>
      <c r="AM35" s="519"/>
      <c r="AN35" s="486"/>
      <c r="AO35" s="490"/>
      <c r="AP35" s="490" t="e">
        <f t="shared" ca="1" si="7"/>
        <v>#NAME?</v>
      </c>
      <c r="AQ35" s="486"/>
      <c r="AR35" s="491"/>
      <c r="AS35" s="491"/>
      <c r="AT35" s="491"/>
      <c r="AU35" s="491"/>
      <c r="AV35" s="491"/>
      <c r="AW35" s="618"/>
      <c r="AX35" s="618"/>
      <c r="AY35" s="618"/>
      <c r="AZ35" s="618"/>
      <c r="BA35" s="618"/>
      <c r="BB35" s="618"/>
      <c r="BC35" s="618"/>
      <c r="BD35" s="618"/>
      <c r="BE35" s="618"/>
      <c r="BF35" s="618"/>
      <c r="BG35" s="618"/>
      <c r="BH35" s="618"/>
      <c r="BI35" s="616"/>
    </row>
    <row r="36" spans="1:61" ht="12" customHeight="1">
      <c r="A36" s="33"/>
      <c r="B36" s="33"/>
      <c r="C36" s="33"/>
      <c r="D36" s="33"/>
      <c r="E36" s="33"/>
      <c r="F36" s="33"/>
      <c r="G36" s="33"/>
      <c r="H36" s="34" t="s">
        <v>48</v>
      </c>
      <c r="I36" s="71"/>
      <c r="J36" s="34"/>
      <c r="K36" s="98"/>
      <c r="L36" s="100"/>
      <c r="M36" s="100"/>
      <c r="N36" s="100"/>
      <c r="O36" s="100"/>
      <c r="P36" s="100"/>
      <c r="Q36" s="100"/>
      <c r="R36" s="102"/>
      <c r="S36" s="102"/>
      <c r="T36" s="102"/>
      <c r="U36" s="102"/>
      <c r="V36" s="494"/>
      <c r="W36" s="494"/>
      <c r="X36" s="495"/>
      <c r="Y36" s="496"/>
      <c r="Z36" s="496"/>
      <c r="AA36" s="496"/>
      <c r="AB36" s="496"/>
      <c r="AC36" s="488"/>
      <c r="AD36" s="488"/>
      <c r="AE36" s="488"/>
      <c r="AF36" s="488"/>
      <c r="AG36" s="488"/>
      <c r="AH36" s="488"/>
      <c r="AI36" s="496"/>
      <c r="AJ36" s="496"/>
      <c r="AK36" s="519"/>
      <c r="AL36" s="519"/>
      <c r="AM36" s="519"/>
      <c r="AN36" s="494"/>
      <c r="AO36" s="490"/>
      <c r="AP36" s="490" t="e">
        <f t="shared" ca="1" si="7"/>
        <v>#NAME?</v>
      </c>
      <c r="AQ36" s="494"/>
      <c r="AR36" s="491"/>
      <c r="AS36" s="491"/>
      <c r="AT36" s="491"/>
      <c r="AU36" s="491"/>
      <c r="AV36" s="491"/>
      <c r="AW36" s="618"/>
      <c r="AX36" s="618"/>
      <c r="AY36" s="618"/>
      <c r="AZ36" s="618"/>
      <c r="BA36" s="618"/>
      <c r="BB36" s="618"/>
      <c r="BC36" s="618"/>
      <c r="BD36" s="618"/>
      <c r="BE36" s="618"/>
      <c r="BF36" s="618"/>
      <c r="BG36" s="618"/>
      <c r="BH36" s="618"/>
      <c r="BI36" s="616"/>
    </row>
    <row r="37" spans="1:61" ht="12" customHeight="1">
      <c r="A37" s="28"/>
      <c r="B37" s="28"/>
      <c r="C37" s="28"/>
      <c r="D37" s="28"/>
      <c r="E37" s="28"/>
      <c r="F37" s="28"/>
      <c r="G37" s="28"/>
      <c r="H37" s="29"/>
      <c r="I37" s="30"/>
      <c r="J37" s="29"/>
      <c r="K37" s="101"/>
      <c r="L37" s="102"/>
      <c r="M37" s="102"/>
      <c r="N37" s="102"/>
      <c r="O37" s="102"/>
      <c r="P37" s="102"/>
      <c r="Q37" s="102"/>
      <c r="R37" s="150"/>
      <c r="S37" s="150"/>
      <c r="T37" s="150"/>
      <c r="U37" s="150"/>
      <c r="V37" s="521"/>
      <c r="W37" s="521"/>
      <c r="X37" s="522"/>
      <c r="Y37" s="523"/>
      <c r="Z37" s="523"/>
      <c r="AA37" s="523"/>
      <c r="AB37" s="523"/>
      <c r="AC37" s="497"/>
      <c r="AD37" s="497"/>
      <c r="AE37" s="497"/>
      <c r="AF37" s="497"/>
      <c r="AG37" s="497"/>
      <c r="AH37" s="497"/>
      <c r="AI37" s="523"/>
      <c r="AJ37" s="523"/>
      <c r="AK37" s="519"/>
      <c r="AL37" s="519"/>
      <c r="AM37" s="519"/>
      <c r="AN37" s="524"/>
      <c r="AO37" s="490"/>
      <c r="AP37" s="490" t="e">
        <f t="shared" ca="1" si="7"/>
        <v>#NAME?</v>
      </c>
      <c r="AQ37" s="521"/>
      <c r="AR37" s="491"/>
      <c r="AS37" s="491"/>
      <c r="AT37" s="491"/>
      <c r="AU37" s="491"/>
      <c r="AV37" s="491"/>
      <c r="AW37" s="618"/>
      <c r="AX37" s="618"/>
      <c r="AY37" s="618"/>
      <c r="AZ37" s="618"/>
      <c r="BA37" s="618"/>
      <c r="BB37" s="618"/>
      <c r="BC37" s="618"/>
      <c r="BD37" s="618"/>
      <c r="BE37" s="618"/>
      <c r="BF37" s="618"/>
      <c r="BG37" s="618"/>
      <c r="BH37" s="618"/>
      <c r="BI37" s="616"/>
    </row>
    <row r="38" spans="1:61" ht="12" customHeight="1">
      <c r="A38" s="35"/>
      <c r="B38" s="36"/>
      <c r="C38" s="36"/>
      <c r="D38" s="36"/>
      <c r="E38" s="36"/>
      <c r="F38" s="36"/>
      <c r="G38" s="36"/>
      <c r="H38" s="37"/>
      <c r="I38" s="72"/>
      <c r="J38" s="73"/>
      <c r="K38" s="74"/>
      <c r="L38" s="75" t="s">
        <v>4</v>
      </c>
      <c r="M38" s="75" t="s">
        <v>4</v>
      </c>
      <c r="N38" s="76" t="s">
        <v>5</v>
      </c>
      <c r="O38" s="76" t="s">
        <v>5</v>
      </c>
      <c r="P38" s="77" t="s">
        <v>6</v>
      </c>
      <c r="Q38" s="77" t="s">
        <v>7</v>
      </c>
      <c r="R38" s="143"/>
      <c r="S38" s="144" t="s">
        <v>8</v>
      </c>
      <c r="T38" s="145"/>
      <c r="U38" s="146"/>
      <c r="V38" s="499" t="s">
        <v>9</v>
      </c>
      <c r="W38" s="499" t="s">
        <v>10</v>
      </c>
      <c r="X38" s="500" t="s">
        <v>11</v>
      </c>
      <c r="Y38" s="500" t="s">
        <v>12</v>
      </c>
      <c r="Z38" s="500" t="s">
        <v>12</v>
      </c>
      <c r="AA38" s="500" t="s">
        <v>12</v>
      </c>
      <c r="AB38" s="500" t="s">
        <v>12</v>
      </c>
      <c r="AC38" s="500" t="s">
        <v>12</v>
      </c>
      <c r="AD38" s="500" t="s">
        <v>12</v>
      </c>
      <c r="AE38" s="500" t="s">
        <v>12</v>
      </c>
      <c r="AF38" s="500" t="s">
        <v>12</v>
      </c>
      <c r="AG38" s="500" t="s">
        <v>12</v>
      </c>
      <c r="AH38" s="500" t="s">
        <v>12</v>
      </c>
      <c r="AI38" s="500" t="s">
        <v>12</v>
      </c>
      <c r="AJ38" s="500" t="s">
        <v>12</v>
      </c>
      <c r="AK38" s="500" t="s">
        <v>49</v>
      </c>
      <c r="AL38" s="500" t="s">
        <v>50</v>
      </c>
      <c r="AM38" s="500" t="s">
        <v>51</v>
      </c>
      <c r="AN38" s="500"/>
      <c r="AO38" s="500"/>
      <c r="AP38" s="500" t="e">
        <f t="shared" ca="1" si="7"/>
        <v>#NAME?</v>
      </c>
      <c r="AQ38" s="499" t="s">
        <v>13</v>
      </c>
      <c r="AR38" s="625" t="s">
        <v>14</v>
      </c>
      <c r="AS38" s="625" t="s">
        <v>15</v>
      </c>
      <c r="AT38" s="625" t="s">
        <v>16</v>
      </c>
      <c r="AU38" s="625" t="s">
        <v>17</v>
      </c>
      <c r="AV38" s="625" t="s">
        <v>18</v>
      </c>
      <c r="AW38" s="617" t="s">
        <v>52</v>
      </c>
      <c r="AX38" s="617" t="s">
        <v>53</v>
      </c>
      <c r="AY38" s="617" t="s">
        <v>909</v>
      </c>
      <c r="AZ38" s="617" t="s">
        <v>910</v>
      </c>
      <c r="BA38" s="617" t="s">
        <v>911</v>
      </c>
      <c r="BB38" s="617" t="s">
        <v>912</v>
      </c>
      <c r="BC38" s="617" t="s">
        <v>913</v>
      </c>
      <c r="BD38" s="617" t="s">
        <v>914</v>
      </c>
      <c r="BE38" s="617" t="s">
        <v>54</v>
      </c>
      <c r="BF38" s="617" t="s">
        <v>55</v>
      </c>
      <c r="BG38" s="617" t="s">
        <v>56</v>
      </c>
      <c r="BH38" s="617"/>
      <c r="BI38" s="612"/>
    </row>
    <row r="39" spans="1:61" ht="12" customHeight="1">
      <c r="A39" s="45"/>
      <c r="B39" s="33"/>
      <c r="C39" s="33"/>
      <c r="D39" s="33"/>
      <c r="E39" s="33"/>
      <c r="F39" s="33"/>
      <c r="G39" s="33"/>
      <c r="H39" s="40"/>
      <c r="I39" s="71"/>
      <c r="J39" s="34"/>
      <c r="K39" s="78"/>
      <c r="L39" s="103"/>
      <c r="M39" s="103"/>
      <c r="N39" s="104"/>
      <c r="O39" s="104"/>
      <c r="P39" s="105"/>
      <c r="Q39" s="105"/>
      <c r="R39" s="147" t="s">
        <v>21</v>
      </c>
      <c r="S39" s="145"/>
      <c r="T39" s="145"/>
      <c r="U39" s="146"/>
      <c r="V39" s="501" t="s">
        <v>24</v>
      </c>
      <c r="W39" s="501" t="s">
        <v>23</v>
      </c>
      <c r="X39" s="500"/>
      <c r="Y39" s="500"/>
      <c r="Z39" s="500"/>
      <c r="AA39" s="500"/>
      <c r="AB39" s="500"/>
      <c r="AC39" s="500"/>
      <c r="AD39" s="500"/>
      <c r="AE39" s="500"/>
      <c r="AF39" s="500"/>
      <c r="AG39" s="500"/>
      <c r="AH39" s="500"/>
      <c r="AI39" s="500"/>
      <c r="AJ39" s="500"/>
      <c r="AK39" s="500"/>
      <c r="AL39" s="500"/>
      <c r="AM39" s="500"/>
      <c r="AN39" s="500"/>
      <c r="AO39" s="500"/>
      <c r="AP39" s="500"/>
      <c r="AQ39" s="501" t="s">
        <v>24</v>
      </c>
      <c r="AR39" s="626"/>
      <c r="AS39" s="626"/>
      <c r="AT39" s="626"/>
      <c r="AU39" s="626"/>
      <c r="AV39" s="626"/>
      <c r="AW39" s="612"/>
      <c r="AX39" s="612"/>
      <c r="AY39" s="612"/>
      <c r="AZ39" s="612"/>
      <c r="BA39" s="612"/>
      <c r="BB39" s="612"/>
      <c r="BC39" s="612"/>
      <c r="BD39" s="612"/>
      <c r="BE39" s="612"/>
      <c r="BF39" s="612"/>
      <c r="BG39" s="612"/>
      <c r="BH39" s="612"/>
      <c r="BI39" s="612"/>
    </row>
    <row r="40" spans="1:61" ht="12" customHeight="1">
      <c r="A40" s="38"/>
      <c r="B40" s="39"/>
      <c r="C40" s="39"/>
      <c r="D40" s="39"/>
      <c r="E40" s="39"/>
      <c r="F40" s="39"/>
      <c r="G40" s="39"/>
      <c r="H40" s="40"/>
      <c r="I40" s="71"/>
      <c r="J40" s="106"/>
      <c r="K40" s="107"/>
      <c r="L40" s="79" t="s">
        <v>19</v>
      </c>
      <c r="M40" s="79" t="s">
        <v>20</v>
      </c>
      <c r="N40" s="80" t="s">
        <v>19</v>
      </c>
      <c r="O40" s="80" t="s">
        <v>20</v>
      </c>
      <c r="P40" s="81" t="s">
        <v>20</v>
      </c>
      <c r="Q40" s="81" t="s">
        <v>20</v>
      </c>
      <c r="R40" s="148"/>
      <c r="S40" s="145" t="s">
        <v>22</v>
      </c>
      <c r="T40" s="145"/>
      <c r="U40" s="146"/>
      <c r="V40" s="502" t="s">
        <v>25</v>
      </c>
      <c r="W40" s="502" t="s">
        <v>26</v>
      </c>
      <c r="X40" s="500"/>
      <c r="Y40" s="500"/>
      <c r="Z40" s="500"/>
      <c r="AA40" s="500"/>
      <c r="AB40" s="500"/>
      <c r="AC40" s="500"/>
      <c r="AD40" s="500"/>
      <c r="AE40" s="500"/>
      <c r="AF40" s="500"/>
      <c r="AG40" s="500"/>
      <c r="AH40" s="500"/>
      <c r="AI40" s="500"/>
      <c r="AJ40" s="500"/>
      <c r="AK40" s="500"/>
      <c r="AL40" s="500"/>
      <c r="AM40" s="500"/>
      <c r="AN40" s="500"/>
      <c r="AO40" s="500"/>
      <c r="AP40" s="500" t="e">
        <f ca="1">__xlfn.ISFORMULA(X40)</f>
        <v>#NAME?</v>
      </c>
      <c r="AQ40" s="502"/>
      <c r="AR40" s="525"/>
      <c r="AS40" s="525"/>
      <c r="AT40" s="525"/>
      <c r="AU40" s="525"/>
      <c r="AV40" s="525"/>
      <c r="AW40" s="612"/>
      <c r="AX40" s="612"/>
      <c r="AY40" s="612"/>
      <c r="AZ40" s="612"/>
      <c r="BA40" s="612"/>
      <c r="BB40" s="612"/>
      <c r="BC40" s="612"/>
      <c r="BD40" s="612"/>
      <c r="BE40" s="612"/>
      <c r="BF40" s="612"/>
      <c r="BG40" s="612"/>
      <c r="BH40" s="612"/>
      <c r="BI40" s="612"/>
    </row>
    <row r="41" spans="1:61" ht="0.2" customHeight="1">
      <c r="A41" s="39"/>
      <c r="B41" s="39"/>
      <c r="C41" s="39"/>
      <c r="D41" s="39"/>
      <c r="E41" s="39"/>
      <c r="F41" s="39"/>
      <c r="G41" s="39"/>
      <c r="H41" s="40"/>
      <c r="I41" s="71"/>
      <c r="J41" s="106"/>
      <c r="K41" s="82"/>
      <c r="L41" s="79"/>
      <c r="M41" s="79"/>
      <c r="N41" s="80"/>
      <c r="O41" s="80"/>
      <c r="P41" s="81"/>
      <c r="Q41" s="81"/>
      <c r="R41" s="145"/>
      <c r="S41" s="145"/>
      <c r="T41" s="145"/>
      <c r="U41" s="145"/>
      <c r="V41" s="500"/>
      <c r="W41" s="500"/>
      <c r="X41" s="500"/>
      <c r="Y41" s="500"/>
      <c r="Z41" s="500"/>
      <c r="AA41" s="500"/>
      <c r="AB41" s="500"/>
      <c r="AC41" s="500"/>
      <c r="AD41" s="500"/>
      <c r="AE41" s="500"/>
      <c r="AF41" s="500"/>
      <c r="AG41" s="500"/>
      <c r="AH41" s="500"/>
      <c r="AI41" s="500"/>
      <c r="AJ41" s="500"/>
      <c r="AK41" s="500"/>
      <c r="AL41" s="500"/>
      <c r="AM41" s="500"/>
      <c r="AN41" s="500"/>
      <c r="AO41" s="500"/>
      <c r="AP41" s="500"/>
      <c r="AQ41" s="500"/>
      <c r="AR41" s="491"/>
      <c r="AS41" s="491"/>
      <c r="AT41" s="491"/>
      <c r="AU41" s="491"/>
      <c r="AV41" s="491"/>
      <c r="AW41" s="612">
        <v>5</v>
      </c>
      <c r="AX41" s="612">
        <v>6</v>
      </c>
      <c r="AY41" s="612">
        <v>7</v>
      </c>
      <c r="AZ41" s="612" t="s">
        <v>57</v>
      </c>
      <c r="BA41" s="612" t="s">
        <v>58</v>
      </c>
      <c r="BB41" s="612" t="s">
        <v>59</v>
      </c>
      <c r="BC41" s="612" t="s">
        <v>60</v>
      </c>
      <c r="BD41" s="612"/>
      <c r="BE41" s="612">
        <v>8</v>
      </c>
      <c r="BF41" s="612">
        <v>9</v>
      </c>
      <c r="BG41" s="612">
        <v>10</v>
      </c>
      <c r="BH41" s="612"/>
      <c r="BI41" s="612"/>
    </row>
    <row r="42" spans="1:61" ht="0.2" customHeight="1">
      <c r="A42" s="39"/>
      <c r="B42" s="39"/>
      <c r="C42" s="39"/>
      <c r="D42" s="39"/>
      <c r="E42" s="39"/>
      <c r="F42" s="39"/>
      <c r="G42" s="39"/>
      <c r="H42" s="40"/>
      <c r="I42" s="71"/>
      <c r="J42" s="106"/>
      <c r="K42" s="82"/>
      <c r="L42" s="79"/>
      <c r="M42" s="79"/>
      <c r="N42" s="80"/>
      <c r="O42" s="80"/>
      <c r="P42" s="81"/>
      <c r="Q42" s="81"/>
      <c r="R42" s="143"/>
      <c r="S42" s="144"/>
      <c r="T42" s="145"/>
      <c r="U42" s="146"/>
      <c r="V42" s="499"/>
      <c r="W42" s="499"/>
      <c r="X42" s="500"/>
      <c r="Y42" s="500"/>
      <c r="Z42" s="500"/>
      <c r="AA42" s="500"/>
      <c r="AB42" s="500"/>
      <c r="AC42" s="500"/>
      <c r="AD42" s="500"/>
      <c r="AE42" s="500"/>
      <c r="AF42" s="500"/>
      <c r="AG42" s="500"/>
      <c r="AH42" s="500"/>
      <c r="AI42" s="500"/>
      <c r="AJ42" s="500"/>
      <c r="AK42" s="500"/>
      <c r="AL42" s="500"/>
      <c r="AM42" s="500"/>
      <c r="AN42" s="500"/>
      <c r="AO42" s="500"/>
      <c r="AP42" s="500"/>
      <c r="AQ42" s="499"/>
      <c r="AR42" s="491"/>
      <c r="AS42" s="491"/>
      <c r="AT42" s="491"/>
      <c r="AU42" s="491"/>
      <c r="AV42" s="491"/>
      <c r="AW42" s="612"/>
      <c r="AX42" s="612"/>
      <c r="AY42" s="612"/>
      <c r="AZ42" s="612"/>
      <c r="BA42" s="612"/>
      <c r="BB42" s="612"/>
      <c r="BC42" s="612"/>
      <c r="BD42" s="612"/>
      <c r="BE42" s="612"/>
      <c r="BF42" s="612"/>
      <c r="BG42" s="612"/>
      <c r="BH42" s="612"/>
      <c r="BI42" s="612"/>
    </row>
    <row r="43" spans="1:61" ht="0.2" customHeight="1">
      <c r="A43" s="46" t="s">
        <v>61</v>
      </c>
      <c r="B43" s="41" t="s">
        <v>62</v>
      </c>
      <c r="C43" s="41" t="s">
        <v>63</v>
      </c>
      <c r="D43" s="41" t="s">
        <v>64</v>
      </c>
      <c r="E43" s="41" t="s">
        <v>65</v>
      </c>
      <c r="F43" s="41" t="s">
        <v>66</v>
      </c>
      <c r="G43" s="41" t="s">
        <v>67</v>
      </c>
      <c r="H43" s="37" t="s">
        <v>68</v>
      </c>
      <c r="I43" s="72" t="s">
        <v>69</v>
      </c>
      <c r="J43" s="90" t="s">
        <v>70</v>
      </c>
      <c r="K43" s="83" t="s">
        <v>71</v>
      </c>
      <c r="L43" s="84" t="s">
        <v>72</v>
      </c>
      <c r="M43" s="84" t="s">
        <v>73</v>
      </c>
      <c r="N43" s="85" t="s">
        <v>74</v>
      </c>
      <c r="O43" s="85" t="s">
        <v>75</v>
      </c>
      <c r="P43" s="86" t="s">
        <v>76</v>
      </c>
      <c r="Q43" s="86" t="s">
        <v>77</v>
      </c>
      <c r="R43" s="147" t="s">
        <v>78</v>
      </c>
      <c r="S43" s="145" t="s">
        <v>79</v>
      </c>
      <c r="T43" s="145" t="s">
        <v>80</v>
      </c>
      <c r="U43" s="146" t="s">
        <v>81</v>
      </c>
      <c r="V43" s="501" t="s">
        <v>82</v>
      </c>
      <c r="W43" s="501" t="s">
        <v>83</v>
      </c>
      <c r="X43" s="500" t="s">
        <v>84</v>
      </c>
      <c r="Y43" s="500" t="s">
        <v>85</v>
      </c>
      <c r="Z43" s="500" t="s">
        <v>86</v>
      </c>
      <c r="AA43" s="500" t="s">
        <v>87</v>
      </c>
      <c r="AB43" s="500" t="s">
        <v>88</v>
      </c>
      <c r="AC43" s="500" t="s">
        <v>89</v>
      </c>
      <c r="AD43" s="500" t="s">
        <v>90</v>
      </c>
      <c r="AE43" s="500" t="s">
        <v>91</v>
      </c>
      <c r="AF43" s="500" t="s">
        <v>92</v>
      </c>
      <c r="AG43" s="500" t="s">
        <v>93</v>
      </c>
      <c r="AH43" s="500" t="s">
        <v>94</v>
      </c>
      <c r="AI43" s="500" t="s">
        <v>95</v>
      </c>
      <c r="AJ43" s="500" t="s">
        <v>96</v>
      </c>
      <c r="AK43" s="500" t="s">
        <v>97</v>
      </c>
      <c r="AL43" s="500" t="s">
        <v>98</v>
      </c>
      <c r="AM43" s="500" t="s">
        <v>99</v>
      </c>
      <c r="AN43" s="500" t="s">
        <v>100</v>
      </c>
      <c r="AO43" s="500" t="s">
        <v>101</v>
      </c>
      <c r="AP43" s="500" t="e">
        <f ca="1">__xlfn.ISFORMULA(X43)</f>
        <v>#NAME?</v>
      </c>
      <c r="AQ43" s="501"/>
      <c r="AR43" s="491"/>
      <c r="AS43" s="491"/>
      <c r="AT43" s="491"/>
      <c r="AU43" s="491"/>
      <c r="AV43" s="491"/>
      <c r="AW43" s="612"/>
      <c r="AX43" s="612"/>
      <c r="AY43" s="612"/>
      <c r="AZ43" s="612"/>
      <c r="BA43" s="612"/>
      <c r="BB43" s="612"/>
      <c r="BC43" s="612"/>
      <c r="BD43" s="612"/>
      <c r="BE43" s="612"/>
      <c r="BF43" s="612"/>
      <c r="BG43" s="612"/>
      <c r="BH43" s="612"/>
      <c r="BI43" s="612"/>
    </row>
    <row r="44" spans="1:61" ht="12" customHeight="1">
      <c r="A44" s="46"/>
      <c r="B44" s="41"/>
      <c r="C44" s="41"/>
      <c r="D44" s="41"/>
      <c r="E44" s="41"/>
      <c r="F44" s="41"/>
      <c r="G44" s="41"/>
      <c r="H44" s="37"/>
      <c r="I44" s="72"/>
      <c r="J44" s="90"/>
      <c r="K44" s="83"/>
      <c r="L44" s="84">
        <v>1</v>
      </c>
      <c r="M44" s="84">
        <v>2</v>
      </c>
      <c r="N44" s="85">
        <v>3</v>
      </c>
      <c r="O44" s="85">
        <v>4</v>
      </c>
      <c r="P44" s="86">
        <v>5</v>
      </c>
      <c r="Q44" s="86">
        <v>6</v>
      </c>
      <c r="R44" s="149">
        <v>1</v>
      </c>
      <c r="S44" s="145">
        <v>5</v>
      </c>
      <c r="T44" s="145"/>
      <c r="U44" s="146"/>
      <c r="V44" s="502">
        <v>2</v>
      </c>
      <c r="W44" s="502">
        <v>3</v>
      </c>
      <c r="X44" s="500">
        <v>4</v>
      </c>
      <c r="Y44" s="500">
        <v>5</v>
      </c>
      <c r="Z44" s="500"/>
      <c r="AA44" s="500"/>
      <c r="AB44" s="500"/>
      <c r="AC44" s="500">
        <v>7</v>
      </c>
      <c r="AD44" s="500">
        <v>8</v>
      </c>
      <c r="AE44" s="500">
        <v>9</v>
      </c>
      <c r="AF44" s="500">
        <v>10</v>
      </c>
      <c r="AG44" s="500">
        <v>11</v>
      </c>
      <c r="AH44" s="500">
        <v>12</v>
      </c>
      <c r="AI44" s="500"/>
      <c r="AJ44" s="500">
        <v>5</v>
      </c>
      <c r="AK44" s="500">
        <v>7</v>
      </c>
      <c r="AL44" s="500">
        <v>8</v>
      </c>
      <c r="AM44" s="500">
        <v>9</v>
      </c>
      <c r="AN44" s="500"/>
      <c r="AO44" s="500" t="e">
        <f ca="1">__xlfn.ISFORMULA(#REF!)</f>
        <v>#NAME?</v>
      </c>
      <c r="AP44" s="500" t="e">
        <f ca="1">__xlfn.ISFORMULA(X44)</f>
        <v>#NAME?</v>
      </c>
      <c r="AQ44" s="502">
        <v>4</v>
      </c>
      <c r="AR44" s="622"/>
      <c r="AS44" s="623"/>
      <c r="AT44" s="623"/>
      <c r="AU44" s="623"/>
      <c r="AV44" s="624"/>
      <c r="AW44" s="612"/>
      <c r="AX44" s="612"/>
      <c r="AY44" s="612"/>
      <c r="AZ44" s="612"/>
      <c r="BA44" s="612"/>
      <c r="BB44" s="612"/>
      <c r="BC44" s="612"/>
      <c r="BD44" s="612"/>
      <c r="BE44" s="612"/>
      <c r="BF44" s="612"/>
      <c r="BG44" s="612"/>
      <c r="BH44" s="612"/>
      <c r="BI44" s="612"/>
    </row>
    <row r="45" spans="1:61" ht="12" customHeight="1">
      <c r="A45" s="47"/>
      <c r="B45" s="48"/>
      <c r="C45" s="48"/>
      <c r="D45" s="48"/>
      <c r="E45" s="48"/>
      <c r="F45" s="48"/>
      <c r="G45" s="48"/>
      <c r="H45" s="49"/>
      <c r="I45" s="108"/>
      <c r="J45" s="109"/>
      <c r="K45" s="110"/>
      <c r="L45" s="111"/>
      <c r="M45" s="111"/>
      <c r="N45" s="112"/>
      <c r="O45" s="112"/>
      <c r="P45" s="113"/>
      <c r="Q45" s="113"/>
      <c r="R45" s="87"/>
      <c r="S45" s="89"/>
      <c r="T45" s="89"/>
      <c r="U45" s="89" t="e">
        <f ca="1">__xlfn.ISFORMULA(S45)</f>
        <v>#NAME?</v>
      </c>
      <c r="V45" s="505"/>
      <c r="W45" s="505"/>
      <c r="X45" s="506"/>
      <c r="Y45" s="507"/>
      <c r="Z45" s="507"/>
      <c r="AA45" s="507"/>
      <c r="AB45" s="507"/>
      <c r="AC45" s="508"/>
      <c r="AD45" s="508"/>
      <c r="AE45" s="529"/>
      <c r="AF45" s="529"/>
      <c r="AG45" s="529"/>
      <c r="AH45" s="529"/>
      <c r="AI45" s="507"/>
      <c r="AJ45" s="507"/>
      <c r="AK45" s="507"/>
      <c r="AL45" s="507"/>
      <c r="AM45" s="507"/>
      <c r="AN45" s="530" t="e">
        <f ca="1">__xlfn.ISFORMULA(#REF!)</f>
        <v>#NAME?</v>
      </c>
      <c r="AO45" s="531" t="e">
        <f ca="1">__xlfn.ISFORMULA(#REF!)</f>
        <v>#NAME?</v>
      </c>
      <c r="AP45" s="510"/>
      <c r="AQ45" s="505"/>
      <c r="AR45" s="526"/>
      <c r="AS45" s="527"/>
      <c r="AT45" s="527"/>
      <c r="AU45" s="527"/>
      <c r="AV45" s="528"/>
      <c r="AW45" s="612"/>
      <c r="AX45" s="612"/>
      <c r="AY45" s="612"/>
      <c r="AZ45" s="612"/>
      <c r="BA45" s="612"/>
      <c r="BB45" s="612"/>
      <c r="BC45" s="612"/>
      <c r="BD45" s="612"/>
      <c r="BE45" s="612"/>
      <c r="BF45" s="612"/>
      <c r="BG45" s="612"/>
      <c r="BH45" s="612"/>
      <c r="BI45" s="612"/>
    </row>
    <row r="46" spans="1:61" ht="12" customHeight="1">
      <c r="A46" s="47"/>
      <c r="B46" s="48"/>
      <c r="C46" s="48"/>
      <c r="D46" s="48"/>
      <c r="E46" s="48"/>
      <c r="F46" s="48"/>
      <c r="G46" s="48"/>
      <c r="H46" s="50"/>
      <c r="I46" s="114"/>
      <c r="J46" s="109"/>
      <c r="K46" s="115" t="s">
        <v>102</v>
      </c>
      <c r="L46" s="111">
        <f t="shared" ref="L46:Y46" si="20">L48+L173</f>
        <v>26920766</v>
      </c>
      <c r="M46" s="111">
        <f t="shared" si="20"/>
        <v>3572999.7964032115</v>
      </c>
      <c r="N46" s="112">
        <f t="shared" si="20"/>
        <v>28598275</v>
      </c>
      <c r="O46" s="112">
        <f t="shared" si="20"/>
        <v>3795643.3738137889</v>
      </c>
      <c r="P46" s="113">
        <f t="shared" si="20"/>
        <v>5449550</v>
      </c>
      <c r="Q46" s="113">
        <f t="shared" si="20"/>
        <v>4559300</v>
      </c>
      <c r="R46" s="87">
        <f t="shared" si="20"/>
        <v>4559300</v>
      </c>
      <c r="S46" s="89">
        <f t="shared" si="20"/>
        <v>2806152.65</v>
      </c>
      <c r="T46" s="89">
        <f t="shared" si="20"/>
        <v>1547844.5100000002</v>
      </c>
      <c r="U46" s="89" t="e">
        <f t="shared" ca="1" si="20"/>
        <v>#NAME?</v>
      </c>
      <c r="V46" s="505">
        <f t="shared" si="20"/>
        <v>5481130</v>
      </c>
      <c r="W46" s="505">
        <f t="shared" si="20"/>
        <v>5481130</v>
      </c>
      <c r="X46" s="506">
        <f t="shared" si="20"/>
        <v>6991250</v>
      </c>
      <c r="Y46" s="507">
        <f t="shared" si="20"/>
        <v>6923250</v>
      </c>
      <c r="Z46" s="507"/>
      <c r="AA46" s="507"/>
      <c r="AB46" s="507"/>
      <c r="AC46" s="508">
        <f>AC48+AC173</f>
        <v>4224500</v>
      </c>
      <c r="AD46" s="508">
        <f>AD48+AD173</f>
        <v>4224500</v>
      </c>
      <c r="AE46" s="529">
        <f>O46/M46*100</f>
        <v>106.23127876006888</v>
      </c>
      <c r="AF46" s="529">
        <f>P46/O46*100</f>
        <v>143.57381511647122</v>
      </c>
      <c r="AG46" s="529">
        <f>Q46/P46*100</f>
        <v>83.66378875319981</v>
      </c>
      <c r="AH46" s="529">
        <f>AC46/Q46*100</f>
        <v>92.65676748623693</v>
      </c>
      <c r="AI46" s="507"/>
      <c r="AJ46" s="507">
        <v>6923250</v>
      </c>
      <c r="AK46" s="507">
        <f t="shared" ref="AK46:AK83" si="21">W46/R46*100</f>
        <v>120.21867391924199</v>
      </c>
      <c r="AL46" s="507">
        <f>X46/W46*100</f>
        <v>127.55125311751409</v>
      </c>
      <c r="AM46" s="507">
        <f>Y46/X46*100</f>
        <v>99.027355623100306</v>
      </c>
      <c r="AN46" s="530" t="e">
        <f ca="1">__xlfn.ISFORMULA(#REF!)</f>
        <v>#NAME?</v>
      </c>
      <c r="AO46" s="531" t="e">
        <f ca="1">__xlfn.ISFORMULA(#REF!)</f>
        <v>#NAME?</v>
      </c>
      <c r="AP46" s="510" t="e">
        <f t="shared" ref="AP46:AP109" ca="1" si="22">__xlfn.ISFORMULA(X46)</f>
        <v>#NAME?</v>
      </c>
      <c r="AQ46" s="505">
        <f>AQ48+AQ173</f>
        <v>4790404.5</v>
      </c>
      <c r="AR46" s="533">
        <f>V46/R46*100</f>
        <v>120.21867391924199</v>
      </c>
      <c r="AS46" s="533">
        <f>W46/V46*100</f>
        <v>100</v>
      </c>
      <c r="AT46" s="533">
        <f>W46/R46*100</f>
        <v>120.21867391924199</v>
      </c>
      <c r="AU46" s="533">
        <f>AQ46/W46*100</f>
        <v>87.398118636120657</v>
      </c>
      <c r="AV46" s="533">
        <f>AQ46/R46*100</f>
        <v>105.06885925471015</v>
      </c>
      <c r="AW46" s="612"/>
      <c r="AX46" s="612"/>
      <c r="AY46" s="612"/>
      <c r="AZ46" s="612"/>
      <c r="BA46" s="612"/>
      <c r="BB46" s="612"/>
      <c r="BC46" s="612"/>
      <c r="BD46" s="612"/>
      <c r="BE46" s="612"/>
      <c r="BF46" s="612"/>
      <c r="BG46" s="612"/>
      <c r="BH46" s="612"/>
      <c r="BI46" s="612"/>
    </row>
    <row r="47" spans="1:61" ht="12" customHeight="1">
      <c r="A47" s="51"/>
      <c r="B47" s="52"/>
      <c r="C47" s="52"/>
      <c r="D47" s="52"/>
      <c r="E47" s="52"/>
      <c r="F47" s="52"/>
      <c r="G47" s="52"/>
      <c r="H47" s="53"/>
      <c r="I47" s="116"/>
      <c r="J47" s="117"/>
      <c r="K47" s="19"/>
      <c r="L47" s="118"/>
      <c r="M47" s="118"/>
      <c r="N47" s="119"/>
      <c r="O47" s="119"/>
      <c r="P47" s="120"/>
      <c r="Q47" s="120"/>
      <c r="R47" s="151"/>
      <c r="S47" s="152"/>
      <c r="T47" s="152"/>
      <c r="U47" s="152"/>
      <c r="V47" s="505"/>
      <c r="W47" s="505"/>
      <c r="X47" s="534"/>
      <c r="Y47" s="535"/>
      <c r="Z47" s="535"/>
      <c r="AA47" s="535"/>
      <c r="AB47" s="535"/>
      <c r="AC47" s="529"/>
      <c r="AD47" s="529"/>
      <c r="AE47" s="529"/>
      <c r="AF47" s="529"/>
      <c r="AG47" s="529"/>
      <c r="AH47" s="529"/>
      <c r="AI47" s="535"/>
      <c r="AJ47" s="535"/>
      <c r="AK47" s="507"/>
      <c r="AL47" s="507"/>
      <c r="AM47" s="507"/>
      <c r="AN47" s="530" t="e">
        <f ca="1">__xlfn.ISFORMULA(#REF!)</f>
        <v>#NAME?</v>
      </c>
      <c r="AO47" s="531" t="e">
        <f ca="1">__xlfn.ISFORMULA(#REF!)</f>
        <v>#NAME?</v>
      </c>
      <c r="AP47" s="510" t="e">
        <f t="shared" ca="1" si="22"/>
        <v>#NAME?</v>
      </c>
      <c r="AQ47" s="505"/>
      <c r="AR47" s="533"/>
      <c r="AS47" s="533"/>
      <c r="AT47" s="533"/>
      <c r="AU47" s="533"/>
      <c r="AV47" s="533"/>
      <c r="AW47" s="612"/>
      <c r="AX47" s="612"/>
      <c r="AY47" s="612"/>
      <c r="AZ47" s="612"/>
      <c r="BA47" s="612"/>
      <c r="BB47" s="612"/>
      <c r="BC47" s="612"/>
      <c r="BD47" s="612"/>
      <c r="BE47" s="612"/>
      <c r="BF47" s="612"/>
      <c r="BG47" s="612"/>
      <c r="BH47" s="612"/>
      <c r="BI47" s="612"/>
    </row>
    <row r="48" spans="1:61" ht="12" customHeight="1">
      <c r="A48" s="54"/>
      <c r="B48" s="55"/>
      <c r="C48" s="55"/>
      <c r="D48" s="55"/>
      <c r="E48" s="55"/>
      <c r="F48" s="55"/>
      <c r="G48" s="55"/>
      <c r="H48" s="56">
        <v>6</v>
      </c>
      <c r="I48" s="121"/>
      <c r="J48" s="122"/>
      <c r="K48" s="123" t="s">
        <v>103</v>
      </c>
      <c r="L48" s="111">
        <f t="shared" ref="L48:Y48" si="23">L50+L77+L103+L134+L157+L164</f>
        <v>26862820</v>
      </c>
      <c r="M48" s="111">
        <f t="shared" si="23"/>
        <v>3565309.0405468177</v>
      </c>
      <c r="N48" s="112">
        <f t="shared" si="23"/>
        <v>28595356</v>
      </c>
      <c r="O48" s="112">
        <f t="shared" si="23"/>
        <v>3795255.9559360268</v>
      </c>
      <c r="P48" s="113">
        <f t="shared" si="23"/>
        <v>5029020</v>
      </c>
      <c r="Q48" s="113">
        <f t="shared" si="23"/>
        <v>4231370</v>
      </c>
      <c r="R48" s="87">
        <f t="shared" si="23"/>
        <v>4231370</v>
      </c>
      <c r="S48" s="89">
        <f t="shared" si="23"/>
        <v>2806152.65</v>
      </c>
      <c r="T48" s="89">
        <f t="shared" si="23"/>
        <v>1547844.5100000002</v>
      </c>
      <c r="U48" s="89" t="e">
        <f t="shared" ca="1" si="23"/>
        <v>#NAME?</v>
      </c>
      <c r="V48" s="505">
        <f t="shared" si="23"/>
        <v>5476000</v>
      </c>
      <c r="W48" s="505">
        <f t="shared" si="23"/>
        <v>5476000</v>
      </c>
      <c r="X48" s="506">
        <f t="shared" si="23"/>
        <v>6790720</v>
      </c>
      <c r="Y48" s="507">
        <f t="shared" si="23"/>
        <v>6922720</v>
      </c>
      <c r="Z48" s="507"/>
      <c r="AA48" s="507"/>
      <c r="AB48" s="507"/>
      <c r="AC48" s="508">
        <f>AC50+AC77+AC103+AC134+AC157+AC164</f>
        <v>4123970</v>
      </c>
      <c r="AD48" s="508">
        <f>AD50+AD77+AD103+AD134+AD157+AD164</f>
        <v>4123970</v>
      </c>
      <c r="AE48" s="529">
        <f>O48/M48*100</f>
        <v>106.4495647578966</v>
      </c>
      <c r="AF48" s="529">
        <f>P48/O48*100</f>
        <v>132.50805896593843</v>
      </c>
      <c r="AG48" s="529">
        <f>Q48/P48*100</f>
        <v>84.139056913673045</v>
      </c>
      <c r="AH48" s="529">
        <f>AC48/Q48*100</f>
        <v>97.461814967729126</v>
      </c>
      <c r="AI48" s="507"/>
      <c r="AJ48" s="507">
        <v>6922720</v>
      </c>
      <c r="AK48" s="507">
        <f t="shared" si="21"/>
        <v>129.41435043496548</v>
      </c>
      <c r="AL48" s="507">
        <f>X48/W48*100</f>
        <v>124.00876552227903</v>
      </c>
      <c r="AM48" s="507">
        <f>Y48/X48*100</f>
        <v>101.94382922576692</v>
      </c>
      <c r="AN48" s="530" t="e">
        <f ca="1">__xlfn.ISFORMULA(#REF!)</f>
        <v>#NAME?</v>
      </c>
      <c r="AO48" s="531" t="e">
        <f ca="1">__xlfn.ISFORMULA(#REF!)</f>
        <v>#NAME?</v>
      </c>
      <c r="AP48" s="510" t="e">
        <f t="shared" ca="1" si="22"/>
        <v>#NAME?</v>
      </c>
      <c r="AQ48" s="505">
        <f>AQ50+AQ77+AQ103+AQ134+AQ157+AQ164</f>
        <v>4785432.96</v>
      </c>
      <c r="AR48" s="533">
        <f t="shared" ref="AR48:AR86" si="24">V48/R48*100</f>
        <v>129.41435043496548</v>
      </c>
      <c r="AS48" s="533">
        <f t="shared" ref="AS48:AS77" si="25">W48/V48*100</f>
        <v>100</v>
      </c>
      <c r="AT48" s="533">
        <f t="shared" ref="AT48:AT77" si="26">W48/R48*100</f>
        <v>129.41435043496548</v>
      </c>
      <c r="AU48" s="533">
        <f t="shared" ref="AU48:AU77" si="27">AQ48/W48*100</f>
        <v>87.389206720233744</v>
      </c>
      <c r="AV48" s="533">
        <f t="shared" ref="AV48:AV77" si="28">AQ48/R48*100</f>
        <v>113.09417422725974</v>
      </c>
      <c r="AW48" s="612"/>
      <c r="AX48" s="612"/>
      <c r="AY48" s="612"/>
      <c r="AZ48" s="612"/>
      <c r="BA48" s="612"/>
      <c r="BB48" s="612"/>
      <c r="BC48" s="612"/>
      <c r="BD48" s="612"/>
      <c r="BE48" s="612"/>
      <c r="BF48" s="612"/>
      <c r="BG48" s="612"/>
      <c r="BH48" s="612"/>
      <c r="BI48" s="612"/>
    </row>
    <row r="49" spans="1:61" ht="12" customHeight="1">
      <c r="A49" s="46"/>
      <c r="B49" s="41"/>
      <c r="C49" s="41"/>
      <c r="D49" s="41"/>
      <c r="E49" s="41"/>
      <c r="F49" s="41"/>
      <c r="G49" s="41"/>
      <c r="H49" s="37"/>
      <c r="I49" s="72"/>
      <c r="J49" s="90"/>
      <c r="K49" s="83"/>
      <c r="L49" s="84">
        <v>1</v>
      </c>
      <c r="M49" s="84">
        <v>2</v>
      </c>
      <c r="N49" s="85">
        <v>3</v>
      </c>
      <c r="O49" s="85">
        <v>4</v>
      </c>
      <c r="P49" s="86">
        <v>5</v>
      </c>
      <c r="Q49" s="86">
        <v>6</v>
      </c>
      <c r="R49" s="154"/>
      <c r="S49" s="155"/>
      <c r="T49" s="155"/>
      <c r="U49" s="155"/>
      <c r="V49" s="505"/>
      <c r="W49" s="505"/>
      <c r="X49" s="536"/>
      <c r="Y49" s="537"/>
      <c r="Z49" s="537"/>
      <c r="AA49" s="537"/>
      <c r="AB49" s="537"/>
      <c r="AC49" s="538"/>
      <c r="AD49" s="538"/>
      <c r="AE49" s="538"/>
      <c r="AF49" s="538"/>
      <c r="AG49" s="538"/>
      <c r="AH49" s="538"/>
      <c r="AI49" s="537"/>
      <c r="AJ49" s="537"/>
      <c r="AK49" s="507"/>
      <c r="AL49" s="507"/>
      <c r="AM49" s="507"/>
      <c r="AN49" s="530" t="e">
        <f ca="1">__xlfn.ISFORMULA(#REF!)</f>
        <v>#NAME?</v>
      </c>
      <c r="AO49" s="531" t="e">
        <f ca="1">__xlfn.ISFORMULA(#REF!)</f>
        <v>#NAME?</v>
      </c>
      <c r="AP49" s="510" t="e">
        <f t="shared" ca="1" si="22"/>
        <v>#NAME?</v>
      </c>
      <c r="AQ49" s="505"/>
      <c r="AR49" s="533"/>
      <c r="AS49" s="533"/>
      <c r="AT49" s="533"/>
      <c r="AU49" s="533"/>
      <c r="AV49" s="533"/>
      <c r="AW49" s="612"/>
      <c r="AX49" s="612"/>
      <c r="AY49" s="612"/>
      <c r="AZ49" s="612"/>
      <c r="BA49" s="612"/>
      <c r="BB49" s="612"/>
      <c r="BC49" s="612"/>
      <c r="BD49" s="612"/>
      <c r="BE49" s="612"/>
      <c r="BF49" s="612"/>
      <c r="BG49" s="612"/>
      <c r="BH49" s="612"/>
      <c r="BI49" s="612"/>
    </row>
    <row r="50" spans="1:61" ht="12" customHeight="1">
      <c r="A50" s="57"/>
      <c r="B50" s="58"/>
      <c r="C50" s="58"/>
      <c r="D50" s="58"/>
      <c r="E50" s="58"/>
      <c r="F50" s="58"/>
      <c r="G50" s="58"/>
      <c r="H50" s="59">
        <v>61</v>
      </c>
      <c r="I50" s="124"/>
      <c r="J50" s="125"/>
      <c r="K50" s="126" t="s">
        <v>104</v>
      </c>
      <c r="L50" s="111">
        <f t="shared" ref="L50:Q50" si="29">L52+L60+L69</f>
        <v>12534304</v>
      </c>
      <c r="M50" s="111">
        <f t="shared" si="29"/>
        <v>1663588.028402681</v>
      </c>
      <c r="N50" s="112">
        <f t="shared" si="29"/>
        <v>16604519</v>
      </c>
      <c r="O50" s="112">
        <f t="shared" si="29"/>
        <v>2203798.394054018</v>
      </c>
      <c r="P50" s="113">
        <f t="shared" si="29"/>
        <v>2449000</v>
      </c>
      <c r="Q50" s="113">
        <f t="shared" si="29"/>
        <v>2554000</v>
      </c>
      <c r="R50" s="87">
        <f t="shared" ref="R50:Y50" si="30">R52+R60+R69+R76</f>
        <v>2554000</v>
      </c>
      <c r="S50" s="89">
        <f t="shared" si="30"/>
        <v>2387060.71</v>
      </c>
      <c r="T50" s="89">
        <f t="shared" si="30"/>
        <v>1547844.5100000002</v>
      </c>
      <c r="U50" s="89" t="e">
        <f t="shared" ca="1" si="30"/>
        <v>#NAME?</v>
      </c>
      <c r="V50" s="505">
        <f t="shared" si="30"/>
        <v>3350000</v>
      </c>
      <c r="W50" s="505">
        <f t="shared" si="30"/>
        <v>3350000</v>
      </c>
      <c r="X50" s="506">
        <f t="shared" si="30"/>
        <v>4160000</v>
      </c>
      <c r="Y50" s="507">
        <f t="shared" si="30"/>
        <v>4430000</v>
      </c>
      <c r="Z50" s="507"/>
      <c r="AA50" s="507"/>
      <c r="AB50" s="507"/>
      <c r="AC50" s="508">
        <f>AC52+AC60+AC69</f>
        <v>2404000</v>
      </c>
      <c r="AD50" s="508">
        <f>AD52+AD60+AD69</f>
        <v>2404000</v>
      </c>
      <c r="AE50" s="529">
        <f>O50/M50*100</f>
        <v>132.47260478124673</v>
      </c>
      <c r="AF50" s="529">
        <f>P50/O50*100</f>
        <v>111.12631748019923</v>
      </c>
      <c r="AG50" s="529">
        <f>Q50/P50*100</f>
        <v>104.28746427113107</v>
      </c>
      <c r="AH50" s="529">
        <f>AC50/Q50*100</f>
        <v>94.126859827721219</v>
      </c>
      <c r="AI50" s="507"/>
      <c r="AJ50" s="507">
        <v>4430000</v>
      </c>
      <c r="AK50" s="507">
        <f t="shared" si="21"/>
        <v>131.16679718089273</v>
      </c>
      <c r="AL50" s="507">
        <f>X50/W50*100</f>
        <v>124.17910447761193</v>
      </c>
      <c r="AM50" s="507">
        <f>Y50/X50*100</f>
        <v>106.49038461538463</v>
      </c>
      <c r="AN50" s="530" t="e">
        <f ca="1">__xlfn.ISFORMULA(#REF!)</f>
        <v>#NAME?</v>
      </c>
      <c r="AO50" s="531" t="e">
        <f ca="1">__xlfn.ISFORMULA(#REF!)</f>
        <v>#NAME?</v>
      </c>
      <c r="AP50" s="510" t="e">
        <f t="shared" ca="1" si="22"/>
        <v>#NAME?</v>
      </c>
      <c r="AQ50" s="505">
        <f>AQ52+AQ60+AQ69+AQ76</f>
        <v>3005542.72</v>
      </c>
      <c r="AR50" s="533">
        <f t="shared" si="24"/>
        <v>131.16679718089273</v>
      </c>
      <c r="AS50" s="533">
        <f t="shared" si="25"/>
        <v>100</v>
      </c>
      <c r="AT50" s="533">
        <f t="shared" si="26"/>
        <v>131.16679718089273</v>
      </c>
      <c r="AU50" s="533">
        <f t="shared" si="27"/>
        <v>89.717693134328371</v>
      </c>
      <c r="AV50" s="533">
        <f t="shared" si="28"/>
        <v>117.67982458888019</v>
      </c>
      <c r="AW50" s="612"/>
      <c r="AX50" s="612"/>
      <c r="AY50" s="612"/>
      <c r="AZ50" s="612"/>
      <c r="BA50" s="612"/>
      <c r="BB50" s="612"/>
      <c r="BC50" s="612"/>
      <c r="BD50" s="612"/>
      <c r="BE50" s="612"/>
      <c r="BF50" s="612"/>
      <c r="BG50" s="612"/>
      <c r="BH50" s="612"/>
      <c r="BI50" s="612"/>
    </row>
    <row r="51" spans="1:61" ht="12" customHeight="1">
      <c r="A51" s="46"/>
      <c r="B51" s="41"/>
      <c r="C51" s="41"/>
      <c r="D51" s="41"/>
      <c r="E51" s="41"/>
      <c r="F51" s="41"/>
      <c r="G51" s="41"/>
      <c r="H51" s="37"/>
      <c r="I51" s="72"/>
      <c r="J51" s="90"/>
      <c r="K51" s="83"/>
      <c r="L51" s="84"/>
      <c r="M51" s="84"/>
      <c r="N51" s="85"/>
      <c r="O51" s="85"/>
      <c r="P51" s="86"/>
      <c r="Q51" s="86"/>
      <c r="R51" s="154"/>
      <c r="S51" s="155"/>
      <c r="T51" s="155"/>
      <c r="U51" s="155"/>
      <c r="V51" s="505"/>
      <c r="W51" s="505"/>
      <c r="X51" s="536"/>
      <c r="Y51" s="537"/>
      <c r="Z51" s="537"/>
      <c r="AA51" s="537"/>
      <c r="AB51" s="537"/>
      <c r="AC51" s="538"/>
      <c r="AD51" s="538"/>
      <c r="AE51" s="529"/>
      <c r="AF51" s="529"/>
      <c r="AG51" s="529"/>
      <c r="AH51" s="529"/>
      <c r="AI51" s="537"/>
      <c r="AJ51" s="537"/>
      <c r="AK51" s="507"/>
      <c r="AL51" s="507"/>
      <c r="AM51" s="507"/>
      <c r="AN51" s="530" t="e">
        <f ca="1">__xlfn.ISFORMULA(#REF!)</f>
        <v>#NAME?</v>
      </c>
      <c r="AO51" s="531" t="e">
        <f ca="1">__xlfn.ISFORMULA(#REF!)</f>
        <v>#NAME?</v>
      </c>
      <c r="AP51" s="510" t="e">
        <f t="shared" ca="1" si="22"/>
        <v>#NAME?</v>
      </c>
      <c r="AQ51" s="505"/>
      <c r="AR51" s="533"/>
      <c r="AS51" s="533"/>
      <c r="AT51" s="533"/>
      <c r="AU51" s="533"/>
      <c r="AV51" s="533"/>
      <c r="AW51" s="612"/>
      <c r="AX51" s="612"/>
      <c r="AY51" s="612"/>
      <c r="AZ51" s="612"/>
      <c r="BA51" s="612"/>
      <c r="BB51" s="612"/>
      <c r="BC51" s="612"/>
      <c r="BD51" s="612"/>
      <c r="BE51" s="612"/>
      <c r="BF51" s="612"/>
      <c r="BG51" s="612"/>
      <c r="BH51" s="612"/>
      <c r="BI51" s="612"/>
    </row>
    <row r="52" spans="1:61" ht="12" customHeight="1">
      <c r="A52" s="60"/>
      <c r="B52" s="61"/>
      <c r="C52" s="61"/>
      <c r="D52" s="61"/>
      <c r="E52" s="61"/>
      <c r="F52" s="61"/>
      <c r="G52" s="61"/>
      <c r="H52" s="62">
        <v>611</v>
      </c>
      <c r="I52" s="127"/>
      <c r="J52" s="128"/>
      <c r="K52" s="20" t="s">
        <v>105</v>
      </c>
      <c r="L52" s="111">
        <f t="shared" ref="L52:Y52" si="31">L53+L54+L55+L56+L57+L58+L59</f>
        <v>5771415</v>
      </c>
      <c r="M52" s="111">
        <f t="shared" si="31"/>
        <v>765998.407326299</v>
      </c>
      <c r="N52" s="112">
        <f t="shared" si="31"/>
        <v>8886121</v>
      </c>
      <c r="O52" s="112">
        <f t="shared" si="31"/>
        <v>1179390.9350321852</v>
      </c>
      <c r="P52" s="113">
        <f t="shared" si="31"/>
        <v>1174000</v>
      </c>
      <c r="Q52" s="113">
        <f t="shared" si="31"/>
        <v>1364000</v>
      </c>
      <c r="R52" s="87">
        <f t="shared" si="31"/>
        <v>1364000</v>
      </c>
      <c r="S52" s="89">
        <f t="shared" si="31"/>
        <v>1547844.5100000002</v>
      </c>
      <c r="T52" s="89">
        <f t="shared" si="31"/>
        <v>1547844.5100000002</v>
      </c>
      <c r="U52" s="89" t="e">
        <f t="shared" ca="1" si="31"/>
        <v>#NAME?</v>
      </c>
      <c r="V52" s="505">
        <f t="shared" si="31"/>
        <v>1930000</v>
      </c>
      <c r="W52" s="505">
        <f t="shared" si="31"/>
        <v>1930000</v>
      </c>
      <c r="X52" s="506">
        <f t="shared" si="31"/>
        <v>2430000</v>
      </c>
      <c r="Y52" s="507">
        <f t="shared" si="31"/>
        <v>2530000</v>
      </c>
      <c r="Z52" s="507"/>
      <c r="AA52" s="507"/>
      <c r="AB52" s="507"/>
      <c r="AC52" s="508">
        <f>AC53+AC54+AC55+AC56+AC57+AC58+AC59</f>
        <v>1194000</v>
      </c>
      <c r="AD52" s="508">
        <f>AD53+AD54+AD55+AD56+AD57+AD58+AD59</f>
        <v>1194000</v>
      </c>
      <c r="AE52" s="529">
        <f t="shared" ref="AE52:AE57" si="32">O52/M52*100</f>
        <v>153.96780512231402</v>
      </c>
      <c r="AF52" s="529">
        <f t="shared" ref="AF52:AG57" si="33">P52/O52*100</f>
        <v>99.542905166382511</v>
      </c>
      <c r="AG52" s="529">
        <f t="shared" si="33"/>
        <v>116.1839863713799</v>
      </c>
      <c r="AH52" s="529">
        <f t="shared" ref="AH52:AH57" si="34">AC52/Q52*100</f>
        <v>87.536656891495596</v>
      </c>
      <c r="AI52" s="507"/>
      <c r="AJ52" s="507">
        <v>2530000</v>
      </c>
      <c r="AK52" s="507">
        <f t="shared" si="21"/>
        <v>141.49560117302053</v>
      </c>
      <c r="AL52" s="507">
        <f t="shared" ref="AL52:AM56" si="35">X52/W52*100</f>
        <v>125.90673575129534</v>
      </c>
      <c r="AM52" s="507">
        <f t="shared" si="35"/>
        <v>104.11522633744856</v>
      </c>
      <c r="AN52" s="530" t="e">
        <f ca="1">__xlfn.ISFORMULA(#REF!)</f>
        <v>#NAME?</v>
      </c>
      <c r="AO52" s="531" t="e">
        <f ca="1">__xlfn.ISFORMULA(#REF!)</f>
        <v>#NAME?</v>
      </c>
      <c r="AP52" s="510" t="e">
        <f t="shared" ca="1" si="22"/>
        <v>#NAME?</v>
      </c>
      <c r="AQ52" s="505">
        <f>AQ53+AQ54+AQ55+AQ56+AQ57+AQ58+AQ59</f>
        <v>1912846.8800000001</v>
      </c>
      <c r="AR52" s="533">
        <f t="shared" si="24"/>
        <v>141.49560117302053</v>
      </c>
      <c r="AS52" s="533">
        <f t="shared" si="25"/>
        <v>100</v>
      </c>
      <c r="AT52" s="533">
        <f t="shared" si="26"/>
        <v>141.49560117302053</v>
      </c>
      <c r="AU52" s="533">
        <f t="shared" si="27"/>
        <v>99.11123730569949</v>
      </c>
      <c r="AV52" s="533">
        <f t="shared" si="28"/>
        <v>140.2380410557185</v>
      </c>
      <c r="AW52" s="612">
        <f>AQ52</f>
        <v>1912846.8800000001</v>
      </c>
      <c r="AX52" s="612"/>
      <c r="AY52" s="612"/>
      <c r="AZ52" s="612"/>
      <c r="BA52" s="612"/>
      <c r="BB52" s="612"/>
      <c r="BC52" s="612"/>
      <c r="BD52" s="612"/>
      <c r="BE52" s="612"/>
      <c r="BF52" s="612"/>
      <c r="BG52" s="612"/>
      <c r="BH52" s="612"/>
      <c r="BI52" s="612"/>
    </row>
    <row r="53" spans="1:61" ht="12" customHeight="1">
      <c r="A53" s="51"/>
      <c r="B53" s="52"/>
      <c r="C53" s="52"/>
      <c r="D53" s="52"/>
      <c r="E53" s="52"/>
      <c r="F53" s="52"/>
      <c r="G53" s="52"/>
      <c r="H53" s="63">
        <v>6111</v>
      </c>
      <c r="I53" s="116" t="s">
        <v>106</v>
      </c>
      <c r="J53" s="117"/>
      <c r="K53" s="19" t="s">
        <v>107</v>
      </c>
      <c r="L53" s="129">
        <v>3668881</v>
      </c>
      <c r="M53" s="129">
        <f>3668881/7.5345</f>
        <v>486944.19005906163</v>
      </c>
      <c r="N53" s="130">
        <v>4784325</v>
      </c>
      <c r="O53" s="130">
        <f t="shared" ref="O53:O58" si="36">N53/7.5345</f>
        <v>634989.05036830576</v>
      </c>
      <c r="P53" s="131">
        <v>630000</v>
      </c>
      <c r="Q53" s="156">
        <v>820000</v>
      </c>
      <c r="R53" s="157">
        <v>820000</v>
      </c>
      <c r="S53" s="158">
        <v>1101793.8400000001</v>
      </c>
      <c r="T53" s="158">
        <v>1101793.8400000001</v>
      </c>
      <c r="U53" s="158">
        <v>1101793.8400000001</v>
      </c>
      <c r="V53" s="505">
        <v>1250000</v>
      </c>
      <c r="W53" s="505">
        <v>1250000</v>
      </c>
      <c r="X53" s="534">
        <v>1550000</v>
      </c>
      <c r="Y53" s="535">
        <v>1600000</v>
      </c>
      <c r="Z53" s="535"/>
      <c r="AA53" s="535"/>
      <c r="AB53" s="535"/>
      <c r="AC53" s="529">
        <v>640000</v>
      </c>
      <c r="AD53" s="529">
        <v>640000</v>
      </c>
      <c r="AE53" s="529">
        <f t="shared" si="32"/>
        <v>130.40283944886738</v>
      </c>
      <c r="AF53" s="529">
        <f t="shared" si="33"/>
        <v>99.214309228574564</v>
      </c>
      <c r="AG53" s="529">
        <f t="shared" si="33"/>
        <v>130.15873015873015</v>
      </c>
      <c r="AH53" s="529">
        <f t="shared" si="34"/>
        <v>78.048780487804876</v>
      </c>
      <c r="AI53" s="535"/>
      <c r="AJ53" s="535">
        <v>1600000</v>
      </c>
      <c r="AK53" s="507">
        <f t="shared" si="21"/>
        <v>152.4390243902439</v>
      </c>
      <c r="AL53" s="507">
        <f t="shared" si="35"/>
        <v>124</v>
      </c>
      <c r="AM53" s="507">
        <f t="shared" si="35"/>
        <v>103.2258064516129</v>
      </c>
      <c r="AN53" s="530" t="e">
        <f ca="1">__xlfn.ISFORMULA(#REF!)</f>
        <v>#NAME?</v>
      </c>
      <c r="AO53" s="531" t="e">
        <f ca="1">__xlfn.ISFORMULA(#REF!)</f>
        <v>#NAME?</v>
      </c>
      <c r="AP53" s="510" t="e">
        <f t="shared" ca="1" si="22"/>
        <v>#NAME?</v>
      </c>
      <c r="AQ53" s="505">
        <v>1225141.5900000001</v>
      </c>
      <c r="AR53" s="533">
        <f t="shared" si="24"/>
        <v>152.4390243902439</v>
      </c>
      <c r="AS53" s="533">
        <f t="shared" si="25"/>
        <v>100</v>
      </c>
      <c r="AT53" s="533">
        <f t="shared" si="26"/>
        <v>152.4390243902439</v>
      </c>
      <c r="AU53" s="533">
        <f t="shared" si="27"/>
        <v>98.011327200000011</v>
      </c>
      <c r="AV53" s="533">
        <f t="shared" si="28"/>
        <v>149.40751097560977</v>
      </c>
      <c r="AW53" s="612"/>
      <c r="AX53" s="612"/>
      <c r="AY53" s="612"/>
      <c r="AZ53" s="612"/>
      <c r="BA53" s="612"/>
      <c r="BB53" s="612"/>
      <c r="BC53" s="612"/>
      <c r="BD53" s="612"/>
      <c r="BE53" s="612"/>
      <c r="BF53" s="612"/>
      <c r="BG53" s="612"/>
      <c r="BH53" s="612"/>
      <c r="BI53" s="612"/>
    </row>
    <row r="54" spans="1:61" ht="12" customHeight="1">
      <c r="A54" s="51"/>
      <c r="B54" s="52"/>
      <c r="C54" s="52"/>
      <c r="D54" s="52"/>
      <c r="E54" s="52"/>
      <c r="F54" s="52"/>
      <c r="G54" s="52"/>
      <c r="H54" s="63">
        <v>6112</v>
      </c>
      <c r="I54" s="116" t="s">
        <v>108</v>
      </c>
      <c r="J54" s="117"/>
      <c r="K54" s="19" t="s">
        <v>109</v>
      </c>
      <c r="L54" s="129">
        <v>774471</v>
      </c>
      <c r="M54" s="129">
        <f>774471/7.5345</f>
        <v>102789.96615568385</v>
      </c>
      <c r="N54" s="130">
        <v>1430045</v>
      </c>
      <c r="O54" s="130">
        <f t="shared" si="36"/>
        <v>189799.58855929392</v>
      </c>
      <c r="P54" s="131">
        <v>185000</v>
      </c>
      <c r="Q54" s="131">
        <v>185000</v>
      </c>
      <c r="R54" s="157">
        <v>185000</v>
      </c>
      <c r="S54" s="158">
        <v>158847.59</v>
      </c>
      <c r="T54" s="158">
        <v>158847.59</v>
      </c>
      <c r="U54" s="158">
        <v>158847.59</v>
      </c>
      <c r="V54" s="505">
        <v>240000</v>
      </c>
      <c r="W54" s="505">
        <v>240000</v>
      </c>
      <c r="X54" s="534">
        <v>300000</v>
      </c>
      <c r="Y54" s="535">
        <v>320000</v>
      </c>
      <c r="Z54" s="535"/>
      <c r="AA54" s="535"/>
      <c r="AB54" s="535"/>
      <c r="AC54" s="529">
        <v>190000</v>
      </c>
      <c r="AD54" s="529">
        <v>190000</v>
      </c>
      <c r="AE54" s="529">
        <f t="shared" si="32"/>
        <v>184.64797261614703</v>
      </c>
      <c r="AF54" s="529">
        <f t="shared" si="33"/>
        <v>97.471233422724453</v>
      </c>
      <c r="AG54" s="529">
        <f t="shared" si="33"/>
        <v>100</v>
      </c>
      <c r="AH54" s="529">
        <f t="shared" si="34"/>
        <v>102.70270270270269</v>
      </c>
      <c r="AI54" s="535"/>
      <c r="AJ54" s="535">
        <v>320000</v>
      </c>
      <c r="AK54" s="507">
        <f t="shared" si="21"/>
        <v>129.72972972972974</v>
      </c>
      <c r="AL54" s="507">
        <f t="shared" si="35"/>
        <v>125</v>
      </c>
      <c r="AM54" s="507">
        <f t="shared" si="35"/>
        <v>106.66666666666667</v>
      </c>
      <c r="AN54" s="530" t="e">
        <f ca="1">__xlfn.ISFORMULA(#REF!)</f>
        <v>#NAME?</v>
      </c>
      <c r="AO54" s="531" t="e">
        <f ca="1">__xlfn.ISFORMULA(#REF!)</f>
        <v>#NAME?</v>
      </c>
      <c r="AP54" s="510" t="e">
        <f t="shared" ca="1" si="22"/>
        <v>#NAME?</v>
      </c>
      <c r="AQ54" s="505">
        <v>237752.16</v>
      </c>
      <c r="AR54" s="533">
        <f t="shared" si="24"/>
        <v>129.72972972972974</v>
      </c>
      <c r="AS54" s="533">
        <f t="shared" si="25"/>
        <v>100</v>
      </c>
      <c r="AT54" s="533">
        <f t="shared" si="26"/>
        <v>129.72972972972974</v>
      </c>
      <c r="AU54" s="533">
        <f t="shared" si="27"/>
        <v>99.063400000000001</v>
      </c>
      <c r="AV54" s="533">
        <f t="shared" si="28"/>
        <v>128.51468108108108</v>
      </c>
      <c r="AW54" s="612"/>
      <c r="AX54" s="612"/>
      <c r="AY54" s="612"/>
      <c r="AZ54" s="612"/>
      <c r="BA54" s="612"/>
      <c r="BB54" s="612"/>
      <c r="BC54" s="612"/>
      <c r="BD54" s="612"/>
      <c r="BE54" s="612"/>
      <c r="BF54" s="612"/>
      <c r="BG54" s="612"/>
      <c r="BH54" s="612"/>
      <c r="BI54" s="612"/>
    </row>
    <row r="55" spans="1:61" ht="12" customHeight="1">
      <c r="A55" s="51"/>
      <c r="B55" s="52"/>
      <c r="C55" s="52"/>
      <c r="D55" s="52"/>
      <c r="E55" s="52"/>
      <c r="F55" s="52"/>
      <c r="G55" s="52"/>
      <c r="H55" s="63">
        <v>6113</v>
      </c>
      <c r="I55" s="116" t="s">
        <v>110</v>
      </c>
      <c r="J55" s="117"/>
      <c r="K55" s="19" t="s">
        <v>111</v>
      </c>
      <c r="L55" s="129">
        <v>1651040</v>
      </c>
      <c r="M55" s="129">
        <f>1651040/7.5345</f>
        <v>219130.66560488418</v>
      </c>
      <c r="N55" s="130">
        <v>1751558</v>
      </c>
      <c r="O55" s="130">
        <f t="shared" si="36"/>
        <v>232471.69686110556</v>
      </c>
      <c r="P55" s="131">
        <v>225000</v>
      </c>
      <c r="Q55" s="131">
        <v>225000</v>
      </c>
      <c r="R55" s="157">
        <v>225000</v>
      </c>
      <c r="S55" s="158">
        <v>216708.02</v>
      </c>
      <c r="T55" s="158">
        <v>216708.02</v>
      </c>
      <c r="U55" s="158">
        <v>216708.02</v>
      </c>
      <c r="V55" s="505">
        <v>280000</v>
      </c>
      <c r="W55" s="505">
        <v>280000</v>
      </c>
      <c r="X55" s="534">
        <v>380000</v>
      </c>
      <c r="Y55" s="535">
        <v>360000</v>
      </c>
      <c r="Z55" s="535"/>
      <c r="AA55" s="535"/>
      <c r="AB55" s="535"/>
      <c r="AC55" s="529">
        <v>230000</v>
      </c>
      <c r="AD55" s="529">
        <v>230000</v>
      </c>
      <c r="AE55" s="529">
        <f t="shared" si="32"/>
        <v>106.08816261265626</v>
      </c>
      <c r="AF55" s="529">
        <f t="shared" si="33"/>
        <v>96.785975685646733</v>
      </c>
      <c r="AG55" s="529">
        <f t="shared" si="33"/>
        <v>100</v>
      </c>
      <c r="AH55" s="529">
        <f t="shared" si="34"/>
        <v>102.22222222222221</v>
      </c>
      <c r="AI55" s="535"/>
      <c r="AJ55" s="535">
        <v>360000</v>
      </c>
      <c r="AK55" s="507">
        <f t="shared" si="21"/>
        <v>124.44444444444444</v>
      </c>
      <c r="AL55" s="507">
        <f t="shared" si="35"/>
        <v>135.71428571428572</v>
      </c>
      <c r="AM55" s="507">
        <f t="shared" si="35"/>
        <v>94.73684210526315</v>
      </c>
      <c r="AN55" s="530" t="e">
        <f ca="1">__xlfn.ISFORMULA(#REF!)</f>
        <v>#NAME?</v>
      </c>
      <c r="AO55" s="531" t="e">
        <f ca="1">__xlfn.ISFORMULA(#REF!)</f>
        <v>#NAME?</v>
      </c>
      <c r="AP55" s="510" t="e">
        <f t="shared" ca="1" si="22"/>
        <v>#NAME?</v>
      </c>
      <c r="AQ55" s="505">
        <v>268087.09000000003</v>
      </c>
      <c r="AR55" s="533">
        <f t="shared" si="24"/>
        <v>124.44444444444444</v>
      </c>
      <c r="AS55" s="533">
        <f t="shared" si="25"/>
        <v>100</v>
      </c>
      <c r="AT55" s="533">
        <f t="shared" si="26"/>
        <v>124.44444444444444</v>
      </c>
      <c r="AU55" s="533">
        <f t="shared" si="27"/>
        <v>95.745389285714296</v>
      </c>
      <c r="AV55" s="533">
        <f t="shared" si="28"/>
        <v>119.1498177777778</v>
      </c>
      <c r="AW55" s="612"/>
      <c r="AX55" s="612"/>
      <c r="AY55" s="612"/>
      <c r="AZ55" s="612"/>
      <c r="BA55" s="612"/>
      <c r="BB55" s="612"/>
      <c r="BC55" s="612"/>
      <c r="BD55" s="612"/>
      <c r="BE55" s="612"/>
      <c r="BF55" s="612"/>
      <c r="BG55" s="612"/>
      <c r="BH55" s="612"/>
      <c r="BI55" s="612"/>
    </row>
    <row r="56" spans="1:61" ht="12" customHeight="1">
      <c r="A56" s="51"/>
      <c r="B56" s="52"/>
      <c r="C56" s="52"/>
      <c r="D56" s="52"/>
      <c r="E56" s="52"/>
      <c r="F56" s="52"/>
      <c r="G56" s="52"/>
      <c r="H56" s="63">
        <v>6114</v>
      </c>
      <c r="I56" s="116" t="s">
        <v>112</v>
      </c>
      <c r="J56" s="117"/>
      <c r="K56" s="19" t="s">
        <v>113</v>
      </c>
      <c r="L56" s="129">
        <v>251103</v>
      </c>
      <c r="M56" s="129">
        <f>251103/7.5345</f>
        <v>33327.095361337844</v>
      </c>
      <c r="N56" s="130">
        <v>982923</v>
      </c>
      <c r="O56" s="130">
        <f t="shared" si="36"/>
        <v>130456.30101532947</v>
      </c>
      <c r="P56" s="131">
        <v>130000</v>
      </c>
      <c r="Q56" s="131">
        <v>130000</v>
      </c>
      <c r="R56" s="157">
        <v>130000</v>
      </c>
      <c r="S56" s="158">
        <v>102688.59</v>
      </c>
      <c r="T56" s="158">
        <v>102688.59</v>
      </c>
      <c r="U56" s="158">
        <v>102688.59</v>
      </c>
      <c r="V56" s="505">
        <v>160000</v>
      </c>
      <c r="W56" s="505">
        <v>160000</v>
      </c>
      <c r="X56" s="534">
        <v>200000</v>
      </c>
      <c r="Y56" s="535">
        <v>250000</v>
      </c>
      <c r="Z56" s="535"/>
      <c r="AA56" s="535"/>
      <c r="AB56" s="535"/>
      <c r="AC56" s="529">
        <v>130000</v>
      </c>
      <c r="AD56" s="529">
        <v>130000</v>
      </c>
      <c r="AE56" s="529">
        <f t="shared" si="32"/>
        <v>391.44215720242289</v>
      </c>
      <c r="AF56" s="529">
        <f t="shared" si="33"/>
        <v>99.650226925201679</v>
      </c>
      <c r="AG56" s="529">
        <f t="shared" si="33"/>
        <v>100</v>
      </c>
      <c r="AH56" s="529">
        <f t="shared" si="34"/>
        <v>100</v>
      </c>
      <c r="AI56" s="535"/>
      <c r="AJ56" s="535">
        <v>250000</v>
      </c>
      <c r="AK56" s="507">
        <f t="shared" si="21"/>
        <v>123.07692307692308</v>
      </c>
      <c r="AL56" s="507">
        <f t="shared" si="35"/>
        <v>125</v>
      </c>
      <c r="AM56" s="507">
        <f t="shared" si="35"/>
        <v>125</v>
      </c>
      <c r="AN56" s="530" t="e">
        <f ca="1">__xlfn.ISFORMULA(#REF!)</f>
        <v>#NAME?</v>
      </c>
      <c r="AO56" s="531" t="e">
        <f ca="1">__xlfn.ISFORMULA(#REF!)</f>
        <v>#NAME?</v>
      </c>
      <c r="AP56" s="510" t="e">
        <f t="shared" ca="1" si="22"/>
        <v>#NAME?</v>
      </c>
      <c r="AQ56" s="505">
        <v>125819.88</v>
      </c>
      <c r="AR56" s="533">
        <f t="shared" si="24"/>
        <v>123.07692307692308</v>
      </c>
      <c r="AS56" s="533">
        <f t="shared" si="25"/>
        <v>100</v>
      </c>
      <c r="AT56" s="533">
        <f t="shared" si="26"/>
        <v>123.07692307692308</v>
      </c>
      <c r="AU56" s="533">
        <f t="shared" si="27"/>
        <v>78.637425000000007</v>
      </c>
      <c r="AV56" s="533">
        <f t="shared" si="28"/>
        <v>96.78452307692308</v>
      </c>
      <c r="AW56" s="612"/>
      <c r="AX56" s="612"/>
      <c r="AY56" s="612"/>
      <c r="AZ56" s="612"/>
      <c r="BA56" s="612"/>
      <c r="BB56" s="612"/>
      <c r="BC56" s="612"/>
      <c r="BD56" s="612"/>
      <c r="BE56" s="612"/>
      <c r="BF56" s="612"/>
      <c r="BG56" s="612"/>
      <c r="BH56" s="612"/>
      <c r="BI56" s="612"/>
    </row>
    <row r="57" spans="1:61" ht="12" customHeight="1">
      <c r="A57" s="51"/>
      <c r="B57" s="52"/>
      <c r="C57" s="52"/>
      <c r="D57" s="52"/>
      <c r="E57" s="52"/>
      <c r="F57" s="52"/>
      <c r="G57" s="52"/>
      <c r="H57" s="63">
        <v>6115</v>
      </c>
      <c r="I57" s="116" t="s">
        <v>114</v>
      </c>
      <c r="J57" s="117"/>
      <c r="K57" s="19" t="s">
        <v>115</v>
      </c>
      <c r="L57" s="129">
        <v>-574080</v>
      </c>
      <c r="M57" s="129">
        <f>-574080/7.5345</f>
        <v>-76193.509854668519</v>
      </c>
      <c r="N57" s="130">
        <v>-62730</v>
      </c>
      <c r="O57" s="130">
        <f t="shared" si="36"/>
        <v>-8325.7017718494917</v>
      </c>
      <c r="P57" s="131">
        <v>3000</v>
      </c>
      <c r="Q57" s="131">
        <v>3000</v>
      </c>
      <c r="R57" s="157">
        <v>3000</v>
      </c>
      <c r="S57" s="158">
        <v>-32193.53</v>
      </c>
      <c r="T57" s="158">
        <v>-32193.53</v>
      </c>
      <c r="U57" s="158">
        <v>-32193.53</v>
      </c>
      <c r="V57" s="505">
        <v>0</v>
      </c>
      <c r="W57" s="505">
        <v>0</v>
      </c>
      <c r="X57" s="534"/>
      <c r="Y57" s="535"/>
      <c r="Z57" s="535"/>
      <c r="AA57" s="535"/>
      <c r="AB57" s="535"/>
      <c r="AC57" s="529">
        <v>3000</v>
      </c>
      <c r="AD57" s="529">
        <v>3000</v>
      </c>
      <c r="AE57" s="529">
        <f t="shared" si="32"/>
        <v>10.927048494983278</v>
      </c>
      <c r="AF57" s="529">
        <f t="shared" si="33"/>
        <v>-36.032998565279769</v>
      </c>
      <c r="AG57" s="529">
        <f t="shared" si="33"/>
        <v>100</v>
      </c>
      <c r="AH57" s="529">
        <f t="shared" si="34"/>
        <v>100</v>
      </c>
      <c r="AI57" s="535"/>
      <c r="AJ57" s="535"/>
      <c r="AK57" s="507">
        <f t="shared" si="21"/>
        <v>0</v>
      </c>
      <c r="AL57" s="507"/>
      <c r="AM57" s="507"/>
      <c r="AN57" s="530" t="e">
        <f ca="1">__xlfn.ISFORMULA(#REF!)</f>
        <v>#NAME?</v>
      </c>
      <c r="AO57" s="531" t="e">
        <f ca="1">__xlfn.ISFORMULA(#REF!)</f>
        <v>#NAME?</v>
      </c>
      <c r="AP57" s="510" t="e">
        <f t="shared" ca="1" si="22"/>
        <v>#NAME?</v>
      </c>
      <c r="AQ57" s="505">
        <v>56046.16</v>
      </c>
      <c r="AR57" s="533">
        <f t="shared" si="24"/>
        <v>0</v>
      </c>
      <c r="AS57" s="533"/>
      <c r="AT57" s="533">
        <f t="shared" si="26"/>
        <v>0</v>
      </c>
      <c r="AU57" s="533"/>
      <c r="AV57" s="533">
        <f t="shared" si="28"/>
        <v>1868.2053333333336</v>
      </c>
      <c r="AW57" s="612"/>
      <c r="AX57" s="612"/>
      <c r="AY57" s="612"/>
      <c r="AZ57" s="612"/>
      <c r="BA57" s="612"/>
      <c r="BB57" s="612"/>
      <c r="BC57" s="612"/>
      <c r="BD57" s="612"/>
      <c r="BE57" s="612"/>
      <c r="BF57" s="612"/>
      <c r="BG57" s="612"/>
      <c r="BH57" s="612"/>
      <c r="BI57" s="612"/>
    </row>
    <row r="58" spans="1:61" s="27" customFormat="1" ht="12" customHeight="1">
      <c r="A58" s="51"/>
      <c r="B58" s="52"/>
      <c r="C58" s="52"/>
      <c r="D58" s="52"/>
      <c r="E58" s="52"/>
      <c r="F58" s="52"/>
      <c r="G58" s="52"/>
      <c r="H58" s="63">
        <v>6116</v>
      </c>
      <c r="I58" s="116"/>
      <c r="J58" s="117"/>
      <c r="K58" s="132" t="s">
        <v>116</v>
      </c>
      <c r="L58" s="129">
        <v>0</v>
      </c>
      <c r="M58" s="129">
        <v>0</v>
      </c>
      <c r="N58" s="130">
        <v>0</v>
      </c>
      <c r="O58" s="130">
        <f t="shared" si="36"/>
        <v>0</v>
      </c>
      <c r="P58" s="131">
        <v>1000</v>
      </c>
      <c r="Q58" s="131">
        <v>1000</v>
      </c>
      <c r="R58" s="157">
        <v>1000</v>
      </c>
      <c r="S58" s="158"/>
      <c r="T58" s="158"/>
      <c r="U58" s="89" t="e">
        <f ca="1">__xlfn.ISFORMULA(S58)</f>
        <v>#NAME?</v>
      </c>
      <c r="V58" s="505">
        <v>0</v>
      </c>
      <c r="W58" s="505">
        <v>0</v>
      </c>
      <c r="X58" s="534"/>
      <c r="Y58" s="535"/>
      <c r="Z58" s="535"/>
      <c r="AA58" s="535"/>
      <c r="AB58" s="535"/>
      <c r="AC58" s="529">
        <v>1000</v>
      </c>
      <c r="AD58" s="529">
        <v>1000</v>
      </c>
      <c r="AE58" s="529"/>
      <c r="AF58" s="529"/>
      <c r="AG58" s="529"/>
      <c r="AH58" s="529"/>
      <c r="AI58" s="535"/>
      <c r="AJ58" s="535"/>
      <c r="AK58" s="507">
        <f t="shared" si="21"/>
        <v>0</v>
      </c>
      <c r="AL58" s="507"/>
      <c r="AM58" s="507"/>
      <c r="AN58" s="530" t="e">
        <f ca="1">__xlfn.ISFORMULA(#REF!)</f>
        <v>#NAME?</v>
      </c>
      <c r="AO58" s="531" t="e">
        <f ca="1">__xlfn.ISFORMULA(#REF!)</f>
        <v>#NAME?</v>
      </c>
      <c r="AP58" s="510" t="e">
        <f t="shared" ca="1" si="22"/>
        <v>#NAME?</v>
      </c>
      <c r="AQ58" s="505"/>
      <c r="AR58" s="533">
        <f t="shared" si="24"/>
        <v>0</v>
      </c>
      <c r="AS58" s="533"/>
      <c r="AT58" s="533">
        <f t="shared" si="26"/>
        <v>0</v>
      </c>
      <c r="AU58" s="533"/>
      <c r="AV58" s="533">
        <f t="shared" si="28"/>
        <v>0</v>
      </c>
      <c r="AW58" s="612"/>
      <c r="AX58" s="612"/>
      <c r="AY58" s="612"/>
      <c r="AZ58" s="612"/>
      <c r="BA58" s="612"/>
      <c r="BB58" s="612"/>
      <c r="BC58" s="612"/>
      <c r="BD58" s="612"/>
      <c r="BE58" s="612"/>
      <c r="BF58" s="612"/>
      <c r="BG58" s="612"/>
      <c r="BH58" s="612"/>
      <c r="BI58" s="612"/>
    </row>
    <row r="59" spans="1:61" ht="12" customHeight="1">
      <c r="A59" s="64"/>
      <c r="B59" s="65"/>
      <c r="C59" s="65"/>
      <c r="D59" s="65"/>
      <c r="E59" s="65"/>
      <c r="F59" s="65"/>
      <c r="G59" s="65"/>
      <c r="H59" s="66"/>
      <c r="I59" s="133"/>
      <c r="J59" s="134"/>
      <c r="K59" s="135"/>
      <c r="L59" s="136"/>
      <c r="M59" s="136"/>
      <c r="N59" s="137"/>
      <c r="O59" s="137"/>
      <c r="P59" s="138"/>
      <c r="Q59" s="138"/>
      <c r="R59" s="159"/>
      <c r="S59" s="138"/>
      <c r="T59" s="138"/>
      <c r="U59" s="89" t="e">
        <f ca="1">__xlfn.ISFORMULA(S59)</f>
        <v>#NAME?</v>
      </c>
      <c r="V59" s="505"/>
      <c r="W59" s="505"/>
      <c r="X59" s="539"/>
      <c r="Y59" s="540"/>
      <c r="Z59" s="540"/>
      <c r="AA59" s="540"/>
      <c r="AB59" s="540"/>
      <c r="AC59" s="541"/>
      <c r="AD59" s="541"/>
      <c r="AE59" s="529"/>
      <c r="AF59" s="529"/>
      <c r="AG59" s="529"/>
      <c r="AH59" s="529"/>
      <c r="AI59" s="540"/>
      <c r="AJ59" s="540"/>
      <c r="AK59" s="507"/>
      <c r="AL59" s="507"/>
      <c r="AM59" s="507"/>
      <c r="AN59" s="530" t="e">
        <f ca="1">__xlfn.ISFORMULA(#REF!)</f>
        <v>#NAME?</v>
      </c>
      <c r="AO59" s="531" t="e">
        <f ca="1">__xlfn.ISFORMULA(#REF!)</f>
        <v>#NAME?</v>
      </c>
      <c r="AP59" s="510" t="e">
        <f t="shared" ca="1" si="22"/>
        <v>#NAME?</v>
      </c>
      <c r="AQ59" s="505"/>
      <c r="AR59" s="533"/>
      <c r="AS59" s="533"/>
      <c r="AT59" s="533"/>
      <c r="AU59" s="533"/>
      <c r="AV59" s="533"/>
      <c r="AW59" s="612"/>
      <c r="AX59" s="612"/>
      <c r="AY59" s="612"/>
      <c r="AZ59" s="612"/>
      <c r="BA59" s="612"/>
      <c r="BB59" s="612"/>
      <c r="BC59" s="612"/>
      <c r="BD59" s="612"/>
      <c r="BE59" s="612"/>
      <c r="BF59" s="612"/>
      <c r="BG59" s="612"/>
      <c r="BH59" s="612"/>
      <c r="BI59" s="612"/>
    </row>
    <row r="60" spans="1:61" ht="12" customHeight="1">
      <c r="A60" s="60"/>
      <c r="B60" s="61"/>
      <c r="C60" s="61"/>
      <c r="D60" s="61"/>
      <c r="E60" s="61"/>
      <c r="F60" s="61"/>
      <c r="G60" s="61"/>
      <c r="H60" s="62">
        <v>613</v>
      </c>
      <c r="I60" s="127"/>
      <c r="J60" s="128"/>
      <c r="K60" s="139" t="s">
        <v>117</v>
      </c>
      <c r="L60" s="111">
        <f t="shared" ref="L60:Q60" si="37">L62+L66</f>
        <v>6426211</v>
      </c>
      <c r="M60" s="111">
        <f t="shared" si="37"/>
        <v>852904.77138496249</v>
      </c>
      <c r="N60" s="112">
        <f t="shared" si="37"/>
        <v>7200125</v>
      </c>
      <c r="O60" s="112">
        <f t="shared" si="37"/>
        <v>955620.81093635934</v>
      </c>
      <c r="P60" s="113">
        <f t="shared" si="37"/>
        <v>1200000</v>
      </c>
      <c r="Q60" s="113">
        <f t="shared" si="37"/>
        <v>1100000</v>
      </c>
      <c r="R60" s="160">
        <v>1100000</v>
      </c>
      <c r="S60" s="89">
        <f t="shared" ref="S60:Y60" si="38">S62+S66</f>
        <v>777792.2</v>
      </c>
      <c r="T60" s="89">
        <f t="shared" si="38"/>
        <v>0</v>
      </c>
      <c r="U60" s="89" t="e">
        <f t="shared" ca="1" si="38"/>
        <v>#NAME?</v>
      </c>
      <c r="V60" s="505">
        <f t="shared" si="38"/>
        <v>1320000</v>
      </c>
      <c r="W60" s="505">
        <f t="shared" si="38"/>
        <v>1320000</v>
      </c>
      <c r="X60" s="506">
        <f t="shared" si="38"/>
        <v>1610000</v>
      </c>
      <c r="Y60" s="507">
        <f t="shared" si="38"/>
        <v>1750000</v>
      </c>
      <c r="Z60" s="507"/>
      <c r="AA60" s="507"/>
      <c r="AB60" s="507"/>
      <c r="AC60" s="508">
        <f>AC62+AC66</f>
        <v>1135000</v>
      </c>
      <c r="AD60" s="508">
        <f>AD62+AD66</f>
        <v>1135000</v>
      </c>
      <c r="AE60" s="529">
        <f>O60/M60*100</f>
        <v>112.04308417510723</v>
      </c>
      <c r="AF60" s="529">
        <f>P60/O60*100</f>
        <v>125.5728199163209</v>
      </c>
      <c r="AG60" s="529">
        <f>Q60/P60*100</f>
        <v>91.666666666666657</v>
      </c>
      <c r="AH60" s="529">
        <f>AC60/Q60*100</f>
        <v>103.18181818181817</v>
      </c>
      <c r="AI60" s="507"/>
      <c r="AJ60" s="507">
        <v>1750000</v>
      </c>
      <c r="AK60" s="507">
        <f t="shared" si="21"/>
        <v>120</v>
      </c>
      <c r="AL60" s="507">
        <f>X60/W60*100</f>
        <v>121.96969696969697</v>
      </c>
      <c r="AM60" s="507">
        <f>Y60/X60*100</f>
        <v>108.69565217391303</v>
      </c>
      <c r="AN60" s="530" t="e">
        <f ca="1">__xlfn.ISFORMULA(#REF!)</f>
        <v>#NAME?</v>
      </c>
      <c r="AO60" s="531" t="e">
        <f ca="1">__xlfn.ISFORMULA(#REF!)</f>
        <v>#NAME?</v>
      </c>
      <c r="AP60" s="510" t="e">
        <f t="shared" ca="1" si="22"/>
        <v>#NAME?</v>
      </c>
      <c r="AQ60" s="505">
        <f>AQ62+AQ66</f>
        <v>1001164.5900000001</v>
      </c>
      <c r="AR60" s="533">
        <f t="shared" si="24"/>
        <v>120</v>
      </c>
      <c r="AS60" s="533">
        <f t="shared" si="25"/>
        <v>100</v>
      </c>
      <c r="AT60" s="533">
        <f t="shared" si="26"/>
        <v>120</v>
      </c>
      <c r="AU60" s="533">
        <f t="shared" si="27"/>
        <v>75.845802272727283</v>
      </c>
      <c r="AV60" s="533">
        <f t="shared" si="28"/>
        <v>91.014962727272732</v>
      </c>
      <c r="AW60" s="612">
        <f>AQ60</f>
        <v>1001164.5900000001</v>
      </c>
      <c r="AX60" s="612"/>
      <c r="AY60" s="612"/>
      <c r="AZ60" s="612"/>
      <c r="BA60" s="612"/>
      <c r="BB60" s="612"/>
      <c r="BC60" s="612"/>
      <c r="BD60" s="612"/>
      <c r="BE60" s="612"/>
      <c r="BF60" s="612"/>
      <c r="BG60" s="612"/>
      <c r="BH60" s="612"/>
      <c r="BI60" s="612"/>
    </row>
    <row r="61" spans="1:61" ht="12" customHeight="1">
      <c r="A61" s="67"/>
      <c r="B61" s="68"/>
      <c r="C61" s="68"/>
      <c r="D61" s="68"/>
      <c r="E61" s="68"/>
      <c r="F61" s="68"/>
      <c r="G61" s="68"/>
      <c r="H61" s="69"/>
      <c r="I61" s="140"/>
      <c r="J61" s="141"/>
      <c r="K61" s="141"/>
      <c r="L61" s="84"/>
      <c r="M61" s="84"/>
      <c r="N61" s="85"/>
      <c r="O61" s="85"/>
      <c r="P61" s="86"/>
      <c r="Q61" s="86"/>
      <c r="R61" s="161"/>
      <c r="S61" s="155"/>
      <c r="T61" s="155"/>
      <c r="U61" s="155"/>
      <c r="V61" s="505"/>
      <c r="W61" s="505"/>
      <c r="X61" s="536"/>
      <c r="Y61" s="537"/>
      <c r="Z61" s="537"/>
      <c r="AA61" s="537"/>
      <c r="AB61" s="537"/>
      <c r="AC61" s="538"/>
      <c r="AD61" s="538"/>
      <c r="AE61" s="529"/>
      <c r="AF61" s="529"/>
      <c r="AG61" s="529"/>
      <c r="AH61" s="529"/>
      <c r="AI61" s="537"/>
      <c r="AJ61" s="537"/>
      <c r="AK61" s="507"/>
      <c r="AL61" s="507"/>
      <c r="AM61" s="507"/>
      <c r="AN61" s="530" t="e">
        <f ca="1">__xlfn.ISFORMULA(#REF!)</f>
        <v>#NAME?</v>
      </c>
      <c r="AO61" s="531" t="e">
        <f ca="1">__xlfn.ISFORMULA(#REF!)</f>
        <v>#NAME?</v>
      </c>
      <c r="AP61" s="510" t="e">
        <f t="shared" ca="1" si="22"/>
        <v>#NAME?</v>
      </c>
      <c r="AQ61" s="505"/>
      <c r="AR61" s="533"/>
      <c r="AS61" s="533"/>
      <c r="AT61" s="533"/>
      <c r="AU61" s="533"/>
      <c r="AV61" s="533"/>
      <c r="AW61" s="612"/>
      <c r="AX61" s="612"/>
      <c r="AY61" s="612"/>
      <c r="AZ61" s="612"/>
      <c r="BA61" s="612"/>
      <c r="BB61" s="612"/>
      <c r="BC61" s="612"/>
      <c r="BD61" s="612"/>
      <c r="BE61" s="612"/>
      <c r="BF61" s="612"/>
      <c r="BG61" s="612"/>
      <c r="BH61" s="612"/>
      <c r="BI61" s="612"/>
    </row>
    <row r="62" spans="1:61" ht="12" customHeight="1">
      <c r="A62" s="51"/>
      <c r="B62" s="52"/>
      <c r="C62" s="52"/>
      <c r="D62" s="52"/>
      <c r="E62" s="52"/>
      <c r="F62" s="52"/>
      <c r="G62" s="52"/>
      <c r="H62" s="63">
        <v>6131</v>
      </c>
      <c r="I62" s="116"/>
      <c r="J62" s="117"/>
      <c r="K62" s="19" t="s">
        <v>118</v>
      </c>
      <c r="L62" s="111">
        <f t="shared" ref="L62:Q62" si="39">L63+L64</f>
        <v>2032629</v>
      </c>
      <c r="M62" s="111">
        <f t="shared" si="39"/>
        <v>269776.22934501292</v>
      </c>
      <c r="N62" s="112">
        <f t="shared" si="39"/>
        <v>2391034</v>
      </c>
      <c r="O62" s="112">
        <f t="shared" si="39"/>
        <v>317344.74749485694</v>
      </c>
      <c r="P62" s="113">
        <f t="shared" si="39"/>
        <v>400000</v>
      </c>
      <c r="Q62" s="113">
        <f t="shared" si="39"/>
        <v>400000</v>
      </c>
      <c r="R62" s="160">
        <v>400000</v>
      </c>
      <c r="S62" s="89">
        <f t="shared" ref="S62:Y62" si="40">S63+S64</f>
        <v>327039.75</v>
      </c>
      <c r="T62" s="89">
        <f t="shared" si="40"/>
        <v>0</v>
      </c>
      <c r="U62" s="89" t="e">
        <f t="shared" ca="1" si="40"/>
        <v>#NAME?</v>
      </c>
      <c r="V62" s="505">
        <f t="shared" si="40"/>
        <v>470000</v>
      </c>
      <c r="W62" s="505">
        <f t="shared" si="40"/>
        <v>470000</v>
      </c>
      <c r="X62" s="506">
        <f t="shared" si="40"/>
        <v>710000</v>
      </c>
      <c r="Y62" s="507">
        <f t="shared" si="40"/>
        <v>850000</v>
      </c>
      <c r="Z62" s="507"/>
      <c r="AA62" s="507"/>
      <c r="AB62" s="507"/>
      <c r="AC62" s="508">
        <f>AC63+AC64</f>
        <v>335000</v>
      </c>
      <c r="AD62" s="508">
        <f>AD63+AD64</f>
        <v>335000</v>
      </c>
      <c r="AE62" s="529">
        <f>O62/M62*100</f>
        <v>117.63258322104033</v>
      </c>
      <c r="AF62" s="529">
        <f t="shared" ref="AF62:AG64" si="41">P62/O62*100</f>
        <v>126.04588642403247</v>
      </c>
      <c r="AG62" s="529">
        <f t="shared" si="41"/>
        <v>100</v>
      </c>
      <c r="AH62" s="529">
        <f>AC62/Q62*100</f>
        <v>83.75</v>
      </c>
      <c r="AI62" s="507"/>
      <c r="AJ62" s="507">
        <v>850000</v>
      </c>
      <c r="AK62" s="507">
        <f t="shared" si="21"/>
        <v>117.5</v>
      </c>
      <c r="AL62" s="507">
        <f t="shared" ref="AL62:AM64" si="42">X62/W62*100</f>
        <v>151.06382978723406</v>
      </c>
      <c r="AM62" s="507">
        <f t="shared" si="42"/>
        <v>119.71830985915493</v>
      </c>
      <c r="AN62" s="530" t="e">
        <f ca="1">__xlfn.ISFORMULA(#REF!)</f>
        <v>#NAME?</v>
      </c>
      <c r="AO62" s="531" t="e">
        <f ca="1">__xlfn.ISFORMULA(#REF!)</f>
        <v>#NAME?</v>
      </c>
      <c r="AP62" s="510" t="e">
        <f t="shared" ca="1" si="22"/>
        <v>#NAME?</v>
      </c>
      <c r="AQ62" s="505">
        <f>AQ63+AQ64</f>
        <v>372707.54000000004</v>
      </c>
      <c r="AR62" s="533">
        <f t="shared" si="24"/>
        <v>117.5</v>
      </c>
      <c r="AS62" s="533">
        <f t="shared" si="25"/>
        <v>100</v>
      </c>
      <c r="AT62" s="533">
        <f t="shared" si="26"/>
        <v>117.5</v>
      </c>
      <c r="AU62" s="533">
        <f t="shared" si="27"/>
        <v>79.299476595744693</v>
      </c>
      <c r="AV62" s="533">
        <f t="shared" si="28"/>
        <v>93.176885000000013</v>
      </c>
      <c r="AW62" s="612"/>
      <c r="AX62" s="612"/>
      <c r="AY62" s="612"/>
      <c r="AZ62" s="612"/>
      <c r="BA62" s="612"/>
      <c r="BB62" s="612"/>
      <c r="BC62" s="612"/>
      <c r="BD62" s="612"/>
      <c r="BE62" s="612"/>
      <c r="BF62" s="612"/>
      <c r="BG62" s="612"/>
      <c r="BH62" s="612"/>
      <c r="BI62" s="612"/>
    </row>
    <row r="63" spans="1:61" ht="12" customHeight="1">
      <c r="A63" s="51"/>
      <c r="B63" s="52"/>
      <c r="C63" s="52"/>
      <c r="D63" s="52"/>
      <c r="E63" s="52"/>
      <c r="F63" s="52"/>
      <c r="G63" s="52"/>
      <c r="H63" s="63">
        <v>61314</v>
      </c>
      <c r="I63" s="116">
        <v>61</v>
      </c>
      <c r="J63" s="117"/>
      <c r="K63" s="19" t="s">
        <v>119</v>
      </c>
      <c r="L63" s="129">
        <v>1000002</v>
      </c>
      <c r="M63" s="129">
        <f>1000002/7.5345</f>
        <v>132723.07386024288</v>
      </c>
      <c r="N63" s="130">
        <v>1291255</v>
      </c>
      <c r="O63" s="130">
        <f>N63/7.5345</f>
        <v>171378.98997942795</v>
      </c>
      <c r="P63" s="131">
        <v>240000</v>
      </c>
      <c r="Q63" s="131">
        <v>240000</v>
      </c>
      <c r="R63" s="157">
        <v>240000</v>
      </c>
      <c r="S63" s="158">
        <v>134973.64000000001</v>
      </c>
      <c r="T63" s="158"/>
      <c r="U63" s="89" t="e">
        <f ca="1">__xlfn.ISFORMULA(S63)</f>
        <v>#NAME?</v>
      </c>
      <c r="V63" s="505">
        <v>250000</v>
      </c>
      <c r="W63" s="505">
        <v>250000</v>
      </c>
      <c r="X63" s="534">
        <v>450000</v>
      </c>
      <c r="Y63" s="535">
        <v>500000</v>
      </c>
      <c r="Z63" s="535"/>
      <c r="AA63" s="535"/>
      <c r="AB63" s="535"/>
      <c r="AC63" s="529">
        <v>175000</v>
      </c>
      <c r="AD63" s="529">
        <v>175000</v>
      </c>
      <c r="AE63" s="529">
        <f>O63/M63*100</f>
        <v>129.1252417495165</v>
      </c>
      <c r="AF63" s="529">
        <f t="shared" si="41"/>
        <v>140.04050323135246</v>
      </c>
      <c r="AG63" s="529">
        <f t="shared" si="41"/>
        <v>100</v>
      </c>
      <c r="AH63" s="529">
        <f>AC63/Q63*100</f>
        <v>72.916666666666657</v>
      </c>
      <c r="AI63" s="535"/>
      <c r="AJ63" s="535">
        <v>500000</v>
      </c>
      <c r="AK63" s="507">
        <f t="shared" si="21"/>
        <v>104.16666666666667</v>
      </c>
      <c r="AL63" s="507">
        <f t="shared" si="42"/>
        <v>180</v>
      </c>
      <c r="AM63" s="507">
        <f t="shared" si="42"/>
        <v>111.11111111111111</v>
      </c>
      <c r="AN63" s="530" t="e">
        <f ca="1">__xlfn.ISFORMULA(#REF!)</f>
        <v>#NAME?</v>
      </c>
      <c r="AO63" s="531" t="e">
        <f ca="1">__xlfn.ISFORMULA(#REF!)</f>
        <v>#NAME?</v>
      </c>
      <c r="AP63" s="510" t="e">
        <f t="shared" ca="1" si="22"/>
        <v>#NAME?</v>
      </c>
      <c r="AQ63" s="505">
        <v>175974.87</v>
      </c>
      <c r="AR63" s="533">
        <f t="shared" si="24"/>
        <v>104.16666666666667</v>
      </c>
      <c r="AS63" s="533">
        <f t="shared" si="25"/>
        <v>100</v>
      </c>
      <c r="AT63" s="533">
        <f t="shared" si="26"/>
        <v>104.16666666666667</v>
      </c>
      <c r="AU63" s="533">
        <f t="shared" si="27"/>
        <v>70.389948000000004</v>
      </c>
      <c r="AV63" s="533">
        <f t="shared" si="28"/>
        <v>73.322862499999999</v>
      </c>
      <c r="AW63" s="612"/>
      <c r="AX63" s="612"/>
      <c r="AY63" s="612"/>
      <c r="AZ63" s="612"/>
      <c r="BA63" s="612"/>
      <c r="BB63" s="612"/>
      <c r="BC63" s="612"/>
      <c r="BD63" s="612"/>
      <c r="BE63" s="612"/>
      <c r="BF63" s="612"/>
      <c r="BG63" s="612"/>
      <c r="BH63" s="612"/>
      <c r="BI63" s="612"/>
    </row>
    <row r="64" spans="1:61" ht="12" customHeight="1">
      <c r="A64" s="51"/>
      <c r="B64" s="52"/>
      <c r="C64" s="52"/>
      <c r="D64" s="52"/>
      <c r="E64" s="52"/>
      <c r="F64" s="52"/>
      <c r="G64" s="52"/>
      <c r="H64" s="63">
        <v>61315</v>
      </c>
      <c r="I64" s="116" t="s">
        <v>120</v>
      </c>
      <c r="J64" s="117"/>
      <c r="K64" s="19" t="s">
        <v>121</v>
      </c>
      <c r="L64" s="129">
        <v>1032627</v>
      </c>
      <c r="M64" s="129">
        <f>1032627/7.5345</f>
        <v>137053.15548477005</v>
      </c>
      <c r="N64" s="130">
        <v>1099779</v>
      </c>
      <c r="O64" s="130">
        <f>N64/7.5345</f>
        <v>145965.75751542902</v>
      </c>
      <c r="P64" s="131">
        <v>160000</v>
      </c>
      <c r="Q64" s="131">
        <v>160000</v>
      </c>
      <c r="R64" s="157">
        <v>160000</v>
      </c>
      <c r="S64" s="158">
        <v>192066.11</v>
      </c>
      <c r="T64" s="158"/>
      <c r="U64" s="89" t="e">
        <f ca="1">__xlfn.ISFORMULA(S64)</f>
        <v>#NAME?</v>
      </c>
      <c r="V64" s="505">
        <v>220000</v>
      </c>
      <c r="W64" s="505">
        <v>220000</v>
      </c>
      <c r="X64" s="534">
        <v>260000</v>
      </c>
      <c r="Y64" s="535">
        <v>350000</v>
      </c>
      <c r="Z64" s="535"/>
      <c r="AA64" s="535"/>
      <c r="AB64" s="535"/>
      <c r="AC64" s="529">
        <v>160000</v>
      </c>
      <c r="AD64" s="529">
        <v>160000</v>
      </c>
      <c r="AE64" s="529">
        <f>O64/M64*100</f>
        <v>106.50302577794307</v>
      </c>
      <c r="AF64" s="529">
        <f t="shared" si="41"/>
        <v>109.61474987247438</v>
      </c>
      <c r="AG64" s="529">
        <f t="shared" si="41"/>
        <v>100</v>
      </c>
      <c r="AH64" s="529">
        <f>AC64/Q64*100</f>
        <v>100</v>
      </c>
      <c r="AI64" s="535"/>
      <c r="AJ64" s="535">
        <v>350000</v>
      </c>
      <c r="AK64" s="507">
        <f t="shared" si="21"/>
        <v>137.5</v>
      </c>
      <c r="AL64" s="507">
        <f t="shared" si="42"/>
        <v>118.18181818181819</v>
      </c>
      <c r="AM64" s="507">
        <f t="shared" si="42"/>
        <v>134.61538461538461</v>
      </c>
      <c r="AN64" s="530" t="e">
        <f ca="1">__xlfn.ISFORMULA(#REF!)</f>
        <v>#NAME?</v>
      </c>
      <c r="AO64" s="531" t="e">
        <f ca="1">__xlfn.ISFORMULA(#REF!)</f>
        <v>#NAME?</v>
      </c>
      <c r="AP64" s="510" t="e">
        <f t="shared" ca="1" si="22"/>
        <v>#NAME?</v>
      </c>
      <c r="AQ64" s="505">
        <v>196732.67</v>
      </c>
      <c r="AR64" s="533">
        <f t="shared" si="24"/>
        <v>137.5</v>
      </c>
      <c r="AS64" s="533">
        <f t="shared" si="25"/>
        <v>100</v>
      </c>
      <c r="AT64" s="533">
        <f t="shared" si="26"/>
        <v>137.5</v>
      </c>
      <c r="AU64" s="533">
        <f t="shared" si="27"/>
        <v>89.423940909090916</v>
      </c>
      <c r="AV64" s="533">
        <f t="shared" si="28"/>
        <v>122.95791875000002</v>
      </c>
      <c r="AW64" s="612"/>
      <c r="AX64" s="612"/>
      <c r="AY64" s="612"/>
      <c r="AZ64" s="612"/>
      <c r="BA64" s="612"/>
      <c r="BB64" s="612"/>
      <c r="BC64" s="612"/>
      <c r="BD64" s="612"/>
      <c r="BE64" s="612"/>
      <c r="BF64" s="612"/>
      <c r="BG64" s="612"/>
      <c r="BH64" s="612"/>
      <c r="BI64" s="612"/>
    </row>
    <row r="65" spans="1:61" ht="12" customHeight="1">
      <c r="A65" s="51"/>
      <c r="B65" s="52"/>
      <c r="C65" s="52"/>
      <c r="D65" s="52"/>
      <c r="E65" s="52"/>
      <c r="F65" s="52"/>
      <c r="G65" s="52"/>
      <c r="H65" s="63"/>
      <c r="I65" s="116"/>
      <c r="J65" s="117"/>
      <c r="K65" s="19"/>
      <c r="L65" s="129"/>
      <c r="M65" s="129"/>
      <c r="N65" s="130"/>
      <c r="O65" s="130"/>
      <c r="P65" s="131"/>
      <c r="Q65" s="131"/>
      <c r="R65" s="157"/>
      <c r="S65" s="158"/>
      <c r="T65" s="158"/>
      <c r="U65" s="89" t="e">
        <f ca="1">__xlfn.ISFORMULA(S65)</f>
        <v>#NAME?</v>
      </c>
      <c r="V65" s="505"/>
      <c r="W65" s="505"/>
      <c r="X65" s="534"/>
      <c r="Y65" s="535"/>
      <c r="Z65" s="535"/>
      <c r="AA65" s="535"/>
      <c r="AB65" s="535"/>
      <c r="AC65" s="529"/>
      <c r="AD65" s="529"/>
      <c r="AE65" s="529"/>
      <c r="AF65" s="529"/>
      <c r="AG65" s="529"/>
      <c r="AH65" s="529"/>
      <c r="AI65" s="535"/>
      <c r="AJ65" s="535"/>
      <c r="AK65" s="507"/>
      <c r="AL65" s="507"/>
      <c r="AM65" s="507"/>
      <c r="AN65" s="530" t="e">
        <f ca="1">__xlfn.ISFORMULA(#REF!)</f>
        <v>#NAME?</v>
      </c>
      <c r="AO65" s="531" t="e">
        <f ca="1">__xlfn.ISFORMULA(#REF!)</f>
        <v>#NAME?</v>
      </c>
      <c r="AP65" s="510" t="e">
        <f t="shared" ca="1" si="22"/>
        <v>#NAME?</v>
      </c>
      <c r="AQ65" s="505"/>
      <c r="AR65" s="533"/>
      <c r="AS65" s="533"/>
      <c r="AT65" s="533"/>
      <c r="AU65" s="533"/>
      <c r="AV65" s="533"/>
      <c r="AW65" s="612"/>
      <c r="AX65" s="612"/>
      <c r="AY65" s="612"/>
      <c r="AZ65" s="612"/>
      <c r="BA65" s="612"/>
      <c r="BB65" s="612"/>
      <c r="BC65" s="612"/>
      <c r="BD65" s="612"/>
      <c r="BE65" s="612"/>
      <c r="BF65" s="612"/>
      <c r="BG65" s="612"/>
      <c r="BH65" s="612"/>
      <c r="BI65" s="612"/>
    </row>
    <row r="66" spans="1:61" ht="12" customHeight="1">
      <c r="A66" s="51"/>
      <c r="B66" s="52"/>
      <c r="C66" s="52"/>
      <c r="D66" s="52"/>
      <c r="E66" s="52"/>
      <c r="F66" s="52"/>
      <c r="G66" s="52"/>
      <c r="H66" s="63">
        <v>6134</v>
      </c>
      <c r="I66" s="116"/>
      <c r="J66" s="117"/>
      <c r="K66" s="19" t="s">
        <v>122</v>
      </c>
      <c r="L66" s="111">
        <f t="shared" ref="L66:Q66" si="43">L67</f>
        <v>4393582</v>
      </c>
      <c r="M66" s="111">
        <f t="shared" si="43"/>
        <v>583128.54203994956</v>
      </c>
      <c r="N66" s="112">
        <f t="shared" si="43"/>
        <v>4809091</v>
      </c>
      <c r="O66" s="112">
        <f t="shared" si="43"/>
        <v>638276.0634415024</v>
      </c>
      <c r="P66" s="113">
        <f t="shared" si="43"/>
        <v>800000</v>
      </c>
      <c r="Q66" s="113">
        <f t="shared" si="43"/>
        <v>700000</v>
      </c>
      <c r="R66" s="160">
        <v>700000</v>
      </c>
      <c r="S66" s="89">
        <f t="shared" ref="S66:Y66" si="44">S67</f>
        <v>450752.45</v>
      </c>
      <c r="T66" s="89">
        <f t="shared" si="44"/>
        <v>0</v>
      </c>
      <c r="U66" s="89" t="e">
        <f t="shared" ca="1" si="44"/>
        <v>#NAME?</v>
      </c>
      <c r="V66" s="505">
        <f t="shared" si="44"/>
        <v>850000</v>
      </c>
      <c r="W66" s="505">
        <f t="shared" si="44"/>
        <v>850000</v>
      </c>
      <c r="X66" s="506">
        <f t="shared" si="44"/>
        <v>900000</v>
      </c>
      <c r="Y66" s="507">
        <f t="shared" si="44"/>
        <v>900000</v>
      </c>
      <c r="Z66" s="507"/>
      <c r="AA66" s="507"/>
      <c r="AB66" s="507"/>
      <c r="AC66" s="508">
        <f>AC67</f>
        <v>800000</v>
      </c>
      <c r="AD66" s="508">
        <f>AD67</f>
        <v>800000</v>
      </c>
      <c r="AE66" s="529">
        <f>O66/M66*100</f>
        <v>109.45718095166997</v>
      </c>
      <c r="AF66" s="529">
        <f>P66/O66*100</f>
        <v>125.33761577811691</v>
      </c>
      <c r="AG66" s="529">
        <f>Q66/P66*100</f>
        <v>87.5</v>
      </c>
      <c r="AH66" s="529">
        <f>AC66/Q66*100</f>
        <v>114.28571428571428</v>
      </c>
      <c r="AI66" s="507"/>
      <c r="AJ66" s="507">
        <v>900000</v>
      </c>
      <c r="AK66" s="507">
        <f t="shared" si="21"/>
        <v>121.42857142857142</v>
      </c>
      <c r="AL66" s="507">
        <f>X66/W66*100</f>
        <v>105.88235294117648</v>
      </c>
      <c r="AM66" s="507">
        <f>Y66/X66*100</f>
        <v>100</v>
      </c>
      <c r="AN66" s="530" t="e">
        <f ca="1">__xlfn.ISFORMULA(#REF!)</f>
        <v>#NAME?</v>
      </c>
      <c r="AO66" s="531" t="e">
        <f ca="1">__xlfn.ISFORMULA(#REF!)</f>
        <v>#NAME?</v>
      </c>
      <c r="AP66" s="510" t="e">
        <f t="shared" ca="1" si="22"/>
        <v>#NAME?</v>
      </c>
      <c r="AQ66" s="505">
        <f>AQ67</f>
        <v>628457.05000000005</v>
      </c>
      <c r="AR66" s="533">
        <f t="shared" si="24"/>
        <v>121.42857142857142</v>
      </c>
      <c r="AS66" s="533">
        <f t="shared" si="25"/>
        <v>100</v>
      </c>
      <c r="AT66" s="533">
        <f t="shared" si="26"/>
        <v>121.42857142857142</v>
      </c>
      <c r="AU66" s="533">
        <f t="shared" si="27"/>
        <v>73.936123529411773</v>
      </c>
      <c r="AV66" s="533">
        <f t="shared" si="28"/>
        <v>89.779578571428573</v>
      </c>
      <c r="AW66" s="612"/>
      <c r="AX66" s="612"/>
      <c r="AY66" s="612"/>
      <c r="AZ66" s="612"/>
      <c r="BA66" s="612"/>
      <c r="BB66" s="612"/>
      <c r="BC66" s="612"/>
      <c r="BD66" s="612"/>
      <c r="BE66" s="612"/>
      <c r="BF66" s="612"/>
      <c r="BG66" s="612"/>
      <c r="BH66" s="612"/>
      <c r="BI66" s="612"/>
    </row>
    <row r="67" spans="1:61" ht="12" customHeight="1">
      <c r="A67" s="51"/>
      <c r="B67" s="52"/>
      <c r="C67" s="52"/>
      <c r="D67" s="52"/>
      <c r="E67" s="52"/>
      <c r="F67" s="52"/>
      <c r="G67" s="52"/>
      <c r="H67" s="63">
        <v>61341</v>
      </c>
      <c r="I67" s="116" t="s">
        <v>123</v>
      </c>
      <c r="J67" s="117"/>
      <c r="K67" s="19" t="s">
        <v>124</v>
      </c>
      <c r="L67" s="129">
        <v>4393582</v>
      </c>
      <c r="M67" s="129">
        <f>4393582/7.5345</f>
        <v>583128.54203994956</v>
      </c>
      <c r="N67" s="130">
        <v>4809091</v>
      </c>
      <c r="O67" s="130">
        <f>N67/7.5345</f>
        <v>638276.0634415024</v>
      </c>
      <c r="P67" s="131">
        <v>800000</v>
      </c>
      <c r="Q67" s="156">
        <v>700000</v>
      </c>
      <c r="R67" s="157">
        <v>700000</v>
      </c>
      <c r="S67" s="158">
        <v>450752.45</v>
      </c>
      <c r="T67" s="158"/>
      <c r="U67" s="89" t="e">
        <f ca="1">__xlfn.ISFORMULA(S67)</f>
        <v>#NAME?</v>
      </c>
      <c r="V67" s="505">
        <v>850000</v>
      </c>
      <c r="W67" s="505">
        <v>850000</v>
      </c>
      <c r="X67" s="534">
        <v>900000</v>
      </c>
      <c r="Y67" s="535">
        <v>900000</v>
      </c>
      <c r="Z67" s="535"/>
      <c r="AA67" s="535"/>
      <c r="AB67" s="535"/>
      <c r="AC67" s="529">
        <v>800000</v>
      </c>
      <c r="AD67" s="529">
        <v>800000</v>
      </c>
      <c r="AE67" s="529">
        <f>O67/M67*100</f>
        <v>109.45718095166997</v>
      </c>
      <c r="AF67" s="529">
        <f>P67/O67*100</f>
        <v>125.33761577811691</v>
      </c>
      <c r="AG67" s="529">
        <f>Q67/P67*100</f>
        <v>87.5</v>
      </c>
      <c r="AH67" s="529">
        <f>AC67/Q67*100</f>
        <v>114.28571428571428</v>
      </c>
      <c r="AI67" s="535"/>
      <c r="AJ67" s="535">
        <v>900000</v>
      </c>
      <c r="AK67" s="507">
        <f t="shared" si="21"/>
        <v>121.42857142857142</v>
      </c>
      <c r="AL67" s="507">
        <f>X67/W67*100</f>
        <v>105.88235294117648</v>
      </c>
      <c r="AM67" s="507">
        <f>Y67/X67*100</f>
        <v>100</v>
      </c>
      <c r="AN67" s="530" t="e">
        <f ca="1">__xlfn.ISFORMULA(#REF!)</f>
        <v>#NAME?</v>
      </c>
      <c r="AO67" s="531" t="e">
        <f ca="1">__xlfn.ISFORMULA(#REF!)</f>
        <v>#NAME?</v>
      </c>
      <c r="AP67" s="510" t="e">
        <f t="shared" ca="1" si="22"/>
        <v>#NAME?</v>
      </c>
      <c r="AQ67" s="505">
        <v>628457.05000000005</v>
      </c>
      <c r="AR67" s="533">
        <f t="shared" si="24"/>
        <v>121.42857142857142</v>
      </c>
      <c r="AS67" s="533">
        <f t="shared" si="25"/>
        <v>100</v>
      </c>
      <c r="AT67" s="533">
        <f t="shared" si="26"/>
        <v>121.42857142857142</v>
      </c>
      <c r="AU67" s="533">
        <f t="shared" si="27"/>
        <v>73.936123529411773</v>
      </c>
      <c r="AV67" s="533">
        <f t="shared" si="28"/>
        <v>89.779578571428573</v>
      </c>
      <c r="AW67" s="612"/>
      <c r="AX67" s="612"/>
      <c r="AY67" s="612"/>
      <c r="AZ67" s="612"/>
      <c r="BA67" s="612"/>
      <c r="BB67" s="612"/>
      <c r="BC67" s="612"/>
      <c r="BD67" s="612"/>
      <c r="BE67" s="612"/>
      <c r="BF67" s="612"/>
      <c r="BG67" s="612"/>
      <c r="BH67" s="612"/>
      <c r="BI67" s="612"/>
    </row>
    <row r="68" spans="1:61" ht="12" customHeight="1">
      <c r="A68" s="51"/>
      <c r="B68" s="52"/>
      <c r="C68" s="52"/>
      <c r="D68" s="52"/>
      <c r="E68" s="52"/>
      <c r="F68" s="52"/>
      <c r="G68" s="52"/>
      <c r="H68" s="63"/>
      <c r="I68" s="116"/>
      <c r="J68" s="117"/>
      <c r="K68" s="19"/>
      <c r="L68" s="118"/>
      <c r="M68" s="118"/>
      <c r="N68" s="119"/>
      <c r="O68" s="119"/>
      <c r="P68" s="120"/>
      <c r="Q68" s="120"/>
      <c r="R68" s="178"/>
      <c r="S68" s="152"/>
      <c r="T68" s="152"/>
      <c r="U68" s="89" t="e">
        <f ca="1">__xlfn.ISFORMULA(S68)</f>
        <v>#NAME?</v>
      </c>
      <c r="V68" s="505"/>
      <c r="W68" s="505"/>
      <c r="X68" s="534"/>
      <c r="Y68" s="535"/>
      <c r="Z68" s="535"/>
      <c r="AA68" s="535"/>
      <c r="AB68" s="535"/>
      <c r="AC68" s="529"/>
      <c r="AD68" s="529"/>
      <c r="AE68" s="529"/>
      <c r="AF68" s="529"/>
      <c r="AG68" s="529"/>
      <c r="AH68" s="529"/>
      <c r="AI68" s="535"/>
      <c r="AJ68" s="535"/>
      <c r="AK68" s="507"/>
      <c r="AL68" s="507"/>
      <c r="AM68" s="507"/>
      <c r="AN68" s="530" t="e">
        <f ca="1">__xlfn.ISFORMULA(#REF!)</f>
        <v>#NAME?</v>
      </c>
      <c r="AO68" s="531" t="e">
        <f ca="1">__xlfn.ISFORMULA(#REF!)</f>
        <v>#NAME?</v>
      </c>
      <c r="AP68" s="510" t="e">
        <f t="shared" ca="1" si="22"/>
        <v>#NAME?</v>
      </c>
      <c r="AQ68" s="505"/>
      <c r="AR68" s="533"/>
      <c r="AS68" s="533"/>
      <c r="AT68" s="533"/>
      <c r="AU68" s="533"/>
      <c r="AV68" s="533"/>
      <c r="AW68" s="612"/>
      <c r="AX68" s="612"/>
      <c r="AY68" s="612"/>
      <c r="AZ68" s="612"/>
      <c r="BA68" s="612"/>
      <c r="BB68" s="612"/>
      <c r="BC68" s="612"/>
      <c r="BD68" s="612"/>
      <c r="BE68" s="612"/>
      <c r="BF68" s="612"/>
      <c r="BG68" s="612"/>
      <c r="BH68" s="612"/>
      <c r="BI68" s="612"/>
    </row>
    <row r="69" spans="1:61" ht="12" customHeight="1">
      <c r="A69" s="60"/>
      <c r="B69" s="61"/>
      <c r="C69" s="61"/>
      <c r="D69" s="61"/>
      <c r="E69" s="61"/>
      <c r="F69" s="61"/>
      <c r="G69" s="61"/>
      <c r="H69" s="62">
        <v>614</v>
      </c>
      <c r="I69" s="127"/>
      <c r="J69" s="128"/>
      <c r="K69" s="20" t="s">
        <v>125</v>
      </c>
      <c r="L69" s="111">
        <f t="shared" ref="L69:Q69" si="45">L71+L74</f>
        <v>336678</v>
      </c>
      <c r="M69" s="111">
        <f t="shared" si="45"/>
        <v>44684.849691419469</v>
      </c>
      <c r="N69" s="112">
        <f t="shared" si="45"/>
        <v>518273</v>
      </c>
      <c r="O69" s="112">
        <f t="shared" si="45"/>
        <v>68786.648085473484</v>
      </c>
      <c r="P69" s="113">
        <f t="shared" si="45"/>
        <v>75000</v>
      </c>
      <c r="Q69" s="113">
        <f t="shared" si="45"/>
        <v>90000</v>
      </c>
      <c r="R69" s="160">
        <v>90000</v>
      </c>
      <c r="S69" s="89">
        <f t="shared" ref="S69:Y69" si="46">S71+S74</f>
        <v>61424</v>
      </c>
      <c r="T69" s="89">
        <f t="shared" si="46"/>
        <v>0</v>
      </c>
      <c r="U69" s="89" t="e">
        <f t="shared" ca="1" si="46"/>
        <v>#NAME?</v>
      </c>
      <c r="V69" s="505">
        <f t="shared" si="46"/>
        <v>100000</v>
      </c>
      <c r="W69" s="505">
        <f t="shared" si="46"/>
        <v>100000</v>
      </c>
      <c r="X69" s="506">
        <f t="shared" si="46"/>
        <v>120000</v>
      </c>
      <c r="Y69" s="507">
        <f t="shared" si="46"/>
        <v>150000</v>
      </c>
      <c r="Z69" s="507"/>
      <c r="AA69" s="507"/>
      <c r="AB69" s="507"/>
      <c r="AC69" s="508">
        <f>AC71+AC74</f>
        <v>75000</v>
      </c>
      <c r="AD69" s="508">
        <f>AD71+AD74</f>
        <v>75000</v>
      </c>
      <c r="AE69" s="529">
        <f>O69/M69*100</f>
        <v>153.93729320003089</v>
      </c>
      <c r="AF69" s="529">
        <f>P69/O69*100</f>
        <v>109.03278773928027</v>
      </c>
      <c r="AG69" s="529">
        <f>Q69/P69*100</f>
        <v>120</v>
      </c>
      <c r="AH69" s="529">
        <f>AC69/Q69*100</f>
        <v>83.333333333333343</v>
      </c>
      <c r="AI69" s="507"/>
      <c r="AJ69" s="507">
        <v>150000</v>
      </c>
      <c r="AK69" s="507">
        <f t="shared" si="21"/>
        <v>111.11111111111111</v>
      </c>
      <c r="AL69" s="507">
        <f>X69/W69*100</f>
        <v>120</v>
      </c>
      <c r="AM69" s="507">
        <f>Y69/X69*100</f>
        <v>125</v>
      </c>
      <c r="AN69" s="530" t="e">
        <f ca="1">__xlfn.ISFORMULA(#REF!)</f>
        <v>#NAME?</v>
      </c>
      <c r="AO69" s="531" t="e">
        <f ca="1">__xlfn.ISFORMULA(#REF!)</f>
        <v>#NAME?</v>
      </c>
      <c r="AP69" s="510" t="e">
        <f t="shared" ca="1" si="22"/>
        <v>#NAME?</v>
      </c>
      <c r="AQ69" s="505">
        <f>AQ71+AQ74</f>
        <v>91531.25</v>
      </c>
      <c r="AR69" s="533">
        <f t="shared" si="24"/>
        <v>111.11111111111111</v>
      </c>
      <c r="AS69" s="533">
        <f t="shared" si="25"/>
        <v>100</v>
      </c>
      <c r="AT69" s="533">
        <f t="shared" si="26"/>
        <v>111.11111111111111</v>
      </c>
      <c r="AU69" s="533">
        <f t="shared" si="27"/>
        <v>91.53125</v>
      </c>
      <c r="AV69" s="533">
        <f t="shared" si="28"/>
        <v>101.70138888888889</v>
      </c>
      <c r="AW69" s="612">
        <f>AQ69</f>
        <v>91531.25</v>
      </c>
      <c r="AX69" s="612"/>
      <c r="AY69" s="612"/>
      <c r="AZ69" s="612"/>
      <c r="BA69" s="612"/>
      <c r="BB69" s="612"/>
      <c r="BC69" s="612"/>
      <c r="BD69" s="612"/>
      <c r="BE69" s="612"/>
      <c r="BF69" s="612"/>
      <c r="BG69" s="612"/>
      <c r="BH69" s="612"/>
      <c r="BI69" s="612"/>
    </row>
    <row r="70" spans="1:61" ht="12" customHeight="1">
      <c r="A70" s="51"/>
      <c r="B70" s="52"/>
      <c r="C70" s="52"/>
      <c r="D70" s="52"/>
      <c r="E70" s="52"/>
      <c r="F70" s="52"/>
      <c r="G70" s="52"/>
      <c r="H70" s="63"/>
      <c r="I70" s="116"/>
      <c r="J70" s="117"/>
      <c r="K70" s="19"/>
      <c r="L70" s="111"/>
      <c r="M70" s="111"/>
      <c r="N70" s="112"/>
      <c r="O70" s="112"/>
      <c r="P70" s="113"/>
      <c r="Q70" s="113"/>
      <c r="R70" s="160"/>
      <c r="S70" s="89"/>
      <c r="T70" s="89"/>
      <c r="U70" s="89"/>
      <c r="V70" s="505"/>
      <c r="W70" s="505"/>
      <c r="X70" s="506"/>
      <c r="Y70" s="507"/>
      <c r="Z70" s="507"/>
      <c r="AA70" s="507"/>
      <c r="AB70" s="507"/>
      <c r="AC70" s="508"/>
      <c r="AD70" s="508"/>
      <c r="AE70" s="529"/>
      <c r="AF70" s="529"/>
      <c r="AG70" s="529"/>
      <c r="AH70" s="529"/>
      <c r="AI70" s="507"/>
      <c r="AJ70" s="507"/>
      <c r="AK70" s="507"/>
      <c r="AL70" s="507"/>
      <c r="AM70" s="507"/>
      <c r="AN70" s="530" t="e">
        <f ca="1">__xlfn.ISFORMULA(#REF!)</f>
        <v>#NAME?</v>
      </c>
      <c r="AO70" s="531" t="e">
        <f ca="1">__xlfn.ISFORMULA(#REF!)</f>
        <v>#NAME?</v>
      </c>
      <c r="AP70" s="510" t="e">
        <f t="shared" ca="1" si="22"/>
        <v>#NAME?</v>
      </c>
      <c r="AQ70" s="505"/>
      <c r="AR70" s="533"/>
      <c r="AS70" s="533"/>
      <c r="AT70" s="533"/>
      <c r="AU70" s="533"/>
      <c r="AV70" s="533"/>
      <c r="AW70" s="612"/>
      <c r="AX70" s="612"/>
      <c r="AY70" s="612"/>
      <c r="AZ70" s="612"/>
      <c r="BA70" s="612"/>
      <c r="BB70" s="612"/>
      <c r="BC70" s="612"/>
      <c r="BD70" s="612"/>
      <c r="BE70" s="612"/>
      <c r="BF70" s="612"/>
      <c r="BG70" s="612"/>
      <c r="BH70" s="612"/>
      <c r="BI70" s="612"/>
    </row>
    <row r="71" spans="1:61" ht="12" customHeight="1">
      <c r="A71" s="51"/>
      <c r="B71" s="52"/>
      <c r="C71" s="52"/>
      <c r="D71" s="52"/>
      <c r="E71" s="52"/>
      <c r="F71" s="52"/>
      <c r="G71" s="52"/>
      <c r="H71" s="63">
        <v>6142</v>
      </c>
      <c r="I71" s="116"/>
      <c r="J71" s="117"/>
      <c r="K71" s="19" t="s">
        <v>126</v>
      </c>
      <c r="L71" s="111">
        <f t="shared" ref="L71:Q71" si="47">L72</f>
        <v>336678</v>
      </c>
      <c r="M71" s="111">
        <f t="shared" si="47"/>
        <v>44684.849691419469</v>
      </c>
      <c r="N71" s="112">
        <f t="shared" si="47"/>
        <v>518273</v>
      </c>
      <c r="O71" s="112">
        <f t="shared" si="47"/>
        <v>68786.648085473484</v>
      </c>
      <c r="P71" s="113">
        <f t="shared" si="47"/>
        <v>75000</v>
      </c>
      <c r="Q71" s="113">
        <f t="shared" si="47"/>
        <v>90000</v>
      </c>
      <c r="R71" s="160">
        <v>90000</v>
      </c>
      <c r="S71" s="89">
        <f t="shared" ref="S71:Y71" si="48">S72</f>
        <v>61424</v>
      </c>
      <c r="T71" s="89">
        <f t="shared" si="48"/>
        <v>0</v>
      </c>
      <c r="U71" s="89" t="e">
        <f t="shared" ca="1" si="48"/>
        <v>#NAME?</v>
      </c>
      <c r="V71" s="505">
        <f t="shared" si="48"/>
        <v>100000</v>
      </c>
      <c r="W71" s="505">
        <f t="shared" si="48"/>
        <v>100000</v>
      </c>
      <c r="X71" s="506">
        <f t="shared" si="48"/>
        <v>120000</v>
      </c>
      <c r="Y71" s="507">
        <f t="shared" si="48"/>
        <v>150000</v>
      </c>
      <c r="Z71" s="507"/>
      <c r="AA71" s="507"/>
      <c r="AB71" s="507"/>
      <c r="AC71" s="508">
        <f>AC72</f>
        <v>75000</v>
      </c>
      <c r="AD71" s="508">
        <f>AD72</f>
        <v>75000</v>
      </c>
      <c r="AE71" s="529">
        <f>O71/M71*100</f>
        <v>153.93729320003089</v>
      </c>
      <c r="AF71" s="529">
        <f>P71/O71*100</f>
        <v>109.03278773928027</v>
      </c>
      <c r="AG71" s="529">
        <f>Q71/P71*100</f>
        <v>120</v>
      </c>
      <c r="AH71" s="529">
        <f>AC71/Q71*100</f>
        <v>83.333333333333343</v>
      </c>
      <c r="AI71" s="507"/>
      <c r="AJ71" s="507">
        <v>150000</v>
      </c>
      <c r="AK71" s="507">
        <f t="shared" si="21"/>
        <v>111.11111111111111</v>
      </c>
      <c r="AL71" s="507">
        <f>X71/W71*100</f>
        <v>120</v>
      </c>
      <c r="AM71" s="507">
        <f>Y71/X71*100</f>
        <v>125</v>
      </c>
      <c r="AN71" s="530" t="e">
        <f ca="1">__xlfn.ISFORMULA(#REF!)</f>
        <v>#NAME?</v>
      </c>
      <c r="AO71" s="531" t="e">
        <f ca="1">__xlfn.ISFORMULA(#REF!)</f>
        <v>#NAME?</v>
      </c>
      <c r="AP71" s="510" t="e">
        <f t="shared" ca="1" si="22"/>
        <v>#NAME?</v>
      </c>
      <c r="AQ71" s="505">
        <f>AQ72</f>
        <v>91531.25</v>
      </c>
      <c r="AR71" s="533">
        <f t="shared" si="24"/>
        <v>111.11111111111111</v>
      </c>
      <c r="AS71" s="533">
        <f t="shared" si="25"/>
        <v>100</v>
      </c>
      <c r="AT71" s="533">
        <f t="shared" si="26"/>
        <v>111.11111111111111</v>
      </c>
      <c r="AU71" s="533">
        <f t="shared" si="27"/>
        <v>91.53125</v>
      </c>
      <c r="AV71" s="533">
        <f t="shared" si="28"/>
        <v>101.70138888888889</v>
      </c>
      <c r="AW71" s="612"/>
      <c r="AX71" s="612"/>
      <c r="AY71" s="612"/>
      <c r="AZ71" s="612"/>
      <c r="BA71" s="612"/>
      <c r="BB71" s="612"/>
      <c r="BC71" s="612"/>
      <c r="BD71" s="612"/>
      <c r="BE71" s="612"/>
      <c r="BF71" s="612"/>
      <c r="BG71" s="612"/>
      <c r="BH71" s="612"/>
      <c r="BI71" s="612"/>
    </row>
    <row r="72" spans="1:61" ht="12" customHeight="1">
      <c r="A72" s="51"/>
      <c r="B72" s="52"/>
      <c r="C72" s="52"/>
      <c r="D72" s="52"/>
      <c r="E72" s="52"/>
      <c r="F72" s="52"/>
      <c r="G72" s="52"/>
      <c r="H72" s="63">
        <v>61424</v>
      </c>
      <c r="I72" s="116" t="s">
        <v>127</v>
      </c>
      <c r="J72" s="117"/>
      <c r="K72" s="19" t="s">
        <v>128</v>
      </c>
      <c r="L72" s="129">
        <v>336678</v>
      </c>
      <c r="M72" s="129">
        <f>336678/7.5345</f>
        <v>44684.849691419469</v>
      </c>
      <c r="N72" s="130">
        <v>518273</v>
      </c>
      <c r="O72" s="130">
        <f>N72/7.5345</f>
        <v>68786.648085473484</v>
      </c>
      <c r="P72" s="131">
        <v>75000</v>
      </c>
      <c r="Q72" s="156">
        <v>90000</v>
      </c>
      <c r="R72" s="157">
        <v>90000</v>
      </c>
      <c r="S72" s="158">
        <v>61424</v>
      </c>
      <c r="T72" s="158"/>
      <c r="U72" s="89" t="e">
        <f ca="1">__xlfn.ISFORMULA(S72)</f>
        <v>#NAME?</v>
      </c>
      <c r="V72" s="505">
        <v>100000</v>
      </c>
      <c r="W72" s="505">
        <v>100000</v>
      </c>
      <c r="X72" s="534">
        <v>120000</v>
      </c>
      <c r="Y72" s="535">
        <v>150000</v>
      </c>
      <c r="Z72" s="535"/>
      <c r="AA72" s="535"/>
      <c r="AB72" s="535"/>
      <c r="AC72" s="529">
        <v>75000</v>
      </c>
      <c r="AD72" s="529">
        <v>75000</v>
      </c>
      <c r="AE72" s="529">
        <f>O72/M72*100</f>
        <v>153.93729320003089</v>
      </c>
      <c r="AF72" s="529">
        <f>P72/O72*100</f>
        <v>109.03278773928027</v>
      </c>
      <c r="AG72" s="529">
        <f>Q72/P72*100</f>
        <v>120</v>
      </c>
      <c r="AH72" s="529">
        <f>AC72/Q72*100</f>
        <v>83.333333333333343</v>
      </c>
      <c r="AI72" s="535"/>
      <c r="AJ72" s="535">
        <v>150000</v>
      </c>
      <c r="AK72" s="507">
        <f t="shared" si="21"/>
        <v>111.11111111111111</v>
      </c>
      <c r="AL72" s="507">
        <f>X72/W72*100</f>
        <v>120</v>
      </c>
      <c r="AM72" s="507">
        <f>Y72/X72*100</f>
        <v>125</v>
      </c>
      <c r="AN72" s="530" t="e">
        <f ca="1">__xlfn.ISFORMULA(#REF!)</f>
        <v>#NAME?</v>
      </c>
      <c r="AO72" s="531" t="e">
        <f ca="1">__xlfn.ISFORMULA(#REF!)</f>
        <v>#NAME?</v>
      </c>
      <c r="AP72" s="510" t="e">
        <f t="shared" ca="1" si="22"/>
        <v>#NAME?</v>
      </c>
      <c r="AQ72" s="505">
        <v>91531.25</v>
      </c>
      <c r="AR72" s="533">
        <f t="shared" si="24"/>
        <v>111.11111111111111</v>
      </c>
      <c r="AS72" s="533">
        <f t="shared" si="25"/>
        <v>100</v>
      </c>
      <c r="AT72" s="533">
        <f t="shared" si="26"/>
        <v>111.11111111111111</v>
      </c>
      <c r="AU72" s="533">
        <f t="shared" si="27"/>
        <v>91.53125</v>
      </c>
      <c r="AV72" s="533">
        <f t="shared" si="28"/>
        <v>101.70138888888889</v>
      </c>
      <c r="AW72" s="612"/>
      <c r="AX72" s="612"/>
      <c r="AY72" s="612"/>
      <c r="AZ72" s="612"/>
      <c r="BA72" s="612"/>
      <c r="BB72" s="612"/>
      <c r="BC72" s="612"/>
      <c r="BD72" s="612"/>
      <c r="BE72" s="612"/>
      <c r="BF72" s="612"/>
      <c r="BG72" s="612"/>
      <c r="BH72" s="612"/>
      <c r="BI72" s="612"/>
    </row>
    <row r="73" spans="1:61" ht="12" customHeight="1">
      <c r="A73" s="51"/>
      <c r="B73" s="52"/>
      <c r="C73" s="52"/>
      <c r="D73" s="52"/>
      <c r="E73" s="52"/>
      <c r="F73" s="52"/>
      <c r="G73" s="52"/>
      <c r="H73" s="63"/>
      <c r="I73" s="116"/>
      <c r="J73" s="117"/>
      <c r="K73" s="19"/>
      <c r="L73" s="118"/>
      <c r="M73" s="118"/>
      <c r="N73" s="119"/>
      <c r="O73" s="119"/>
      <c r="P73" s="120"/>
      <c r="Q73" s="120"/>
      <c r="R73" s="178"/>
      <c r="S73" s="152"/>
      <c r="T73" s="152"/>
      <c r="U73" s="89" t="e">
        <f ca="1">__xlfn.ISFORMULA(S73)</f>
        <v>#NAME?</v>
      </c>
      <c r="V73" s="505"/>
      <c r="W73" s="505"/>
      <c r="X73" s="534"/>
      <c r="Y73" s="535"/>
      <c r="Z73" s="535"/>
      <c r="AA73" s="535"/>
      <c r="AB73" s="535"/>
      <c r="AC73" s="529"/>
      <c r="AD73" s="529"/>
      <c r="AE73" s="529"/>
      <c r="AF73" s="529"/>
      <c r="AG73" s="529"/>
      <c r="AH73" s="529"/>
      <c r="AI73" s="535"/>
      <c r="AJ73" s="535"/>
      <c r="AK73" s="507"/>
      <c r="AL73" s="507"/>
      <c r="AM73" s="507"/>
      <c r="AN73" s="530" t="e">
        <f ca="1">__xlfn.ISFORMULA(#REF!)</f>
        <v>#NAME?</v>
      </c>
      <c r="AO73" s="531" t="e">
        <f ca="1">__xlfn.ISFORMULA(#REF!)</f>
        <v>#NAME?</v>
      </c>
      <c r="AP73" s="510" t="e">
        <f t="shared" ca="1" si="22"/>
        <v>#NAME?</v>
      </c>
      <c r="AQ73" s="505"/>
      <c r="AR73" s="533"/>
      <c r="AS73" s="533"/>
      <c r="AT73" s="533"/>
      <c r="AU73" s="533"/>
      <c r="AV73" s="533"/>
      <c r="AW73" s="612"/>
      <c r="AX73" s="612"/>
      <c r="AY73" s="612"/>
      <c r="AZ73" s="612"/>
      <c r="BA73" s="612"/>
      <c r="BB73" s="612"/>
      <c r="BC73" s="612"/>
      <c r="BD73" s="612"/>
      <c r="BE73" s="612"/>
      <c r="BF73" s="612"/>
      <c r="BG73" s="612"/>
      <c r="BH73" s="612"/>
      <c r="BI73" s="612"/>
    </row>
    <row r="74" spans="1:61" ht="12" customHeight="1">
      <c r="A74" s="51"/>
      <c r="B74" s="52"/>
      <c r="C74" s="52"/>
      <c r="D74" s="52"/>
      <c r="E74" s="52"/>
      <c r="F74" s="52"/>
      <c r="G74" s="52"/>
      <c r="H74" s="63">
        <v>6145</v>
      </c>
      <c r="I74" s="116"/>
      <c r="J74" s="117"/>
      <c r="K74" s="19" t="s">
        <v>129</v>
      </c>
      <c r="L74" s="111">
        <f t="shared" ref="L74:Q74" si="49">L75</f>
        <v>0</v>
      </c>
      <c r="M74" s="111">
        <f t="shared" si="49"/>
        <v>0</v>
      </c>
      <c r="N74" s="112">
        <f t="shared" si="49"/>
        <v>0</v>
      </c>
      <c r="O74" s="112">
        <f t="shared" si="49"/>
        <v>0</v>
      </c>
      <c r="P74" s="113">
        <f t="shared" si="49"/>
        <v>0</v>
      </c>
      <c r="Q74" s="113">
        <f t="shared" si="49"/>
        <v>0</v>
      </c>
      <c r="R74" s="160">
        <v>0</v>
      </c>
      <c r="S74" s="89"/>
      <c r="T74" s="89"/>
      <c r="U74" s="89" t="e">
        <f ca="1">__xlfn.ISFORMULA(S74)</f>
        <v>#NAME?</v>
      </c>
      <c r="V74" s="505"/>
      <c r="W74" s="505"/>
      <c r="X74" s="506"/>
      <c r="Y74" s="507"/>
      <c r="Z74" s="507"/>
      <c r="AA74" s="507"/>
      <c r="AB74" s="507"/>
      <c r="AC74" s="508">
        <f>AC75</f>
        <v>0</v>
      </c>
      <c r="AD74" s="508">
        <f>AD75</f>
        <v>0</v>
      </c>
      <c r="AE74" s="529"/>
      <c r="AF74" s="529"/>
      <c r="AG74" s="529"/>
      <c r="AH74" s="529"/>
      <c r="AI74" s="507"/>
      <c r="AJ74" s="507"/>
      <c r="AK74" s="507"/>
      <c r="AL74" s="507"/>
      <c r="AM74" s="507"/>
      <c r="AN74" s="530" t="e">
        <f ca="1">__xlfn.ISFORMULA(#REF!)</f>
        <v>#NAME?</v>
      </c>
      <c r="AO74" s="531" t="e">
        <f ca="1">__xlfn.ISFORMULA(#REF!)</f>
        <v>#NAME?</v>
      </c>
      <c r="AP74" s="510" t="e">
        <f t="shared" ca="1" si="22"/>
        <v>#NAME?</v>
      </c>
      <c r="AQ74" s="505"/>
      <c r="AR74" s="533"/>
      <c r="AS74" s="533"/>
      <c r="AT74" s="533"/>
      <c r="AU74" s="533"/>
      <c r="AV74" s="533"/>
      <c r="AW74" s="612"/>
      <c r="AX74" s="612"/>
      <c r="AY74" s="612"/>
      <c r="AZ74" s="612"/>
      <c r="BA74" s="612"/>
      <c r="BB74" s="612"/>
      <c r="BC74" s="612"/>
      <c r="BD74" s="612"/>
      <c r="BE74" s="612"/>
      <c r="BF74" s="612"/>
      <c r="BG74" s="612"/>
      <c r="BH74" s="612"/>
      <c r="BI74" s="612"/>
    </row>
    <row r="75" spans="1:61" ht="12" customHeight="1">
      <c r="A75" s="51"/>
      <c r="B75" s="52"/>
      <c r="C75" s="52"/>
      <c r="D75" s="52"/>
      <c r="E75" s="52"/>
      <c r="F75" s="52"/>
      <c r="G75" s="52"/>
      <c r="H75" s="63">
        <v>61453</v>
      </c>
      <c r="I75" s="116"/>
      <c r="J75" s="117"/>
      <c r="K75" s="19" t="s">
        <v>130</v>
      </c>
      <c r="L75" s="129">
        <v>0</v>
      </c>
      <c r="M75" s="129">
        <v>0</v>
      </c>
      <c r="N75" s="130">
        <v>0</v>
      </c>
      <c r="O75" s="130">
        <v>0</v>
      </c>
      <c r="P75" s="131">
        <v>0</v>
      </c>
      <c r="Q75" s="131">
        <v>0</v>
      </c>
      <c r="R75" s="157">
        <v>0</v>
      </c>
      <c r="S75" s="158"/>
      <c r="T75" s="158"/>
      <c r="U75" s="89" t="e">
        <f ca="1">__xlfn.ISFORMULA(S75)</f>
        <v>#NAME?</v>
      </c>
      <c r="V75" s="505"/>
      <c r="W75" s="505"/>
      <c r="X75" s="534"/>
      <c r="Y75" s="535"/>
      <c r="Z75" s="535"/>
      <c r="AA75" s="535"/>
      <c r="AB75" s="535"/>
      <c r="AC75" s="529">
        <v>0</v>
      </c>
      <c r="AD75" s="529">
        <v>0</v>
      </c>
      <c r="AE75" s="529"/>
      <c r="AF75" s="529"/>
      <c r="AG75" s="529"/>
      <c r="AH75" s="529"/>
      <c r="AI75" s="535"/>
      <c r="AJ75" s="535"/>
      <c r="AK75" s="507"/>
      <c r="AL75" s="507"/>
      <c r="AM75" s="507"/>
      <c r="AN75" s="530" t="e">
        <f ca="1">__xlfn.ISFORMULA(#REF!)</f>
        <v>#NAME?</v>
      </c>
      <c r="AO75" s="531" t="e">
        <f ca="1">__xlfn.ISFORMULA(#REF!)</f>
        <v>#NAME?</v>
      </c>
      <c r="AP75" s="510" t="e">
        <f t="shared" ca="1" si="22"/>
        <v>#NAME?</v>
      </c>
      <c r="AQ75" s="505"/>
      <c r="AR75" s="533"/>
      <c r="AS75" s="533"/>
      <c r="AT75" s="533"/>
      <c r="AU75" s="533"/>
      <c r="AV75" s="533"/>
      <c r="AW75" s="612"/>
      <c r="AX75" s="612"/>
      <c r="AY75" s="612"/>
      <c r="AZ75" s="612"/>
      <c r="BA75" s="612"/>
      <c r="BB75" s="612"/>
      <c r="BC75" s="612"/>
      <c r="BD75" s="612"/>
      <c r="BE75" s="612"/>
      <c r="BF75" s="612"/>
      <c r="BG75" s="612"/>
      <c r="BH75" s="612"/>
      <c r="BI75" s="612"/>
    </row>
    <row r="76" spans="1:61" ht="12" customHeight="1">
      <c r="A76" s="51"/>
      <c r="B76" s="52"/>
      <c r="C76" s="52"/>
      <c r="D76" s="52"/>
      <c r="E76" s="52"/>
      <c r="F76" s="52"/>
      <c r="G76" s="52"/>
      <c r="H76" s="63"/>
      <c r="I76" s="116"/>
      <c r="J76" s="117"/>
      <c r="K76" s="19"/>
      <c r="L76" s="129"/>
      <c r="M76" s="129"/>
      <c r="N76" s="130"/>
      <c r="O76" s="130"/>
      <c r="P76" s="131"/>
      <c r="Q76" s="131"/>
      <c r="R76" s="157"/>
      <c r="S76" s="89"/>
      <c r="T76" s="89"/>
      <c r="U76" s="89" t="e">
        <f ca="1">__xlfn.ISFORMULA(S76)</f>
        <v>#NAME?</v>
      </c>
      <c r="V76" s="505"/>
      <c r="W76" s="505"/>
      <c r="X76" s="534"/>
      <c r="Y76" s="535"/>
      <c r="Z76" s="507"/>
      <c r="AA76" s="507"/>
      <c r="AB76" s="507"/>
      <c r="AC76" s="529"/>
      <c r="AD76" s="529"/>
      <c r="AE76" s="529"/>
      <c r="AF76" s="529"/>
      <c r="AG76" s="529"/>
      <c r="AH76" s="529"/>
      <c r="AI76" s="507"/>
      <c r="AJ76" s="535"/>
      <c r="AK76" s="507"/>
      <c r="AL76" s="507"/>
      <c r="AM76" s="507"/>
      <c r="AN76" s="530" t="e">
        <f ca="1">__xlfn.ISFORMULA(#REF!)</f>
        <v>#NAME?</v>
      </c>
      <c r="AO76" s="531" t="e">
        <f ca="1">__xlfn.ISFORMULA(#REF!)</f>
        <v>#NAME?</v>
      </c>
      <c r="AP76" s="510" t="e">
        <f t="shared" ca="1" si="22"/>
        <v>#NAME?</v>
      </c>
      <c r="AQ76" s="505"/>
      <c r="AR76" s="533"/>
      <c r="AS76" s="533"/>
      <c r="AT76" s="533"/>
      <c r="AU76" s="533"/>
      <c r="AV76" s="533"/>
      <c r="AW76" s="612"/>
      <c r="AX76" s="612"/>
      <c r="AY76" s="612"/>
      <c r="AZ76" s="612"/>
      <c r="BA76" s="612"/>
      <c r="BB76" s="612"/>
      <c r="BC76" s="612"/>
      <c r="BD76" s="612"/>
      <c r="BE76" s="612"/>
      <c r="BF76" s="612"/>
      <c r="BG76" s="612"/>
      <c r="BH76" s="612"/>
      <c r="BI76" s="612"/>
    </row>
    <row r="77" spans="1:61" ht="12" customHeight="1">
      <c r="A77" s="57"/>
      <c r="B77" s="58"/>
      <c r="C77" s="58"/>
      <c r="D77" s="58"/>
      <c r="E77" s="58"/>
      <c r="F77" s="58"/>
      <c r="G77" s="58"/>
      <c r="H77" s="59">
        <v>63</v>
      </c>
      <c r="I77" s="124"/>
      <c r="J77" s="125"/>
      <c r="K77" s="126" t="s">
        <v>131</v>
      </c>
      <c r="L77" s="111">
        <f t="shared" ref="L77:Q77" si="50">L79+L91+L94</f>
        <v>6168546</v>
      </c>
      <c r="M77" s="111">
        <f t="shared" si="50"/>
        <v>818706.74895480787</v>
      </c>
      <c r="N77" s="112">
        <f t="shared" si="50"/>
        <v>2956331</v>
      </c>
      <c r="O77" s="112">
        <f t="shared" si="50"/>
        <v>392372.55292321986</v>
      </c>
      <c r="P77" s="113">
        <f t="shared" si="50"/>
        <v>984250</v>
      </c>
      <c r="Q77" s="113">
        <f t="shared" si="50"/>
        <v>572700</v>
      </c>
      <c r="R77" s="160">
        <v>572700</v>
      </c>
      <c r="S77" s="89">
        <f t="shared" ref="S77:Y77" si="51">S79+S91+S94</f>
        <v>419091.94</v>
      </c>
      <c r="T77" s="89">
        <f t="shared" si="51"/>
        <v>0</v>
      </c>
      <c r="U77" s="89" t="e">
        <f t="shared" ca="1" si="51"/>
        <v>#NAME?</v>
      </c>
      <c r="V77" s="505">
        <f t="shared" si="51"/>
        <v>754970</v>
      </c>
      <c r="W77" s="505">
        <f t="shared" si="51"/>
        <v>754970</v>
      </c>
      <c r="X77" s="506">
        <f t="shared" si="51"/>
        <v>934000</v>
      </c>
      <c r="Y77" s="507">
        <f t="shared" si="51"/>
        <v>885000</v>
      </c>
      <c r="Z77" s="507"/>
      <c r="AA77" s="507"/>
      <c r="AB77" s="507"/>
      <c r="AC77" s="508">
        <f>AC79+AC91+AC94</f>
        <v>150000</v>
      </c>
      <c r="AD77" s="508">
        <f>AD79+AD91+AD94</f>
        <v>150000</v>
      </c>
      <c r="AE77" s="529">
        <f>O77/M77*100</f>
        <v>47.925896961779976</v>
      </c>
      <c r="AF77" s="529">
        <f>P77/O77*100</f>
        <v>250.84578232275075</v>
      </c>
      <c r="AG77" s="529">
        <f>Q77/P77*100</f>
        <v>58.186436372872741</v>
      </c>
      <c r="AH77" s="529">
        <f>AC77/Q77*100</f>
        <v>26.191723415400737</v>
      </c>
      <c r="AI77" s="507"/>
      <c r="AJ77" s="507">
        <v>885000</v>
      </c>
      <c r="AK77" s="507">
        <f t="shared" si="21"/>
        <v>131.8264361795006</v>
      </c>
      <c r="AL77" s="507">
        <f>X77/W77*100</f>
        <v>123.7135250407301</v>
      </c>
      <c r="AM77" s="507">
        <f>Y77/X77*100</f>
        <v>94.753747323340477</v>
      </c>
      <c r="AN77" s="530" t="e">
        <f ca="1">__xlfn.ISFORMULA(#REF!)</f>
        <v>#NAME?</v>
      </c>
      <c r="AO77" s="531" t="e">
        <f ca="1">__xlfn.ISFORMULA(#REF!)</f>
        <v>#NAME?</v>
      </c>
      <c r="AP77" s="510" t="e">
        <f t="shared" ca="1" si="22"/>
        <v>#NAME?</v>
      </c>
      <c r="AQ77" s="505">
        <f>AQ79+AQ91+AQ94</f>
        <v>825611.49</v>
      </c>
      <c r="AR77" s="533">
        <f t="shared" si="24"/>
        <v>131.8264361795006</v>
      </c>
      <c r="AS77" s="533">
        <f t="shared" si="25"/>
        <v>100</v>
      </c>
      <c r="AT77" s="533">
        <f t="shared" si="26"/>
        <v>131.8264361795006</v>
      </c>
      <c r="AU77" s="533">
        <f t="shared" si="27"/>
        <v>109.3568605375048</v>
      </c>
      <c r="AV77" s="533">
        <f t="shared" si="28"/>
        <v>144.16125196437926</v>
      </c>
      <c r="AW77" s="612"/>
      <c r="AX77" s="612"/>
      <c r="AY77" s="612"/>
      <c r="AZ77" s="612"/>
      <c r="BA77" s="612"/>
      <c r="BB77" s="612"/>
      <c r="BC77" s="612"/>
      <c r="BD77" s="612"/>
      <c r="BE77" s="612">
        <f>AQ77</f>
        <v>825611.49</v>
      </c>
      <c r="BF77" s="612"/>
      <c r="BG77" s="612"/>
      <c r="BH77" s="612"/>
      <c r="BI77" s="612"/>
    </row>
    <row r="78" spans="1:61" ht="12" customHeight="1">
      <c r="A78" s="163"/>
      <c r="B78" s="164"/>
      <c r="C78" s="164"/>
      <c r="D78" s="164"/>
      <c r="E78" s="164"/>
      <c r="F78" s="164"/>
      <c r="G78" s="164"/>
      <c r="H78" s="165"/>
      <c r="I78" s="170"/>
      <c r="J78" s="171"/>
      <c r="K78" s="172"/>
      <c r="L78" s="111"/>
      <c r="M78" s="111"/>
      <c r="N78" s="112"/>
      <c r="O78" s="112"/>
      <c r="P78" s="113"/>
      <c r="Q78" s="113"/>
      <c r="R78" s="160"/>
      <c r="S78" s="89"/>
      <c r="T78" s="89"/>
      <c r="U78" s="89"/>
      <c r="V78" s="505"/>
      <c r="W78" s="505"/>
      <c r="X78" s="506"/>
      <c r="Y78" s="507"/>
      <c r="Z78" s="507"/>
      <c r="AA78" s="507"/>
      <c r="AB78" s="507"/>
      <c r="AC78" s="508"/>
      <c r="AD78" s="508"/>
      <c r="AE78" s="529"/>
      <c r="AF78" s="529"/>
      <c r="AG78" s="529"/>
      <c r="AH78" s="529"/>
      <c r="AI78" s="507"/>
      <c r="AJ78" s="507"/>
      <c r="AK78" s="507"/>
      <c r="AL78" s="507"/>
      <c r="AM78" s="507"/>
      <c r="AN78" s="530" t="e">
        <f ca="1">__xlfn.ISFORMULA(#REF!)</f>
        <v>#NAME?</v>
      </c>
      <c r="AO78" s="531" t="e">
        <f ca="1">__xlfn.ISFORMULA(#REF!)</f>
        <v>#NAME?</v>
      </c>
      <c r="AP78" s="510" t="e">
        <f t="shared" ca="1" si="22"/>
        <v>#NAME?</v>
      </c>
      <c r="AQ78" s="505"/>
      <c r="AR78" s="533"/>
      <c r="AS78" s="533"/>
      <c r="AT78" s="533"/>
      <c r="AU78" s="533"/>
      <c r="AV78" s="533"/>
      <c r="AW78" s="612"/>
      <c r="AX78" s="612"/>
      <c r="AY78" s="612"/>
      <c r="AZ78" s="612"/>
      <c r="BA78" s="612"/>
      <c r="BB78" s="612"/>
      <c r="BC78" s="612"/>
      <c r="BD78" s="612"/>
      <c r="BE78" s="612"/>
      <c r="BF78" s="612"/>
      <c r="BG78" s="612"/>
      <c r="BH78" s="612"/>
      <c r="BI78" s="612"/>
    </row>
    <row r="79" spans="1:61" ht="12" customHeight="1">
      <c r="A79" s="60"/>
      <c r="B79" s="61"/>
      <c r="C79" s="61"/>
      <c r="D79" s="61"/>
      <c r="E79" s="61">
        <v>5</v>
      </c>
      <c r="F79" s="61"/>
      <c r="G79" s="61"/>
      <c r="H79" s="62">
        <v>633</v>
      </c>
      <c r="I79" s="127"/>
      <c r="J79" s="128"/>
      <c r="K79" s="20" t="s">
        <v>132</v>
      </c>
      <c r="L79" s="111">
        <f t="shared" ref="L79:Q79" si="52">L81+L85</f>
        <v>3711855</v>
      </c>
      <c r="M79" s="111">
        <f t="shared" si="52"/>
        <v>492647.82002787181</v>
      </c>
      <c r="N79" s="112">
        <f t="shared" si="52"/>
        <v>1773050</v>
      </c>
      <c r="O79" s="112">
        <f t="shared" si="52"/>
        <v>235324.17545955273</v>
      </c>
      <c r="P79" s="113">
        <f t="shared" si="52"/>
        <v>389600</v>
      </c>
      <c r="Q79" s="113">
        <f t="shared" si="52"/>
        <v>372300</v>
      </c>
      <c r="R79" s="160">
        <v>372300</v>
      </c>
      <c r="S79" s="89">
        <f t="shared" ref="S79:Y79" si="53">S81+S85</f>
        <v>419091.94</v>
      </c>
      <c r="T79" s="89">
        <f t="shared" si="53"/>
        <v>0</v>
      </c>
      <c r="U79" s="89" t="e">
        <f t="shared" ca="1" si="53"/>
        <v>#NAME?</v>
      </c>
      <c r="V79" s="505">
        <f t="shared" si="53"/>
        <v>298270</v>
      </c>
      <c r="W79" s="505">
        <f t="shared" si="53"/>
        <v>298270</v>
      </c>
      <c r="X79" s="506">
        <f t="shared" si="53"/>
        <v>859000</v>
      </c>
      <c r="Y79" s="507">
        <f t="shared" si="53"/>
        <v>810000</v>
      </c>
      <c r="Z79" s="507"/>
      <c r="AA79" s="507"/>
      <c r="AB79" s="507"/>
      <c r="AC79" s="507">
        <f>AC81+AC85</f>
        <v>0</v>
      </c>
      <c r="AD79" s="507">
        <f>AD81+AD85</f>
        <v>0</v>
      </c>
      <c r="AE79" s="529">
        <f>O79/M79*100</f>
        <v>47.767221510538533</v>
      </c>
      <c r="AF79" s="529">
        <f>P79/O79*100</f>
        <v>165.55885056822987</v>
      </c>
      <c r="AG79" s="529">
        <f>Q79/P79*100</f>
        <v>95.559548254620125</v>
      </c>
      <c r="AH79" s="529">
        <f>AC79/Q79*100</f>
        <v>0</v>
      </c>
      <c r="AI79" s="507"/>
      <c r="AJ79" s="507">
        <v>810000</v>
      </c>
      <c r="AK79" s="507">
        <f t="shared" si="21"/>
        <v>80.115498254096167</v>
      </c>
      <c r="AL79" s="507">
        <f>X79/W79*100</f>
        <v>287.99409930599791</v>
      </c>
      <c r="AM79" s="507">
        <f>Y79/X79*100</f>
        <v>94.29569266589057</v>
      </c>
      <c r="AN79" s="530" t="e">
        <f ca="1">__xlfn.ISFORMULA(#REF!)</f>
        <v>#NAME?</v>
      </c>
      <c r="AO79" s="531" t="e">
        <f ca="1">__xlfn.ISFORMULA(#REF!)</f>
        <v>#NAME?</v>
      </c>
      <c r="AP79" s="510" t="e">
        <f t="shared" ca="1" si="22"/>
        <v>#NAME?</v>
      </c>
      <c r="AQ79" s="505">
        <f>AQ81+AQ85</f>
        <v>369426.74</v>
      </c>
      <c r="AR79" s="533">
        <f t="shared" si="24"/>
        <v>80.115498254096167</v>
      </c>
      <c r="AS79" s="533">
        <f t="shared" ref="AS79:AS109" si="54">W79/V79*100</f>
        <v>100</v>
      </c>
      <c r="AT79" s="533">
        <f>W79/R79*100</f>
        <v>80.115498254096167</v>
      </c>
      <c r="AU79" s="533">
        <f>AQ79/W79*100</f>
        <v>123.85648573440172</v>
      </c>
      <c r="AV79" s="533">
        <f>AQ79/R79*100</f>
        <v>99.228240666129466</v>
      </c>
      <c r="AW79" s="612"/>
      <c r="AX79" s="612"/>
      <c r="AY79" s="612"/>
      <c r="AZ79" s="612"/>
      <c r="BA79" s="612"/>
      <c r="BB79" s="612"/>
      <c r="BC79" s="612"/>
      <c r="BD79" s="612"/>
      <c r="BE79" s="612"/>
      <c r="BF79" s="612"/>
      <c r="BG79" s="612"/>
      <c r="BH79" s="612"/>
      <c r="BI79" s="612"/>
    </row>
    <row r="80" spans="1:61" ht="12" customHeight="1">
      <c r="A80" s="51"/>
      <c r="B80" s="52"/>
      <c r="C80" s="52"/>
      <c r="D80" s="52"/>
      <c r="E80" s="52"/>
      <c r="F80" s="52"/>
      <c r="G80" s="52"/>
      <c r="H80" s="63"/>
      <c r="I80" s="116"/>
      <c r="J80" s="117"/>
      <c r="K80" s="19"/>
      <c r="L80" s="118"/>
      <c r="M80" s="118"/>
      <c r="N80" s="119"/>
      <c r="O80" s="119"/>
      <c r="P80" s="120"/>
      <c r="Q80" s="120"/>
      <c r="R80" s="178"/>
      <c r="S80" s="152"/>
      <c r="T80" s="152"/>
      <c r="U80" s="152"/>
      <c r="V80" s="505"/>
      <c r="W80" s="505"/>
      <c r="X80" s="534"/>
      <c r="Y80" s="535"/>
      <c r="Z80" s="535"/>
      <c r="AA80" s="535"/>
      <c r="AB80" s="535"/>
      <c r="AC80" s="529"/>
      <c r="AD80" s="529"/>
      <c r="AE80" s="529"/>
      <c r="AF80" s="529"/>
      <c r="AG80" s="529"/>
      <c r="AH80" s="529"/>
      <c r="AI80" s="535"/>
      <c r="AJ80" s="535"/>
      <c r="AK80" s="507"/>
      <c r="AL80" s="507"/>
      <c r="AM80" s="507"/>
      <c r="AN80" s="530" t="e">
        <f ca="1">__xlfn.ISFORMULA(#REF!)</f>
        <v>#NAME?</v>
      </c>
      <c r="AO80" s="531" t="e">
        <f ca="1">__xlfn.ISFORMULA(#REF!)</f>
        <v>#NAME?</v>
      </c>
      <c r="AP80" s="510" t="e">
        <f t="shared" ca="1" si="22"/>
        <v>#NAME?</v>
      </c>
      <c r="AQ80" s="505"/>
      <c r="AR80" s="533"/>
      <c r="AS80" s="533"/>
      <c r="AT80" s="533"/>
      <c r="AU80" s="533"/>
      <c r="AV80" s="533"/>
      <c r="AW80" s="612"/>
      <c r="AX80" s="612"/>
      <c r="AY80" s="612"/>
      <c r="AZ80" s="612"/>
      <c r="BA80" s="612"/>
      <c r="BB80" s="612"/>
      <c r="BC80" s="612"/>
      <c r="BD80" s="612"/>
      <c r="BE80" s="612"/>
      <c r="BF80" s="612"/>
      <c r="BG80" s="612"/>
      <c r="BH80" s="612"/>
      <c r="BI80" s="612"/>
    </row>
    <row r="81" spans="1:61" ht="12" customHeight="1">
      <c r="A81" s="51"/>
      <c r="B81" s="52"/>
      <c r="C81" s="52"/>
      <c r="D81" s="52"/>
      <c r="E81" s="52"/>
      <c r="F81" s="52"/>
      <c r="G81" s="52"/>
      <c r="H81" s="63">
        <v>6331</v>
      </c>
      <c r="I81" s="116"/>
      <c r="J81" s="117"/>
      <c r="K81" s="19" t="s">
        <v>133</v>
      </c>
      <c r="L81" s="111">
        <f t="shared" ref="L81:Q81" si="55">L82+L83</f>
        <v>364855</v>
      </c>
      <c r="M81" s="111">
        <f t="shared" si="55"/>
        <v>48424.580264118384</v>
      </c>
      <c r="N81" s="112">
        <f t="shared" si="55"/>
        <v>538730</v>
      </c>
      <c r="O81" s="112">
        <f t="shared" si="55"/>
        <v>71501.758577211498</v>
      </c>
      <c r="P81" s="113">
        <f t="shared" si="55"/>
        <v>11600</v>
      </c>
      <c r="Q81" s="113">
        <f t="shared" si="55"/>
        <v>260300</v>
      </c>
      <c r="R81" s="160">
        <v>260300</v>
      </c>
      <c r="S81" s="89">
        <f t="shared" ref="S81:Y81" si="56">S82+S83</f>
        <v>393271.45</v>
      </c>
      <c r="T81" s="89">
        <f t="shared" si="56"/>
        <v>0</v>
      </c>
      <c r="U81" s="89" t="e">
        <f t="shared" ca="1" si="56"/>
        <v>#NAME?</v>
      </c>
      <c r="V81" s="505">
        <f t="shared" si="56"/>
        <v>151500</v>
      </c>
      <c r="W81" s="505">
        <f t="shared" si="56"/>
        <v>151500</v>
      </c>
      <c r="X81" s="506">
        <f t="shared" si="56"/>
        <v>193000</v>
      </c>
      <c r="Y81" s="507">
        <f t="shared" si="56"/>
        <v>110000</v>
      </c>
      <c r="Z81" s="507"/>
      <c r="AA81" s="507"/>
      <c r="AB81" s="507"/>
      <c r="AC81" s="508">
        <f>AC82+AC83</f>
        <v>0</v>
      </c>
      <c r="AD81" s="508">
        <f>AD82+AD83</f>
        <v>0</v>
      </c>
      <c r="AE81" s="529">
        <f>O81/M81*100</f>
        <v>147.6559181044525</v>
      </c>
      <c r="AF81" s="529">
        <f>P81/O81*100</f>
        <v>16.22337720193789</v>
      </c>
      <c r="AG81" s="529"/>
      <c r="AH81" s="529">
        <f>AC81/Q81*100</f>
        <v>0</v>
      </c>
      <c r="AI81" s="507"/>
      <c r="AJ81" s="507">
        <v>110000</v>
      </c>
      <c r="AK81" s="507">
        <f t="shared" si="21"/>
        <v>58.202074529389172</v>
      </c>
      <c r="AL81" s="507">
        <f t="shared" ref="AL81:AM83" si="57">X81/W81*100</f>
        <v>127.3927392739274</v>
      </c>
      <c r="AM81" s="507">
        <f t="shared" si="57"/>
        <v>56.994818652849744</v>
      </c>
      <c r="AN81" s="530" t="e">
        <f ca="1">__xlfn.ISFORMULA(#REF!)</f>
        <v>#NAME?</v>
      </c>
      <c r="AO81" s="531" t="e">
        <f ca="1">__xlfn.ISFORMULA(#REF!)</f>
        <v>#NAME?</v>
      </c>
      <c r="AP81" s="510" t="e">
        <f t="shared" ca="1" si="22"/>
        <v>#NAME?</v>
      </c>
      <c r="AQ81" s="505">
        <f>AQ82+AQ83</f>
        <v>77826.600000000006</v>
      </c>
      <c r="AR81" s="533">
        <f t="shared" si="24"/>
        <v>58.202074529389172</v>
      </c>
      <c r="AS81" s="533">
        <f t="shared" si="54"/>
        <v>100</v>
      </c>
      <c r="AT81" s="533">
        <f>W81/R81*100</f>
        <v>58.202074529389172</v>
      </c>
      <c r="AU81" s="533">
        <f>AQ81/W81*100</f>
        <v>51.370693069306938</v>
      </c>
      <c r="AV81" s="533">
        <f>AQ81/R81*100</f>
        <v>29.89880906646178</v>
      </c>
      <c r="AW81" s="612"/>
      <c r="AX81" s="612"/>
      <c r="AY81" s="612"/>
      <c r="AZ81" s="612"/>
      <c r="BA81" s="612"/>
      <c r="BB81" s="612"/>
      <c r="BC81" s="612"/>
      <c r="BD81" s="612"/>
      <c r="BE81" s="612"/>
      <c r="BF81" s="612"/>
      <c r="BG81" s="612"/>
      <c r="BH81" s="612"/>
      <c r="BI81" s="612"/>
    </row>
    <row r="82" spans="1:61" ht="12" customHeight="1">
      <c r="A82" s="51"/>
      <c r="B82" s="52"/>
      <c r="C82" s="52"/>
      <c r="D82" s="52"/>
      <c r="E82" s="52"/>
      <c r="F82" s="52"/>
      <c r="G82" s="52"/>
      <c r="H82" s="63">
        <v>63311</v>
      </c>
      <c r="I82" s="116">
        <v>63</v>
      </c>
      <c r="J82" s="117"/>
      <c r="K82" s="19" t="s">
        <v>134</v>
      </c>
      <c r="L82" s="129">
        <v>245626</v>
      </c>
      <c r="M82" s="129">
        <f>245626/7.5345</f>
        <v>32600.172539650936</v>
      </c>
      <c r="N82" s="130">
        <v>528730</v>
      </c>
      <c r="O82" s="130">
        <f>N82/7.5345</f>
        <v>70174.530493065235</v>
      </c>
      <c r="P82" s="131">
        <v>7600</v>
      </c>
      <c r="Q82" s="156">
        <v>251300</v>
      </c>
      <c r="R82" s="157">
        <v>251300</v>
      </c>
      <c r="S82" s="158">
        <v>393271.45</v>
      </c>
      <c r="T82" s="158"/>
      <c r="U82" s="89" t="e">
        <f ca="1">__xlfn.ISFORMULA(S82)</f>
        <v>#NAME?</v>
      </c>
      <c r="V82" s="505">
        <f>90000+59500</f>
        <v>149500</v>
      </c>
      <c r="W82" s="505">
        <f>90000+59500</f>
        <v>149500</v>
      </c>
      <c r="X82" s="534">
        <f>40000+150000</f>
        <v>190000</v>
      </c>
      <c r="Y82" s="535">
        <v>110000</v>
      </c>
      <c r="Z82" s="535"/>
      <c r="AA82" s="535"/>
      <c r="AB82" s="535"/>
      <c r="AC82" s="529">
        <v>0</v>
      </c>
      <c r="AD82" s="529">
        <v>0</v>
      </c>
      <c r="AE82" s="529">
        <f>O82/M82*100</f>
        <v>215.2581567097946</v>
      </c>
      <c r="AF82" s="529">
        <f>P82/O82*100</f>
        <v>10.830140147145045</v>
      </c>
      <c r="AG82" s="529"/>
      <c r="AH82" s="529">
        <f>AC82/Q82*100</f>
        <v>0</v>
      </c>
      <c r="AI82" s="535"/>
      <c r="AJ82" s="535">
        <v>110000</v>
      </c>
      <c r="AK82" s="507">
        <f t="shared" si="21"/>
        <v>59.490648627138874</v>
      </c>
      <c r="AL82" s="507">
        <f t="shared" si="57"/>
        <v>127.09030100334448</v>
      </c>
      <c r="AM82" s="507">
        <f t="shared" si="57"/>
        <v>57.894736842105267</v>
      </c>
      <c r="AN82" s="530" t="e">
        <f ca="1">__xlfn.ISFORMULA(#REF!)</f>
        <v>#NAME?</v>
      </c>
      <c r="AO82" s="531" t="e">
        <f ca="1">__xlfn.ISFORMULA(#REF!)</f>
        <v>#NAME?</v>
      </c>
      <c r="AP82" s="510" t="e">
        <f t="shared" ca="1" si="22"/>
        <v>#NAME?</v>
      </c>
      <c r="AQ82" s="505">
        <v>77826.600000000006</v>
      </c>
      <c r="AR82" s="533">
        <f t="shared" si="24"/>
        <v>59.490648627138874</v>
      </c>
      <c r="AS82" s="533">
        <f t="shared" si="54"/>
        <v>100</v>
      </c>
      <c r="AT82" s="533">
        <f>W82/R82*100</f>
        <v>59.490648627138874</v>
      </c>
      <c r="AU82" s="533">
        <f>AQ82/W82*100</f>
        <v>52.057926421404687</v>
      </c>
      <c r="AV82" s="533">
        <f>AQ82/R82*100</f>
        <v>30.969598089932354</v>
      </c>
      <c r="AW82" s="612"/>
      <c r="AX82" s="612"/>
      <c r="AY82" s="612"/>
      <c r="AZ82" s="612"/>
      <c r="BA82" s="612"/>
      <c r="BB82" s="612"/>
      <c r="BC82" s="612"/>
      <c r="BD82" s="612"/>
      <c r="BE82" s="612"/>
      <c r="BF82" s="612"/>
      <c r="BG82" s="612"/>
      <c r="BH82" s="612"/>
      <c r="BI82" s="612"/>
    </row>
    <row r="83" spans="1:61" ht="12" customHeight="1">
      <c r="A83" s="51"/>
      <c r="B83" s="52"/>
      <c r="C83" s="52"/>
      <c r="D83" s="52"/>
      <c r="E83" s="52"/>
      <c r="F83" s="52"/>
      <c r="G83" s="52"/>
      <c r="H83" s="63">
        <v>63312</v>
      </c>
      <c r="I83" s="116"/>
      <c r="J83" s="117"/>
      <c r="K83" s="19" t="s">
        <v>135</v>
      </c>
      <c r="L83" s="129">
        <v>119229</v>
      </c>
      <c r="M83" s="129">
        <f>119229/7.5345</f>
        <v>15824.407724467448</v>
      </c>
      <c r="N83" s="130">
        <v>10000</v>
      </c>
      <c r="O83" s="130">
        <f>N83/7.5345</f>
        <v>1327.2280841462605</v>
      </c>
      <c r="P83" s="131">
        <v>4000</v>
      </c>
      <c r="Q83" s="156">
        <v>9000</v>
      </c>
      <c r="R83" s="157">
        <v>9000</v>
      </c>
      <c r="S83" s="158"/>
      <c r="T83" s="158"/>
      <c r="U83" s="89" t="e">
        <f ca="1">__xlfn.ISFORMULA(S83)</f>
        <v>#NAME?</v>
      </c>
      <c r="V83" s="505">
        <v>2000</v>
      </c>
      <c r="W83" s="505">
        <v>2000</v>
      </c>
      <c r="X83" s="534">
        <v>3000</v>
      </c>
      <c r="Y83" s="535"/>
      <c r="Z83" s="535"/>
      <c r="AA83" s="535"/>
      <c r="AB83" s="535"/>
      <c r="AC83" s="529">
        <v>0</v>
      </c>
      <c r="AD83" s="529">
        <v>0</v>
      </c>
      <c r="AE83" s="529">
        <f>O83/M83*100</f>
        <v>8.3872212297343776</v>
      </c>
      <c r="AF83" s="529">
        <f>P83/O83*100</f>
        <v>301.38000000000005</v>
      </c>
      <c r="AG83" s="529">
        <f>Q83/P83*100</f>
        <v>225</v>
      </c>
      <c r="AH83" s="529">
        <f>AC83/Q83*100</f>
        <v>0</v>
      </c>
      <c r="AI83" s="535"/>
      <c r="AJ83" s="535"/>
      <c r="AK83" s="507">
        <f t="shared" si="21"/>
        <v>22.222222222222221</v>
      </c>
      <c r="AL83" s="507">
        <f t="shared" si="57"/>
        <v>150</v>
      </c>
      <c r="AM83" s="507">
        <f t="shared" si="57"/>
        <v>0</v>
      </c>
      <c r="AN83" s="530" t="e">
        <f ca="1">__xlfn.ISFORMULA(#REF!)</f>
        <v>#NAME?</v>
      </c>
      <c r="AO83" s="531" t="e">
        <f ca="1">__xlfn.ISFORMULA(#REF!)</f>
        <v>#NAME?</v>
      </c>
      <c r="AP83" s="510" t="e">
        <f t="shared" ca="1" si="22"/>
        <v>#NAME?</v>
      </c>
      <c r="AQ83" s="505"/>
      <c r="AR83" s="533">
        <f t="shared" si="24"/>
        <v>22.222222222222221</v>
      </c>
      <c r="AS83" s="533"/>
      <c r="AT83" s="533">
        <f>W83/R83*100</f>
        <v>22.222222222222221</v>
      </c>
      <c r="AU83" s="533">
        <f>AQ83/W83*100</f>
        <v>0</v>
      </c>
      <c r="AV83" s="533">
        <f>AQ83/R83*100</f>
        <v>0</v>
      </c>
      <c r="AW83" s="612"/>
      <c r="AX83" s="612"/>
      <c r="AY83" s="612"/>
      <c r="AZ83" s="612"/>
      <c r="BA83" s="612"/>
      <c r="BB83" s="612"/>
      <c r="BC83" s="612"/>
      <c r="BD83" s="612"/>
      <c r="BE83" s="612"/>
      <c r="BF83" s="612"/>
      <c r="BG83" s="612"/>
      <c r="BH83" s="612"/>
      <c r="BI83" s="612"/>
    </row>
    <row r="84" spans="1:61" ht="12" customHeight="1">
      <c r="A84" s="166"/>
      <c r="B84" s="167"/>
      <c r="C84" s="167"/>
      <c r="D84" s="167"/>
      <c r="E84" s="167"/>
      <c r="F84" s="167"/>
      <c r="G84" s="167"/>
      <c r="H84" s="168"/>
      <c r="I84" s="173"/>
      <c r="J84" s="132"/>
      <c r="K84" s="19"/>
      <c r="L84" s="118"/>
      <c r="M84" s="118"/>
      <c r="N84" s="119"/>
      <c r="O84" s="119"/>
      <c r="P84" s="120"/>
      <c r="Q84" s="120"/>
      <c r="R84" s="178"/>
      <c r="S84" s="152"/>
      <c r="T84" s="152"/>
      <c r="U84" s="89" t="e">
        <f ca="1">__xlfn.ISFORMULA(S84)</f>
        <v>#NAME?</v>
      </c>
      <c r="V84" s="505"/>
      <c r="W84" s="505"/>
      <c r="X84" s="534"/>
      <c r="Y84" s="535"/>
      <c r="Z84" s="535"/>
      <c r="AA84" s="535"/>
      <c r="AB84" s="535"/>
      <c r="AC84" s="529"/>
      <c r="AD84" s="529"/>
      <c r="AE84" s="529"/>
      <c r="AF84" s="529"/>
      <c r="AG84" s="529"/>
      <c r="AH84" s="529"/>
      <c r="AI84" s="535"/>
      <c r="AJ84" s="535"/>
      <c r="AK84" s="507"/>
      <c r="AL84" s="507"/>
      <c r="AM84" s="507"/>
      <c r="AN84" s="530" t="e">
        <f ca="1">__xlfn.ISFORMULA(#REF!)</f>
        <v>#NAME?</v>
      </c>
      <c r="AO84" s="531" t="e">
        <f ca="1">__xlfn.ISFORMULA(#REF!)</f>
        <v>#NAME?</v>
      </c>
      <c r="AP84" s="510" t="e">
        <f t="shared" ca="1" si="22"/>
        <v>#NAME?</v>
      </c>
      <c r="AQ84" s="505"/>
      <c r="AR84" s="533"/>
      <c r="AS84" s="533"/>
      <c r="AT84" s="533"/>
      <c r="AU84" s="533"/>
      <c r="AV84" s="533"/>
      <c r="AW84" s="612"/>
      <c r="AX84" s="612"/>
      <c r="AY84" s="612"/>
      <c r="AZ84" s="612"/>
      <c r="BA84" s="612"/>
      <c r="BB84" s="612"/>
      <c r="BC84" s="612"/>
      <c r="BD84" s="612"/>
      <c r="BE84" s="612"/>
      <c r="BF84" s="612"/>
      <c r="BG84" s="612"/>
      <c r="BH84" s="612"/>
      <c r="BI84" s="612"/>
    </row>
    <row r="85" spans="1:61" ht="12" customHeight="1">
      <c r="A85" s="51"/>
      <c r="B85" s="52"/>
      <c r="C85" s="52"/>
      <c r="D85" s="52"/>
      <c r="E85" s="52"/>
      <c r="F85" s="52"/>
      <c r="G85" s="52"/>
      <c r="H85" s="63">
        <v>6332</v>
      </c>
      <c r="I85" s="116"/>
      <c r="J85" s="117"/>
      <c r="K85" s="19" t="s">
        <v>136</v>
      </c>
      <c r="L85" s="111">
        <f>L86+L87+L88+L89</f>
        <v>3347000</v>
      </c>
      <c r="M85" s="111">
        <f>M86+M87+M88+M89</f>
        <v>444223.23976375343</v>
      </c>
      <c r="N85" s="112">
        <f>N86+N87+N88</f>
        <v>1234320</v>
      </c>
      <c r="O85" s="112">
        <f>O86+O87+O88</f>
        <v>163822.41688234123</v>
      </c>
      <c r="P85" s="113">
        <f>P86+P87+P88</f>
        <v>378000</v>
      </c>
      <c r="Q85" s="113">
        <f t="shared" ref="Q85:Y85" si="58">Q86+Q87+Q88</f>
        <v>112000</v>
      </c>
      <c r="R85" s="160">
        <v>112000</v>
      </c>
      <c r="S85" s="89">
        <f t="shared" si="58"/>
        <v>25820.49</v>
      </c>
      <c r="T85" s="89">
        <f t="shared" si="58"/>
        <v>0</v>
      </c>
      <c r="U85" s="89" t="e">
        <f t="shared" ca="1" si="58"/>
        <v>#NAME?</v>
      </c>
      <c r="V85" s="505">
        <f t="shared" si="58"/>
        <v>146770</v>
      </c>
      <c r="W85" s="505">
        <f t="shared" si="58"/>
        <v>146770</v>
      </c>
      <c r="X85" s="506">
        <f t="shared" si="58"/>
        <v>666000</v>
      </c>
      <c r="Y85" s="507">
        <f t="shared" si="58"/>
        <v>700000</v>
      </c>
      <c r="Z85" s="507"/>
      <c r="AA85" s="507"/>
      <c r="AB85" s="507"/>
      <c r="AC85" s="508">
        <f>AC86+AC87+AC88</f>
        <v>0</v>
      </c>
      <c r="AD85" s="508">
        <f>AD86+AD87+AD88</f>
        <v>0</v>
      </c>
      <c r="AE85" s="529">
        <f>O85/M85*100</f>
        <v>36.878398565879891</v>
      </c>
      <c r="AF85" s="529">
        <f>P85/O85*100</f>
        <v>230.73765312074664</v>
      </c>
      <c r="AG85" s="529">
        <f>Q85/P85*100</f>
        <v>29.629629629629626</v>
      </c>
      <c r="AH85" s="529">
        <f>AC85/Q85*100</f>
        <v>0</v>
      </c>
      <c r="AI85" s="507"/>
      <c r="AJ85" s="507">
        <v>700000</v>
      </c>
      <c r="AK85" s="507">
        <f t="shared" ref="AK85:AK148" si="59">W85/R85*100</f>
        <v>131.04464285714286</v>
      </c>
      <c r="AL85" s="507">
        <f t="shared" ref="AL85:AL148" si="60">X85/W85*100</f>
        <v>453.77120664986029</v>
      </c>
      <c r="AM85" s="507">
        <f>Y85/X85*100</f>
        <v>105.10510510510511</v>
      </c>
      <c r="AN85" s="530" t="e">
        <f ca="1">__xlfn.ISFORMULA(#REF!)</f>
        <v>#NAME?</v>
      </c>
      <c r="AO85" s="531" t="e">
        <f ca="1">__xlfn.ISFORMULA(#REF!)</f>
        <v>#NAME?</v>
      </c>
      <c r="AP85" s="510" t="e">
        <f t="shared" ca="1" si="22"/>
        <v>#NAME?</v>
      </c>
      <c r="AQ85" s="505">
        <f>AQ86+AQ87+AQ88</f>
        <v>291600.14</v>
      </c>
      <c r="AR85" s="533">
        <f t="shared" si="24"/>
        <v>131.04464285714286</v>
      </c>
      <c r="AS85" s="533">
        <f t="shared" si="54"/>
        <v>100</v>
      </c>
      <c r="AT85" s="533">
        <f>W85/R85*100</f>
        <v>131.04464285714286</v>
      </c>
      <c r="AU85" s="533">
        <f>AQ85/W85*100</f>
        <v>198.67829937998229</v>
      </c>
      <c r="AV85" s="533">
        <f>AQ85/R85*100</f>
        <v>260.35726785714286</v>
      </c>
      <c r="AW85" s="612"/>
      <c r="AX85" s="612"/>
      <c r="AY85" s="612"/>
      <c r="AZ85" s="612"/>
      <c r="BA85" s="612"/>
      <c r="BB85" s="612"/>
      <c r="BC85" s="612"/>
      <c r="BD85" s="612"/>
      <c r="BE85" s="612"/>
      <c r="BF85" s="612"/>
      <c r="BG85" s="612"/>
      <c r="BH85" s="612"/>
      <c r="BI85" s="612"/>
    </row>
    <row r="86" spans="1:61" ht="12" customHeight="1">
      <c r="A86" s="51"/>
      <c r="B86" s="52"/>
      <c r="C86" s="52"/>
      <c r="D86" s="52"/>
      <c r="E86" s="52"/>
      <c r="F86" s="52"/>
      <c r="G86" s="52"/>
      <c r="H86" s="63">
        <v>63321</v>
      </c>
      <c r="I86" s="116" t="s">
        <v>137</v>
      </c>
      <c r="J86" s="117"/>
      <c r="K86" s="19" t="s">
        <v>138</v>
      </c>
      <c r="L86" s="129">
        <v>3332000</v>
      </c>
      <c r="M86" s="129">
        <f>3332000/7.5345</f>
        <v>442232.39763753401</v>
      </c>
      <c r="N86" s="130">
        <v>964320</v>
      </c>
      <c r="O86" s="130">
        <f>N86/7.5345</f>
        <v>127987.25861039219</v>
      </c>
      <c r="P86" s="131">
        <v>363000</v>
      </c>
      <c r="Q86" s="131">
        <v>98700</v>
      </c>
      <c r="R86" s="157">
        <v>98700</v>
      </c>
      <c r="S86" s="158">
        <v>25820.49</v>
      </c>
      <c r="T86" s="158"/>
      <c r="U86" s="89" t="e">
        <f t="shared" ref="U86:U149" ca="1" si="61">__xlfn.ISFORMULA(S86)</f>
        <v>#NAME?</v>
      </c>
      <c r="V86" s="505">
        <f>69570+9700+67500</f>
        <v>146770</v>
      </c>
      <c r="W86" s="505">
        <f>69570+9700+67500</f>
        <v>146770</v>
      </c>
      <c r="X86" s="534">
        <f>660000</f>
        <v>660000</v>
      </c>
      <c r="Y86" s="535">
        <v>700000</v>
      </c>
      <c r="Z86" s="535"/>
      <c r="AA86" s="535"/>
      <c r="AB86" s="535"/>
      <c r="AC86" s="529">
        <v>0</v>
      </c>
      <c r="AD86" s="529">
        <v>0</v>
      </c>
      <c r="AE86" s="529">
        <f>O86/M86*100</f>
        <v>28.941176470588236</v>
      </c>
      <c r="AF86" s="529">
        <f>P86/O86*100</f>
        <v>283.62198232951721</v>
      </c>
      <c r="AG86" s="529">
        <f>Q86/P86*100</f>
        <v>27.190082644628099</v>
      </c>
      <c r="AH86" s="529">
        <f>AC86/Q86*100</f>
        <v>0</v>
      </c>
      <c r="AI86" s="535"/>
      <c r="AJ86" s="535">
        <v>700000</v>
      </c>
      <c r="AK86" s="507">
        <f t="shared" si="59"/>
        <v>148.70314083080041</v>
      </c>
      <c r="AL86" s="507">
        <f t="shared" si="60"/>
        <v>449.68317776112281</v>
      </c>
      <c r="AM86" s="507">
        <f>Y86/X86*100</f>
        <v>106.06060606060606</v>
      </c>
      <c r="AN86" s="530" t="e">
        <f ca="1">__xlfn.ISFORMULA(#REF!)</f>
        <v>#NAME?</v>
      </c>
      <c r="AO86" s="531" t="e">
        <f ca="1">__xlfn.ISFORMULA(#REF!)</f>
        <v>#NAME?</v>
      </c>
      <c r="AP86" s="510" t="e">
        <f t="shared" ca="1" si="22"/>
        <v>#NAME?</v>
      </c>
      <c r="AQ86" s="505">
        <v>184385.56</v>
      </c>
      <c r="AR86" s="533">
        <f t="shared" si="24"/>
        <v>148.70314083080041</v>
      </c>
      <c r="AS86" s="533">
        <f t="shared" si="54"/>
        <v>100</v>
      </c>
      <c r="AT86" s="533">
        <f>W86/R86*100</f>
        <v>148.70314083080041</v>
      </c>
      <c r="AU86" s="533">
        <f>AQ86/W86*100</f>
        <v>125.62891599100634</v>
      </c>
      <c r="AV86" s="533">
        <f>AQ86/R86*100</f>
        <v>186.81414387031407</v>
      </c>
      <c r="AW86" s="612"/>
      <c r="AX86" s="612"/>
      <c r="AY86" s="612"/>
      <c r="AZ86" s="612"/>
      <c r="BA86" s="612"/>
      <c r="BB86" s="612"/>
      <c r="BC86" s="612"/>
      <c r="BD86" s="612"/>
      <c r="BE86" s="612"/>
      <c r="BF86" s="612"/>
      <c r="BG86" s="612"/>
      <c r="BH86" s="612"/>
      <c r="BI86" s="612"/>
    </row>
    <row r="87" spans="1:61" ht="12" customHeight="1">
      <c r="A87" s="51"/>
      <c r="B87" s="52"/>
      <c r="C87" s="52"/>
      <c r="D87" s="52"/>
      <c r="E87" s="52"/>
      <c r="F87" s="52"/>
      <c r="G87" s="52"/>
      <c r="H87" s="63">
        <v>63321</v>
      </c>
      <c r="I87" s="116"/>
      <c r="J87" s="117"/>
      <c r="K87" s="19" t="s">
        <v>139</v>
      </c>
      <c r="L87" s="129">
        <v>0</v>
      </c>
      <c r="M87" s="129">
        <v>0</v>
      </c>
      <c r="N87" s="130">
        <v>0</v>
      </c>
      <c r="O87" s="130">
        <f>N87/7.5345</f>
        <v>0</v>
      </c>
      <c r="P87" s="131">
        <v>0</v>
      </c>
      <c r="Q87" s="131">
        <v>0</v>
      </c>
      <c r="R87" s="157">
        <v>0</v>
      </c>
      <c r="S87" s="158"/>
      <c r="T87" s="158"/>
      <c r="U87" s="89" t="e">
        <f t="shared" ca="1" si="61"/>
        <v>#NAME?</v>
      </c>
      <c r="V87" s="505"/>
      <c r="W87" s="505"/>
      <c r="X87" s="534"/>
      <c r="Y87" s="535"/>
      <c r="Z87" s="535"/>
      <c r="AA87" s="535"/>
      <c r="AB87" s="535"/>
      <c r="AC87" s="529">
        <v>0</v>
      </c>
      <c r="AD87" s="529">
        <v>0</v>
      </c>
      <c r="AE87" s="529"/>
      <c r="AF87" s="529"/>
      <c r="AG87" s="529"/>
      <c r="AH87" s="529"/>
      <c r="AI87" s="535"/>
      <c r="AJ87" s="535"/>
      <c r="AK87" s="507"/>
      <c r="AL87" s="507"/>
      <c r="AM87" s="507"/>
      <c r="AN87" s="530" t="e">
        <f ca="1">__xlfn.ISFORMULA(#REF!)</f>
        <v>#NAME?</v>
      </c>
      <c r="AO87" s="531" t="e">
        <f ca="1">__xlfn.ISFORMULA(#REF!)</f>
        <v>#NAME?</v>
      </c>
      <c r="AP87" s="510" t="e">
        <f t="shared" ca="1" si="22"/>
        <v>#NAME?</v>
      </c>
      <c r="AQ87" s="505">
        <v>76200</v>
      </c>
      <c r="AR87" s="533"/>
      <c r="AS87" s="533"/>
      <c r="AT87" s="533"/>
      <c r="AU87" s="533"/>
      <c r="AV87" s="533"/>
      <c r="AW87" s="612"/>
      <c r="AX87" s="612"/>
      <c r="AY87" s="612"/>
      <c r="AZ87" s="612"/>
      <c r="BA87" s="612"/>
      <c r="BB87" s="612"/>
      <c r="BC87" s="612"/>
      <c r="BD87" s="612"/>
      <c r="BE87" s="612"/>
      <c r="BF87" s="612"/>
      <c r="BG87" s="612"/>
      <c r="BH87" s="612"/>
      <c r="BI87" s="612"/>
    </row>
    <row r="88" spans="1:61" ht="12" customHeight="1">
      <c r="A88" s="51"/>
      <c r="B88" s="52"/>
      <c r="C88" s="52"/>
      <c r="D88" s="52"/>
      <c r="E88" s="52"/>
      <c r="F88" s="52"/>
      <c r="G88" s="52"/>
      <c r="H88" s="63">
        <v>63322</v>
      </c>
      <c r="I88" s="116" t="s">
        <v>140</v>
      </c>
      <c r="J88" s="117"/>
      <c r="K88" s="19" t="s">
        <v>141</v>
      </c>
      <c r="L88" s="129">
        <v>0</v>
      </c>
      <c r="M88" s="129">
        <v>0</v>
      </c>
      <c r="N88" s="130">
        <v>270000</v>
      </c>
      <c r="O88" s="130">
        <f>N88/7.5345</f>
        <v>35835.158271949032</v>
      </c>
      <c r="P88" s="131">
        <v>15000</v>
      </c>
      <c r="Q88" s="156">
        <v>13300</v>
      </c>
      <c r="R88" s="157">
        <v>13300</v>
      </c>
      <c r="S88" s="158"/>
      <c r="T88" s="158"/>
      <c r="U88" s="89" t="e">
        <f t="shared" ca="1" si="61"/>
        <v>#NAME?</v>
      </c>
      <c r="V88" s="505"/>
      <c r="W88" s="505"/>
      <c r="X88" s="534">
        <v>6000</v>
      </c>
      <c r="Y88" s="535"/>
      <c r="Z88" s="535"/>
      <c r="AA88" s="535"/>
      <c r="AB88" s="535"/>
      <c r="AC88" s="529">
        <v>0</v>
      </c>
      <c r="AD88" s="529">
        <v>0</v>
      </c>
      <c r="AE88" s="529"/>
      <c r="AF88" s="529">
        <f>P88/O88*100</f>
        <v>41.858333333333334</v>
      </c>
      <c r="AG88" s="529">
        <f>Q88/P88*100</f>
        <v>88.666666666666671</v>
      </c>
      <c r="AH88" s="529">
        <f>AC88/Q88*100</f>
        <v>0</v>
      </c>
      <c r="AI88" s="535"/>
      <c r="AJ88" s="535"/>
      <c r="AK88" s="507">
        <f t="shared" si="59"/>
        <v>0</v>
      </c>
      <c r="AL88" s="507"/>
      <c r="AM88" s="507">
        <f>Y88/X88*100</f>
        <v>0</v>
      </c>
      <c r="AN88" s="530" t="e">
        <f ca="1">__xlfn.ISFORMULA(#REF!)</f>
        <v>#NAME?</v>
      </c>
      <c r="AO88" s="531" t="e">
        <f ca="1">__xlfn.ISFORMULA(#REF!)</f>
        <v>#NAME?</v>
      </c>
      <c r="AP88" s="510" t="e">
        <f t="shared" ca="1" si="22"/>
        <v>#NAME?</v>
      </c>
      <c r="AQ88" s="505">
        <v>31014.58</v>
      </c>
      <c r="AR88" s="533">
        <f>V88/R88*100</f>
        <v>0</v>
      </c>
      <c r="AS88" s="533"/>
      <c r="AT88" s="533">
        <f>W88/R88*100</f>
        <v>0</v>
      </c>
      <c r="AU88" s="533"/>
      <c r="AV88" s="533">
        <f>AQ88/R88*100</f>
        <v>233.19233082706768</v>
      </c>
      <c r="AW88" s="612"/>
      <c r="AX88" s="612"/>
      <c r="AY88" s="612"/>
      <c r="AZ88" s="612"/>
      <c r="BA88" s="612"/>
      <c r="BB88" s="612"/>
      <c r="BC88" s="612"/>
      <c r="BD88" s="612"/>
      <c r="BE88" s="612"/>
      <c r="BF88" s="612"/>
      <c r="BG88" s="612"/>
      <c r="BH88" s="612"/>
      <c r="BI88" s="612"/>
    </row>
    <row r="89" spans="1:61" ht="12" customHeight="1">
      <c r="A89" s="51"/>
      <c r="B89" s="52"/>
      <c r="C89" s="52"/>
      <c r="D89" s="52"/>
      <c r="E89" s="52"/>
      <c r="F89" s="52"/>
      <c r="G89" s="52"/>
      <c r="H89" s="63">
        <v>63323</v>
      </c>
      <c r="I89" s="116"/>
      <c r="J89" s="117"/>
      <c r="K89" s="132" t="s">
        <v>142</v>
      </c>
      <c r="L89" s="129">
        <v>15000</v>
      </c>
      <c r="M89" s="129">
        <f>15000/7.5345</f>
        <v>1990.8421262193906</v>
      </c>
      <c r="N89" s="130">
        <v>20000</v>
      </c>
      <c r="O89" s="130">
        <f>N89/7.5345</f>
        <v>2654.4561682925209</v>
      </c>
      <c r="P89" s="131">
        <v>0</v>
      </c>
      <c r="Q89" s="131">
        <v>0</v>
      </c>
      <c r="R89" s="157">
        <v>0</v>
      </c>
      <c r="S89" s="158"/>
      <c r="T89" s="158"/>
      <c r="U89" s="89" t="e">
        <f t="shared" ca="1" si="61"/>
        <v>#NAME?</v>
      </c>
      <c r="V89" s="505"/>
      <c r="W89" s="505"/>
      <c r="X89" s="534"/>
      <c r="Y89" s="535"/>
      <c r="Z89" s="535"/>
      <c r="AA89" s="535"/>
      <c r="AB89" s="535"/>
      <c r="AC89" s="529"/>
      <c r="AD89" s="529"/>
      <c r="AE89" s="529">
        <f>O89/M89*100</f>
        <v>133.33333333333334</v>
      </c>
      <c r="AF89" s="529">
        <f>P89/O89*100</f>
        <v>0</v>
      </c>
      <c r="AG89" s="529"/>
      <c r="AH89" s="529"/>
      <c r="AI89" s="535"/>
      <c r="AJ89" s="535"/>
      <c r="AK89" s="507"/>
      <c r="AL89" s="507"/>
      <c r="AM89" s="507"/>
      <c r="AN89" s="530" t="e">
        <f ca="1">__xlfn.ISFORMULA(#REF!)</f>
        <v>#NAME?</v>
      </c>
      <c r="AO89" s="531" t="e">
        <f ca="1">__xlfn.ISFORMULA(#REF!)</f>
        <v>#NAME?</v>
      </c>
      <c r="AP89" s="510" t="e">
        <f t="shared" ca="1" si="22"/>
        <v>#NAME?</v>
      </c>
      <c r="AQ89" s="505"/>
      <c r="AR89" s="533"/>
      <c r="AS89" s="533"/>
      <c r="AT89" s="533"/>
      <c r="AU89" s="533"/>
      <c r="AV89" s="533"/>
      <c r="AW89" s="612"/>
      <c r="AX89" s="612"/>
      <c r="AY89" s="612"/>
      <c r="AZ89" s="612"/>
      <c r="BA89" s="612"/>
      <c r="BB89" s="612"/>
      <c r="BC89" s="612"/>
      <c r="BD89" s="612"/>
      <c r="BE89" s="612"/>
      <c r="BF89" s="612"/>
      <c r="BG89" s="612"/>
      <c r="BH89" s="612"/>
      <c r="BI89" s="612"/>
    </row>
    <row r="90" spans="1:61" ht="12" customHeight="1">
      <c r="A90" s="46"/>
      <c r="B90" s="41"/>
      <c r="C90" s="41"/>
      <c r="D90" s="41"/>
      <c r="E90" s="41"/>
      <c r="F90" s="41"/>
      <c r="G90" s="41"/>
      <c r="H90" s="37"/>
      <c r="I90" s="72"/>
      <c r="J90" s="90"/>
      <c r="K90" s="83"/>
      <c r="L90" s="84">
        <v>1</v>
      </c>
      <c r="M90" s="84">
        <v>2</v>
      </c>
      <c r="N90" s="85">
        <v>3</v>
      </c>
      <c r="O90" s="85">
        <v>4</v>
      </c>
      <c r="P90" s="86">
        <v>5</v>
      </c>
      <c r="Q90" s="86">
        <v>6</v>
      </c>
      <c r="R90" s="161">
        <v>4</v>
      </c>
      <c r="S90" s="155"/>
      <c r="T90" s="155"/>
      <c r="U90" s="89" t="e">
        <f t="shared" ca="1" si="61"/>
        <v>#NAME?</v>
      </c>
      <c r="V90" s="505"/>
      <c r="W90" s="505"/>
      <c r="X90" s="536"/>
      <c r="Y90" s="537"/>
      <c r="Z90" s="537"/>
      <c r="AA90" s="537"/>
      <c r="AB90" s="537"/>
      <c r="AC90" s="538">
        <v>7</v>
      </c>
      <c r="AD90" s="538">
        <v>8</v>
      </c>
      <c r="AE90" s="538">
        <v>9</v>
      </c>
      <c r="AF90" s="538">
        <v>10</v>
      </c>
      <c r="AG90" s="538">
        <v>11</v>
      </c>
      <c r="AH90" s="538">
        <v>12</v>
      </c>
      <c r="AI90" s="537"/>
      <c r="AJ90" s="537"/>
      <c r="AK90" s="507">
        <f t="shared" si="59"/>
        <v>0</v>
      </c>
      <c r="AL90" s="507"/>
      <c r="AM90" s="507"/>
      <c r="AN90" s="530" t="e">
        <f ca="1">__xlfn.ISFORMULA(#REF!)</f>
        <v>#NAME?</v>
      </c>
      <c r="AO90" s="531" t="e">
        <f ca="1">__xlfn.ISFORMULA(#REF!)</f>
        <v>#NAME?</v>
      </c>
      <c r="AP90" s="510" t="e">
        <f t="shared" ca="1" si="22"/>
        <v>#NAME?</v>
      </c>
      <c r="AQ90" s="505"/>
      <c r="AR90" s="533">
        <f>V90/R90*100</f>
        <v>0</v>
      </c>
      <c r="AS90" s="533" t="e">
        <f t="shared" si="54"/>
        <v>#DIV/0!</v>
      </c>
      <c r="AT90" s="533">
        <f>W90/R90*100</f>
        <v>0</v>
      </c>
      <c r="AU90" s="533"/>
      <c r="AV90" s="533">
        <f>AQ90/R90*100</f>
        <v>0</v>
      </c>
      <c r="AW90" s="612"/>
      <c r="AX90" s="612"/>
      <c r="AY90" s="612"/>
      <c r="AZ90" s="612"/>
      <c r="BA90" s="612"/>
      <c r="BB90" s="612"/>
      <c r="BC90" s="612"/>
      <c r="BD90" s="612"/>
      <c r="BE90" s="612"/>
      <c r="BF90" s="612"/>
      <c r="BG90" s="612"/>
      <c r="BH90" s="612"/>
      <c r="BI90" s="612"/>
    </row>
    <row r="91" spans="1:61" ht="12" customHeight="1">
      <c r="A91" s="60"/>
      <c r="B91" s="61"/>
      <c r="C91" s="61"/>
      <c r="D91" s="61"/>
      <c r="E91" s="61">
        <v>5</v>
      </c>
      <c r="F91" s="61"/>
      <c r="G91" s="61"/>
      <c r="H91" s="62">
        <v>638</v>
      </c>
      <c r="I91" s="127"/>
      <c r="J91" s="128"/>
      <c r="K91" s="20" t="s">
        <v>143</v>
      </c>
      <c r="L91" s="111">
        <f t="shared" ref="L91:Q91" si="62">L92</f>
        <v>0</v>
      </c>
      <c r="M91" s="111">
        <f t="shared" si="62"/>
        <v>0</v>
      </c>
      <c r="N91" s="112">
        <f t="shared" si="62"/>
        <v>508281</v>
      </c>
      <c r="O91" s="112">
        <f t="shared" si="62"/>
        <v>67460.481783794545</v>
      </c>
      <c r="P91" s="113">
        <f t="shared" si="62"/>
        <v>265400</v>
      </c>
      <c r="Q91" s="113">
        <f t="shared" si="62"/>
        <v>200400</v>
      </c>
      <c r="R91" s="160">
        <v>200400</v>
      </c>
      <c r="S91" s="89"/>
      <c r="T91" s="89"/>
      <c r="U91" s="89" t="e">
        <f t="shared" ca="1" si="61"/>
        <v>#NAME?</v>
      </c>
      <c r="V91" s="505">
        <f>V92</f>
        <v>323700</v>
      </c>
      <c r="W91" s="505">
        <f>W92</f>
        <v>323700</v>
      </c>
      <c r="X91" s="506">
        <f>X92</f>
        <v>0</v>
      </c>
      <c r="Y91" s="507">
        <f>Y92</f>
        <v>0</v>
      </c>
      <c r="Z91" s="507"/>
      <c r="AA91" s="507"/>
      <c r="AB91" s="507"/>
      <c r="AC91" s="508">
        <f>AC92</f>
        <v>0</v>
      </c>
      <c r="AD91" s="508">
        <f>AD92</f>
        <v>0</v>
      </c>
      <c r="AE91" s="529"/>
      <c r="AF91" s="529">
        <f>P91/O91*100</f>
        <v>393.41551228552709</v>
      </c>
      <c r="AG91" s="529">
        <f>Q91/P91*100</f>
        <v>75.508666164280342</v>
      </c>
      <c r="AH91" s="529">
        <f>AC91/Q91*100</f>
        <v>0</v>
      </c>
      <c r="AI91" s="507"/>
      <c r="AJ91" s="507">
        <v>0</v>
      </c>
      <c r="AK91" s="507">
        <f t="shared" si="59"/>
        <v>161.52694610778445</v>
      </c>
      <c r="AL91" s="507">
        <f t="shared" si="60"/>
        <v>0</v>
      </c>
      <c r="AM91" s="507"/>
      <c r="AN91" s="530" t="e">
        <f ca="1">__xlfn.ISFORMULA(#REF!)</f>
        <v>#NAME?</v>
      </c>
      <c r="AO91" s="531" t="e">
        <f ca="1">__xlfn.ISFORMULA(#REF!)</f>
        <v>#NAME?</v>
      </c>
      <c r="AP91" s="510" t="e">
        <f t="shared" ca="1" si="22"/>
        <v>#NAME?</v>
      </c>
      <c r="AQ91" s="505">
        <f>AQ92</f>
        <v>323702.05</v>
      </c>
      <c r="AR91" s="533">
        <f>V91/R91*100</f>
        <v>161.52694610778445</v>
      </c>
      <c r="AS91" s="533">
        <f t="shared" si="54"/>
        <v>100</v>
      </c>
      <c r="AT91" s="533">
        <f>W91/R91*100</f>
        <v>161.52694610778445</v>
      </c>
      <c r="AU91" s="533">
        <f>AQ91/W91*100</f>
        <v>100.00063330244053</v>
      </c>
      <c r="AV91" s="533">
        <f>AQ91/R91*100</f>
        <v>161.52796906187623</v>
      </c>
      <c r="AW91" s="612"/>
      <c r="AX91" s="612"/>
      <c r="AY91" s="612"/>
      <c r="AZ91" s="612"/>
      <c r="BA91" s="612"/>
      <c r="BB91" s="612"/>
      <c r="BC91" s="612"/>
      <c r="BD91" s="612"/>
      <c r="BE91" s="612"/>
      <c r="BF91" s="612"/>
      <c r="BG91" s="612"/>
      <c r="BH91" s="612"/>
      <c r="BI91" s="612"/>
    </row>
    <row r="92" spans="1:61" ht="12" customHeight="1">
      <c r="A92" s="51"/>
      <c r="B92" s="52"/>
      <c r="C92" s="52"/>
      <c r="D92" s="52"/>
      <c r="E92" s="52"/>
      <c r="F92" s="52"/>
      <c r="G92" s="52"/>
      <c r="H92" s="63">
        <v>6382</v>
      </c>
      <c r="I92" s="116"/>
      <c r="J92" s="174"/>
      <c r="K92" s="19" t="s">
        <v>144</v>
      </c>
      <c r="L92" s="129">
        <v>0</v>
      </c>
      <c r="M92" s="129">
        <v>0</v>
      </c>
      <c r="N92" s="130">
        <v>508281</v>
      </c>
      <c r="O92" s="130">
        <f>N92/7.5345</f>
        <v>67460.481783794545</v>
      </c>
      <c r="P92" s="131">
        <v>265400</v>
      </c>
      <c r="Q92" s="156">
        <v>200400</v>
      </c>
      <c r="R92" s="157">
        <v>200400</v>
      </c>
      <c r="S92" s="158"/>
      <c r="T92" s="158"/>
      <c r="U92" s="89" t="e">
        <f t="shared" ca="1" si="61"/>
        <v>#NAME?</v>
      </c>
      <c r="V92" s="505">
        <v>323700</v>
      </c>
      <c r="W92" s="505">
        <v>323700</v>
      </c>
      <c r="X92" s="534"/>
      <c r="Y92" s="535"/>
      <c r="Z92" s="535"/>
      <c r="AA92" s="535"/>
      <c r="AB92" s="535"/>
      <c r="AC92" s="529"/>
      <c r="AD92" s="529"/>
      <c r="AE92" s="529"/>
      <c r="AF92" s="529">
        <f>P92/O92*100</f>
        <v>393.41551228552709</v>
      </c>
      <c r="AG92" s="529">
        <f>Q92/P92*100</f>
        <v>75.508666164280342</v>
      </c>
      <c r="AH92" s="529">
        <f>AC92/Q92*100</f>
        <v>0</v>
      </c>
      <c r="AI92" s="535"/>
      <c r="AJ92" s="535"/>
      <c r="AK92" s="507">
        <f t="shared" si="59"/>
        <v>161.52694610778445</v>
      </c>
      <c r="AL92" s="507">
        <f t="shared" si="60"/>
        <v>0</v>
      </c>
      <c r="AM92" s="507"/>
      <c r="AN92" s="530" t="e">
        <f ca="1">__xlfn.ISFORMULA(#REF!)</f>
        <v>#NAME?</v>
      </c>
      <c r="AO92" s="531" t="e">
        <f ca="1">__xlfn.ISFORMULA(#REF!)</f>
        <v>#NAME?</v>
      </c>
      <c r="AP92" s="510" t="e">
        <f t="shared" ca="1" si="22"/>
        <v>#NAME?</v>
      </c>
      <c r="AQ92" s="505">
        <v>323702.05</v>
      </c>
      <c r="AR92" s="533">
        <f>V92/R92*100</f>
        <v>161.52694610778445</v>
      </c>
      <c r="AS92" s="533">
        <f t="shared" si="54"/>
        <v>100</v>
      </c>
      <c r="AT92" s="533">
        <f>W92/R92*100</f>
        <v>161.52694610778445</v>
      </c>
      <c r="AU92" s="533">
        <f>AQ92/W92*100</f>
        <v>100.00063330244053</v>
      </c>
      <c r="AV92" s="533">
        <f>AQ92/R92*100</f>
        <v>161.52796906187623</v>
      </c>
      <c r="AW92" s="612"/>
      <c r="AX92" s="612"/>
      <c r="AY92" s="612"/>
      <c r="AZ92" s="612"/>
      <c r="BA92" s="612"/>
      <c r="BB92" s="612"/>
      <c r="BC92" s="612"/>
      <c r="BD92" s="612"/>
      <c r="BE92" s="612"/>
      <c r="BF92" s="612"/>
      <c r="BG92" s="612"/>
      <c r="BH92" s="612"/>
      <c r="BI92" s="612"/>
    </row>
    <row r="93" spans="1:61" ht="12" customHeight="1">
      <c r="A93" s="51"/>
      <c r="B93" s="52"/>
      <c r="C93" s="52"/>
      <c r="D93" s="52"/>
      <c r="E93" s="52"/>
      <c r="F93" s="52"/>
      <c r="G93" s="52"/>
      <c r="H93" s="63"/>
      <c r="I93" s="116"/>
      <c r="J93" s="117"/>
      <c r="K93" s="19"/>
      <c r="L93" s="129"/>
      <c r="M93" s="129"/>
      <c r="N93" s="130"/>
      <c r="O93" s="130"/>
      <c r="P93" s="131"/>
      <c r="Q93" s="131"/>
      <c r="R93" s="157"/>
      <c r="S93" s="158"/>
      <c r="T93" s="158"/>
      <c r="U93" s="89" t="e">
        <f t="shared" ca="1" si="61"/>
        <v>#NAME?</v>
      </c>
      <c r="V93" s="505"/>
      <c r="W93" s="505"/>
      <c r="X93" s="534"/>
      <c r="Y93" s="535"/>
      <c r="Z93" s="535"/>
      <c r="AA93" s="535"/>
      <c r="AB93" s="535"/>
      <c r="AC93" s="529"/>
      <c r="AD93" s="529"/>
      <c r="AE93" s="529"/>
      <c r="AF93" s="529"/>
      <c r="AG93" s="529"/>
      <c r="AH93" s="529"/>
      <c r="AI93" s="535"/>
      <c r="AJ93" s="535"/>
      <c r="AK93" s="507"/>
      <c r="AL93" s="507"/>
      <c r="AM93" s="507"/>
      <c r="AN93" s="530" t="e">
        <f ca="1">__xlfn.ISFORMULA(#REF!)</f>
        <v>#NAME?</v>
      </c>
      <c r="AO93" s="531" t="e">
        <f ca="1">__xlfn.ISFORMULA(#REF!)</f>
        <v>#NAME?</v>
      </c>
      <c r="AP93" s="510" t="e">
        <f t="shared" ca="1" si="22"/>
        <v>#NAME?</v>
      </c>
      <c r="AQ93" s="505"/>
      <c r="AR93" s="533"/>
      <c r="AS93" s="533"/>
      <c r="AT93" s="533"/>
      <c r="AU93" s="533"/>
      <c r="AV93" s="533"/>
      <c r="AW93" s="612"/>
      <c r="AX93" s="612"/>
      <c r="AY93" s="612"/>
      <c r="AZ93" s="612"/>
      <c r="BA93" s="612"/>
      <c r="BB93" s="612"/>
      <c r="BC93" s="612"/>
      <c r="BD93" s="612"/>
      <c r="BE93" s="612"/>
      <c r="BF93" s="612"/>
      <c r="BG93" s="612"/>
      <c r="BH93" s="612"/>
      <c r="BI93" s="612"/>
    </row>
    <row r="94" spans="1:61" ht="12" customHeight="1">
      <c r="A94" s="60"/>
      <c r="B94" s="61"/>
      <c r="C94" s="61"/>
      <c r="D94" s="61"/>
      <c r="E94" s="61">
        <v>5</v>
      </c>
      <c r="F94" s="61"/>
      <c r="G94" s="61"/>
      <c r="H94" s="62">
        <v>634</v>
      </c>
      <c r="I94" s="127"/>
      <c r="J94" s="128"/>
      <c r="K94" s="20" t="s">
        <v>145</v>
      </c>
      <c r="L94" s="111">
        <f t="shared" ref="L94:Q94" si="63">L95+L98</f>
        <v>2456691</v>
      </c>
      <c r="M94" s="111">
        <f t="shared" si="63"/>
        <v>326058.92892693612</v>
      </c>
      <c r="N94" s="112">
        <f t="shared" si="63"/>
        <v>675000</v>
      </c>
      <c r="O94" s="112">
        <f t="shared" si="63"/>
        <v>89587.89567987257</v>
      </c>
      <c r="P94" s="113">
        <f t="shared" si="63"/>
        <v>329250</v>
      </c>
      <c r="Q94" s="113">
        <f t="shared" si="63"/>
        <v>0</v>
      </c>
      <c r="R94" s="160">
        <v>0</v>
      </c>
      <c r="S94" s="89"/>
      <c r="T94" s="89"/>
      <c r="U94" s="89" t="e">
        <f t="shared" ca="1" si="61"/>
        <v>#NAME?</v>
      </c>
      <c r="V94" s="505">
        <f>SUM(V95+V98)</f>
        <v>133000</v>
      </c>
      <c r="W94" s="505">
        <f>SUM(W95+W98)</f>
        <v>133000</v>
      </c>
      <c r="X94" s="506">
        <f>SUM(X95+X98)</f>
        <v>75000</v>
      </c>
      <c r="Y94" s="507">
        <f>SUM(Y95+Y98)</f>
        <v>75000</v>
      </c>
      <c r="Z94" s="507"/>
      <c r="AA94" s="507"/>
      <c r="AB94" s="507"/>
      <c r="AC94" s="508">
        <f>AC95+AC98</f>
        <v>150000</v>
      </c>
      <c r="AD94" s="508">
        <f>AD95+AD98</f>
        <v>150000</v>
      </c>
      <c r="AE94" s="529">
        <f>O94/M94*100</f>
        <v>27.475982938025169</v>
      </c>
      <c r="AF94" s="529">
        <f>P94/O94*100</f>
        <v>367.51616666666672</v>
      </c>
      <c r="AG94" s="529">
        <f>Q94/P94*100</f>
        <v>0</v>
      </c>
      <c r="AH94" s="529"/>
      <c r="AI94" s="507"/>
      <c r="AJ94" s="507">
        <v>75000</v>
      </c>
      <c r="AK94" s="507"/>
      <c r="AL94" s="507">
        <f t="shared" si="60"/>
        <v>56.390977443609025</v>
      </c>
      <c r="AM94" s="507">
        <f>Y94/X94*100</f>
        <v>100</v>
      </c>
      <c r="AN94" s="530" t="e">
        <f ca="1">__xlfn.ISFORMULA(#REF!)</f>
        <v>#NAME?</v>
      </c>
      <c r="AO94" s="531" t="e">
        <f ca="1">__xlfn.ISFORMULA(#REF!)</f>
        <v>#NAME?</v>
      </c>
      <c r="AP94" s="510" t="e">
        <f t="shared" ca="1" si="22"/>
        <v>#NAME?</v>
      </c>
      <c r="AQ94" s="505">
        <f>SUM(AQ95+AQ98)</f>
        <v>132482.70000000001</v>
      </c>
      <c r="AR94" s="533"/>
      <c r="AS94" s="533">
        <f t="shared" si="54"/>
        <v>100</v>
      </c>
      <c r="AT94" s="533"/>
      <c r="AU94" s="533">
        <f>AQ94/W94*100</f>
        <v>99.611052631578957</v>
      </c>
      <c r="AV94" s="533"/>
      <c r="AW94" s="612"/>
      <c r="AX94" s="612"/>
      <c r="AY94" s="612"/>
      <c r="AZ94" s="612"/>
      <c r="BA94" s="612"/>
      <c r="BB94" s="612"/>
      <c r="BC94" s="612"/>
      <c r="BD94" s="612"/>
      <c r="BE94" s="612"/>
      <c r="BF94" s="612"/>
      <c r="BG94" s="612"/>
      <c r="BH94" s="612"/>
      <c r="BI94" s="612"/>
    </row>
    <row r="95" spans="1:61" ht="12" customHeight="1">
      <c r="A95" s="51"/>
      <c r="B95" s="52"/>
      <c r="C95" s="52"/>
      <c r="D95" s="52"/>
      <c r="E95" s="52"/>
      <c r="F95" s="52"/>
      <c r="G95" s="52"/>
      <c r="H95" s="63">
        <v>6341</v>
      </c>
      <c r="I95" s="116"/>
      <c r="J95" s="117"/>
      <c r="K95" s="19" t="s">
        <v>146</v>
      </c>
      <c r="L95" s="111">
        <f t="shared" ref="L95:Q95" si="64">L96</f>
        <v>0</v>
      </c>
      <c r="M95" s="111">
        <f t="shared" si="64"/>
        <v>0</v>
      </c>
      <c r="N95" s="112">
        <f t="shared" si="64"/>
        <v>0</v>
      </c>
      <c r="O95" s="112">
        <f t="shared" si="64"/>
        <v>0</v>
      </c>
      <c r="P95" s="113">
        <f t="shared" si="64"/>
        <v>0</v>
      </c>
      <c r="Q95" s="113">
        <f t="shared" si="64"/>
        <v>0</v>
      </c>
      <c r="R95" s="160">
        <v>0</v>
      </c>
      <c r="S95" s="89"/>
      <c r="T95" s="89"/>
      <c r="U95" s="89" t="e">
        <f t="shared" ca="1" si="61"/>
        <v>#NAME?</v>
      </c>
      <c r="V95" s="505">
        <f>V96</f>
        <v>0</v>
      </c>
      <c r="W95" s="505">
        <f>W96</f>
        <v>0</v>
      </c>
      <c r="X95" s="506">
        <f>X96</f>
        <v>0</v>
      </c>
      <c r="Y95" s="507">
        <f>Y96</f>
        <v>0</v>
      </c>
      <c r="Z95" s="507"/>
      <c r="AA95" s="507"/>
      <c r="AB95" s="507"/>
      <c r="AC95" s="508">
        <f>AC96</f>
        <v>0</v>
      </c>
      <c r="AD95" s="508">
        <f>AD96</f>
        <v>0</v>
      </c>
      <c r="AE95" s="529"/>
      <c r="AF95" s="529"/>
      <c r="AG95" s="529"/>
      <c r="AH95" s="529"/>
      <c r="AI95" s="507"/>
      <c r="AJ95" s="507">
        <v>0</v>
      </c>
      <c r="AK95" s="507"/>
      <c r="AL95" s="507"/>
      <c r="AM95" s="507"/>
      <c r="AN95" s="530" t="e">
        <f ca="1">__xlfn.ISFORMULA(#REF!)</f>
        <v>#NAME?</v>
      </c>
      <c r="AO95" s="531" t="e">
        <f ca="1">__xlfn.ISFORMULA(#REF!)</f>
        <v>#NAME?</v>
      </c>
      <c r="AP95" s="510" t="e">
        <f t="shared" ca="1" si="22"/>
        <v>#NAME?</v>
      </c>
      <c r="AQ95" s="505">
        <f>AQ96</f>
        <v>0</v>
      </c>
      <c r="AR95" s="533"/>
      <c r="AS95" s="533"/>
      <c r="AT95" s="533"/>
      <c r="AU95" s="533"/>
      <c r="AV95" s="533"/>
      <c r="AW95" s="612"/>
      <c r="AX95" s="612"/>
      <c r="AY95" s="612"/>
      <c r="AZ95" s="612"/>
      <c r="BA95" s="612"/>
      <c r="BB95" s="612"/>
      <c r="BC95" s="612"/>
      <c r="BD95" s="612"/>
      <c r="BE95" s="612"/>
      <c r="BF95" s="612"/>
      <c r="BG95" s="612"/>
      <c r="BH95" s="612"/>
      <c r="BI95" s="612"/>
    </row>
    <row r="96" spans="1:61" ht="12" customHeight="1">
      <c r="A96" s="51"/>
      <c r="B96" s="52"/>
      <c r="C96" s="52"/>
      <c r="D96" s="52"/>
      <c r="E96" s="52"/>
      <c r="F96" s="52"/>
      <c r="G96" s="52"/>
      <c r="H96" s="63">
        <v>63414</v>
      </c>
      <c r="I96" s="116"/>
      <c r="J96" s="117"/>
      <c r="K96" s="19" t="s">
        <v>147</v>
      </c>
      <c r="L96" s="129">
        <v>0</v>
      </c>
      <c r="M96" s="129">
        <v>0</v>
      </c>
      <c r="N96" s="130">
        <v>0</v>
      </c>
      <c r="O96" s="130">
        <v>0</v>
      </c>
      <c r="P96" s="131">
        <v>0</v>
      </c>
      <c r="Q96" s="131">
        <v>0</v>
      </c>
      <c r="R96" s="157">
        <v>0</v>
      </c>
      <c r="S96" s="158"/>
      <c r="T96" s="158"/>
      <c r="U96" s="89" t="e">
        <f t="shared" ca="1" si="61"/>
        <v>#NAME?</v>
      </c>
      <c r="V96" s="505"/>
      <c r="W96" s="505"/>
      <c r="X96" s="534"/>
      <c r="Y96" s="535"/>
      <c r="Z96" s="535"/>
      <c r="AA96" s="535"/>
      <c r="AB96" s="535"/>
      <c r="AC96" s="529"/>
      <c r="AD96" s="529"/>
      <c r="AE96" s="529"/>
      <c r="AF96" s="529"/>
      <c r="AG96" s="529"/>
      <c r="AH96" s="529"/>
      <c r="AI96" s="535"/>
      <c r="AJ96" s="535"/>
      <c r="AK96" s="507"/>
      <c r="AL96" s="507"/>
      <c r="AM96" s="507"/>
      <c r="AN96" s="530" t="e">
        <f ca="1">__xlfn.ISFORMULA(#REF!)</f>
        <v>#NAME?</v>
      </c>
      <c r="AO96" s="531" t="e">
        <f ca="1">__xlfn.ISFORMULA(#REF!)</f>
        <v>#NAME?</v>
      </c>
      <c r="AP96" s="510" t="e">
        <f t="shared" ca="1" si="22"/>
        <v>#NAME?</v>
      </c>
      <c r="AQ96" s="505"/>
      <c r="AR96" s="533"/>
      <c r="AS96" s="533"/>
      <c r="AT96" s="533"/>
      <c r="AU96" s="533"/>
      <c r="AV96" s="533"/>
      <c r="AW96" s="612"/>
      <c r="AX96" s="612"/>
      <c r="AY96" s="612"/>
      <c r="AZ96" s="612"/>
      <c r="BA96" s="612"/>
      <c r="BB96" s="612"/>
      <c r="BC96" s="612"/>
      <c r="BD96" s="612"/>
      <c r="BE96" s="612"/>
      <c r="BF96" s="612"/>
      <c r="BG96" s="612"/>
      <c r="BH96" s="612"/>
      <c r="BI96" s="612"/>
    </row>
    <row r="97" spans="1:61" ht="12" customHeight="1">
      <c r="A97" s="46"/>
      <c r="B97" s="41"/>
      <c r="C97" s="41"/>
      <c r="D97" s="41"/>
      <c r="E97" s="41"/>
      <c r="F97" s="41"/>
      <c r="G97" s="41"/>
      <c r="H97" s="37"/>
      <c r="I97" s="72"/>
      <c r="J97" s="90"/>
      <c r="K97" s="83"/>
      <c r="L97" s="84"/>
      <c r="M97" s="84"/>
      <c r="N97" s="85"/>
      <c r="O97" s="85"/>
      <c r="P97" s="86"/>
      <c r="Q97" s="86"/>
      <c r="R97" s="161"/>
      <c r="S97" s="155"/>
      <c r="T97" s="155"/>
      <c r="U97" s="89" t="e">
        <f t="shared" ca="1" si="61"/>
        <v>#NAME?</v>
      </c>
      <c r="V97" s="505"/>
      <c r="W97" s="505"/>
      <c r="X97" s="536"/>
      <c r="Y97" s="537"/>
      <c r="Z97" s="537"/>
      <c r="AA97" s="537"/>
      <c r="AB97" s="537"/>
      <c r="AC97" s="538"/>
      <c r="AD97" s="538"/>
      <c r="AE97" s="529"/>
      <c r="AF97" s="529"/>
      <c r="AG97" s="529"/>
      <c r="AH97" s="529"/>
      <c r="AI97" s="537"/>
      <c r="AJ97" s="537"/>
      <c r="AK97" s="507"/>
      <c r="AL97" s="507"/>
      <c r="AM97" s="507"/>
      <c r="AN97" s="530" t="e">
        <f ca="1">__xlfn.ISFORMULA(#REF!)</f>
        <v>#NAME?</v>
      </c>
      <c r="AO97" s="531" t="e">
        <f ca="1">__xlfn.ISFORMULA(#REF!)</f>
        <v>#NAME?</v>
      </c>
      <c r="AP97" s="510" t="e">
        <f t="shared" ca="1" si="22"/>
        <v>#NAME?</v>
      </c>
      <c r="AQ97" s="505"/>
      <c r="AR97" s="533"/>
      <c r="AS97" s="533"/>
      <c r="AT97" s="533"/>
      <c r="AU97" s="533"/>
      <c r="AV97" s="533"/>
      <c r="AW97" s="612"/>
      <c r="AX97" s="612"/>
      <c r="AY97" s="612"/>
      <c r="AZ97" s="612"/>
      <c r="BA97" s="612"/>
      <c r="BB97" s="612"/>
      <c r="BC97" s="612"/>
      <c r="BD97" s="612"/>
      <c r="BE97" s="612"/>
      <c r="BF97" s="612"/>
      <c r="BG97" s="612"/>
      <c r="BH97" s="612"/>
      <c r="BI97" s="612"/>
    </row>
    <row r="98" spans="1:61" ht="12" customHeight="1">
      <c r="A98" s="51"/>
      <c r="B98" s="52"/>
      <c r="C98" s="52"/>
      <c r="D98" s="52"/>
      <c r="E98" s="52"/>
      <c r="F98" s="52"/>
      <c r="G98" s="52"/>
      <c r="H98" s="63">
        <v>6342</v>
      </c>
      <c r="I98" s="116"/>
      <c r="J98" s="117"/>
      <c r="K98" s="19" t="s">
        <v>148</v>
      </c>
      <c r="L98" s="111">
        <f t="shared" ref="L98:Q98" si="65">L99+L100+L101</f>
        <v>2456691</v>
      </c>
      <c r="M98" s="111">
        <f t="shared" si="65"/>
        <v>326058.92892693612</v>
      </c>
      <c r="N98" s="112">
        <f t="shared" si="65"/>
        <v>675000</v>
      </c>
      <c r="O98" s="112">
        <f t="shared" si="65"/>
        <v>89587.89567987257</v>
      </c>
      <c r="P98" s="113">
        <f t="shared" si="65"/>
        <v>329250</v>
      </c>
      <c r="Q98" s="113">
        <f t="shared" si="65"/>
        <v>0</v>
      </c>
      <c r="R98" s="160">
        <v>0</v>
      </c>
      <c r="S98" s="89"/>
      <c r="T98" s="89"/>
      <c r="U98" s="89" t="e">
        <f t="shared" ca="1" si="61"/>
        <v>#NAME?</v>
      </c>
      <c r="V98" s="505">
        <v>133000</v>
      </c>
      <c r="W98" s="505">
        <v>133000</v>
      </c>
      <c r="X98" s="506">
        <f>X99+X100+X101</f>
        <v>75000</v>
      </c>
      <c r="Y98" s="507">
        <f>Y99+Y100+Y101</f>
        <v>75000</v>
      </c>
      <c r="Z98" s="507"/>
      <c r="AA98" s="507"/>
      <c r="AB98" s="507"/>
      <c r="AC98" s="508">
        <f>AC99+AC100+AC101</f>
        <v>150000</v>
      </c>
      <c r="AD98" s="508">
        <f>AD99+AD100+AD101</f>
        <v>150000</v>
      </c>
      <c r="AE98" s="529">
        <f>O98/M98*100</f>
        <v>27.475982938025169</v>
      </c>
      <c r="AF98" s="529">
        <f>P98/O98*100</f>
        <v>367.51616666666672</v>
      </c>
      <c r="AG98" s="529">
        <f>Q98/P98*100</f>
        <v>0</v>
      </c>
      <c r="AH98" s="529"/>
      <c r="AI98" s="507"/>
      <c r="AJ98" s="507">
        <v>75000</v>
      </c>
      <c r="AK98" s="507"/>
      <c r="AL98" s="507">
        <f t="shared" si="60"/>
        <v>56.390977443609025</v>
      </c>
      <c r="AM98" s="507">
        <f>Y98/X98*100</f>
        <v>100</v>
      </c>
      <c r="AN98" s="530" t="e">
        <f ca="1">__xlfn.ISFORMULA(#REF!)</f>
        <v>#NAME?</v>
      </c>
      <c r="AO98" s="531" t="e">
        <f ca="1">__xlfn.ISFORMULA(#REF!)</f>
        <v>#NAME?</v>
      </c>
      <c r="AP98" s="510" t="e">
        <f t="shared" ca="1" si="22"/>
        <v>#NAME?</v>
      </c>
      <c r="AQ98" s="505">
        <f>AQ99+AQ100+AQ101</f>
        <v>132482.70000000001</v>
      </c>
      <c r="AR98" s="533"/>
      <c r="AS98" s="533">
        <f t="shared" si="54"/>
        <v>100</v>
      </c>
      <c r="AT98" s="533"/>
      <c r="AU98" s="533">
        <f>AQ98/W98*100</f>
        <v>99.611052631578957</v>
      </c>
      <c r="AV98" s="533"/>
      <c r="AW98" s="612"/>
      <c r="AX98" s="612"/>
      <c r="AY98" s="612"/>
      <c r="AZ98" s="612"/>
      <c r="BA98" s="612"/>
      <c r="BB98" s="612"/>
      <c r="BC98" s="612"/>
      <c r="BD98" s="612"/>
      <c r="BE98" s="612"/>
      <c r="BF98" s="612"/>
      <c r="BG98" s="612"/>
      <c r="BH98" s="612"/>
      <c r="BI98" s="612"/>
    </row>
    <row r="99" spans="1:61" ht="12" customHeight="1">
      <c r="A99" s="51"/>
      <c r="B99" s="52"/>
      <c r="C99" s="52"/>
      <c r="D99" s="52"/>
      <c r="E99" s="52"/>
      <c r="F99" s="52"/>
      <c r="G99" s="52"/>
      <c r="H99" s="63">
        <v>63425</v>
      </c>
      <c r="I99" s="116"/>
      <c r="J99" s="117"/>
      <c r="K99" s="19" t="s">
        <v>149</v>
      </c>
      <c r="L99" s="129">
        <v>1756691</v>
      </c>
      <c r="M99" s="129">
        <f>1756691/7.5345</f>
        <v>233152.96303669785</v>
      </c>
      <c r="N99" s="130">
        <v>195000</v>
      </c>
      <c r="O99" s="130">
        <f>N99/7.5345</f>
        <v>25880.947640852079</v>
      </c>
      <c r="P99" s="131">
        <v>309250</v>
      </c>
      <c r="Q99" s="156">
        <v>0</v>
      </c>
      <c r="R99" s="157">
        <v>0</v>
      </c>
      <c r="S99" s="158"/>
      <c r="T99" s="158"/>
      <c r="U99" s="89" t="e">
        <f t="shared" ca="1" si="61"/>
        <v>#NAME?</v>
      </c>
      <c r="V99" s="505">
        <v>133000</v>
      </c>
      <c r="W99" s="505">
        <v>133000</v>
      </c>
      <c r="X99" s="534">
        <v>75000</v>
      </c>
      <c r="Y99" s="535">
        <v>75000</v>
      </c>
      <c r="Z99" s="535"/>
      <c r="AA99" s="535"/>
      <c r="AB99" s="535"/>
      <c r="AC99" s="529">
        <v>150000</v>
      </c>
      <c r="AD99" s="529">
        <v>150000</v>
      </c>
      <c r="AE99" s="529">
        <f>O99/M99*100</f>
        <v>11.100415497090836</v>
      </c>
      <c r="AF99" s="529"/>
      <c r="AG99" s="529"/>
      <c r="AH99" s="529"/>
      <c r="AI99" s="535"/>
      <c r="AJ99" s="535">
        <v>75000</v>
      </c>
      <c r="AK99" s="507"/>
      <c r="AL99" s="507">
        <f t="shared" si="60"/>
        <v>56.390977443609025</v>
      </c>
      <c r="AM99" s="507">
        <f>Y99/X99*100</f>
        <v>100</v>
      </c>
      <c r="AN99" s="530" t="e">
        <f ca="1">__xlfn.ISFORMULA(#REF!)</f>
        <v>#NAME?</v>
      </c>
      <c r="AO99" s="531" t="e">
        <f ca="1">__xlfn.ISFORMULA(#REF!)</f>
        <v>#NAME?</v>
      </c>
      <c r="AP99" s="510" t="e">
        <f t="shared" ca="1" si="22"/>
        <v>#NAME?</v>
      </c>
      <c r="AQ99" s="505">
        <v>132482.70000000001</v>
      </c>
      <c r="AR99" s="533"/>
      <c r="AS99" s="533">
        <f t="shared" si="54"/>
        <v>100</v>
      </c>
      <c r="AT99" s="533"/>
      <c r="AU99" s="533">
        <f>AQ99/W99*100</f>
        <v>99.611052631578957</v>
      </c>
      <c r="AV99" s="533"/>
      <c r="AW99" s="612"/>
      <c r="AX99" s="612"/>
      <c r="AY99" s="612"/>
      <c r="AZ99" s="612"/>
      <c r="BA99" s="612"/>
      <c r="BB99" s="612"/>
      <c r="BC99" s="612"/>
      <c r="BD99" s="612"/>
      <c r="BE99" s="612"/>
      <c r="BF99" s="612"/>
      <c r="BG99" s="612"/>
      <c r="BH99" s="612"/>
      <c r="BI99" s="612"/>
    </row>
    <row r="100" spans="1:61" ht="12" customHeight="1">
      <c r="A100" s="51"/>
      <c r="B100" s="52"/>
      <c r="C100" s="52"/>
      <c r="D100" s="52"/>
      <c r="E100" s="52"/>
      <c r="F100" s="52"/>
      <c r="G100" s="52"/>
      <c r="H100" s="63">
        <v>63426</v>
      </c>
      <c r="I100" s="116"/>
      <c r="J100" s="117"/>
      <c r="K100" s="19" t="s">
        <v>150</v>
      </c>
      <c r="L100" s="129">
        <v>500000</v>
      </c>
      <c r="M100" s="129">
        <f>500000/7.5345</f>
        <v>66361.404207313026</v>
      </c>
      <c r="N100" s="130">
        <v>300000</v>
      </c>
      <c r="O100" s="130">
        <f>N100/7.5345</f>
        <v>39816.842524387816</v>
      </c>
      <c r="P100" s="131">
        <v>20000</v>
      </c>
      <c r="Q100" s="156">
        <v>0</v>
      </c>
      <c r="R100" s="157">
        <v>0</v>
      </c>
      <c r="S100" s="158"/>
      <c r="T100" s="158"/>
      <c r="U100" s="89" t="e">
        <f t="shared" ca="1" si="61"/>
        <v>#NAME?</v>
      </c>
      <c r="V100" s="505"/>
      <c r="W100" s="505"/>
      <c r="X100" s="534"/>
      <c r="Y100" s="535"/>
      <c r="Z100" s="535"/>
      <c r="AA100" s="535"/>
      <c r="AB100" s="535"/>
      <c r="AC100" s="529">
        <v>0</v>
      </c>
      <c r="AD100" s="529">
        <v>0</v>
      </c>
      <c r="AE100" s="529">
        <f>O100/M100*100</f>
        <v>60</v>
      </c>
      <c r="AF100" s="529"/>
      <c r="AG100" s="529"/>
      <c r="AH100" s="529"/>
      <c r="AI100" s="535"/>
      <c r="AJ100" s="535"/>
      <c r="AK100" s="507"/>
      <c r="AL100" s="507"/>
      <c r="AM100" s="507"/>
      <c r="AN100" s="530" t="e">
        <f ca="1">__xlfn.ISFORMULA(#REF!)</f>
        <v>#NAME?</v>
      </c>
      <c r="AO100" s="531" t="e">
        <f ca="1">__xlfn.ISFORMULA(#REF!)</f>
        <v>#NAME?</v>
      </c>
      <c r="AP100" s="510" t="e">
        <f t="shared" ca="1" si="22"/>
        <v>#NAME?</v>
      </c>
      <c r="AQ100" s="505"/>
      <c r="AR100" s="533"/>
      <c r="AS100" s="533"/>
      <c r="AT100" s="533"/>
      <c r="AU100" s="533"/>
      <c r="AV100" s="533"/>
      <c r="AW100" s="612"/>
      <c r="AX100" s="612"/>
      <c r="AY100" s="612"/>
      <c r="AZ100" s="612"/>
      <c r="BA100" s="612"/>
      <c r="BB100" s="612"/>
      <c r="BC100" s="612"/>
      <c r="BD100" s="612"/>
      <c r="BE100" s="612"/>
      <c r="BF100" s="612"/>
      <c r="BG100" s="612"/>
      <c r="BH100" s="612"/>
      <c r="BI100" s="612"/>
    </row>
    <row r="101" spans="1:61" ht="12" customHeight="1">
      <c r="A101" s="51"/>
      <c r="B101" s="52"/>
      <c r="C101" s="52"/>
      <c r="D101" s="52"/>
      <c r="E101" s="52"/>
      <c r="F101" s="52"/>
      <c r="G101" s="52"/>
      <c r="H101" s="63">
        <v>63426</v>
      </c>
      <c r="I101" s="116"/>
      <c r="J101" s="117"/>
      <c r="K101" s="132" t="s">
        <v>151</v>
      </c>
      <c r="L101" s="129">
        <v>200000</v>
      </c>
      <c r="M101" s="129">
        <f>200000/7.5345</f>
        <v>26544.56168292521</v>
      </c>
      <c r="N101" s="130">
        <v>180000</v>
      </c>
      <c r="O101" s="130">
        <f>N101/7.5345</f>
        <v>23890.105514632687</v>
      </c>
      <c r="P101" s="131">
        <v>0</v>
      </c>
      <c r="Q101" s="131">
        <v>0</v>
      </c>
      <c r="R101" s="157">
        <v>0</v>
      </c>
      <c r="S101" s="158"/>
      <c r="T101" s="158"/>
      <c r="U101" s="89" t="e">
        <f t="shared" ca="1" si="61"/>
        <v>#NAME?</v>
      </c>
      <c r="V101" s="505"/>
      <c r="W101" s="505"/>
      <c r="X101" s="534"/>
      <c r="Y101" s="535"/>
      <c r="Z101" s="535"/>
      <c r="AA101" s="535"/>
      <c r="AB101" s="535"/>
      <c r="AC101" s="529">
        <v>0</v>
      </c>
      <c r="AD101" s="529">
        <v>0</v>
      </c>
      <c r="AE101" s="529">
        <f>O101/M101*100</f>
        <v>89.999999999999986</v>
      </c>
      <c r="AF101" s="529">
        <f>P101/O101*100</f>
        <v>0</v>
      </c>
      <c r="AG101" s="529"/>
      <c r="AH101" s="529"/>
      <c r="AI101" s="535"/>
      <c r="AJ101" s="535"/>
      <c r="AK101" s="507"/>
      <c r="AL101" s="507"/>
      <c r="AM101" s="507"/>
      <c r="AN101" s="530" t="e">
        <f ca="1">__xlfn.ISFORMULA(#REF!)</f>
        <v>#NAME?</v>
      </c>
      <c r="AO101" s="531" t="e">
        <f ca="1">__xlfn.ISFORMULA(#REF!)</f>
        <v>#NAME?</v>
      </c>
      <c r="AP101" s="510" t="e">
        <f t="shared" ca="1" si="22"/>
        <v>#NAME?</v>
      </c>
      <c r="AQ101" s="505"/>
      <c r="AR101" s="533"/>
      <c r="AS101" s="533"/>
      <c r="AT101" s="533"/>
      <c r="AU101" s="533"/>
      <c r="AV101" s="533"/>
      <c r="AW101" s="612"/>
      <c r="AX101" s="612"/>
      <c r="AY101" s="612"/>
      <c r="AZ101" s="612"/>
      <c r="BA101" s="612"/>
      <c r="BB101" s="612"/>
      <c r="BC101" s="612"/>
      <c r="BD101" s="612"/>
      <c r="BE101" s="612"/>
      <c r="BF101" s="612"/>
      <c r="BG101" s="612"/>
      <c r="BH101" s="612"/>
      <c r="BI101" s="612"/>
    </row>
    <row r="102" spans="1:61" ht="12" customHeight="1">
      <c r="A102" s="46"/>
      <c r="B102" s="41"/>
      <c r="C102" s="41"/>
      <c r="D102" s="41"/>
      <c r="E102" s="41"/>
      <c r="F102" s="41"/>
      <c r="G102" s="41"/>
      <c r="H102" s="37"/>
      <c r="I102" s="72"/>
      <c r="J102" s="73"/>
      <c r="K102" s="83"/>
      <c r="L102" s="84"/>
      <c r="M102" s="84"/>
      <c r="N102" s="85"/>
      <c r="O102" s="85"/>
      <c r="P102" s="86"/>
      <c r="Q102" s="86"/>
      <c r="R102" s="161"/>
      <c r="S102" s="155"/>
      <c r="T102" s="155"/>
      <c r="U102" s="89" t="e">
        <f t="shared" ca="1" si="61"/>
        <v>#NAME?</v>
      </c>
      <c r="V102" s="505"/>
      <c r="W102" s="505"/>
      <c r="X102" s="536"/>
      <c r="Y102" s="537"/>
      <c r="Z102" s="537"/>
      <c r="AA102" s="537"/>
      <c r="AB102" s="537"/>
      <c r="AC102" s="538"/>
      <c r="AD102" s="538"/>
      <c r="AE102" s="529"/>
      <c r="AF102" s="529"/>
      <c r="AG102" s="529"/>
      <c r="AH102" s="529"/>
      <c r="AI102" s="537"/>
      <c r="AJ102" s="537"/>
      <c r="AK102" s="507"/>
      <c r="AL102" s="507"/>
      <c r="AM102" s="507"/>
      <c r="AN102" s="530" t="e">
        <f ca="1">__xlfn.ISFORMULA(#REF!)</f>
        <v>#NAME?</v>
      </c>
      <c r="AO102" s="531" t="e">
        <f ca="1">__xlfn.ISFORMULA(#REF!)</f>
        <v>#NAME?</v>
      </c>
      <c r="AP102" s="510" t="e">
        <f t="shared" ca="1" si="22"/>
        <v>#NAME?</v>
      </c>
      <c r="AQ102" s="505"/>
      <c r="AR102" s="533"/>
      <c r="AS102" s="533"/>
      <c r="AT102" s="533"/>
      <c r="AU102" s="533"/>
      <c r="AV102" s="533"/>
      <c r="AW102" s="612"/>
      <c r="AX102" s="612"/>
      <c r="AY102" s="612"/>
      <c r="AZ102" s="612"/>
      <c r="BA102" s="612"/>
      <c r="BB102" s="612"/>
      <c r="BC102" s="612"/>
      <c r="BD102" s="612"/>
      <c r="BE102" s="612"/>
      <c r="BF102" s="612"/>
      <c r="BG102" s="612"/>
      <c r="BH102" s="612"/>
      <c r="BI102" s="612"/>
    </row>
    <row r="103" spans="1:61" ht="12" customHeight="1">
      <c r="A103" s="57"/>
      <c r="B103" s="58"/>
      <c r="C103" s="58"/>
      <c r="D103" s="58"/>
      <c r="E103" s="58"/>
      <c r="F103" s="58"/>
      <c r="G103" s="58"/>
      <c r="H103" s="59">
        <v>64</v>
      </c>
      <c r="I103" s="124"/>
      <c r="J103" s="125"/>
      <c r="K103" s="126" t="s">
        <v>152</v>
      </c>
      <c r="L103" s="111">
        <f t="shared" ref="L103:Q103" si="66">L105+L114</f>
        <v>1448520</v>
      </c>
      <c r="M103" s="111">
        <f t="shared" si="66"/>
        <v>192251.64244475411</v>
      </c>
      <c r="N103" s="112">
        <f t="shared" si="66"/>
        <v>1973206</v>
      </c>
      <c r="O103" s="112">
        <f t="shared" si="66"/>
        <v>261889.44190059058</v>
      </c>
      <c r="P103" s="113">
        <f t="shared" si="66"/>
        <v>186370</v>
      </c>
      <c r="Q103" s="113">
        <f t="shared" si="66"/>
        <v>183670</v>
      </c>
      <c r="R103" s="160">
        <v>183670</v>
      </c>
      <c r="S103" s="89"/>
      <c r="T103" s="89"/>
      <c r="U103" s="89" t="e">
        <f t="shared" ca="1" si="61"/>
        <v>#NAME?</v>
      </c>
      <c r="V103" s="505">
        <f>V105+V114</f>
        <v>228730</v>
      </c>
      <c r="W103" s="505">
        <f>W105+W114</f>
        <v>228730</v>
      </c>
      <c r="X103" s="506">
        <f>X105+X114</f>
        <v>281720</v>
      </c>
      <c r="Y103" s="507">
        <f>Y105+Y114</f>
        <v>327720</v>
      </c>
      <c r="Z103" s="507"/>
      <c r="AA103" s="507"/>
      <c r="AB103" s="507"/>
      <c r="AC103" s="508">
        <f>AC105+AC114</f>
        <v>234670</v>
      </c>
      <c r="AD103" s="508">
        <f>AD105+AD114</f>
        <v>234670</v>
      </c>
      <c r="AE103" s="529">
        <f>O103/M103*100</f>
        <v>136.22221301742468</v>
      </c>
      <c r="AF103" s="529">
        <f>P103/O103*100</f>
        <v>71.163617230030724</v>
      </c>
      <c r="AG103" s="529">
        <f>Q103/P103*100</f>
        <v>98.551268981059181</v>
      </c>
      <c r="AH103" s="529">
        <f>AC103/Q103*100</f>
        <v>127.76719115805521</v>
      </c>
      <c r="AI103" s="507"/>
      <c r="AJ103" s="507">
        <v>327720</v>
      </c>
      <c r="AK103" s="507">
        <f t="shared" si="59"/>
        <v>124.53313007023465</v>
      </c>
      <c r="AL103" s="507">
        <f t="shared" si="60"/>
        <v>123.16705285708041</v>
      </c>
      <c r="AM103" s="507">
        <f>Y103/X103*100</f>
        <v>116.32826920346444</v>
      </c>
      <c r="AN103" s="530" t="e">
        <f ca="1">__xlfn.ISFORMULA(#REF!)</f>
        <v>#NAME?</v>
      </c>
      <c r="AO103" s="531" t="e">
        <f ca="1">__xlfn.ISFORMULA(#REF!)</f>
        <v>#NAME?</v>
      </c>
      <c r="AP103" s="510" t="e">
        <f t="shared" ca="1" si="22"/>
        <v>#NAME?</v>
      </c>
      <c r="AQ103" s="505">
        <f>AQ105+AQ114</f>
        <v>204299.08</v>
      </c>
      <c r="AR103" s="533">
        <f>V103/R103*100</f>
        <v>124.53313007023465</v>
      </c>
      <c r="AS103" s="533">
        <f t="shared" si="54"/>
        <v>100</v>
      </c>
      <c r="AT103" s="533">
        <f>W103/R103*100</f>
        <v>124.53313007023465</v>
      </c>
      <c r="AU103" s="533">
        <f>AQ103/W103*100</f>
        <v>89.3188825252481</v>
      </c>
      <c r="AV103" s="533">
        <f>AQ103/R103*100</f>
        <v>111.23160015244731</v>
      </c>
      <c r="AW103" s="612"/>
      <c r="AX103" s="612"/>
      <c r="AY103" s="612"/>
      <c r="AZ103" s="612"/>
      <c r="BA103" s="612"/>
      <c r="BB103" s="612"/>
      <c r="BC103" s="612"/>
      <c r="BD103" s="612"/>
      <c r="BE103" s="612"/>
      <c r="BF103" s="612"/>
      <c r="BG103" s="612"/>
      <c r="BH103" s="612"/>
      <c r="BI103" s="612"/>
    </row>
    <row r="104" spans="1:61" ht="12" customHeight="1">
      <c r="A104" s="51"/>
      <c r="B104" s="52"/>
      <c r="C104" s="52"/>
      <c r="D104" s="52"/>
      <c r="E104" s="52"/>
      <c r="F104" s="52"/>
      <c r="G104" s="52"/>
      <c r="H104" s="63"/>
      <c r="I104" s="116"/>
      <c r="J104" s="117"/>
      <c r="K104" s="19"/>
      <c r="L104" s="118"/>
      <c r="M104" s="118"/>
      <c r="N104" s="119"/>
      <c r="O104" s="119"/>
      <c r="P104" s="120"/>
      <c r="Q104" s="120"/>
      <c r="R104" s="178"/>
      <c r="S104" s="152"/>
      <c r="T104" s="152"/>
      <c r="U104" s="89" t="e">
        <f t="shared" ca="1" si="61"/>
        <v>#NAME?</v>
      </c>
      <c r="V104" s="505"/>
      <c r="W104" s="505"/>
      <c r="X104" s="534"/>
      <c r="Y104" s="535"/>
      <c r="Z104" s="535"/>
      <c r="AA104" s="535"/>
      <c r="AB104" s="535"/>
      <c r="AC104" s="529"/>
      <c r="AD104" s="529"/>
      <c r="AE104" s="529"/>
      <c r="AF104" s="529"/>
      <c r="AG104" s="529"/>
      <c r="AH104" s="529"/>
      <c r="AI104" s="535"/>
      <c r="AJ104" s="535"/>
      <c r="AK104" s="507"/>
      <c r="AL104" s="507"/>
      <c r="AM104" s="507"/>
      <c r="AN104" s="530" t="e">
        <f ca="1">__xlfn.ISFORMULA(#REF!)</f>
        <v>#NAME?</v>
      </c>
      <c r="AO104" s="531" t="e">
        <f ca="1">__xlfn.ISFORMULA(#REF!)</f>
        <v>#NAME?</v>
      </c>
      <c r="AP104" s="510" t="e">
        <f t="shared" ca="1" si="22"/>
        <v>#NAME?</v>
      </c>
      <c r="AQ104" s="505"/>
      <c r="AR104" s="533"/>
      <c r="AS104" s="533"/>
      <c r="AT104" s="533"/>
      <c r="AU104" s="533"/>
      <c r="AV104" s="533"/>
      <c r="AW104" s="612"/>
      <c r="AX104" s="612"/>
      <c r="AY104" s="612"/>
      <c r="AZ104" s="612"/>
      <c r="BA104" s="612"/>
      <c r="BB104" s="612"/>
      <c r="BC104" s="612"/>
      <c r="BD104" s="612"/>
      <c r="BE104" s="612"/>
      <c r="BF104" s="612"/>
      <c r="BG104" s="612"/>
      <c r="BH104" s="612"/>
      <c r="BI104" s="612"/>
    </row>
    <row r="105" spans="1:61" ht="12" customHeight="1">
      <c r="A105" s="60"/>
      <c r="B105" s="61"/>
      <c r="C105" s="61"/>
      <c r="D105" s="61"/>
      <c r="E105" s="61"/>
      <c r="F105" s="61"/>
      <c r="G105" s="61"/>
      <c r="H105" s="62">
        <v>641</v>
      </c>
      <c r="I105" s="127"/>
      <c r="J105" s="128"/>
      <c r="K105" s="20" t="s">
        <v>153</v>
      </c>
      <c r="L105" s="111">
        <f t="shared" ref="L105:Q105" si="67">L106+L109+L111</f>
        <v>4787</v>
      </c>
      <c r="M105" s="111">
        <f t="shared" si="67"/>
        <v>635.34408388081488</v>
      </c>
      <c r="N105" s="112">
        <f t="shared" si="67"/>
        <v>22</v>
      </c>
      <c r="O105" s="112">
        <f t="shared" si="67"/>
        <v>2.9199017851217732</v>
      </c>
      <c r="P105" s="113">
        <f t="shared" si="67"/>
        <v>8050</v>
      </c>
      <c r="Q105" s="113">
        <f t="shared" si="67"/>
        <v>8050</v>
      </c>
      <c r="R105" s="160">
        <v>8050</v>
      </c>
      <c r="S105" s="89"/>
      <c r="T105" s="89"/>
      <c r="U105" s="89" t="e">
        <f t="shared" ca="1" si="61"/>
        <v>#NAME?</v>
      </c>
      <c r="V105" s="505">
        <f>V106</f>
        <v>10</v>
      </c>
      <c r="W105" s="505">
        <f t="shared" ref="W105:Y106" si="68">W106</f>
        <v>10</v>
      </c>
      <c r="X105" s="506">
        <f t="shared" si="68"/>
        <v>0</v>
      </c>
      <c r="Y105" s="507">
        <f t="shared" si="68"/>
        <v>0</v>
      </c>
      <c r="Z105" s="507"/>
      <c r="AA105" s="507"/>
      <c r="AB105" s="507"/>
      <c r="AC105" s="508">
        <f>AC106+AC109+AC111</f>
        <v>60050</v>
      </c>
      <c r="AD105" s="508">
        <f>AD106+AD109+AD111</f>
        <v>60050</v>
      </c>
      <c r="AE105" s="529"/>
      <c r="AF105" s="529"/>
      <c r="AG105" s="529">
        <f>Q105/P105*100</f>
        <v>100</v>
      </c>
      <c r="AH105" s="529">
        <f>AC105/Q105*100</f>
        <v>745.96273291925468</v>
      </c>
      <c r="AI105" s="507"/>
      <c r="AJ105" s="507">
        <v>0</v>
      </c>
      <c r="AK105" s="507">
        <f t="shared" si="59"/>
        <v>0.12422360248447205</v>
      </c>
      <c r="AL105" s="507">
        <f t="shared" si="60"/>
        <v>0</v>
      </c>
      <c r="AM105" s="507"/>
      <c r="AN105" s="530" t="e">
        <f ca="1">__xlfn.ISFORMULA(#REF!)</f>
        <v>#NAME?</v>
      </c>
      <c r="AO105" s="531" t="e">
        <f ca="1">__xlfn.ISFORMULA(#REF!)</f>
        <v>#NAME?</v>
      </c>
      <c r="AP105" s="510" t="e">
        <f t="shared" ca="1" si="22"/>
        <v>#NAME?</v>
      </c>
      <c r="AQ105" s="505">
        <f>AQ106</f>
        <v>1.73</v>
      </c>
      <c r="AR105" s="533">
        <f>V105/R105*100</f>
        <v>0.12422360248447205</v>
      </c>
      <c r="AS105" s="533">
        <f t="shared" si="54"/>
        <v>100</v>
      </c>
      <c r="AT105" s="533">
        <f>W105/R105*100</f>
        <v>0.12422360248447205</v>
      </c>
      <c r="AU105" s="533">
        <f>AQ105/W105*100</f>
        <v>17.299999999999997</v>
      </c>
      <c r="AV105" s="533">
        <f>AQ105/R105*100</f>
        <v>2.1490683229813665E-2</v>
      </c>
      <c r="AW105" s="612">
        <f>AQ105</f>
        <v>1.73</v>
      </c>
      <c r="AX105" s="612"/>
      <c r="AY105" s="612"/>
      <c r="AZ105" s="612"/>
      <c r="BA105" s="612"/>
      <c r="BB105" s="612"/>
      <c r="BC105" s="612"/>
      <c r="BD105" s="612"/>
      <c r="BE105" s="612"/>
      <c r="BF105" s="612"/>
      <c r="BG105" s="612"/>
      <c r="BH105" s="612"/>
      <c r="BI105" s="612"/>
    </row>
    <row r="106" spans="1:61" ht="12" customHeight="1">
      <c r="A106" s="51"/>
      <c r="B106" s="52"/>
      <c r="C106" s="52"/>
      <c r="D106" s="52"/>
      <c r="E106" s="52"/>
      <c r="F106" s="52"/>
      <c r="G106" s="52"/>
      <c r="H106" s="63">
        <v>6413</v>
      </c>
      <c r="I106" s="116"/>
      <c r="J106" s="117"/>
      <c r="K106" s="19" t="s">
        <v>154</v>
      </c>
      <c r="L106" s="111">
        <f t="shared" ref="L106:Q106" si="69">L107</f>
        <v>6</v>
      </c>
      <c r="M106" s="111">
        <f t="shared" si="69"/>
        <v>0.79633685048775626</v>
      </c>
      <c r="N106" s="112">
        <f t="shared" si="69"/>
        <v>1</v>
      </c>
      <c r="O106" s="112">
        <f t="shared" si="69"/>
        <v>0.13272280841462605</v>
      </c>
      <c r="P106" s="113">
        <f t="shared" si="69"/>
        <v>50</v>
      </c>
      <c r="Q106" s="113">
        <f t="shared" si="69"/>
        <v>50</v>
      </c>
      <c r="R106" s="160">
        <v>50</v>
      </c>
      <c r="S106" s="89"/>
      <c r="T106" s="89"/>
      <c r="U106" s="89" t="e">
        <f t="shared" ca="1" si="61"/>
        <v>#NAME?</v>
      </c>
      <c r="V106" s="505">
        <f>V107</f>
        <v>10</v>
      </c>
      <c r="W106" s="505">
        <f t="shared" si="68"/>
        <v>10</v>
      </c>
      <c r="X106" s="506">
        <f t="shared" si="68"/>
        <v>0</v>
      </c>
      <c r="Y106" s="507">
        <f t="shared" si="68"/>
        <v>0</v>
      </c>
      <c r="Z106" s="507"/>
      <c r="AA106" s="507"/>
      <c r="AB106" s="507"/>
      <c r="AC106" s="508">
        <f>AC107</f>
        <v>50</v>
      </c>
      <c r="AD106" s="508">
        <f>AD107</f>
        <v>50</v>
      </c>
      <c r="AE106" s="529"/>
      <c r="AF106" s="529"/>
      <c r="AG106" s="529">
        <f>Q106/P106*100</f>
        <v>100</v>
      </c>
      <c r="AH106" s="529">
        <f>AC106/Q106*100</f>
        <v>100</v>
      </c>
      <c r="AI106" s="507"/>
      <c r="AJ106" s="507">
        <v>0</v>
      </c>
      <c r="AK106" s="507">
        <f t="shared" si="59"/>
        <v>20</v>
      </c>
      <c r="AL106" s="507">
        <f t="shared" si="60"/>
        <v>0</v>
      </c>
      <c r="AM106" s="507"/>
      <c r="AN106" s="530" t="e">
        <f ca="1">__xlfn.ISFORMULA(#REF!)</f>
        <v>#NAME?</v>
      </c>
      <c r="AO106" s="531" t="e">
        <f ca="1">__xlfn.ISFORMULA(#REF!)</f>
        <v>#NAME?</v>
      </c>
      <c r="AP106" s="510" t="e">
        <f t="shared" ca="1" si="22"/>
        <v>#NAME?</v>
      </c>
      <c r="AQ106" s="505">
        <f>AQ107</f>
        <v>1.73</v>
      </c>
      <c r="AR106" s="533">
        <f>V106/R106*100</f>
        <v>20</v>
      </c>
      <c r="AS106" s="533">
        <f t="shared" si="54"/>
        <v>100</v>
      </c>
      <c r="AT106" s="533">
        <f>W106/R106*100</f>
        <v>20</v>
      </c>
      <c r="AU106" s="533">
        <f>AQ106/W106*100</f>
        <v>17.299999999999997</v>
      </c>
      <c r="AV106" s="533">
        <f>AQ106/R106*100</f>
        <v>3.46</v>
      </c>
      <c r="AW106" s="612"/>
      <c r="AX106" s="612"/>
      <c r="AY106" s="612"/>
      <c r="AZ106" s="612"/>
      <c r="BA106" s="612"/>
      <c r="BB106" s="612"/>
      <c r="BC106" s="612"/>
      <c r="BD106" s="612"/>
      <c r="BE106" s="612"/>
      <c r="BF106" s="612"/>
      <c r="BG106" s="612"/>
      <c r="BH106" s="612"/>
      <c r="BI106" s="612"/>
    </row>
    <row r="107" spans="1:61" ht="12" customHeight="1">
      <c r="A107" s="51"/>
      <c r="B107" s="52"/>
      <c r="C107" s="52"/>
      <c r="D107" s="52"/>
      <c r="E107" s="52"/>
      <c r="F107" s="52"/>
      <c r="G107" s="52"/>
      <c r="H107" s="63">
        <v>64132</v>
      </c>
      <c r="I107" s="116"/>
      <c r="J107" s="117"/>
      <c r="K107" s="19" t="s">
        <v>155</v>
      </c>
      <c r="L107" s="129">
        <v>6</v>
      </c>
      <c r="M107" s="129">
        <f>6/7.5345</f>
        <v>0.79633685048775626</v>
      </c>
      <c r="N107" s="130">
        <v>1</v>
      </c>
      <c r="O107" s="130">
        <f>N107/7.5345</f>
        <v>0.13272280841462605</v>
      </c>
      <c r="P107" s="131">
        <v>50</v>
      </c>
      <c r="Q107" s="131">
        <v>50</v>
      </c>
      <c r="R107" s="157">
        <v>50</v>
      </c>
      <c r="S107" s="158"/>
      <c r="T107" s="158"/>
      <c r="U107" s="89" t="e">
        <f t="shared" ca="1" si="61"/>
        <v>#NAME?</v>
      </c>
      <c r="V107" s="505">
        <v>10</v>
      </c>
      <c r="W107" s="505">
        <v>10</v>
      </c>
      <c r="X107" s="534"/>
      <c r="Y107" s="535"/>
      <c r="Z107" s="535"/>
      <c r="AA107" s="535"/>
      <c r="AB107" s="535"/>
      <c r="AC107" s="529">
        <v>50</v>
      </c>
      <c r="AD107" s="529">
        <v>50</v>
      </c>
      <c r="AE107" s="529"/>
      <c r="AF107" s="529"/>
      <c r="AG107" s="529">
        <f>Q107/P107*100</f>
        <v>100</v>
      </c>
      <c r="AH107" s="529">
        <f>AC107/Q107*100</f>
        <v>100</v>
      </c>
      <c r="AI107" s="535"/>
      <c r="AJ107" s="535"/>
      <c r="AK107" s="507">
        <f t="shared" si="59"/>
        <v>20</v>
      </c>
      <c r="AL107" s="507">
        <f t="shared" si="60"/>
        <v>0</v>
      </c>
      <c r="AM107" s="507"/>
      <c r="AN107" s="530" t="e">
        <f ca="1">__xlfn.ISFORMULA(#REF!)</f>
        <v>#NAME?</v>
      </c>
      <c r="AO107" s="531" t="e">
        <f ca="1">__xlfn.ISFORMULA(#REF!)</f>
        <v>#NAME?</v>
      </c>
      <c r="AP107" s="510" t="e">
        <f t="shared" ca="1" si="22"/>
        <v>#NAME?</v>
      </c>
      <c r="AQ107" s="505">
        <v>1.73</v>
      </c>
      <c r="AR107" s="533">
        <f>V107/R107*100</f>
        <v>20</v>
      </c>
      <c r="AS107" s="533">
        <f t="shared" si="54"/>
        <v>100</v>
      </c>
      <c r="AT107" s="533">
        <f>W107/R107*100</f>
        <v>20</v>
      </c>
      <c r="AU107" s="533">
        <f>AQ107/W107*100</f>
        <v>17.299999999999997</v>
      </c>
      <c r="AV107" s="533">
        <f>AQ107/R107*100</f>
        <v>3.46</v>
      </c>
      <c r="AW107" s="612"/>
      <c r="AX107" s="612"/>
      <c r="AY107" s="612"/>
      <c r="AZ107" s="612"/>
      <c r="BA107" s="612"/>
      <c r="BB107" s="612"/>
      <c r="BC107" s="612"/>
      <c r="BD107" s="612"/>
      <c r="BE107" s="612"/>
      <c r="BF107" s="612"/>
      <c r="BG107" s="612"/>
      <c r="BH107" s="612"/>
      <c r="BI107" s="612"/>
    </row>
    <row r="108" spans="1:61" ht="12" customHeight="1">
      <c r="A108" s="67"/>
      <c r="B108" s="68"/>
      <c r="C108" s="68"/>
      <c r="D108" s="68"/>
      <c r="E108" s="68"/>
      <c r="F108" s="68"/>
      <c r="G108" s="68"/>
      <c r="H108" s="69"/>
      <c r="I108" s="140"/>
      <c r="J108" s="141"/>
      <c r="K108" s="8"/>
      <c r="L108" s="84"/>
      <c r="M108" s="84"/>
      <c r="N108" s="85"/>
      <c r="O108" s="85"/>
      <c r="P108" s="86"/>
      <c r="Q108" s="86"/>
      <c r="R108" s="161"/>
      <c r="S108" s="155"/>
      <c r="T108" s="155"/>
      <c r="U108" s="89" t="e">
        <f t="shared" ca="1" si="61"/>
        <v>#NAME?</v>
      </c>
      <c r="V108" s="505"/>
      <c r="W108" s="505"/>
      <c r="X108" s="536"/>
      <c r="Y108" s="537"/>
      <c r="Z108" s="537"/>
      <c r="AA108" s="537"/>
      <c r="AB108" s="537"/>
      <c r="AC108" s="538"/>
      <c r="AD108" s="538"/>
      <c r="AE108" s="529"/>
      <c r="AF108" s="529"/>
      <c r="AG108" s="529"/>
      <c r="AH108" s="529"/>
      <c r="AI108" s="537"/>
      <c r="AJ108" s="537"/>
      <c r="AK108" s="507"/>
      <c r="AL108" s="507"/>
      <c r="AM108" s="507"/>
      <c r="AN108" s="530" t="e">
        <f ca="1">__xlfn.ISFORMULA(#REF!)</f>
        <v>#NAME?</v>
      </c>
      <c r="AO108" s="531" t="e">
        <f ca="1">__xlfn.ISFORMULA(#REF!)</f>
        <v>#NAME?</v>
      </c>
      <c r="AP108" s="510" t="e">
        <f t="shared" ca="1" si="22"/>
        <v>#NAME?</v>
      </c>
      <c r="AQ108" s="505"/>
      <c r="AR108" s="533"/>
      <c r="AS108" s="533"/>
      <c r="AT108" s="533"/>
      <c r="AU108" s="533"/>
      <c r="AV108" s="533"/>
      <c r="AW108" s="612"/>
      <c r="AX108" s="612"/>
      <c r="AY108" s="612"/>
      <c r="AZ108" s="612"/>
      <c r="BA108" s="612"/>
      <c r="BB108" s="612"/>
      <c r="BC108" s="612"/>
      <c r="BD108" s="612"/>
      <c r="BE108" s="612"/>
      <c r="BF108" s="612"/>
      <c r="BG108" s="612"/>
      <c r="BH108" s="612"/>
      <c r="BI108" s="612"/>
    </row>
    <row r="109" spans="1:61" ht="12" customHeight="1">
      <c r="A109" s="51"/>
      <c r="B109" s="52"/>
      <c r="C109" s="52"/>
      <c r="D109" s="52"/>
      <c r="E109" s="52"/>
      <c r="F109" s="52"/>
      <c r="G109" s="52"/>
      <c r="H109" s="63">
        <v>6414</v>
      </c>
      <c r="I109" s="116"/>
      <c r="J109" s="117"/>
      <c r="K109" s="19" t="s">
        <v>156</v>
      </c>
      <c r="L109" s="111">
        <v>4781</v>
      </c>
      <c r="M109" s="111">
        <f>4781/7.5345</f>
        <v>634.54774703032717</v>
      </c>
      <c r="N109" s="112">
        <v>21</v>
      </c>
      <c r="O109" s="112">
        <f>N109/7.5345</f>
        <v>2.7871789767071471</v>
      </c>
      <c r="P109" s="113">
        <v>8000</v>
      </c>
      <c r="Q109" s="113">
        <v>8000</v>
      </c>
      <c r="R109" s="160">
        <v>8000</v>
      </c>
      <c r="S109" s="89"/>
      <c r="T109" s="89"/>
      <c r="U109" s="89" t="e">
        <f t="shared" ca="1" si="61"/>
        <v>#NAME?</v>
      </c>
      <c r="V109" s="505"/>
      <c r="W109" s="505"/>
      <c r="X109" s="506"/>
      <c r="Y109" s="507"/>
      <c r="Z109" s="507"/>
      <c r="AA109" s="507"/>
      <c r="AB109" s="507"/>
      <c r="AC109" s="508">
        <v>60000</v>
      </c>
      <c r="AD109" s="508">
        <v>60000</v>
      </c>
      <c r="AE109" s="529"/>
      <c r="AF109" s="529"/>
      <c r="AG109" s="529">
        <f>Q109/P109*100</f>
        <v>100</v>
      </c>
      <c r="AH109" s="529">
        <f>AC109/Q109*100</f>
        <v>750</v>
      </c>
      <c r="AI109" s="507"/>
      <c r="AJ109" s="507"/>
      <c r="AK109" s="507">
        <f t="shared" si="59"/>
        <v>0</v>
      </c>
      <c r="AL109" s="507"/>
      <c r="AM109" s="507"/>
      <c r="AN109" s="530" t="e">
        <f ca="1">__xlfn.ISFORMULA(#REF!)</f>
        <v>#NAME?</v>
      </c>
      <c r="AO109" s="531" t="e">
        <f ca="1">__xlfn.ISFORMULA(#REF!)</f>
        <v>#NAME?</v>
      </c>
      <c r="AP109" s="510" t="e">
        <f t="shared" ca="1" si="22"/>
        <v>#NAME?</v>
      </c>
      <c r="AQ109" s="505"/>
      <c r="AR109" s="533">
        <f>V109/R109*100</f>
        <v>0</v>
      </c>
      <c r="AS109" s="533" t="e">
        <f t="shared" si="54"/>
        <v>#DIV/0!</v>
      </c>
      <c r="AT109" s="533">
        <f>W109/R109*100</f>
        <v>0</v>
      </c>
      <c r="AU109" s="533"/>
      <c r="AV109" s="533">
        <f>AQ109/R109*100</f>
        <v>0</v>
      </c>
      <c r="AW109" s="612"/>
      <c r="AX109" s="612"/>
      <c r="AY109" s="612"/>
      <c r="AZ109" s="612"/>
      <c r="BA109" s="612"/>
      <c r="BB109" s="612"/>
      <c r="BC109" s="612"/>
      <c r="BD109" s="612"/>
      <c r="BE109" s="612"/>
      <c r="BF109" s="612"/>
      <c r="BG109" s="612"/>
      <c r="BH109" s="612"/>
      <c r="BI109" s="612"/>
    </row>
    <row r="110" spans="1:61" ht="12" customHeight="1">
      <c r="A110" s="51"/>
      <c r="B110" s="52"/>
      <c r="C110" s="52"/>
      <c r="D110" s="52"/>
      <c r="E110" s="52"/>
      <c r="F110" s="52"/>
      <c r="G110" s="52"/>
      <c r="H110" s="63">
        <v>6415</v>
      </c>
      <c r="I110" s="116"/>
      <c r="J110" s="117"/>
      <c r="K110" s="19" t="s">
        <v>157</v>
      </c>
      <c r="L110" s="111"/>
      <c r="M110" s="111"/>
      <c r="N110" s="112"/>
      <c r="O110" s="112"/>
      <c r="P110" s="113"/>
      <c r="Q110" s="113"/>
      <c r="R110" s="160"/>
      <c r="S110" s="89"/>
      <c r="T110" s="89"/>
      <c r="U110" s="89" t="e">
        <f t="shared" ca="1" si="61"/>
        <v>#NAME?</v>
      </c>
      <c r="V110" s="505"/>
      <c r="W110" s="505"/>
      <c r="X110" s="506"/>
      <c r="Y110" s="507"/>
      <c r="Z110" s="507"/>
      <c r="AA110" s="507"/>
      <c r="AB110" s="507"/>
      <c r="AC110" s="508"/>
      <c r="AD110" s="508"/>
      <c r="AE110" s="529"/>
      <c r="AF110" s="529"/>
      <c r="AG110" s="529"/>
      <c r="AH110" s="529"/>
      <c r="AI110" s="507"/>
      <c r="AJ110" s="507"/>
      <c r="AK110" s="507"/>
      <c r="AL110" s="507"/>
      <c r="AM110" s="507"/>
      <c r="AN110" s="530" t="e">
        <f ca="1">__xlfn.ISFORMULA(#REF!)</f>
        <v>#NAME?</v>
      </c>
      <c r="AO110" s="531" t="e">
        <f ca="1">__xlfn.ISFORMULA(#REF!)</f>
        <v>#NAME?</v>
      </c>
      <c r="AP110" s="510" t="e">
        <f t="shared" ref="AP110:AP173" ca="1" si="70">__xlfn.ISFORMULA(X110)</f>
        <v>#NAME?</v>
      </c>
      <c r="AQ110" s="505">
        <v>0.13</v>
      </c>
      <c r="AR110" s="533"/>
      <c r="AS110" s="533"/>
      <c r="AT110" s="533"/>
      <c r="AU110" s="533"/>
      <c r="AV110" s="533"/>
      <c r="AW110" s="612"/>
      <c r="AX110" s="612"/>
      <c r="AY110" s="612"/>
      <c r="AZ110" s="612"/>
      <c r="BA110" s="612"/>
      <c r="BB110" s="612"/>
      <c r="BC110" s="612"/>
      <c r="BD110" s="612"/>
      <c r="BE110" s="612"/>
      <c r="BF110" s="612"/>
      <c r="BG110" s="612"/>
      <c r="BH110" s="612"/>
      <c r="BI110" s="612"/>
    </row>
    <row r="111" spans="1:61" ht="12" customHeight="1">
      <c r="A111" s="51"/>
      <c r="B111" s="52"/>
      <c r="C111" s="52"/>
      <c r="D111" s="52"/>
      <c r="E111" s="52"/>
      <c r="F111" s="52"/>
      <c r="G111" s="52"/>
      <c r="H111" s="63">
        <v>6417</v>
      </c>
      <c r="I111" s="116"/>
      <c r="J111" s="117"/>
      <c r="K111" s="19" t="s">
        <v>158</v>
      </c>
      <c r="L111" s="111">
        <f t="shared" ref="L111:Q111" si="71">L112</f>
        <v>0</v>
      </c>
      <c r="M111" s="111">
        <f t="shared" si="71"/>
        <v>0</v>
      </c>
      <c r="N111" s="112">
        <f t="shared" si="71"/>
        <v>0</v>
      </c>
      <c r="O111" s="112">
        <f t="shared" si="71"/>
        <v>0</v>
      </c>
      <c r="P111" s="113">
        <f t="shared" si="71"/>
        <v>0</v>
      </c>
      <c r="Q111" s="113">
        <f t="shared" si="71"/>
        <v>0</v>
      </c>
      <c r="R111" s="160">
        <v>0</v>
      </c>
      <c r="S111" s="89"/>
      <c r="T111" s="89"/>
      <c r="U111" s="89" t="e">
        <f t="shared" ca="1" si="61"/>
        <v>#NAME?</v>
      </c>
      <c r="V111" s="505"/>
      <c r="W111" s="505"/>
      <c r="X111" s="506"/>
      <c r="Y111" s="507"/>
      <c r="Z111" s="507"/>
      <c r="AA111" s="507"/>
      <c r="AB111" s="507"/>
      <c r="AC111" s="508">
        <f>AC112</f>
        <v>0</v>
      </c>
      <c r="AD111" s="508">
        <f>AD112</f>
        <v>0</v>
      </c>
      <c r="AE111" s="529"/>
      <c r="AF111" s="529"/>
      <c r="AG111" s="529"/>
      <c r="AH111" s="529"/>
      <c r="AI111" s="507"/>
      <c r="AJ111" s="507"/>
      <c r="AK111" s="507"/>
      <c r="AL111" s="507"/>
      <c r="AM111" s="507"/>
      <c r="AN111" s="530" t="e">
        <f ca="1">__xlfn.ISFORMULA(#REF!)</f>
        <v>#NAME?</v>
      </c>
      <c r="AO111" s="531" t="e">
        <f ca="1">__xlfn.ISFORMULA(#REF!)</f>
        <v>#NAME?</v>
      </c>
      <c r="AP111" s="510" t="e">
        <f t="shared" ca="1" si="70"/>
        <v>#NAME?</v>
      </c>
      <c r="AQ111" s="505"/>
      <c r="AR111" s="533"/>
      <c r="AS111" s="533"/>
      <c r="AT111" s="533"/>
      <c r="AU111" s="533"/>
      <c r="AV111" s="533"/>
      <c r="AW111" s="612"/>
      <c r="AX111" s="612"/>
      <c r="AY111" s="612"/>
      <c r="AZ111" s="612"/>
      <c r="BA111" s="612"/>
      <c r="BB111" s="612"/>
      <c r="BC111" s="612"/>
      <c r="BD111" s="612"/>
      <c r="BE111" s="612"/>
      <c r="BF111" s="612"/>
      <c r="BG111" s="612"/>
      <c r="BH111" s="612"/>
      <c r="BI111" s="612"/>
    </row>
    <row r="112" spans="1:61" ht="12" customHeight="1">
      <c r="A112" s="51"/>
      <c r="B112" s="52"/>
      <c r="C112" s="52"/>
      <c r="D112" s="52"/>
      <c r="E112" s="52"/>
      <c r="F112" s="52"/>
      <c r="G112" s="52"/>
      <c r="H112" s="63">
        <v>64172</v>
      </c>
      <c r="I112" s="116"/>
      <c r="J112" s="117"/>
      <c r="K112" s="19" t="s">
        <v>159</v>
      </c>
      <c r="L112" s="129"/>
      <c r="M112" s="129"/>
      <c r="N112" s="130"/>
      <c r="O112" s="130"/>
      <c r="P112" s="131"/>
      <c r="Q112" s="131"/>
      <c r="R112" s="157"/>
      <c r="S112" s="158"/>
      <c r="T112" s="158"/>
      <c r="U112" s="89" t="e">
        <f t="shared" ca="1" si="61"/>
        <v>#NAME?</v>
      </c>
      <c r="V112" s="505"/>
      <c r="W112" s="505"/>
      <c r="X112" s="534"/>
      <c r="Y112" s="535"/>
      <c r="Z112" s="535"/>
      <c r="AA112" s="535"/>
      <c r="AB112" s="535"/>
      <c r="AC112" s="529"/>
      <c r="AD112" s="529"/>
      <c r="AE112" s="529"/>
      <c r="AF112" s="529"/>
      <c r="AG112" s="529"/>
      <c r="AH112" s="529"/>
      <c r="AI112" s="535"/>
      <c r="AJ112" s="535"/>
      <c r="AK112" s="507"/>
      <c r="AL112" s="507"/>
      <c r="AM112" s="507"/>
      <c r="AN112" s="530" t="e">
        <f ca="1">__xlfn.ISFORMULA(#REF!)</f>
        <v>#NAME?</v>
      </c>
      <c r="AO112" s="531" t="e">
        <f ca="1">__xlfn.ISFORMULA(#REF!)</f>
        <v>#NAME?</v>
      </c>
      <c r="AP112" s="510" t="e">
        <f t="shared" ca="1" si="70"/>
        <v>#NAME?</v>
      </c>
      <c r="AQ112" s="505"/>
      <c r="AR112" s="533"/>
      <c r="AS112" s="533"/>
      <c r="AT112" s="533"/>
      <c r="AU112" s="533"/>
      <c r="AV112" s="533"/>
      <c r="AW112" s="612"/>
      <c r="AX112" s="612"/>
      <c r="AY112" s="612"/>
      <c r="AZ112" s="612"/>
      <c r="BA112" s="612"/>
      <c r="BB112" s="612"/>
      <c r="BC112" s="612"/>
      <c r="BD112" s="612"/>
      <c r="BE112" s="612"/>
      <c r="BF112" s="612"/>
      <c r="BG112" s="612"/>
      <c r="BH112" s="612"/>
      <c r="BI112" s="612"/>
    </row>
    <row r="113" spans="1:61" ht="12" customHeight="1">
      <c r="A113" s="67"/>
      <c r="B113" s="68"/>
      <c r="C113" s="68"/>
      <c r="D113" s="68"/>
      <c r="E113" s="68"/>
      <c r="F113" s="68"/>
      <c r="G113" s="68"/>
      <c r="H113" s="169"/>
      <c r="I113" s="140"/>
      <c r="J113" s="141"/>
      <c r="K113" s="8"/>
      <c r="L113" s="175"/>
      <c r="M113" s="175"/>
      <c r="N113" s="176"/>
      <c r="O113" s="176"/>
      <c r="P113" s="177"/>
      <c r="Q113" s="177"/>
      <c r="R113" s="179"/>
      <c r="S113" s="180"/>
      <c r="T113" s="180"/>
      <c r="U113" s="89" t="e">
        <f t="shared" ca="1" si="61"/>
        <v>#NAME?</v>
      </c>
      <c r="V113" s="505"/>
      <c r="W113" s="505"/>
      <c r="X113" s="506"/>
      <c r="Y113" s="507"/>
      <c r="Z113" s="507"/>
      <c r="AA113" s="507"/>
      <c r="AB113" s="507"/>
      <c r="AC113" s="508"/>
      <c r="AD113" s="508"/>
      <c r="AE113" s="529"/>
      <c r="AF113" s="529"/>
      <c r="AG113" s="529"/>
      <c r="AH113" s="529"/>
      <c r="AI113" s="507"/>
      <c r="AJ113" s="507"/>
      <c r="AK113" s="507"/>
      <c r="AL113" s="507"/>
      <c r="AM113" s="507"/>
      <c r="AN113" s="530" t="e">
        <f ca="1">__xlfn.ISFORMULA(#REF!)</f>
        <v>#NAME?</v>
      </c>
      <c r="AO113" s="531" t="e">
        <f ca="1">__xlfn.ISFORMULA(#REF!)</f>
        <v>#NAME?</v>
      </c>
      <c r="AP113" s="510" t="e">
        <f t="shared" ca="1" si="70"/>
        <v>#NAME?</v>
      </c>
      <c r="AQ113" s="505"/>
      <c r="AR113" s="533"/>
      <c r="AS113" s="533"/>
      <c r="AT113" s="533"/>
      <c r="AU113" s="533"/>
      <c r="AV113" s="533"/>
      <c r="AW113" s="612"/>
      <c r="AX113" s="612"/>
      <c r="AY113" s="612"/>
      <c r="AZ113" s="612"/>
      <c r="BA113" s="612"/>
      <c r="BB113" s="612"/>
      <c r="BC113" s="612"/>
      <c r="BD113" s="612"/>
      <c r="BE113" s="612"/>
      <c r="BF113" s="612"/>
      <c r="BG113" s="612"/>
      <c r="BH113" s="612"/>
      <c r="BI113" s="612"/>
    </row>
    <row r="114" spans="1:61" ht="12" customHeight="1">
      <c r="A114" s="60"/>
      <c r="B114" s="61"/>
      <c r="C114" s="61"/>
      <c r="D114" s="61">
        <v>4</v>
      </c>
      <c r="E114" s="61"/>
      <c r="F114" s="61"/>
      <c r="G114" s="61"/>
      <c r="H114" s="62">
        <v>642</v>
      </c>
      <c r="I114" s="127"/>
      <c r="J114" s="128"/>
      <c r="K114" s="20" t="s">
        <v>160</v>
      </c>
      <c r="L114" s="111">
        <f t="shared" ref="L114:Q114" si="72">L115+L119+L125+L131</f>
        <v>1443733</v>
      </c>
      <c r="M114" s="111">
        <f t="shared" si="72"/>
        <v>191616.2983608733</v>
      </c>
      <c r="N114" s="112">
        <f t="shared" si="72"/>
        <v>1973184</v>
      </c>
      <c r="O114" s="112">
        <f t="shared" si="72"/>
        <v>261886.52199880546</v>
      </c>
      <c r="P114" s="113">
        <f t="shared" si="72"/>
        <v>178320</v>
      </c>
      <c r="Q114" s="113">
        <f t="shared" si="72"/>
        <v>175620</v>
      </c>
      <c r="R114" s="160">
        <v>175620</v>
      </c>
      <c r="S114" s="89"/>
      <c r="T114" s="89"/>
      <c r="U114" s="89" t="e">
        <f t="shared" ca="1" si="61"/>
        <v>#NAME?</v>
      </c>
      <c r="V114" s="505">
        <f>V115+V119+V125+V131</f>
        <v>228720</v>
      </c>
      <c r="W114" s="505">
        <f>W115+W119+W125+W131</f>
        <v>228720</v>
      </c>
      <c r="X114" s="506">
        <f>X115+X119+X125+X131</f>
        <v>281720</v>
      </c>
      <c r="Y114" s="507">
        <f>Y115+Y119+Y125+Y131</f>
        <v>327720</v>
      </c>
      <c r="Z114" s="507"/>
      <c r="AA114" s="507"/>
      <c r="AB114" s="507"/>
      <c r="AC114" s="508">
        <f>AC115+AC119+AC125+AC131</f>
        <v>174620</v>
      </c>
      <c r="AD114" s="508">
        <f>AD115+AD119+AD125+AD131</f>
        <v>174620</v>
      </c>
      <c r="AE114" s="529">
        <f>O114/M114*100</f>
        <v>136.67236254903088</v>
      </c>
      <c r="AF114" s="529">
        <f t="shared" ref="AF114:AG116" si="73">P114/O114*100</f>
        <v>68.090560231585101</v>
      </c>
      <c r="AG114" s="529">
        <f t="shared" si="73"/>
        <v>98.485868102288023</v>
      </c>
      <c r="AH114" s="529">
        <f>AC114/Q114*100</f>
        <v>99.430588771210566</v>
      </c>
      <c r="AI114" s="507"/>
      <c r="AJ114" s="507">
        <v>327720</v>
      </c>
      <c r="AK114" s="507">
        <f t="shared" si="59"/>
        <v>130.23573624871884</v>
      </c>
      <c r="AL114" s="507">
        <f t="shared" si="60"/>
        <v>123.17243791535502</v>
      </c>
      <c r="AM114" s="507">
        <f>Y114/X114*100</f>
        <v>116.32826920346444</v>
      </c>
      <c r="AN114" s="530" t="e">
        <f ca="1">__xlfn.ISFORMULA(#REF!)</f>
        <v>#NAME?</v>
      </c>
      <c r="AO114" s="531" t="e">
        <f ca="1">__xlfn.ISFORMULA(#REF!)</f>
        <v>#NAME?</v>
      </c>
      <c r="AP114" s="510" t="e">
        <f t="shared" ca="1" si="70"/>
        <v>#NAME?</v>
      </c>
      <c r="AQ114" s="505">
        <f>AQ115+AQ119+AQ125+AQ131</f>
        <v>204297.34999999998</v>
      </c>
      <c r="AR114" s="533">
        <f>V114/R114*100</f>
        <v>130.23573624871884</v>
      </c>
      <c r="AS114" s="533">
        <f t="shared" ref="AS114:AS173" si="74">W114/V114*100</f>
        <v>100</v>
      </c>
      <c r="AT114" s="533">
        <f t="shared" ref="AT114:AT143" si="75">W114/R114*100</f>
        <v>130.23573624871884</v>
      </c>
      <c r="AU114" s="533">
        <f t="shared" ref="AU114:AU173" si="76">AQ114/W114*100</f>
        <v>89.322031304651958</v>
      </c>
      <c r="AV114" s="533">
        <f t="shared" ref="AV114:AV143" si="77">AQ114/R114*100</f>
        <v>116.3292051019246</v>
      </c>
      <c r="AW114" s="612"/>
      <c r="AX114" s="612"/>
      <c r="AY114" s="612"/>
      <c r="AZ114" s="612"/>
      <c r="BA114" s="612"/>
      <c r="BB114" s="612"/>
      <c r="BC114" s="612"/>
      <c r="BD114" s="612"/>
      <c r="BE114" s="612"/>
      <c r="BF114" s="612"/>
      <c r="BG114" s="612"/>
      <c r="BH114" s="612"/>
      <c r="BI114" s="612"/>
    </row>
    <row r="115" spans="1:61" ht="12" customHeight="1">
      <c r="A115" s="51"/>
      <c r="B115" s="52"/>
      <c r="C115" s="52"/>
      <c r="D115" s="52"/>
      <c r="E115" s="52"/>
      <c r="F115" s="52"/>
      <c r="G115" s="52"/>
      <c r="H115" s="63">
        <v>6421</v>
      </c>
      <c r="I115" s="116"/>
      <c r="J115" s="117"/>
      <c r="K115" s="19" t="s">
        <v>161</v>
      </c>
      <c r="L115" s="111">
        <f t="shared" ref="L115:Q115" si="78">L116+L117</f>
        <v>363081</v>
      </c>
      <c r="M115" s="111">
        <f t="shared" si="78"/>
        <v>48189.130001990838</v>
      </c>
      <c r="N115" s="112">
        <f t="shared" si="78"/>
        <v>464831</v>
      </c>
      <c r="O115" s="112">
        <f t="shared" si="78"/>
        <v>61693.675758179037</v>
      </c>
      <c r="P115" s="113">
        <f t="shared" si="78"/>
        <v>59800</v>
      </c>
      <c r="Q115" s="113">
        <f t="shared" si="78"/>
        <v>57100</v>
      </c>
      <c r="R115" s="160">
        <v>57100</v>
      </c>
      <c r="S115" s="89"/>
      <c r="T115" s="89"/>
      <c r="U115" s="89" t="e">
        <f t="shared" ca="1" si="61"/>
        <v>#NAME?</v>
      </c>
      <c r="V115" s="505">
        <f>V116</f>
        <v>105000</v>
      </c>
      <c r="W115" s="505">
        <f>W116</f>
        <v>105000</v>
      </c>
      <c r="X115" s="506">
        <f>X116</f>
        <v>150000</v>
      </c>
      <c r="Y115" s="507">
        <f>Y116</f>
        <v>170000</v>
      </c>
      <c r="Z115" s="507"/>
      <c r="AA115" s="507"/>
      <c r="AB115" s="507"/>
      <c r="AC115" s="508">
        <f>AC116+AC117</f>
        <v>59700</v>
      </c>
      <c r="AD115" s="508">
        <f>AD116+AD117</f>
        <v>59700</v>
      </c>
      <c r="AE115" s="529">
        <f>O115/M115*100</f>
        <v>128.02404972995006</v>
      </c>
      <c r="AF115" s="529">
        <f t="shared" si="73"/>
        <v>96.93051883372668</v>
      </c>
      <c r="AG115" s="529">
        <f t="shared" si="73"/>
        <v>95.484949832775925</v>
      </c>
      <c r="AH115" s="529">
        <f>AC115/Q115*100</f>
        <v>104.55341506129596</v>
      </c>
      <c r="AI115" s="507"/>
      <c r="AJ115" s="507">
        <v>170000</v>
      </c>
      <c r="AK115" s="507">
        <f t="shared" si="59"/>
        <v>183.88791593695271</v>
      </c>
      <c r="AL115" s="507">
        <f t="shared" si="60"/>
        <v>142.85714285714286</v>
      </c>
      <c r="AM115" s="507">
        <f>Y115/X115*100</f>
        <v>113.33333333333333</v>
      </c>
      <c r="AN115" s="530" t="e">
        <f ca="1">__xlfn.ISFORMULA(#REF!)</f>
        <v>#NAME?</v>
      </c>
      <c r="AO115" s="531" t="e">
        <f ca="1">__xlfn.ISFORMULA(#REF!)</f>
        <v>#NAME?</v>
      </c>
      <c r="AP115" s="510" t="e">
        <f t="shared" ca="1" si="70"/>
        <v>#NAME?</v>
      </c>
      <c r="AQ115" s="505">
        <f>AQ116</f>
        <v>114014.9</v>
      </c>
      <c r="AR115" s="533">
        <f>V115/R115*100</f>
        <v>183.88791593695271</v>
      </c>
      <c r="AS115" s="533">
        <f t="shared" si="74"/>
        <v>100</v>
      </c>
      <c r="AT115" s="533">
        <f t="shared" si="75"/>
        <v>183.88791593695271</v>
      </c>
      <c r="AU115" s="533">
        <f t="shared" si="76"/>
        <v>108.58561904761905</v>
      </c>
      <c r="AV115" s="533">
        <f t="shared" si="77"/>
        <v>199.67583187390542</v>
      </c>
      <c r="AW115" s="612"/>
      <c r="AX115" s="612"/>
      <c r="AY115" s="612"/>
      <c r="AZ115" s="612"/>
      <c r="BA115" s="612"/>
      <c r="BB115" s="612"/>
      <c r="BC115" s="612"/>
      <c r="BD115" s="612"/>
      <c r="BE115" s="612"/>
      <c r="BF115" s="612"/>
      <c r="BG115" s="612"/>
      <c r="BH115" s="612"/>
      <c r="BI115" s="612"/>
    </row>
    <row r="116" spans="1:61" ht="12" customHeight="1">
      <c r="A116" s="51"/>
      <c r="B116" s="52"/>
      <c r="C116" s="52"/>
      <c r="D116" s="52">
        <v>4</v>
      </c>
      <c r="E116" s="52"/>
      <c r="F116" s="52"/>
      <c r="G116" s="52"/>
      <c r="H116" s="63">
        <v>64214</v>
      </c>
      <c r="I116" s="116"/>
      <c r="J116" s="117"/>
      <c r="K116" s="19" t="s">
        <v>162</v>
      </c>
      <c r="L116" s="129">
        <v>363081</v>
      </c>
      <c r="M116" s="129">
        <f>363081/7.5345</f>
        <v>48189.130001990838</v>
      </c>
      <c r="N116" s="130">
        <v>464831</v>
      </c>
      <c r="O116" s="130">
        <f>N116/7.5345</f>
        <v>61693.675758179037</v>
      </c>
      <c r="P116" s="131">
        <v>57100</v>
      </c>
      <c r="Q116" s="131">
        <v>57100</v>
      </c>
      <c r="R116" s="157">
        <v>57100</v>
      </c>
      <c r="S116" s="158"/>
      <c r="T116" s="158"/>
      <c r="U116" s="89" t="e">
        <f t="shared" ca="1" si="61"/>
        <v>#NAME?</v>
      </c>
      <c r="V116" s="505">
        <v>105000</v>
      </c>
      <c r="W116" s="505">
        <v>105000</v>
      </c>
      <c r="X116" s="534">
        <v>150000</v>
      </c>
      <c r="Y116" s="535">
        <v>170000</v>
      </c>
      <c r="Z116" s="535"/>
      <c r="AA116" s="535"/>
      <c r="AB116" s="535"/>
      <c r="AC116" s="529">
        <v>57000</v>
      </c>
      <c r="AD116" s="529">
        <v>57000</v>
      </c>
      <c r="AE116" s="529">
        <f>O116/M116*100</f>
        <v>128.02404972995006</v>
      </c>
      <c r="AF116" s="529">
        <f t="shared" si="73"/>
        <v>92.554057281033337</v>
      </c>
      <c r="AG116" s="529">
        <f t="shared" si="73"/>
        <v>100</v>
      </c>
      <c r="AH116" s="529">
        <f>AC116/Q116*100</f>
        <v>99.824868651488615</v>
      </c>
      <c r="AI116" s="535"/>
      <c r="AJ116" s="535">
        <v>170000</v>
      </c>
      <c r="AK116" s="507">
        <f t="shared" si="59"/>
        <v>183.88791593695271</v>
      </c>
      <c r="AL116" s="507">
        <f t="shared" si="60"/>
        <v>142.85714285714286</v>
      </c>
      <c r="AM116" s="507">
        <f>Y116/X116*100</f>
        <v>113.33333333333333</v>
      </c>
      <c r="AN116" s="530" t="e">
        <f ca="1">__xlfn.ISFORMULA(#REF!)</f>
        <v>#NAME?</v>
      </c>
      <c r="AO116" s="531" t="e">
        <f ca="1">__xlfn.ISFORMULA(#REF!)</f>
        <v>#NAME?</v>
      </c>
      <c r="AP116" s="510" t="e">
        <f t="shared" ca="1" si="70"/>
        <v>#NAME?</v>
      </c>
      <c r="AQ116" s="505">
        <v>114014.9</v>
      </c>
      <c r="AR116" s="533">
        <f>V116/R116*100</f>
        <v>183.88791593695271</v>
      </c>
      <c r="AS116" s="533">
        <f t="shared" si="74"/>
        <v>100</v>
      </c>
      <c r="AT116" s="533">
        <f t="shared" si="75"/>
        <v>183.88791593695271</v>
      </c>
      <c r="AU116" s="533">
        <f t="shared" si="76"/>
        <v>108.58561904761905</v>
      </c>
      <c r="AV116" s="533">
        <f t="shared" si="77"/>
        <v>199.67583187390542</v>
      </c>
      <c r="AW116" s="612"/>
      <c r="AX116" s="612"/>
      <c r="AY116" s="612"/>
      <c r="AZ116" s="612">
        <f>AQ116</f>
        <v>114014.9</v>
      </c>
      <c r="BA116" s="612"/>
      <c r="BB116" s="612"/>
      <c r="BC116" s="612"/>
      <c r="BD116" s="612"/>
      <c r="BE116" s="612"/>
      <c r="BF116" s="612"/>
      <c r="BG116" s="612"/>
      <c r="BH116" s="612"/>
      <c r="BI116" s="612"/>
    </row>
    <row r="117" spans="1:61" ht="12" customHeight="1">
      <c r="A117" s="51"/>
      <c r="B117" s="52"/>
      <c r="C117" s="52"/>
      <c r="D117" s="52"/>
      <c r="E117" s="52"/>
      <c r="F117" s="52"/>
      <c r="G117" s="52"/>
      <c r="H117" s="63">
        <v>64219</v>
      </c>
      <c r="I117" s="116"/>
      <c r="J117" s="117"/>
      <c r="K117" s="19" t="s">
        <v>163</v>
      </c>
      <c r="L117" s="129">
        <v>0</v>
      </c>
      <c r="M117" s="129">
        <v>0</v>
      </c>
      <c r="N117" s="130">
        <v>0</v>
      </c>
      <c r="O117" s="130">
        <f>N117/7.5345</f>
        <v>0</v>
      </c>
      <c r="P117" s="131">
        <v>2700</v>
      </c>
      <c r="Q117" s="156">
        <v>0</v>
      </c>
      <c r="R117" s="157">
        <v>0</v>
      </c>
      <c r="S117" s="158"/>
      <c r="T117" s="158"/>
      <c r="U117" s="89" t="e">
        <f t="shared" ca="1" si="61"/>
        <v>#NAME?</v>
      </c>
      <c r="V117" s="505"/>
      <c r="W117" s="505"/>
      <c r="X117" s="534"/>
      <c r="Y117" s="535"/>
      <c r="Z117" s="535"/>
      <c r="AA117" s="535"/>
      <c r="AB117" s="535"/>
      <c r="AC117" s="529">
        <v>2700</v>
      </c>
      <c r="AD117" s="529">
        <v>2700</v>
      </c>
      <c r="AE117" s="529"/>
      <c r="AF117" s="529"/>
      <c r="AG117" s="529"/>
      <c r="AH117" s="529"/>
      <c r="AI117" s="535"/>
      <c r="AJ117" s="535"/>
      <c r="AK117" s="507"/>
      <c r="AL117" s="507"/>
      <c r="AM117" s="507"/>
      <c r="AN117" s="530" t="e">
        <f ca="1">__xlfn.ISFORMULA(#REF!)</f>
        <v>#NAME?</v>
      </c>
      <c r="AO117" s="531" t="e">
        <f ca="1">__xlfn.ISFORMULA(#REF!)</f>
        <v>#NAME?</v>
      </c>
      <c r="AP117" s="510" t="e">
        <f t="shared" ca="1" si="70"/>
        <v>#NAME?</v>
      </c>
      <c r="AQ117" s="505"/>
      <c r="AR117" s="533"/>
      <c r="AS117" s="533"/>
      <c r="AT117" s="533"/>
      <c r="AU117" s="533"/>
      <c r="AV117" s="533"/>
      <c r="AW117" s="612"/>
      <c r="AX117" s="612"/>
      <c r="AY117" s="612"/>
      <c r="AZ117" s="612"/>
      <c r="BA117" s="612"/>
      <c r="BB117" s="612"/>
      <c r="BC117" s="612"/>
      <c r="BD117" s="612"/>
      <c r="BE117" s="612"/>
      <c r="BF117" s="612"/>
      <c r="BG117" s="612"/>
      <c r="BH117" s="612"/>
      <c r="BI117" s="612"/>
    </row>
    <row r="118" spans="1:61" ht="12" customHeight="1">
      <c r="A118" s="51"/>
      <c r="B118" s="52"/>
      <c r="C118" s="52"/>
      <c r="D118" s="52"/>
      <c r="E118" s="52"/>
      <c r="F118" s="52"/>
      <c r="G118" s="52"/>
      <c r="H118" s="63"/>
      <c r="I118" s="116"/>
      <c r="J118" s="117"/>
      <c r="K118" s="19"/>
      <c r="L118" s="118"/>
      <c r="M118" s="118"/>
      <c r="N118" s="119"/>
      <c r="O118" s="119"/>
      <c r="P118" s="120"/>
      <c r="Q118" s="120"/>
      <c r="R118" s="178"/>
      <c r="S118" s="152"/>
      <c r="T118" s="152"/>
      <c r="U118" s="89" t="e">
        <f t="shared" ca="1" si="61"/>
        <v>#NAME?</v>
      </c>
      <c r="V118" s="505"/>
      <c r="W118" s="505"/>
      <c r="X118" s="534"/>
      <c r="Y118" s="535"/>
      <c r="Z118" s="535"/>
      <c r="AA118" s="535"/>
      <c r="AB118" s="535"/>
      <c r="AC118" s="529"/>
      <c r="AD118" s="529"/>
      <c r="AE118" s="529"/>
      <c r="AF118" s="529"/>
      <c r="AG118" s="529"/>
      <c r="AH118" s="529"/>
      <c r="AI118" s="535"/>
      <c r="AJ118" s="535"/>
      <c r="AK118" s="507"/>
      <c r="AL118" s="507"/>
      <c r="AM118" s="507"/>
      <c r="AN118" s="530" t="e">
        <f ca="1">__xlfn.ISFORMULA(#REF!)</f>
        <v>#NAME?</v>
      </c>
      <c r="AO118" s="531" t="e">
        <f ca="1">__xlfn.ISFORMULA(#REF!)</f>
        <v>#NAME?</v>
      </c>
      <c r="AP118" s="510" t="e">
        <f t="shared" ca="1" si="70"/>
        <v>#NAME?</v>
      </c>
      <c r="AQ118" s="505"/>
      <c r="AR118" s="533"/>
      <c r="AS118" s="533"/>
      <c r="AT118" s="533"/>
      <c r="AU118" s="533"/>
      <c r="AV118" s="533"/>
      <c r="AW118" s="612"/>
      <c r="AX118" s="612"/>
      <c r="AY118" s="612"/>
      <c r="AZ118" s="612"/>
      <c r="BA118" s="612"/>
      <c r="BB118" s="612"/>
      <c r="BC118" s="612"/>
      <c r="BD118" s="612"/>
      <c r="BE118" s="612"/>
      <c r="BF118" s="612"/>
      <c r="BG118" s="612"/>
      <c r="BH118" s="612"/>
      <c r="BI118" s="612"/>
    </row>
    <row r="119" spans="1:61" ht="12" customHeight="1">
      <c r="A119" s="51"/>
      <c r="B119" s="52"/>
      <c r="C119" s="52"/>
      <c r="D119" s="52"/>
      <c r="E119" s="52"/>
      <c r="F119" s="52"/>
      <c r="G119" s="52"/>
      <c r="H119" s="63">
        <v>6422</v>
      </c>
      <c r="I119" s="116"/>
      <c r="J119" s="117"/>
      <c r="K119" s="19" t="s">
        <v>164</v>
      </c>
      <c r="L119" s="111">
        <f t="shared" ref="L119:Q119" si="79">L120+L121+L122+L123</f>
        <v>583460</v>
      </c>
      <c r="M119" s="111">
        <f t="shared" si="79"/>
        <v>77438.449797597714</v>
      </c>
      <c r="N119" s="112">
        <f t="shared" si="79"/>
        <v>542635</v>
      </c>
      <c r="O119" s="112">
        <f t="shared" si="79"/>
        <v>72020.041144070594</v>
      </c>
      <c r="P119" s="113">
        <f t="shared" si="79"/>
        <v>80720</v>
      </c>
      <c r="Q119" s="113">
        <f t="shared" si="79"/>
        <v>80720</v>
      </c>
      <c r="R119" s="160">
        <v>80720</v>
      </c>
      <c r="S119" s="89"/>
      <c r="T119" s="89"/>
      <c r="U119" s="89" t="e">
        <f t="shared" ca="1" si="61"/>
        <v>#NAME?</v>
      </c>
      <c r="V119" s="505">
        <f>SUM(V120:V123)</f>
        <v>90520</v>
      </c>
      <c r="W119" s="505">
        <f>SUM(W120:W123)</f>
        <v>90520</v>
      </c>
      <c r="X119" s="506">
        <f>SUM(X120:X123)</f>
        <v>100720</v>
      </c>
      <c r="Y119" s="507">
        <f>SUM(Y120:Y123)</f>
        <v>125720</v>
      </c>
      <c r="Z119" s="507"/>
      <c r="AA119" s="507"/>
      <c r="AB119" s="507"/>
      <c r="AC119" s="508">
        <f>AC120+AC121+AC122+AC123</f>
        <v>80720</v>
      </c>
      <c r="AD119" s="508">
        <f>AD120+AD121+AD122+AD123</f>
        <v>80720</v>
      </c>
      <c r="AE119" s="529">
        <f>O119/M119*100</f>
        <v>93.002947931306338</v>
      </c>
      <c r="AF119" s="529">
        <f t="shared" ref="AF119:AG123" si="80">P119/O119*100</f>
        <v>112.07991375418101</v>
      </c>
      <c r="AG119" s="529">
        <f t="shared" si="80"/>
        <v>100</v>
      </c>
      <c r="AH119" s="529">
        <f>AC119/Q119*100</f>
        <v>100</v>
      </c>
      <c r="AI119" s="507"/>
      <c r="AJ119" s="507">
        <v>125720</v>
      </c>
      <c r="AK119" s="507">
        <f t="shared" si="59"/>
        <v>112.14073339940536</v>
      </c>
      <c r="AL119" s="507">
        <f t="shared" si="60"/>
        <v>111.26822801590808</v>
      </c>
      <c r="AM119" s="507">
        <f>Y119/X119*100</f>
        <v>124.82128673550437</v>
      </c>
      <c r="AN119" s="530" t="e">
        <f ca="1">__xlfn.ISFORMULA(#REF!)</f>
        <v>#NAME?</v>
      </c>
      <c r="AO119" s="531" t="e">
        <f ca="1">__xlfn.ISFORMULA(#REF!)</f>
        <v>#NAME?</v>
      </c>
      <c r="AP119" s="510" t="e">
        <f t="shared" ca="1" si="70"/>
        <v>#NAME?</v>
      </c>
      <c r="AQ119" s="505">
        <f>SUM(AQ120:AQ123)</f>
        <v>57406.58</v>
      </c>
      <c r="AR119" s="533">
        <f>V119/R119*100</f>
        <v>112.14073339940536</v>
      </c>
      <c r="AS119" s="533">
        <f t="shared" si="74"/>
        <v>100</v>
      </c>
      <c r="AT119" s="533">
        <f t="shared" si="75"/>
        <v>112.14073339940536</v>
      </c>
      <c r="AU119" s="533">
        <f t="shared" si="76"/>
        <v>63.418669907202826</v>
      </c>
      <c r="AV119" s="533">
        <f t="shared" si="77"/>
        <v>71.118161546085233</v>
      </c>
      <c r="AW119" s="612"/>
      <c r="AX119" s="612"/>
      <c r="AY119" s="612"/>
      <c r="AZ119" s="612">
        <f>AQ119</f>
        <v>57406.58</v>
      </c>
      <c r="BA119" s="612"/>
      <c r="BB119" s="612"/>
      <c r="BC119" s="612"/>
      <c r="BD119" s="612"/>
      <c r="BE119" s="612"/>
      <c r="BF119" s="612"/>
      <c r="BG119" s="612"/>
      <c r="BH119" s="612"/>
      <c r="BI119" s="612"/>
    </row>
    <row r="120" spans="1:61" ht="12" customHeight="1">
      <c r="A120" s="51"/>
      <c r="B120" s="52"/>
      <c r="C120" s="52"/>
      <c r="D120" s="52"/>
      <c r="E120" s="52"/>
      <c r="F120" s="52"/>
      <c r="G120" s="52"/>
      <c r="H120" s="63">
        <v>64222</v>
      </c>
      <c r="I120" s="116"/>
      <c r="J120" s="117"/>
      <c r="K120" s="19" t="s">
        <v>165</v>
      </c>
      <c r="L120" s="129">
        <v>617</v>
      </c>
      <c r="M120" s="129">
        <f>617/7.5345</f>
        <v>81.889972791824277</v>
      </c>
      <c r="N120" s="130">
        <v>367</v>
      </c>
      <c r="O120" s="130">
        <f>N120/7.5345</f>
        <v>48.709270688167756</v>
      </c>
      <c r="P120" s="131">
        <v>400</v>
      </c>
      <c r="Q120" s="131">
        <v>400</v>
      </c>
      <c r="R120" s="157">
        <v>400</v>
      </c>
      <c r="S120" s="158"/>
      <c r="T120" s="158"/>
      <c r="U120" s="89" t="e">
        <f t="shared" ca="1" si="61"/>
        <v>#NAME?</v>
      </c>
      <c r="V120" s="505">
        <v>200</v>
      </c>
      <c r="W120" s="505">
        <v>200</v>
      </c>
      <c r="X120" s="534">
        <v>400</v>
      </c>
      <c r="Y120" s="535">
        <v>400</v>
      </c>
      <c r="Z120" s="535"/>
      <c r="AA120" s="535"/>
      <c r="AB120" s="535"/>
      <c r="AC120" s="529">
        <v>400</v>
      </c>
      <c r="AD120" s="529">
        <v>400</v>
      </c>
      <c r="AE120" s="529">
        <f>O120/M120*100</f>
        <v>59.481361426256072</v>
      </c>
      <c r="AF120" s="529">
        <f t="shared" si="80"/>
        <v>821.19891008174386</v>
      </c>
      <c r="AG120" s="529">
        <f t="shared" si="80"/>
        <v>100</v>
      </c>
      <c r="AH120" s="529">
        <f>AC120/Q120*100</f>
        <v>100</v>
      </c>
      <c r="AI120" s="535"/>
      <c r="AJ120" s="535">
        <v>400</v>
      </c>
      <c r="AK120" s="507">
        <f t="shared" si="59"/>
        <v>50</v>
      </c>
      <c r="AL120" s="507">
        <f t="shared" si="60"/>
        <v>200</v>
      </c>
      <c r="AM120" s="507">
        <f>Y120/X120*100</f>
        <v>100</v>
      </c>
      <c r="AN120" s="530" t="e">
        <f ca="1">__xlfn.ISFORMULA(#REF!)</f>
        <v>#NAME?</v>
      </c>
      <c r="AO120" s="531" t="e">
        <f ca="1">__xlfn.ISFORMULA(#REF!)</f>
        <v>#NAME?</v>
      </c>
      <c r="AP120" s="510" t="e">
        <f t="shared" ca="1" si="70"/>
        <v>#NAME?</v>
      </c>
      <c r="AQ120" s="505">
        <v>131.30000000000001</v>
      </c>
      <c r="AR120" s="533">
        <f t="shared" ref="AR120:AR151" si="81">V120/R120*100</f>
        <v>50</v>
      </c>
      <c r="AS120" s="533">
        <f t="shared" si="74"/>
        <v>100</v>
      </c>
      <c r="AT120" s="533">
        <f t="shared" si="75"/>
        <v>50</v>
      </c>
      <c r="AU120" s="533">
        <f t="shared" si="76"/>
        <v>65.650000000000006</v>
      </c>
      <c r="AV120" s="533">
        <f t="shared" si="77"/>
        <v>32.825000000000003</v>
      </c>
      <c r="AW120" s="612"/>
      <c r="AX120" s="612"/>
      <c r="AY120" s="612"/>
      <c r="AZ120" s="612"/>
      <c r="BA120" s="612"/>
      <c r="BB120" s="612"/>
      <c r="BC120" s="612"/>
      <c r="BD120" s="612"/>
      <c r="BE120" s="612"/>
      <c r="BF120" s="612"/>
      <c r="BG120" s="612"/>
      <c r="BH120" s="612"/>
      <c r="BI120" s="612"/>
    </row>
    <row r="121" spans="1:61" ht="12" customHeight="1">
      <c r="A121" s="51"/>
      <c r="B121" s="52"/>
      <c r="C121" s="52"/>
      <c r="D121" s="52"/>
      <c r="E121" s="52"/>
      <c r="F121" s="52"/>
      <c r="G121" s="52"/>
      <c r="H121" s="63">
        <v>64224</v>
      </c>
      <c r="I121" s="116"/>
      <c r="J121" s="117"/>
      <c r="K121" s="19" t="s">
        <v>166</v>
      </c>
      <c r="L121" s="129">
        <v>2000</v>
      </c>
      <c r="M121" s="129">
        <f>2000/7.5345</f>
        <v>265.44561682925212</v>
      </c>
      <c r="N121" s="130">
        <v>2200</v>
      </c>
      <c r="O121" s="130">
        <f>N121/7.5345</f>
        <v>291.99017851217729</v>
      </c>
      <c r="P121" s="131">
        <v>320</v>
      </c>
      <c r="Q121" s="131">
        <v>320</v>
      </c>
      <c r="R121" s="157">
        <v>320</v>
      </c>
      <c r="S121" s="158"/>
      <c r="T121" s="158"/>
      <c r="U121" s="89" t="e">
        <f t="shared" ca="1" si="61"/>
        <v>#NAME?</v>
      </c>
      <c r="V121" s="505">
        <v>320</v>
      </c>
      <c r="W121" s="505">
        <v>320</v>
      </c>
      <c r="X121" s="534">
        <v>320</v>
      </c>
      <c r="Y121" s="535">
        <v>320</v>
      </c>
      <c r="Z121" s="535"/>
      <c r="AA121" s="535"/>
      <c r="AB121" s="535"/>
      <c r="AC121" s="529">
        <v>320</v>
      </c>
      <c r="AD121" s="529">
        <v>320</v>
      </c>
      <c r="AE121" s="529">
        <f>O121/M121*100</f>
        <v>109.99999999999999</v>
      </c>
      <c r="AF121" s="529">
        <f t="shared" si="80"/>
        <v>109.59272727272729</v>
      </c>
      <c r="AG121" s="529">
        <f t="shared" si="80"/>
        <v>100</v>
      </c>
      <c r="AH121" s="529">
        <f>AC121/Q121*100</f>
        <v>100</v>
      </c>
      <c r="AI121" s="535"/>
      <c r="AJ121" s="535">
        <v>320</v>
      </c>
      <c r="AK121" s="507">
        <f t="shared" si="59"/>
        <v>100</v>
      </c>
      <c r="AL121" s="507">
        <f t="shared" si="60"/>
        <v>100</v>
      </c>
      <c r="AM121" s="507">
        <f>Y121/X121*100</f>
        <v>100</v>
      </c>
      <c r="AN121" s="530" t="e">
        <f ca="1">__xlfn.ISFORMULA(#REF!)</f>
        <v>#NAME?</v>
      </c>
      <c r="AO121" s="531" t="e">
        <f ca="1">__xlfn.ISFORMULA(#REF!)</f>
        <v>#NAME?</v>
      </c>
      <c r="AP121" s="510" t="e">
        <f t="shared" ca="1" si="70"/>
        <v>#NAME?</v>
      </c>
      <c r="AQ121" s="505">
        <v>371.56</v>
      </c>
      <c r="AR121" s="533">
        <f t="shared" si="81"/>
        <v>100</v>
      </c>
      <c r="AS121" s="533">
        <f t="shared" si="74"/>
        <v>100</v>
      </c>
      <c r="AT121" s="533">
        <f t="shared" si="75"/>
        <v>100</v>
      </c>
      <c r="AU121" s="533">
        <f t="shared" si="76"/>
        <v>116.1125</v>
      </c>
      <c r="AV121" s="533">
        <f t="shared" si="77"/>
        <v>116.1125</v>
      </c>
      <c r="AW121" s="612"/>
      <c r="AX121" s="612"/>
      <c r="AY121" s="612"/>
      <c r="AZ121" s="612"/>
      <c r="BA121" s="612"/>
      <c r="BB121" s="612"/>
      <c r="BC121" s="612"/>
      <c r="BD121" s="612"/>
      <c r="BE121" s="612"/>
      <c r="BF121" s="612"/>
      <c r="BG121" s="612"/>
      <c r="BH121" s="612"/>
      <c r="BI121" s="612"/>
    </row>
    <row r="122" spans="1:61" ht="12" customHeight="1">
      <c r="A122" s="51"/>
      <c r="B122" s="52"/>
      <c r="C122" s="52"/>
      <c r="D122" s="52"/>
      <c r="E122" s="52"/>
      <c r="F122" s="52"/>
      <c r="G122" s="52"/>
      <c r="H122" s="63">
        <v>64225</v>
      </c>
      <c r="I122" s="116"/>
      <c r="J122" s="117"/>
      <c r="K122" s="19" t="s">
        <v>167</v>
      </c>
      <c r="L122" s="129">
        <v>526058</v>
      </c>
      <c r="M122" s="129">
        <f>526058/7.5345</f>
        <v>69819.895148981348</v>
      </c>
      <c r="N122" s="130">
        <v>387968</v>
      </c>
      <c r="O122" s="130">
        <f>N122/7.5345</f>
        <v>51492.202535005636</v>
      </c>
      <c r="P122" s="131">
        <v>60000</v>
      </c>
      <c r="Q122" s="131">
        <v>60000</v>
      </c>
      <c r="R122" s="157">
        <v>60000</v>
      </c>
      <c r="S122" s="158"/>
      <c r="T122" s="158"/>
      <c r="U122" s="89" t="e">
        <f t="shared" ca="1" si="61"/>
        <v>#NAME?</v>
      </c>
      <c r="V122" s="505">
        <v>80000</v>
      </c>
      <c r="W122" s="505">
        <v>80000</v>
      </c>
      <c r="X122" s="534">
        <v>80000</v>
      </c>
      <c r="Y122" s="535">
        <v>100000</v>
      </c>
      <c r="Z122" s="535"/>
      <c r="AA122" s="535"/>
      <c r="AB122" s="535"/>
      <c r="AC122" s="529">
        <v>60000</v>
      </c>
      <c r="AD122" s="529">
        <v>60000</v>
      </c>
      <c r="AE122" s="529">
        <f>O122/M122*100</f>
        <v>73.750042770949207</v>
      </c>
      <c r="AF122" s="529">
        <f t="shared" si="80"/>
        <v>116.52249670075882</v>
      </c>
      <c r="AG122" s="529">
        <f t="shared" si="80"/>
        <v>100</v>
      </c>
      <c r="AH122" s="529">
        <f>AC122/Q122*100</f>
        <v>100</v>
      </c>
      <c r="AI122" s="535"/>
      <c r="AJ122" s="535">
        <v>100000</v>
      </c>
      <c r="AK122" s="507">
        <f t="shared" si="59"/>
        <v>133.33333333333331</v>
      </c>
      <c r="AL122" s="507">
        <f t="shared" si="60"/>
        <v>100</v>
      </c>
      <c r="AM122" s="507">
        <f>Y122/X122*100</f>
        <v>125</v>
      </c>
      <c r="AN122" s="530" t="e">
        <f ca="1">__xlfn.ISFORMULA(#REF!)</f>
        <v>#NAME?</v>
      </c>
      <c r="AO122" s="531" t="e">
        <f ca="1">__xlfn.ISFORMULA(#REF!)</f>
        <v>#NAME?</v>
      </c>
      <c r="AP122" s="510" t="e">
        <f t="shared" ca="1" si="70"/>
        <v>#NAME?</v>
      </c>
      <c r="AQ122" s="505">
        <v>46100.75</v>
      </c>
      <c r="AR122" s="533">
        <f t="shared" si="81"/>
        <v>133.33333333333331</v>
      </c>
      <c r="AS122" s="533">
        <f t="shared" si="74"/>
        <v>100</v>
      </c>
      <c r="AT122" s="533">
        <f t="shared" si="75"/>
        <v>133.33333333333331</v>
      </c>
      <c r="AU122" s="533">
        <f t="shared" si="76"/>
        <v>57.625937499999999</v>
      </c>
      <c r="AV122" s="533">
        <f t="shared" si="77"/>
        <v>76.834583333333327</v>
      </c>
      <c r="AW122" s="612"/>
      <c r="AX122" s="612"/>
      <c r="AY122" s="612"/>
      <c r="AZ122" s="612"/>
      <c r="BA122" s="612"/>
      <c r="BB122" s="612"/>
      <c r="BC122" s="612"/>
      <c r="BD122" s="612"/>
      <c r="BE122" s="612"/>
      <c r="BF122" s="612"/>
      <c r="BG122" s="612"/>
      <c r="BH122" s="612"/>
      <c r="BI122" s="612"/>
    </row>
    <row r="123" spans="1:61" ht="12" customHeight="1">
      <c r="A123" s="51"/>
      <c r="B123" s="52"/>
      <c r="C123" s="52"/>
      <c r="D123" s="52"/>
      <c r="E123" s="52"/>
      <c r="F123" s="52"/>
      <c r="G123" s="52"/>
      <c r="H123" s="63">
        <v>64229</v>
      </c>
      <c r="I123" s="116"/>
      <c r="J123" s="117"/>
      <c r="K123" s="19" t="s">
        <v>168</v>
      </c>
      <c r="L123" s="129">
        <v>54785</v>
      </c>
      <c r="M123" s="129">
        <f>54785/7.5345</f>
        <v>7271.2190589952879</v>
      </c>
      <c r="N123" s="130">
        <v>152100</v>
      </c>
      <c r="O123" s="130">
        <f>N123/7.5345</f>
        <v>20187.139159864622</v>
      </c>
      <c r="P123" s="131">
        <v>20000</v>
      </c>
      <c r="Q123" s="131">
        <v>20000</v>
      </c>
      <c r="R123" s="157">
        <v>20000</v>
      </c>
      <c r="S123" s="158"/>
      <c r="T123" s="158"/>
      <c r="U123" s="89" t="e">
        <f t="shared" ca="1" si="61"/>
        <v>#NAME?</v>
      </c>
      <c r="V123" s="505">
        <v>10000</v>
      </c>
      <c r="W123" s="505">
        <v>10000</v>
      </c>
      <c r="X123" s="534">
        <v>20000</v>
      </c>
      <c r="Y123" s="535">
        <v>25000</v>
      </c>
      <c r="Z123" s="535"/>
      <c r="AA123" s="535"/>
      <c r="AB123" s="535"/>
      <c r="AC123" s="529">
        <v>20000</v>
      </c>
      <c r="AD123" s="529">
        <v>20000</v>
      </c>
      <c r="AE123" s="529">
        <f>O123/M123*100</f>
        <v>277.63073834078671</v>
      </c>
      <c r="AF123" s="529">
        <f t="shared" si="80"/>
        <v>99.072978303747533</v>
      </c>
      <c r="AG123" s="529">
        <f t="shared" si="80"/>
        <v>100</v>
      </c>
      <c r="AH123" s="529">
        <f>AC123/Q123*100</f>
        <v>100</v>
      </c>
      <c r="AI123" s="535"/>
      <c r="AJ123" s="535">
        <v>25000</v>
      </c>
      <c r="AK123" s="507">
        <f t="shared" si="59"/>
        <v>50</v>
      </c>
      <c r="AL123" s="507">
        <f t="shared" si="60"/>
        <v>200</v>
      </c>
      <c r="AM123" s="507">
        <f>Y123/X123*100</f>
        <v>125</v>
      </c>
      <c r="AN123" s="530" t="e">
        <f ca="1">__xlfn.ISFORMULA(#REF!)</f>
        <v>#NAME?</v>
      </c>
      <c r="AO123" s="531" t="e">
        <f ca="1">__xlfn.ISFORMULA(#REF!)</f>
        <v>#NAME?</v>
      </c>
      <c r="AP123" s="510" t="e">
        <f t="shared" ca="1" si="70"/>
        <v>#NAME?</v>
      </c>
      <c r="AQ123" s="505">
        <v>10802.97</v>
      </c>
      <c r="AR123" s="533">
        <f t="shared" si="81"/>
        <v>50</v>
      </c>
      <c r="AS123" s="533">
        <f t="shared" si="74"/>
        <v>100</v>
      </c>
      <c r="AT123" s="533">
        <f t="shared" si="75"/>
        <v>50</v>
      </c>
      <c r="AU123" s="533">
        <f t="shared" si="76"/>
        <v>108.02969999999999</v>
      </c>
      <c r="AV123" s="533">
        <f t="shared" si="77"/>
        <v>54.014849999999996</v>
      </c>
      <c r="AW123" s="612"/>
      <c r="AX123" s="612"/>
      <c r="AY123" s="612"/>
      <c r="AZ123" s="612"/>
      <c r="BA123" s="612"/>
      <c r="BB123" s="612"/>
      <c r="BC123" s="612"/>
      <c r="BD123" s="612"/>
      <c r="BE123" s="612"/>
      <c r="BF123" s="612"/>
      <c r="BG123" s="612"/>
      <c r="BH123" s="612"/>
      <c r="BI123" s="612"/>
    </row>
    <row r="124" spans="1:61" ht="12" customHeight="1">
      <c r="A124" s="51"/>
      <c r="B124" s="52"/>
      <c r="C124" s="52"/>
      <c r="D124" s="52"/>
      <c r="E124" s="52"/>
      <c r="F124" s="52"/>
      <c r="G124" s="52"/>
      <c r="H124" s="63"/>
      <c r="I124" s="116"/>
      <c r="J124" s="117"/>
      <c r="K124" s="19"/>
      <c r="L124" s="129"/>
      <c r="M124" s="129"/>
      <c r="N124" s="130"/>
      <c r="O124" s="130"/>
      <c r="P124" s="131"/>
      <c r="Q124" s="131"/>
      <c r="R124" s="157"/>
      <c r="S124" s="158"/>
      <c r="T124" s="158"/>
      <c r="U124" s="89" t="e">
        <f t="shared" ca="1" si="61"/>
        <v>#NAME?</v>
      </c>
      <c r="V124" s="505"/>
      <c r="W124" s="505"/>
      <c r="X124" s="534"/>
      <c r="Y124" s="535"/>
      <c r="Z124" s="535"/>
      <c r="AA124" s="535"/>
      <c r="AB124" s="535"/>
      <c r="AC124" s="529"/>
      <c r="AD124" s="529"/>
      <c r="AE124" s="529"/>
      <c r="AF124" s="529"/>
      <c r="AG124" s="529"/>
      <c r="AH124" s="529"/>
      <c r="AI124" s="535"/>
      <c r="AJ124" s="535"/>
      <c r="AK124" s="507"/>
      <c r="AL124" s="507"/>
      <c r="AM124" s="507"/>
      <c r="AN124" s="530" t="e">
        <f ca="1">__xlfn.ISFORMULA(#REF!)</f>
        <v>#NAME?</v>
      </c>
      <c r="AO124" s="531" t="e">
        <f ca="1">__xlfn.ISFORMULA(#REF!)</f>
        <v>#NAME?</v>
      </c>
      <c r="AP124" s="510" t="e">
        <f t="shared" ca="1" si="70"/>
        <v>#NAME?</v>
      </c>
      <c r="AQ124" s="505"/>
      <c r="AR124" s="533"/>
      <c r="AS124" s="533"/>
      <c r="AT124" s="533"/>
      <c r="AU124" s="533"/>
      <c r="AV124" s="533"/>
      <c r="AW124" s="612"/>
      <c r="AX124" s="612"/>
      <c r="AY124" s="612"/>
      <c r="AZ124" s="612">
        <f>AQ124</f>
        <v>0</v>
      </c>
      <c r="BA124" s="612"/>
      <c r="BB124" s="612"/>
      <c r="BC124" s="612"/>
      <c r="BD124" s="612"/>
      <c r="BE124" s="612"/>
      <c r="BF124" s="612"/>
      <c r="BG124" s="612"/>
      <c r="BH124" s="612"/>
      <c r="BI124" s="612"/>
    </row>
    <row r="125" spans="1:61" ht="12" customHeight="1">
      <c r="A125" s="51"/>
      <c r="B125" s="52"/>
      <c r="C125" s="52"/>
      <c r="D125" s="52"/>
      <c r="E125" s="52"/>
      <c r="F125" s="52"/>
      <c r="G125" s="52"/>
      <c r="H125" s="63">
        <v>6423</v>
      </c>
      <c r="I125" s="116"/>
      <c r="J125" s="117"/>
      <c r="K125" s="19" t="s">
        <v>169</v>
      </c>
      <c r="L125" s="111">
        <f t="shared" ref="L125:Q125" si="82">L126+L127+L128</f>
        <v>426903</v>
      </c>
      <c r="M125" s="111">
        <f t="shared" si="82"/>
        <v>56659.765080629106</v>
      </c>
      <c r="N125" s="112">
        <f t="shared" si="82"/>
        <v>934012</v>
      </c>
      <c r="O125" s="112">
        <f t="shared" si="82"/>
        <v>123964.6957329617</v>
      </c>
      <c r="P125" s="113">
        <f t="shared" si="82"/>
        <v>31200</v>
      </c>
      <c r="Q125" s="113">
        <f t="shared" si="82"/>
        <v>31200</v>
      </c>
      <c r="R125" s="160">
        <v>31200</v>
      </c>
      <c r="S125" s="89"/>
      <c r="T125" s="89"/>
      <c r="U125" s="89" t="e">
        <f t="shared" ca="1" si="61"/>
        <v>#NAME?</v>
      </c>
      <c r="V125" s="505">
        <f>SUM(V127:V129)</f>
        <v>31200</v>
      </c>
      <c r="W125" s="505">
        <f>SUM(W127:W129)</f>
        <v>31200</v>
      </c>
      <c r="X125" s="506">
        <f>SUM(X127:X129)</f>
        <v>31000</v>
      </c>
      <c r="Y125" s="507">
        <f>SUM(Y127:Y129)</f>
        <v>32000</v>
      </c>
      <c r="Z125" s="507"/>
      <c r="AA125" s="507"/>
      <c r="AB125" s="507"/>
      <c r="AC125" s="508">
        <f>AC126+AC127+AC128</f>
        <v>31200</v>
      </c>
      <c r="AD125" s="508">
        <f>AD126+AD127+AD128</f>
        <v>31200</v>
      </c>
      <c r="AE125" s="529">
        <f>O125/M125*100</f>
        <v>218.78787452887423</v>
      </c>
      <c r="AF125" s="529">
        <f>P125/O125*100</f>
        <v>25.168456079793412</v>
      </c>
      <c r="AG125" s="529">
        <f>Q125/P125*100</f>
        <v>100</v>
      </c>
      <c r="AH125" s="529">
        <f>AC125/Q125*100</f>
        <v>100</v>
      </c>
      <c r="AI125" s="507"/>
      <c r="AJ125" s="507">
        <v>32000</v>
      </c>
      <c r="AK125" s="507">
        <f t="shared" si="59"/>
        <v>100</v>
      </c>
      <c r="AL125" s="507">
        <f t="shared" si="60"/>
        <v>99.358974358974365</v>
      </c>
      <c r="AM125" s="507">
        <f>Y125/X125*100</f>
        <v>103.2258064516129</v>
      </c>
      <c r="AN125" s="530" t="e">
        <f ca="1">__xlfn.ISFORMULA(#REF!)</f>
        <v>#NAME?</v>
      </c>
      <c r="AO125" s="531" t="e">
        <f ca="1">__xlfn.ISFORMULA(#REF!)</f>
        <v>#NAME?</v>
      </c>
      <c r="AP125" s="510" t="e">
        <f t="shared" ca="1" si="70"/>
        <v>#NAME?</v>
      </c>
      <c r="AQ125" s="505">
        <f>SUM(AQ127:AQ129)</f>
        <v>31190.01</v>
      </c>
      <c r="AR125" s="533">
        <f t="shared" si="81"/>
        <v>100</v>
      </c>
      <c r="AS125" s="533">
        <f t="shared" si="74"/>
        <v>100</v>
      </c>
      <c r="AT125" s="533">
        <f t="shared" si="75"/>
        <v>100</v>
      </c>
      <c r="AU125" s="533">
        <f t="shared" si="76"/>
        <v>99.967980769230763</v>
      </c>
      <c r="AV125" s="533">
        <f t="shared" si="77"/>
        <v>99.967980769230763</v>
      </c>
      <c r="AW125" s="612"/>
      <c r="AX125" s="612"/>
      <c r="AY125" s="612"/>
      <c r="AZ125" s="612">
        <f>AQ125</f>
        <v>31190.01</v>
      </c>
      <c r="BA125" s="612"/>
      <c r="BB125" s="612"/>
      <c r="BC125" s="612"/>
      <c r="BD125" s="612"/>
      <c r="BE125" s="612"/>
      <c r="BF125" s="612"/>
      <c r="BG125" s="612"/>
      <c r="BH125" s="612"/>
      <c r="BI125" s="612"/>
    </row>
    <row r="126" spans="1:61" ht="12" customHeight="1">
      <c r="A126" s="51"/>
      <c r="B126" s="52"/>
      <c r="C126" s="52"/>
      <c r="D126" s="52"/>
      <c r="E126" s="52"/>
      <c r="F126" s="52"/>
      <c r="G126" s="52"/>
      <c r="H126" s="63">
        <v>64231</v>
      </c>
      <c r="I126" s="116"/>
      <c r="J126" s="117"/>
      <c r="K126" s="19" t="s">
        <v>170</v>
      </c>
      <c r="L126" s="129"/>
      <c r="M126" s="129"/>
      <c r="N126" s="130"/>
      <c r="O126" s="130"/>
      <c r="P126" s="131"/>
      <c r="Q126" s="131"/>
      <c r="R126" s="157"/>
      <c r="S126" s="158"/>
      <c r="T126" s="158"/>
      <c r="U126" s="89" t="e">
        <f t="shared" ca="1" si="61"/>
        <v>#NAME?</v>
      </c>
      <c r="V126" s="505"/>
      <c r="W126" s="505"/>
      <c r="X126" s="534"/>
      <c r="Y126" s="535"/>
      <c r="Z126" s="535"/>
      <c r="AA126" s="535"/>
      <c r="AB126" s="535"/>
      <c r="AC126" s="529"/>
      <c r="AD126" s="529"/>
      <c r="AE126" s="529"/>
      <c r="AF126" s="529"/>
      <c r="AG126" s="529"/>
      <c r="AH126" s="529"/>
      <c r="AI126" s="535"/>
      <c r="AJ126" s="535"/>
      <c r="AK126" s="507"/>
      <c r="AL126" s="507"/>
      <c r="AM126" s="507"/>
      <c r="AN126" s="530" t="e">
        <f ca="1">__xlfn.ISFORMULA(#REF!)</f>
        <v>#NAME?</v>
      </c>
      <c r="AO126" s="531" t="e">
        <f ca="1">__xlfn.ISFORMULA(#REF!)</f>
        <v>#NAME?</v>
      </c>
      <c r="AP126" s="510" t="e">
        <f t="shared" ca="1" si="70"/>
        <v>#NAME?</v>
      </c>
      <c r="AQ126" s="505"/>
      <c r="AR126" s="533"/>
      <c r="AS126" s="533"/>
      <c r="AT126" s="533"/>
      <c r="AU126" s="533"/>
      <c r="AV126" s="533"/>
      <c r="AW126" s="612"/>
      <c r="AX126" s="612"/>
      <c r="AY126" s="612"/>
      <c r="AZ126" s="612"/>
      <c r="BA126" s="612"/>
      <c r="BB126" s="612"/>
      <c r="BC126" s="612"/>
      <c r="BD126" s="612"/>
      <c r="BE126" s="612"/>
      <c r="BF126" s="612"/>
      <c r="BG126" s="612"/>
      <c r="BH126" s="612"/>
      <c r="BI126" s="612"/>
    </row>
    <row r="127" spans="1:61" ht="12" customHeight="1">
      <c r="A127" s="51"/>
      <c r="B127" s="52"/>
      <c r="C127" s="52"/>
      <c r="D127" s="52"/>
      <c r="E127" s="52"/>
      <c r="F127" s="52"/>
      <c r="G127" s="52"/>
      <c r="H127" s="63">
        <v>64236</v>
      </c>
      <c r="I127" s="116"/>
      <c r="J127" s="117"/>
      <c r="K127" s="19" t="s">
        <v>171</v>
      </c>
      <c r="L127" s="129">
        <v>639</v>
      </c>
      <c r="M127" s="129">
        <f>639/7.5345</f>
        <v>84.809874576946044</v>
      </c>
      <c r="N127" s="130">
        <v>193</v>
      </c>
      <c r="O127" s="130">
        <f>N127/7.5345</f>
        <v>25.615502024022827</v>
      </c>
      <c r="P127" s="131"/>
      <c r="Q127" s="131"/>
      <c r="R127" s="157"/>
      <c r="S127" s="158"/>
      <c r="T127" s="158"/>
      <c r="U127" s="89" t="e">
        <f t="shared" ca="1" si="61"/>
        <v>#NAME?</v>
      </c>
      <c r="V127" s="505">
        <v>200</v>
      </c>
      <c r="W127" s="505">
        <v>200</v>
      </c>
      <c r="X127" s="534"/>
      <c r="Y127" s="535"/>
      <c r="Z127" s="535"/>
      <c r="AA127" s="535"/>
      <c r="AB127" s="535"/>
      <c r="AC127" s="529"/>
      <c r="AD127" s="529"/>
      <c r="AE127" s="529">
        <f>O127/M127*100</f>
        <v>30.203442879499221</v>
      </c>
      <c r="AF127" s="529"/>
      <c r="AG127" s="529"/>
      <c r="AH127" s="529"/>
      <c r="AI127" s="535"/>
      <c r="AJ127" s="535"/>
      <c r="AK127" s="507"/>
      <c r="AL127" s="507">
        <f t="shared" si="60"/>
        <v>0</v>
      </c>
      <c r="AM127" s="507"/>
      <c r="AN127" s="530" t="e">
        <f ca="1">__xlfn.ISFORMULA(#REF!)</f>
        <v>#NAME?</v>
      </c>
      <c r="AO127" s="531" t="e">
        <f ca="1">__xlfn.ISFORMULA(#REF!)</f>
        <v>#NAME?</v>
      </c>
      <c r="AP127" s="510" t="e">
        <f t="shared" ca="1" si="70"/>
        <v>#NAME?</v>
      </c>
      <c r="AQ127" s="505">
        <v>156.94</v>
      </c>
      <c r="AR127" s="533"/>
      <c r="AS127" s="533"/>
      <c r="AT127" s="533"/>
      <c r="AU127" s="533">
        <f t="shared" si="76"/>
        <v>78.47</v>
      </c>
      <c r="AV127" s="533"/>
      <c r="AW127" s="612"/>
      <c r="AX127" s="612"/>
      <c r="AY127" s="612"/>
      <c r="AZ127" s="612"/>
      <c r="BA127" s="612"/>
      <c r="BB127" s="612"/>
      <c r="BC127" s="612"/>
      <c r="BD127" s="612"/>
      <c r="BE127" s="612"/>
      <c r="BF127" s="612"/>
      <c r="BG127" s="612"/>
      <c r="BH127" s="612"/>
      <c r="BI127" s="612"/>
    </row>
    <row r="128" spans="1:61" ht="12" customHeight="1">
      <c r="A128" s="51"/>
      <c r="B128" s="52"/>
      <c r="C128" s="52"/>
      <c r="D128" s="52"/>
      <c r="E128" s="52"/>
      <c r="F128" s="52"/>
      <c r="G128" s="52"/>
      <c r="H128" s="63">
        <v>64239</v>
      </c>
      <c r="I128" s="116"/>
      <c r="J128" s="117"/>
      <c r="K128" s="19" t="s">
        <v>172</v>
      </c>
      <c r="L128" s="129">
        <v>426264</v>
      </c>
      <c r="M128" s="129">
        <f>426264/7.5345</f>
        <v>56574.95520605216</v>
      </c>
      <c r="N128" s="130">
        <v>933819</v>
      </c>
      <c r="O128" s="130">
        <f>N128/7.5345</f>
        <v>123939.08023093767</v>
      </c>
      <c r="P128" s="131">
        <v>31200</v>
      </c>
      <c r="Q128" s="131">
        <v>31200</v>
      </c>
      <c r="R128" s="157">
        <v>31200</v>
      </c>
      <c r="S128" s="158"/>
      <c r="T128" s="158"/>
      <c r="U128" s="89" t="e">
        <f t="shared" ca="1" si="61"/>
        <v>#NAME?</v>
      </c>
      <c r="V128" s="505">
        <v>31000</v>
      </c>
      <c r="W128" s="505">
        <v>31000</v>
      </c>
      <c r="X128" s="534">
        <v>31000</v>
      </c>
      <c r="Y128" s="535">
        <v>32000</v>
      </c>
      <c r="Z128" s="535"/>
      <c r="AA128" s="535"/>
      <c r="AB128" s="535"/>
      <c r="AC128" s="529">
        <v>31200</v>
      </c>
      <c r="AD128" s="529">
        <v>31200</v>
      </c>
      <c r="AE128" s="529">
        <f>O128/M128*100</f>
        <v>219.07057598108213</v>
      </c>
      <c r="AF128" s="529">
        <f>P128/O128*100</f>
        <v>25.173657850182963</v>
      </c>
      <c r="AG128" s="529">
        <f>Q128/P128*100</f>
        <v>100</v>
      </c>
      <c r="AH128" s="529">
        <f>AC128/Q128*100</f>
        <v>100</v>
      </c>
      <c r="AI128" s="535"/>
      <c r="AJ128" s="535">
        <v>32000</v>
      </c>
      <c r="AK128" s="507">
        <f t="shared" si="59"/>
        <v>99.358974358974365</v>
      </c>
      <c r="AL128" s="507">
        <f t="shared" si="60"/>
        <v>100</v>
      </c>
      <c r="AM128" s="507">
        <f>Y128/X128*100</f>
        <v>103.2258064516129</v>
      </c>
      <c r="AN128" s="530" t="e">
        <f ca="1">__xlfn.ISFORMULA(#REF!)</f>
        <v>#NAME?</v>
      </c>
      <c r="AO128" s="531" t="e">
        <f ca="1">__xlfn.ISFORMULA(#REF!)</f>
        <v>#NAME?</v>
      </c>
      <c r="AP128" s="510" t="e">
        <f t="shared" ca="1" si="70"/>
        <v>#NAME?</v>
      </c>
      <c r="AQ128" s="505">
        <v>31033.07</v>
      </c>
      <c r="AR128" s="533">
        <f t="shared" si="81"/>
        <v>99.358974358974365</v>
      </c>
      <c r="AS128" s="533">
        <f t="shared" si="74"/>
        <v>100</v>
      </c>
      <c r="AT128" s="533">
        <f t="shared" si="75"/>
        <v>99.358974358974365</v>
      </c>
      <c r="AU128" s="533">
        <f t="shared" si="76"/>
        <v>100.10667741935484</v>
      </c>
      <c r="AV128" s="533">
        <f t="shared" si="77"/>
        <v>99.464967948717955</v>
      </c>
      <c r="AW128" s="612"/>
      <c r="AX128" s="612"/>
      <c r="AY128" s="612"/>
      <c r="AZ128" s="612"/>
      <c r="BA128" s="612"/>
      <c r="BB128" s="612"/>
      <c r="BC128" s="612"/>
      <c r="BD128" s="612"/>
      <c r="BE128" s="612"/>
      <c r="BF128" s="612"/>
      <c r="BG128" s="612"/>
      <c r="BH128" s="612"/>
      <c r="BI128" s="612"/>
    </row>
    <row r="129" spans="1:61" ht="12" customHeight="1">
      <c r="A129" s="51"/>
      <c r="B129" s="52"/>
      <c r="C129" s="52"/>
      <c r="D129" s="52"/>
      <c r="E129" s="52"/>
      <c r="F129" s="52"/>
      <c r="G129" s="52"/>
      <c r="H129" s="63"/>
      <c r="I129" s="116"/>
      <c r="J129" s="117"/>
      <c r="K129" s="19"/>
      <c r="L129" s="129"/>
      <c r="M129" s="129"/>
      <c r="N129" s="130"/>
      <c r="O129" s="130"/>
      <c r="P129" s="131"/>
      <c r="Q129" s="131"/>
      <c r="R129" s="157"/>
      <c r="S129" s="158"/>
      <c r="T129" s="158"/>
      <c r="U129" s="89" t="e">
        <f t="shared" ca="1" si="61"/>
        <v>#NAME?</v>
      </c>
      <c r="V129" s="505"/>
      <c r="W129" s="505"/>
      <c r="X129" s="534"/>
      <c r="Y129" s="535"/>
      <c r="Z129" s="535"/>
      <c r="AA129" s="535"/>
      <c r="AB129" s="535"/>
      <c r="AC129" s="529"/>
      <c r="AD129" s="529"/>
      <c r="AE129" s="529"/>
      <c r="AF129" s="529"/>
      <c r="AG129" s="529"/>
      <c r="AH129" s="529"/>
      <c r="AI129" s="535"/>
      <c r="AJ129" s="535"/>
      <c r="AK129" s="507"/>
      <c r="AL129" s="507"/>
      <c r="AM129" s="507"/>
      <c r="AN129" s="530" t="e">
        <f ca="1">__xlfn.ISFORMULA(#REF!)</f>
        <v>#NAME?</v>
      </c>
      <c r="AO129" s="531" t="e">
        <f ca="1">__xlfn.ISFORMULA(#REF!)</f>
        <v>#NAME?</v>
      </c>
      <c r="AP129" s="510" t="e">
        <f t="shared" ca="1" si="70"/>
        <v>#NAME?</v>
      </c>
      <c r="AQ129" s="505"/>
      <c r="AR129" s="533"/>
      <c r="AS129" s="533"/>
      <c r="AT129" s="533"/>
      <c r="AU129" s="533"/>
      <c r="AV129" s="533"/>
      <c r="AW129" s="612"/>
      <c r="AX129" s="612"/>
      <c r="AY129" s="612"/>
      <c r="AZ129" s="612">
        <f>AQ129</f>
        <v>0</v>
      </c>
      <c r="BA129" s="612"/>
      <c r="BB129" s="612"/>
      <c r="BC129" s="612"/>
      <c r="BD129" s="612"/>
      <c r="BE129" s="612"/>
      <c r="BF129" s="612"/>
      <c r="BG129" s="612"/>
      <c r="BH129" s="612"/>
      <c r="BI129" s="612"/>
    </row>
    <row r="130" spans="1:61" ht="12" customHeight="1">
      <c r="A130" s="46"/>
      <c r="B130" s="41"/>
      <c r="C130" s="41"/>
      <c r="D130" s="41"/>
      <c r="E130" s="41"/>
      <c r="F130" s="41"/>
      <c r="G130" s="41"/>
      <c r="H130" s="37"/>
      <c r="I130" s="72"/>
      <c r="J130" s="90"/>
      <c r="K130" s="83"/>
      <c r="L130" s="84">
        <v>1</v>
      </c>
      <c r="M130" s="84">
        <v>2</v>
      </c>
      <c r="N130" s="85">
        <v>3</v>
      </c>
      <c r="O130" s="85">
        <v>4</v>
      </c>
      <c r="P130" s="86">
        <v>5</v>
      </c>
      <c r="Q130" s="86">
        <v>6</v>
      </c>
      <c r="R130" s="161">
        <v>4</v>
      </c>
      <c r="S130" s="155"/>
      <c r="T130" s="155"/>
      <c r="U130" s="89" t="e">
        <f t="shared" ca="1" si="61"/>
        <v>#NAME?</v>
      </c>
      <c r="V130" s="505"/>
      <c r="W130" s="505"/>
      <c r="X130" s="536"/>
      <c r="Y130" s="537"/>
      <c r="Z130" s="537"/>
      <c r="AA130" s="537"/>
      <c r="AB130" s="537"/>
      <c r="AC130" s="538">
        <v>7</v>
      </c>
      <c r="AD130" s="538">
        <v>8</v>
      </c>
      <c r="AE130" s="538">
        <v>9</v>
      </c>
      <c r="AF130" s="538">
        <v>10</v>
      </c>
      <c r="AG130" s="538">
        <v>11</v>
      </c>
      <c r="AH130" s="538">
        <v>12</v>
      </c>
      <c r="AI130" s="537"/>
      <c r="AJ130" s="537"/>
      <c r="AK130" s="507">
        <f t="shared" si="59"/>
        <v>0</v>
      </c>
      <c r="AL130" s="507"/>
      <c r="AM130" s="507"/>
      <c r="AN130" s="530" t="e">
        <f ca="1">__xlfn.ISFORMULA(#REF!)</f>
        <v>#NAME?</v>
      </c>
      <c r="AO130" s="531" t="e">
        <f ca="1">__xlfn.ISFORMULA(#REF!)</f>
        <v>#NAME?</v>
      </c>
      <c r="AP130" s="510" t="e">
        <f t="shared" ca="1" si="70"/>
        <v>#NAME?</v>
      </c>
      <c r="AQ130" s="505"/>
      <c r="AR130" s="533">
        <f t="shared" si="81"/>
        <v>0</v>
      </c>
      <c r="AS130" s="533" t="e">
        <f t="shared" si="74"/>
        <v>#DIV/0!</v>
      </c>
      <c r="AT130" s="533">
        <f t="shared" si="75"/>
        <v>0</v>
      </c>
      <c r="AU130" s="533"/>
      <c r="AV130" s="533">
        <f t="shared" si="77"/>
        <v>0</v>
      </c>
      <c r="AW130" s="612"/>
      <c r="AX130" s="612"/>
      <c r="AY130" s="612"/>
      <c r="AZ130" s="612">
        <f>AQ130</f>
        <v>0</v>
      </c>
      <c r="BA130" s="612"/>
      <c r="BB130" s="612"/>
      <c r="BC130" s="612"/>
      <c r="BD130" s="612"/>
      <c r="BE130" s="612"/>
      <c r="BF130" s="612"/>
      <c r="BG130" s="612"/>
      <c r="BH130" s="612"/>
      <c r="BI130" s="612"/>
    </row>
    <row r="131" spans="1:61" ht="12" customHeight="1">
      <c r="A131" s="51"/>
      <c r="B131" s="52"/>
      <c r="C131" s="52"/>
      <c r="D131" s="52"/>
      <c r="E131" s="52"/>
      <c r="F131" s="52"/>
      <c r="G131" s="52"/>
      <c r="H131" s="63">
        <v>6429</v>
      </c>
      <c r="I131" s="116"/>
      <c r="J131" s="117"/>
      <c r="K131" s="19" t="s">
        <v>173</v>
      </c>
      <c r="L131" s="111">
        <f t="shared" ref="L131:Q131" si="83">L132</f>
        <v>70289</v>
      </c>
      <c r="M131" s="111">
        <f t="shared" si="83"/>
        <v>9328.9534806556494</v>
      </c>
      <c r="N131" s="112">
        <f t="shared" si="83"/>
        <v>31706</v>
      </c>
      <c r="O131" s="112">
        <f t="shared" si="83"/>
        <v>4208.1093635941334</v>
      </c>
      <c r="P131" s="113">
        <f t="shared" si="83"/>
        <v>6600</v>
      </c>
      <c r="Q131" s="113">
        <f t="shared" si="83"/>
        <v>6600</v>
      </c>
      <c r="R131" s="160">
        <v>6600</v>
      </c>
      <c r="S131" s="89"/>
      <c r="T131" s="89"/>
      <c r="U131" s="89" t="e">
        <f t="shared" ca="1" si="61"/>
        <v>#NAME?</v>
      </c>
      <c r="V131" s="505">
        <f>V132</f>
        <v>2000</v>
      </c>
      <c r="W131" s="505">
        <f>W132</f>
        <v>2000</v>
      </c>
      <c r="X131" s="506">
        <f>X132</f>
        <v>0</v>
      </c>
      <c r="Y131" s="507">
        <f>Y132</f>
        <v>0</v>
      </c>
      <c r="Z131" s="507"/>
      <c r="AA131" s="507"/>
      <c r="AB131" s="507"/>
      <c r="AC131" s="508">
        <f>AC132</f>
        <v>3000</v>
      </c>
      <c r="AD131" s="508">
        <f>AD132</f>
        <v>3000</v>
      </c>
      <c r="AE131" s="529">
        <f>O131/M131*100</f>
        <v>45.108053891789609</v>
      </c>
      <c r="AF131" s="529">
        <f>P131/O131*100</f>
        <v>156.84003027818079</v>
      </c>
      <c r="AG131" s="529">
        <f>Q131/P131*100</f>
        <v>100</v>
      </c>
      <c r="AH131" s="529">
        <f>AC131/Q131*100</f>
        <v>45.454545454545453</v>
      </c>
      <c r="AI131" s="507"/>
      <c r="AJ131" s="507">
        <v>0</v>
      </c>
      <c r="AK131" s="507">
        <f t="shared" si="59"/>
        <v>30.303030303030305</v>
      </c>
      <c r="AL131" s="507">
        <f t="shared" si="60"/>
        <v>0</v>
      </c>
      <c r="AM131" s="507"/>
      <c r="AN131" s="530" t="e">
        <f ca="1">__xlfn.ISFORMULA(#REF!)</f>
        <v>#NAME?</v>
      </c>
      <c r="AO131" s="531" t="e">
        <f ca="1">__xlfn.ISFORMULA(#REF!)</f>
        <v>#NAME?</v>
      </c>
      <c r="AP131" s="510" t="e">
        <f t="shared" ca="1" si="70"/>
        <v>#NAME?</v>
      </c>
      <c r="AQ131" s="505">
        <f>AQ132</f>
        <v>1685.86</v>
      </c>
      <c r="AR131" s="533">
        <f t="shared" si="81"/>
        <v>30.303030303030305</v>
      </c>
      <c r="AS131" s="533">
        <f t="shared" si="74"/>
        <v>100</v>
      </c>
      <c r="AT131" s="533">
        <f t="shared" si="75"/>
        <v>30.303030303030305</v>
      </c>
      <c r="AU131" s="533">
        <f t="shared" si="76"/>
        <v>84.292999999999992</v>
      </c>
      <c r="AV131" s="533">
        <f t="shared" si="77"/>
        <v>25.543333333333333</v>
      </c>
      <c r="AW131" s="612"/>
      <c r="AX131" s="612"/>
      <c r="AY131" s="612"/>
      <c r="AZ131" s="612">
        <f>AQ131</f>
        <v>1685.86</v>
      </c>
      <c r="BA131" s="612"/>
      <c r="BB131" s="612"/>
      <c r="BC131" s="612"/>
      <c r="BD131" s="612"/>
      <c r="BE131" s="612"/>
      <c r="BF131" s="612"/>
      <c r="BG131" s="612"/>
      <c r="BH131" s="612"/>
      <c r="BI131" s="612"/>
    </row>
    <row r="132" spans="1:61" ht="12" customHeight="1">
      <c r="A132" s="51"/>
      <c r="B132" s="52"/>
      <c r="C132" s="52"/>
      <c r="D132" s="52"/>
      <c r="E132" s="52"/>
      <c r="F132" s="52"/>
      <c r="G132" s="52"/>
      <c r="H132" s="63">
        <v>64299</v>
      </c>
      <c r="I132" s="116"/>
      <c r="J132" s="117"/>
      <c r="K132" s="19" t="s">
        <v>174</v>
      </c>
      <c r="L132" s="129">
        <v>70289</v>
      </c>
      <c r="M132" s="129">
        <f>70289/7.5345</f>
        <v>9328.9534806556494</v>
      </c>
      <c r="N132" s="130">
        <v>31706</v>
      </c>
      <c r="O132" s="130">
        <f>N132/7.5345</f>
        <v>4208.1093635941334</v>
      </c>
      <c r="P132" s="131">
        <v>6600</v>
      </c>
      <c r="Q132" s="131">
        <v>6600</v>
      </c>
      <c r="R132" s="157">
        <v>6600</v>
      </c>
      <c r="S132" s="158"/>
      <c r="T132" s="158"/>
      <c r="U132" s="89" t="e">
        <f t="shared" ca="1" si="61"/>
        <v>#NAME?</v>
      </c>
      <c r="V132" s="505">
        <v>2000</v>
      </c>
      <c r="W132" s="505">
        <v>2000</v>
      </c>
      <c r="X132" s="534"/>
      <c r="Y132" s="535"/>
      <c r="Z132" s="535"/>
      <c r="AA132" s="535"/>
      <c r="AB132" s="535"/>
      <c r="AC132" s="529">
        <v>3000</v>
      </c>
      <c r="AD132" s="529">
        <v>3000</v>
      </c>
      <c r="AE132" s="529">
        <f>O132/M132*100</f>
        <v>45.108053891789609</v>
      </c>
      <c r="AF132" s="529">
        <f>P132/O132*100</f>
        <v>156.84003027818079</v>
      </c>
      <c r="AG132" s="529">
        <f>Q132/P132*100</f>
        <v>100</v>
      </c>
      <c r="AH132" s="529">
        <f>AC132/Q132*100</f>
        <v>45.454545454545453</v>
      </c>
      <c r="AI132" s="535"/>
      <c r="AJ132" s="535"/>
      <c r="AK132" s="507">
        <f t="shared" si="59"/>
        <v>30.303030303030305</v>
      </c>
      <c r="AL132" s="507">
        <f t="shared" si="60"/>
        <v>0</v>
      </c>
      <c r="AM132" s="507"/>
      <c r="AN132" s="530" t="e">
        <f ca="1">__xlfn.ISFORMULA(#REF!)</f>
        <v>#NAME?</v>
      </c>
      <c r="AO132" s="531" t="e">
        <f ca="1">__xlfn.ISFORMULA(#REF!)</f>
        <v>#NAME?</v>
      </c>
      <c r="AP132" s="510" t="e">
        <f t="shared" ca="1" si="70"/>
        <v>#NAME?</v>
      </c>
      <c r="AQ132" s="505">
        <v>1685.86</v>
      </c>
      <c r="AR132" s="533">
        <f t="shared" si="81"/>
        <v>30.303030303030305</v>
      </c>
      <c r="AS132" s="533">
        <f t="shared" si="74"/>
        <v>100</v>
      </c>
      <c r="AT132" s="533">
        <f t="shared" si="75"/>
        <v>30.303030303030305</v>
      </c>
      <c r="AU132" s="533">
        <f t="shared" si="76"/>
        <v>84.292999999999992</v>
      </c>
      <c r="AV132" s="533">
        <f t="shared" si="77"/>
        <v>25.543333333333333</v>
      </c>
      <c r="AW132" s="612"/>
      <c r="AX132" s="612"/>
      <c r="AY132" s="612"/>
      <c r="AZ132" s="612"/>
      <c r="BA132" s="612"/>
      <c r="BB132" s="612"/>
      <c r="BC132" s="612"/>
      <c r="BD132" s="612"/>
      <c r="BE132" s="612"/>
      <c r="BF132" s="612"/>
      <c r="BG132" s="612"/>
      <c r="BH132" s="612"/>
      <c r="BI132" s="612"/>
    </row>
    <row r="133" spans="1:61" ht="12" customHeight="1">
      <c r="A133" s="46"/>
      <c r="B133" s="41"/>
      <c r="C133" s="41"/>
      <c r="D133" s="41"/>
      <c r="E133" s="41"/>
      <c r="F133" s="41"/>
      <c r="G133" s="41"/>
      <c r="H133" s="37"/>
      <c r="I133" s="72"/>
      <c r="J133" s="90"/>
      <c r="K133" s="83"/>
      <c r="L133" s="84"/>
      <c r="M133" s="84"/>
      <c r="N133" s="85"/>
      <c r="O133" s="85"/>
      <c r="P133" s="86"/>
      <c r="Q133" s="86"/>
      <c r="R133" s="161"/>
      <c r="S133" s="155"/>
      <c r="T133" s="155"/>
      <c r="U133" s="89" t="e">
        <f t="shared" ca="1" si="61"/>
        <v>#NAME?</v>
      </c>
      <c r="V133" s="505"/>
      <c r="W133" s="505"/>
      <c r="X133" s="536"/>
      <c r="Y133" s="537"/>
      <c r="Z133" s="537"/>
      <c r="AA133" s="537"/>
      <c r="AB133" s="537"/>
      <c r="AC133" s="538"/>
      <c r="AD133" s="538"/>
      <c r="AE133" s="529"/>
      <c r="AF133" s="529"/>
      <c r="AG133" s="529"/>
      <c r="AH133" s="529"/>
      <c r="AI133" s="537"/>
      <c r="AJ133" s="537"/>
      <c r="AK133" s="507"/>
      <c r="AL133" s="507"/>
      <c r="AM133" s="507"/>
      <c r="AN133" s="530" t="e">
        <f ca="1">__xlfn.ISFORMULA(#REF!)</f>
        <v>#NAME?</v>
      </c>
      <c r="AO133" s="531" t="e">
        <f ca="1">__xlfn.ISFORMULA(#REF!)</f>
        <v>#NAME?</v>
      </c>
      <c r="AP133" s="510" t="e">
        <f t="shared" ca="1" si="70"/>
        <v>#NAME?</v>
      </c>
      <c r="AQ133" s="505"/>
      <c r="AR133" s="533"/>
      <c r="AS133" s="533"/>
      <c r="AT133" s="533"/>
      <c r="AU133" s="533"/>
      <c r="AV133" s="533"/>
      <c r="AW133" s="612"/>
      <c r="AX133" s="612"/>
      <c r="AY133" s="612"/>
      <c r="AZ133" s="612"/>
      <c r="BA133" s="612"/>
      <c r="BB133" s="612"/>
      <c r="BC133" s="612"/>
      <c r="BD133" s="612"/>
      <c r="BE133" s="612"/>
      <c r="BF133" s="612"/>
      <c r="BG133" s="612"/>
      <c r="BH133" s="612"/>
      <c r="BI133" s="612"/>
    </row>
    <row r="134" spans="1:61" ht="12" customHeight="1">
      <c r="A134" s="57"/>
      <c r="B134" s="58"/>
      <c r="C134" s="58"/>
      <c r="D134" s="58"/>
      <c r="E134" s="58"/>
      <c r="F134" s="58"/>
      <c r="G134" s="58"/>
      <c r="H134" s="59">
        <v>65</v>
      </c>
      <c r="I134" s="124"/>
      <c r="J134" s="125"/>
      <c r="K134" s="126" t="s">
        <v>175</v>
      </c>
      <c r="L134" s="111">
        <f t="shared" ref="L134:Q134" si="84">L136+L145+L153</f>
        <v>6212249</v>
      </c>
      <c r="M134" s="111">
        <f t="shared" si="84"/>
        <v>824507.26206118509</v>
      </c>
      <c r="N134" s="112">
        <f t="shared" si="84"/>
        <v>6564620</v>
      </c>
      <c r="O134" s="112">
        <f t="shared" si="84"/>
        <v>871274.80257482245</v>
      </c>
      <c r="P134" s="113">
        <f t="shared" si="84"/>
        <v>1250800</v>
      </c>
      <c r="Q134" s="113">
        <f t="shared" si="84"/>
        <v>869000</v>
      </c>
      <c r="R134" s="160">
        <v>869000</v>
      </c>
      <c r="S134" s="89"/>
      <c r="T134" s="89"/>
      <c r="U134" s="89" t="e">
        <f t="shared" ca="1" si="61"/>
        <v>#NAME?</v>
      </c>
      <c r="V134" s="505">
        <f>V136+V145+V153</f>
        <v>1073100</v>
      </c>
      <c r="W134" s="505">
        <f>W136+W145+W153</f>
        <v>1073100</v>
      </c>
      <c r="X134" s="506">
        <f>X136+X145+X153</f>
        <v>1350000</v>
      </c>
      <c r="Y134" s="507">
        <f>Y136+Y145+Y153</f>
        <v>1210000</v>
      </c>
      <c r="Z134" s="507"/>
      <c r="AA134" s="507"/>
      <c r="AB134" s="507"/>
      <c r="AC134" s="508">
        <f>AC136+AC145+AC153</f>
        <v>1255300</v>
      </c>
      <c r="AD134" s="508">
        <f>AD136+AD145+AD153</f>
        <v>1255300</v>
      </c>
      <c r="AE134" s="529">
        <f>O134/M134*100</f>
        <v>105.67218054535059</v>
      </c>
      <c r="AF134" s="529">
        <f>P134/O134*100</f>
        <v>143.55975821905915</v>
      </c>
      <c r="AG134" s="529">
        <f>Q134/P134*100</f>
        <v>69.475535657179407</v>
      </c>
      <c r="AH134" s="529">
        <f>AC134/Q134*100</f>
        <v>144.45339470655927</v>
      </c>
      <c r="AI134" s="507"/>
      <c r="AJ134" s="507">
        <v>1210000</v>
      </c>
      <c r="AK134" s="507">
        <f t="shared" si="59"/>
        <v>123.48676639815881</v>
      </c>
      <c r="AL134" s="507">
        <f t="shared" si="60"/>
        <v>125.80374615599665</v>
      </c>
      <c r="AM134" s="507">
        <f>Y134/X134*100</f>
        <v>89.629629629629619</v>
      </c>
      <c r="AN134" s="530" t="e">
        <f ca="1">__xlfn.ISFORMULA(#REF!)</f>
        <v>#NAME?</v>
      </c>
      <c r="AO134" s="531" t="e">
        <f ca="1">__xlfn.ISFORMULA(#REF!)</f>
        <v>#NAME?</v>
      </c>
      <c r="AP134" s="510" t="e">
        <f t="shared" ca="1" si="70"/>
        <v>#NAME?</v>
      </c>
      <c r="AQ134" s="505">
        <f>AQ136+AQ145+AQ153</f>
        <v>689452.57000000007</v>
      </c>
      <c r="AR134" s="533">
        <f t="shared" si="81"/>
        <v>123.48676639815881</v>
      </c>
      <c r="AS134" s="533">
        <f t="shared" si="74"/>
        <v>100</v>
      </c>
      <c r="AT134" s="533">
        <f t="shared" si="75"/>
        <v>123.48676639815881</v>
      </c>
      <c r="AU134" s="533">
        <f t="shared" si="76"/>
        <v>64.248678594725575</v>
      </c>
      <c r="AV134" s="533">
        <f t="shared" si="77"/>
        <v>79.338615650172613</v>
      </c>
      <c r="AW134" s="612"/>
      <c r="AX134" s="612"/>
      <c r="AY134" s="612"/>
      <c r="AZ134" s="612"/>
      <c r="BA134" s="612"/>
      <c r="BB134" s="612"/>
      <c r="BC134" s="612"/>
      <c r="BD134" s="612"/>
      <c r="BE134" s="612"/>
      <c r="BF134" s="612"/>
      <c r="BG134" s="612"/>
      <c r="BH134" s="612"/>
      <c r="BI134" s="612"/>
    </row>
    <row r="135" spans="1:61" ht="12" customHeight="1">
      <c r="A135" s="67"/>
      <c r="B135" s="68"/>
      <c r="C135" s="68"/>
      <c r="D135" s="68"/>
      <c r="E135" s="68"/>
      <c r="F135" s="68"/>
      <c r="G135" s="68"/>
      <c r="H135" s="169"/>
      <c r="I135" s="140"/>
      <c r="J135" s="141"/>
      <c r="K135" s="8"/>
      <c r="L135" s="175"/>
      <c r="M135" s="175"/>
      <c r="N135" s="176"/>
      <c r="O135" s="176"/>
      <c r="P135" s="177"/>
      <c r="Q135" s="177"/>
      <c r="R135" s="179"/>
      <c r="S135" s="180"/>
      <c r="T135" s="180"/>
      <c r="U135" s="89" t="e">
        <f t="shared" ca="1" si="61"/>
        <v>#NAME?</v>
      </c>
      <c r="V135" s="505"/>
      <c r="W135" s="505"/>
      <c r="X135" s="506"/>
      <c r="Y135" s="507"/>
      <c r="Z135" s="507"/>
      <c r="AA135" s="507"/>
      <c r="AB135" s="507"/>
      <c r="AC135" s="508"/>
      <c r="AD135" s="508"/>
      <c r="AE135" s="529"/>
      <c r="AF135" s="529"/>
      <c r="AG135" s="529"/>
      <c r="AH135" s="529"/>
      <c r="AI135" s="507"/>
      <c r="AJ135" s="507"/>
      <c r="AK135" s="507"/>
      <c r="AL135" s="507"/>
      <c r="AM135" s="507"/>
      <c r="AN135" s="530" t="e">
        <f ca="1">__xlfn.ISFORMULA(#REF!)</f>
        <v>#NAME?</v>
      </c>
      <c r="AO135" s="531" t="e">
        <f ca="1">__xlfn.ISFORMULA(#REF!)</f>
        <v>#NAME?</v>
      </c>
      <c r="AP135" s="510" t="e">
        <f t="shared" ca="1" si="70"/>
        <v>#NAME?</v>
      </c>
      <c r="AQ135" s="505"/>
      <c r="AR135" s="533"/>
      <c r="AS135" s="533"/>
      <c r="AT135" s="533"/>
      <c r="AU135" s="533"/>
      <c r="AV135" s="533"/>
      <c r="AW135" s="612"/>
      <c r="AX135" s="612"/>
      <c r="AY135" s="612"/>
      <c r="AZ135" s="612"/>
      <c r="BA135" s="612"/>
      <c r="BB135" s="612"/>
      <c r="BC135" s="612"/>
      <c r="BD135" s="612"/>
      <c r="BE135" s="612"/>
      <c r="BF135" s="612"/>
      <c r="BG135" s="612"/>
      <c r="BH135" s="612"/>
      <c r="BI135" s="612"/>
    </row>
    <row r="136" spans="1:61" ht="12" customHeight="1">
      <c r="A136" s="60"/>
      <c r="B136" s="61"/>
      <c r="C136" s="61"/>
      <c r="D136" s="61">
        <v>4</v>
      </c>
      <c r="E136" s="61"/>
      <c r="F136" s="61"/>
      <c r="G136" s="61"/>
      <c r="H136" s="62">
        <v>651</v>
      </c>
      <c r="I136" s="127"/>
      <c r="J136" s="128"/>
      <c r="K136" s="20" t="s">
        <v>176</v>
      </c>
      <c r="L136" s="111">
        <f t="shared" ref="L136:Q136" si="85">L138+L141</f>
        <v>694053</v>
      </c>
      <c r="M136" s="111">
        <f t="shared" si="85"/>
        <v>92116.791558829384</v>
      </c>
      <c r="N136" s="112">
        <f t="shared" si="85"/>
        <v>868465</v>
      </c>
      <c r="O136" s="112">
        <f t="shared" si="85"/>
        <v>115265.11380980822</v>
      </c>
      <c r="P136" s="113">
        <f t="shared" si="85"/>
        <v>107800</v>
      </c>
      <c r="Q136" s="113">
        <f t="shared" si="85"/>
        <v>113000</v>
      </c>
      <c r="R136" s="160">
        <v>113000</v>
      </c>
      <c r="S136" s="89"/>
      <c r="T136" s="89"/>
      <c r="U136" s="89" t="e">
        <f t="shared" ca="1" si="61"/>
        <v>#NAME?</v>
      </c>
      <c r="V136" s="505">
        <f>V138+V141</f>
        <v>160100</v>
      </c>
      <c r="W136" s="505">
        <f>W138+W141</f>
        <v>160100</v>
      </c>
      <c r="X136" s="506">
        <f>X138+X141</f>
        <v>210000</v>
      </c>
      <c r="Y136" s="507">
        <f>Y138+Y141</f>
        <v>240000</v>
      </c>
      <c r="Z136" s="507"/>
      <c r="AA136" s="507"/>
      <c r="AB136" s="507"/>
      <c r="AC136" s="508">
        <f>AC138+AC141</f>
        <v>108300</v>
      </c>
      <c r="AD136" s="508">
        <f>AD138+AD141</f>
        <v>108300</v>
      </c>
      <c r="AE136" s="529">
        <f>O136/M136*100</f>
        <v>125.12931883455298</v>
      </c>
      <c r="AF136" s="529">
        <f>P136/O136*100</f>
        <v>93.523527142717327</v>
      </c>
      <c r="AG136" s="529">
        <f>Q136/P136*100</f>
        <v>104.82374768089053</v>
      </c>
      <c r="AH136" s="529">
        <f>AC136/Q136*100</f>
        <v>95.840707964601762</v>
      </c>
      <c r="AI136" s="507"/>
      <c r="AJ136" s="507">
        <v>240000</v>
      </c>
      <c r="AK136" s="507">
        <f t="shared" si="59"/>
        <v>141.68141592920352</v>
      </c>
      <c r="AL136" s="507">
        <f t="shared" si="60"/>
        <v>131.16801998750779</v>
      </c>
      <c r="AM136" s="507">
        <f>Y136/X136*100</f>
        <v>114.28571428571428</v>
      </c>
      <c r="AN136" s="530" t="e">
        <f ca="1">__xlfn.ISFORMULA(#REF!)</f>
        <v>#NAME?</v>
      </c>
      <c r="AO136" s="531" t="e">
        <f ca="1">__xlfn.ISFORMULA(#REF!)</f>
        <v>#NAME?</v>
      </c>
      <c r="AP136" s="510" t="e">
        <f t="shared" ca="1" si="70"/>
        <v>#NAME?</v>
      </c>
      <c r="AQ136" s="505">
        <f>AQ138+AQ141</f>
        <v>142871.34</v>
      </c>
      <c r="AR136" s="533">
        <f t="shared" si="81"/>
        <v>141.68141592920352</v>
      </c>
      <c r="AS136" s="533">
        <f t="shared" si="74"/>
        <v>100</v>
      </c>
      <c r="AT136" s="533">
        <f t="shared" si="75"/>
        <v>141.68141592920352</v>
      </c>
      <c r="AU136" s="533">
        <f t="shared" si="76"/>
        <v>89.238813241723918</v>
      </c>
      <c r="AV136" s="533">
        <f t="shared" si="77"/>
        <v>126.43481415929203</v>
      </c>
      <c r="AW136" s="612"/>
      <c r="AX136" s="612"/>
      <c r="AY136" s="612"/>
      <c r="AZ136" s="612"/>
      <c r="BA136" s="612"/>
      <c r="BB136" s="612"/>
      <c r="BC136" s="612"/>
      <c r="BD136" s="612"/>
      <c r="BE136" s="612"/>
      <c r="BF136" s="612"/>
      <c r="BG136" s="612"/>
      <c r="BH136" s="612"/>
      <c r="BI136" s="612"/>
    </row>
    <row r="137" spans="1:61" ht="12" customHeight="1">
      <c r="A137" s="51"/>
      <c r="B137" s="52"/>
      <c r="C137" s="52"/>
      <c r="D137" s="52"/>
      <c r="E137" s="52"/>
      <c r="F137" s="52"/>
      <c r="G137" s="52"/>
      <c r="H137" s="63"/>
      <c r="I137" s="116"/>
      <c r="J137" s="117"/>
      <c r="K137" s="19"/>
      <c r="L137" s="118"/>
      <c r="M137" s="118"/>
      <c r="N137" s="119"/>
      <c r="O137" s="119"/>
      <c r="P137" s="120"/>
      <c r="Q137" s="120"/>
      <c r="R137" s="178"/>
      <c r="S137" s="152"/>
      <c r="T137" s="152"/>
      <c r="U137" s="89" t="e">
        <f t="shared" ca="1" si="61"/>
        <v>#NAME?</v>
      </c>
      <c r="V137" s="505"/>
      <c r="W137" s="505"/>
      <c r="X137" s="534"/>
      <c r="Y137" s="535"/>
      <c r="Z137" s="535"/>
      <c r="AA137" s="535"/>
      <c r="AB137" s="535"/>
      <c r="AC137" s="529"/>
      <c r="AD137" s="529"/>
      <c r="AE137" s="529"/>
      <c r="AF137" s="529"/>
      <c r="AG137" s="529"/>
      <c r="AH137" s="529"/>
      <c r="AI137" s="535"/>
      <c r="AJ137" s="535"/>
      <c r="AK137" s="507"/>
      <c r="AL137" s="507"/>
      <c r="AM137" s="507"/>
      <c r="AN137" s="530" t="e">
        <f ca="1">__xlfn.ISFORMULA(#REF!)</f>
        <v>#NAME?</v>
      </c>
      <c r="AO137" s="531" t="e">
        <f ca="1">__xlfn.ISFORMULA(#REF!)</f>
        <v>#NAME?</v>
      </c>
      <c r="AP137" s="510" t="e">
        <f t="shared" ca="1" si="70"/>
        <v>#NAME?</v>
      </c>
      <c r="AQ137" s="505"/>
      <c r="AR137" s="533"/>
      <c r="AS137" s="533"/>
      <c r="AT137" s="533"/>
      <c r="AU137" s="533"/>
      <c r="AV137" s="533"/>
      <c r="AW137" s="612"/>
      <c r="AX137" s="612"/>
      <c r="AY137" s="612"/>
      <c r="AZ137" s="612"/>
      <c r="BA137" s="612"/>
      <c r="BB137" s="612"/>
      <c r="BC137" s="612"/>
      <c r="BD137" s="612"/>
      <c r="BE137" s="612"/>
      <c r="BF137" s="612"/>
      <c r="BG137" s="612"/>
      <c r="BH137" s="612"/>
      <c r="BI137" s="612"/>
    </row>
    <row r="138" spans="1:61" ht="12" customHeight="1">
      <c r="A138" s="51"/>
      <c r="B138" s="52"/>
      <c r="C138" s="52"/>
      <c r="D138" s="52"/>
      <c r="E138" s="52"/>
      <c r="F138" s="52"/>
      <c r="G138" s="52"/>
      <c r="H138" s="63">
        <v>6511</v>
      </c>
      <c r="I138" s="116"/>
      <c r="J138" s="117"/>
      <c r="K138" s="19" t="s">
        <v>177</v>
      </c>
      <c r="L138" s="111">
        <f t="shared" ref="L138:Q138" si="86">L139+L140</f>
        <v>8297</v>
      </c>
      <c r="M138" s="111">
        <f t="shared" si="86"/>
        <v>1101.3293516490808</v>
      </c>
      <c r="N138" s="112">
        <f t="shared" si="86"/>
        <v>3148</v>
      </c>
      <c r="O138" s="112">
        <f t="shared" si="86"/>
        <v>417.8114008892428</v>
      </c>
      <c r="P138" s="113">
        <f t="shared" si="86"/>
        <v>1300</v>
      </c>
      <c r="Q138" s="113">
        <f t="shared" si="86"/>
        <v>500</v>
      </c>
      <c r="R138" s="160">
        <v>500</v>
      </c>
      <c r="S138" s="89"/>
      <c r="T138" s="89"/>
      <c r="U138" s="89" t="e">
        <f t="shared" ca="1" si="61"/>
        <v>#NAME?</v>
      </c>
      <c r="V138" s="505">
        <f>V139</f>
        <v>100</v>
      </c>
      <c r="W138" s="505">
        <f>W139</f>
        <v>100</v>
      </c>
      <c r="X138" s="506">
        <f>X139</f>
        <v>0</v>
      </c>
      <c r="Y138" s="507">
        <f>Y139</f>
        <v>0</v>
      </c>
      <c r="Z138" s="507"/>
      <c r="AA138" s="507"/>
      <c r="AB138" s="507"/>
      <c r="AC138" s="508">
        <f>AC139+AC140</f>
        <v>1300</v>
      </c>
      <c r="AD138" s="508">
        <f>AD139+AD140</f>
        <v>1300</v>
      </c>
      <c r="AE138" s="529">
        <f t="shared" ref="AE138:AE143" si="87">O138/M138*100</f>
        <v>37.937007695620835</v>
      </c>
      <c r="AF138" s="529">
        <f>P138/O138*100</f>
        <v>311.14517153748415</v>
      </c>
      <c r="AG138" s="529">
        <f>Q138/P138*100</f>
        <v>38.461538461538467</v>
      </c>
      <c r="AH138" s="529">
        <f>AC138/Q138*100</f>
        <v>260</v>
      </c>
      <c r="AI138" s="507"/>
      <c r="AJ138" s="507">
        <v>0</v>
      </c>
      <c r="AK138" s="507">
        <f t="shared" si="59"/>
        <v>20</v>
      </c>
      <c r="AL138" s="507">
        <f t="shared" si="60"/>
        <v>0</v>
      </c>
      <c r="AM138" s="507"/>
      <c r="AN138" s="530" t="e">
        <f ca="1">__xlfn.ISFORMULA(#REF!)</f>
        <v>#NAME?</v>
      </c>
      <c r="AO138" s="531" t="e">
        <f ca="1">__xlfn.ISFORMULA(#REF!)</f>
        <v>#NAME?</v>
      </c>
      <c r="AP138" s="510" t="e">
        <f t="shared" ca="1" si="70"/>
        <v>#NAME?</v>
      </c>
      <c r="AQ138" s="505">
        <f>AQ139</f>
        <v>0</v>
      </c>
      <c r="AR138" s="533">
        <f t="shared" si="81"/>
        <v>20</v>
      </c>
      <c r="AS138" s="533">
        <f t="shared" si="74"/>
        <v>100</v>
      </c>
      <c r="AT138" s="533">
        <f t="shared" si="75"/>
        <v>20</v>
      </c>
      <c r="AU138" s="533">
        <f t="shared" si="76"/>
        <v>0</v>
      </c>
      <c r="AV138" s="533">
        <f t="shared" si="77"/>
        <v>0</v>
      </c>
      <c r="AW138" s="612">
        <f>AQ138</f>
        <v>0</v>
      </c>
      <c r="AX138" s="612"/>
      <c r="AY138" s="612"/>
      <c r="AZ138" s="612"/>
      <c r="BA138" s="612"/>
      <c r="BB138" s="612"/>
      <c r="BC138" s="612"/>
      <c r="BD138" s="612"/>
      <c r="BE138" s="612"/>
      <c r="BF138" s="612"/>
      <c r="BG138" s="612"/>
      <c r="BH138" s="612"/>
      <c r="BI138" s="612"/>
    </row>
    <row r="139" spans="1:61" ht="12" customHeight="1">
      <c r="A139" s="51"/>
      <c r="B139" s="52"/>
      <c r="C139" s="52"/>
      <c r="D139" s="52"/>
      <c r="E139" s="52"/>
      <c r="F139" s="52"/>
      <c r="G139" s="52"/>
      <c r="H139" s="63">
        <v>65111</v>
      </c>
      <c r="I139" s="116"/>
      <c r="J139" s="117"/>
      <c r="K139" s="19" t="s">
        <v>178</v>
      </c>
      <c r="L139" s="129">
        <v>8087</v>
      </c>
      <c r="M139" s="129">
        <f>8087/7.5345</f>
        <v>1073.3293516490808</v>
      </c>
      <c r="N139" s="130">
        <v>3148</v>
      </c>
      <c r="O139" s="130">
        <f>N139/7.5345</f>
        <v>417.8114008892428</v>
      </c>
      <c r="P139" s="131">
        <v>1300</v>
      </c>
      <c r="Q139" s="156">
        <v>500</v>
      </c>
      <c r="R139" s="157">
        <v>500</v>
      </c>
      <c r="S139" s="158"/>
      <c r="T139" s="158"/>
      <c r="U139" s="89" t="e">
        <f t="shared" ca="1" si="61"/>
        <v>#NAME?</v>
      </c>
      <c r="V139" s="505">
        <v>100</v>
      </c>
      <c r="W139" s="505">
        <v>100</v>
      </c>
      <c r="X139" s="534"/>
      <c r="Y139" s="535"/>
      <c r="Z139" s="535"/>
      <c r="AA139" s="535"/>
      <c r="AB139" s="535"/>
      <c r="AC139" s="529">
        <v>1300</v>
      </c>
      <c r="AD139" s="529">
        <v>1300</v>
      </c>
      <c r="AE139" s="529">
        <f t="shared" si="87"/>
        <v>38.92667243724496</v>
      </c>
      <c r="AF139" s="529">
        <f>P139/O139*100</f>
        <v>311.14517153748415</v>
      </c>
      <c r="AG139" s="529">
        <f>Q139/P139*100</f>
        <v>38.461538461538467</v>
      </c>
      <c r="AH139" s="529">
        <f>AC139/Q139*100</f>
        <v>260</v>
      </c>
      <c r="AI139" s="535"/>
      <c r="AJ139" s="535"/>
      <c r="AK139" s="507">
        <f t="shared" si="59"/>
        <v>20</v>
      </c>
      <c r="AL139" s="507">
        <f t="shared" si="60"/>
        <v>0</v>
      </c>
      <c r="AM139" s="507"/>
      <c r="AN139" s="530" t="e">
        <f ca="1">__xlfn.ISFORMULA(#REF!)</f>
        <v>#NAME?</v>
      </c>
      <c r="AO139" s="531" t="e">
        <f ca="1">__xlfn.ISFORMULA(#REF!)</f>
        <v>#NAME?</v>
      </c>
      <c r="AP139" s="510" t="e">
        <f t="shared" ca="1" si="70"/>
        <v>#NAME?</v>
      </c>
      <c r="AQ139" s="505"/>
      <c r="AR139" s="533">
        <f t="shared" si="81"/>
        <v>20</v>
      </c>
      <c r="AS139" s="533">
        <f t="shared" si="74"/>
        <v>100</v>
      </c>
      <c r="AT139" s="533">
        <f t="shared" si="75"/>
        <v>20</v>
      </c>
      <c r="AU139" s="533">
        <f t="shared" si="76"/>
        <v>0</v>
      </c>
      <c r="AV139" s="533">
        <f t="shared" si="77"/>
        <v>0</v>
      </c>
      <c r="AW139" s="612">
        <f>AQ139</f>
        <v>0</v>
      </c>
      <c r="AX139" s="612"/>
      <c r="AY139" s="612"/>
      <c r="AZ139" s="612"/>
      <c r="BA139" s="612"/>
      <c r="BB139" s="612"/>
      <c r="BC139" s="612"/>
      <c r="BD139" s="612"/>
      <c r="BE139" s="612"/>
      <c r="BF139" s="612"/>
      <c r="BG139" s="612"/>
      <c r="BH139" s="612"/>
      <c r="BI139" s="612"/>
    </row>
    <row r="140" spans="1:61" ht="12" customHeight="1">
      <c r="A140" s="46"/>
      <c r="B140" s="41"/>
      <c r="C140" s="41"/>
      <c r="D140" s="41"/>
      <c r="E140" s="41"/>
      <c r="F140" s="41"/>
      <c r="G140" s="41"/>
      <c r="H140" s="63">
        <v>65123</v>
      </c>
      <c r="I140" s="72"/>
      <c r="J140" s="90"/>
      <c r="K140" s="183" t="s">
        <v>179</v>
      </c>
      <c r="L140" s="154">
        <v>210</v>
      </c>
      <c r="M140" s="154">
        <v>28</v>
      </c>
      <c r="N140" s="85"/>
      <c r="O140" s="85"/>
      <c r="P140" s="86"/>
      <c r="Q140" s="86"/>
      <c r="R140" s="161"/>
      <c r="S140" s="155"/>
      <c r="T140" s="155"/>
      <c r="U140" s="89" t="e">
        <f t="shared" ca="1" si="61"/>
        <v>#NAME?</v>
      </c>
      <c r="V140" s="505"/>
      <c r="W140" s="505"/>
      <c r="X140" s="536"/>
      <c r="Y140" s="537"/>
      <c r="Z140" s="537"/>
      <c r="AA140" s="537"/>
      <c r="AB140" s="537"/>
      <c r="AC140" s="538"/>
      <c r="AD140" s="538"/>
      <c r="AE140" s="529">
        <f t="shared" si="87"/>
        <v>0</v>
      </c>
      <c r="AF140" s="529"/>
      <c r="AG140" s="529"/>
      <c r="AH140" s="529"/>
      <c r="AI140" s="537"/>
      <c r="AJ140" s="537"/>
      <c r="AK140" s="507"/>
      <c r="AL140" s="507"/>
      <c r="AM140" s="507"/>
      <c r="AN140" s="530" t="e">
        <f ca="1">__xlfn.ISFORMULA(#REF!)</f>
        <v>#NAME?</v>
      </c>
      <c r="AO140" s="531" t="e">
        <f ca="1">__xlfn.ISFORMULA(#REF!)</f>
        <v>#NAME?</v>
      </c>
      <c r="AP140" s="510" t="e">
        <f t="shared" ca="1" si="70"/>
        <v>#NAME?</v>
      </c>
      <c r="AQ140" s="505"/>
      <c r="AR140" s="533"/>
      <c r="AS140" s="533"/>
      <c r="AT140" s="533"/>
      <c r="AU140" s="533"/>
      <c r="AV140" s="533"/>
      <c r="AW140" s="612">
        <f>AQ140</f>
        <v>0</v>
      </c>
      <c r="AX140" s="612"/>
      <c r="AY140" s="612"/>
      <c r="AZ140" s="612"/>
      <c r="BA140" s="612"/>
      <c r="BB140" s="612"/>
      <c r="BC140" s="612"/>
      <c r="BD140" s="612"/>
      <c r="BE140" s="612"/>
      <c r="BF140" s="612"/>
      <c r="BG140" s="612"/>
      <c r="BH140" s="612"/>
      <c r="BI140" s="612"/>
    </row>
    <row r="141" spans="1:61" ht="12" customHeight="1">
      <c r="A141" s="51"/>
      <c r="B141" s="52"/>
      <c r="C141" s="52"/>
      <c r="D141" s="52"/>
      <c r="E141" s="52"/>
      <c r="F141" s="52"/>
      <c r="G141" s="52"/>
      <c r="H141" s="63">
        <v>6514</v>
      </c>
      <c r="I141" s="116"/>
      <c r="J141" s="117"/>
      <c r="K141" s="19" t="s">
        <v>180</v>
      </c>
      <c r="L141" s="111">
        <f t="shared" ref="L141:Q141" si="88">L142+L143</f>
        <v>685756</v>
      </c>
      <c r="M141" s="111">
        <f t="shared" si="88"/>
        <v>91015.462207180302</v>
      </c>
      <c r="N141" s="112">
        <f t="shared" si="88"/>
        <v>865317</v>
      </c>
      <c r="O141" s="112">
        <f t="shared" si="88"/>
        <v>114847.30240891897</v>
      </c>
      <c r="P141" s="113">
        <f t="shared" si="88"/>
        <v>106500</v>
      </c>
      <c r="Q141" s="113">
        <f t="shared" si="88"/>
        <v>112500</v>
      </c>
      <c r="R141" s="160">
        <v>112500</v>
      </c>
      <c r="S141" s="89"/>
      <c r="T141" s="89"/>
      <c r="U141" s="89" t="e">
        <f t="shared" ca="1" si="61"/>
        <v>#NAME?</v>
      </c>
      <c r="V141" s="505">
        <f>SUM(V142:V144)</f>
        <v>160000</v>
      </c>
      <c r="W141" s="505">
        <f>SUM(W142:W144)</f>
        <v>160000</v>
      </c>
      <c r="X141" s="506">
        <f>SUM(X142:X144)</f>
        <v>210000</v>
      </c>
      <c r="Y141" s="507">
        <f>SUM(Y142:Y144)</f>
        <v>240000</v>
      </c>
      <c r="Z141" s="507"/>
      <c r="AA141" s="507"/>
      <c r="AB141" s="507"/>
      <c r="AC141" s="508">
        <f>AC142+AC143</f>
        <v>107000</v>
      </c>
      <c r="AD141" s="508">
        <f>AD142+AD143</f>
        <v>107000</v>
      </c>
      <c r="AE141" s="529">
        <f t="shared" si="87"/>
        <v>126.18438628316777</v>
      </c>
      <c r="AF141" s="529">
        <f t="shared" ref="AF141:AG143" si="89">P141/O141*100</f>
        <v>92.731825446628235</v>
      </c>
      <c r="AG141" s="529">
        <f t="shared" si="89"/>
        <v>105.63380281690141</v>
      </c>
      <c r="AH141" s="529">
        <f>AC141/Q141*100</f>
        <v>95.111111111111114</v>
      </c>
      <c r="AI141" s="507"/>
      <c r="AJ141" s="507">
        <v>240000</v>
      </c>
      <c r="AK141" s="507">
        <f t="shared" si="59"/>
        <v>142.22222222222223</v>
      </c>
      <c r="AL141" s="507">
        <f t="shared" si="60"/>
        <v>131.25</v>
      </c>
      <c r="AM141" s="507">
        <f>Y141/X141*100</f>
        <v>114.28571428571428</v>
      </c>
      <c r="AN141" s="530" t="e">
        <f ca="1">__xlfn.ISFORMULA(#REF!)</f>
        <v>#NAME?</v>
      </c>
      <c r="AO141" s="531" t="e">
        <f ca="1">__xlfn.ISFORMULA(#REF!)</f>
        <v>#NAME?</v>
      </c>
      <c r="AP141" s="510" t="e">
        <f t="shared" ca="1" si="70"/>
        <v>#NAME?</v>
      </c>
      <c r="AQ141" s="505">
        <f>SUM(AQ142:AQ144)</f>
        <v>142871.34</v>
      </c>
      <c r="AR141" s="533">
        <f t="shared" si="81"/>
        <v>142.22222222222223</v>
      </c>
      <c r="AS141" s="533">
        <f t="shared" si="74"/>
        <v>100</v>
      </c>
      <c r="AT141" s="533">
        <f t="shared" si="75"/>
        <v>142.22222222222223</v>
      </c>
      <c r="AU141" s="533">
        <f t="shared" si="76"/>
        <v>89.294587500000006</v>
      </c>
      <c r="AV141" s="533">
        <f t="shared" si="77"/>
        <v>126.99674666666667</v>
      </c>
      <c r="AW141" s="612"/>
      <c r="AX141" s="612"/>
      <c r="AY141" s="612"/>
      <c r="AZ141" s="612"/>
      <c r="BA141" s="612"/>
      <c r="BB141" s="612"/>
      <c r="BC141" s="612"/>
      <c r="BD141" s="612"/>
      <c r="BE141" s="612"/>
      <c r="BF141" s="612"/>
      <c r="BG141" s="612"/>
      <c r="BH141" s="612"/>
      <c r="BI141" s="612"/>
    </row>
    <row r="142" spans="1:61" ht="12" customHeight="1">
      <c r="A142" s="51"/>
      <c r="B142" s="52"/>
      <c r="C142" s="52"/>
      <c r="D142" s="52"/>
      <c r="E142" s="52"/>
      <c r="F142" s="52"/>
      <c r="G142" s="52"/>
      <c r="H142" s="63">
        <v>65141</v>
      </c>
      <c r="I142" s="116"/>
      <c r="J142" s="117"/>
      <c r="K142" s="19" t="s">
        <v>181</v>
      </c>
      <c r="L142" s="129">
        <v>504528</v>
      </c>
      <c r="M142" s="129">
        <f>504528/7.5345</f>
        <v>66962.373083814455</v>
      </c>
      <c r="N142" s="130">
        <v>676946</v>
      </c>
      <c r="O142" s="130">
        <f>N142/7.5345</f>
        <v>89846.174265047448</v>
      </c>
      <c r="P142" s="131">
        <v>80000</v>
      </c>
      <c r="Q142" s="131">
        <v>80000</v>
      </c>
      <c r="R142" s="157">
        <v>80000</v>
      </c>
      <c r="S142" s="158"/>
      <c r="T142" s="158"/>
      <c r="U142" s="89" t="e">
        <f t="shared" ca="1" si="61"/>
        <v>#NAME?</v>
      </c>
      <c r="V142" s="505">
        <v>110000</v>
      </c>
      <c r="W142" s="505">
        <v>110000</v>
      </c>
      <c r="X142" s="534">
        <v>140000</v>
      </c>
      <c r="Y142" s="535">
        <v>150000</v>
      </c>
      <c r="Z142" s="535"/>
      <c r="AA142" s="535"/>
      <c r="AB142" s="535"/>
      <c r="AC142" s="529">
        <v>80000</v>
      </c>
      <c r="AD142" s="529">
        <v>80000</v>
      </c>
      <c r="AE142" s="529">
        <f t="shared" si="87"/>
        <v>134.17411917673547</v>
      </c>
      <c r="AF142" s="529">
        <f t="shared" si="89"/>
        <v>89.041075654483521</v>
      </c>
      <c r="AG142" s="529">
        <f t="shared" si="89"/>
        <v>100</v>
      </c>
      <c r="AH142" s="529">
        <f>AC142/Q142*100</f>
        <v>100</v>
      </c>
      <c r="AI142" s="535"/>
      <c r="AJ142" s="535">
        <v>150000</v>
      </c>
      <c r="AK142" s="507">
        <f t="shared" si="59"/>
        <v>137.5</v>
      </c>
      <c r="AL142" s="507">
        <f t="shared" si="60"/>
        <v>127.27272727272727</v>
      </c>
      <c r="AM142" s="507">
        <f>Y142/X142*100</f>
        <v>107.14285714285714</v>
      </c>
      <c r="AN142" s="530" t="e">
        <f ca="1">__xlfn.ISFORMULA(#REF!)</f>
        <v>#NAME?</v>
      </c>
      <c r="AO142" s="531" t="e">
        <f ca="1">__xlfn.ISFORMULA(#REF!)</f>
        <v>#NAME?</v>
      </c>
      <c r="AP142" s="510" t="e">
        <f t="shared" ca="1" si="70"/>
        <v>#NAME?</v>
      </c>
      <c r="AQ142" s="505">
        <v>98053.65</v>
      </c>
      <c r="AR142" s="533">
        <f t="shared" si="81"/>
        <v>137.5</v>
      </c>
      <c r="AS142" s="533">
        <f t="shared" si="74"/>
        <v>100</v>
      </c>
      <c r="AT142" s="533">
        <f t="shared" si="75"/>
        <v>137.5</v>
      </c>
      <c r="AU142" s="533">
        <f t="shared" si="76"/>
        <v>89.139681818181813</v>
      </c>
      <c r="AV142" s="533">
        <f t="shared" si="77"/>
        <v>122.56706250000001</v>
      </c>
      <c r="AW142" s="612"/>
      <c r="AX142" s="612"/>
      <c r="AY142" s="612"/>
      <c r="AZ142" s="612"/>
      <c r="BA142" s="612"/>
      <c r="BB142" s="612">
        <f>AQ142</f>
        <v>98053.65</v>
      </c>
      <c r="BC142" s="612"/>
      <c r="BD142" s="612"/>
      <c r="BE142" s="612"/>
      <c r="BF142" s="612"/>
      <c r="BG142" s="612"/>
      <c r="BH142" s="612"/>
      <c r="BI142" s="612"/>
    </row>
    <row r="143" spans="1:61" ht="12" customHeight="1">
      <c r="A143" s="51"/>
      <c r="B143" s="52"/>
      <c r="C143" s="52"/>
      <c r="D143" s="52"/>
      <c r="E143" s="52"/>
      <c r="F143" s="52"/>
      <c r="G143" s="52"/>
      <c r="H143" s="63">
        <v>65141</v>
      </c>
      <c r="I143" s="116"/>
      <c r="J143" s="117"/>
      <c r="K143" s="19" t="s">
        <v>182</v>
      </c>
      <c r="L143" s="129">
        <v>181228</v>
      </c>
      <c r="M143" s="129">
        <f>181228/7.5345</f>
        <v>24053.089123365848</v>
      </c>
      <c r="N143" s="130">
        <v>188371</v>
      </c>
      <c r="O143" s="130">
        <f>N143/7.5345</f>
        <v>25001.128143871523</v>
      </c>
      <c r="P143" s="131">
        <v>26500</v>
      </c>
      <c r="Q143" s="156">
        <v>32500</v>
      </c>
      <c r="R143" s="157">
        <v>32500</v>
      </c>
      <c r="S143" s="158"/>
      <c r="T143" s="158"/>
      <c r="U143" s="89" t="e">
        <f t="shared" ca="1" si="61"/>
        <v>#NAME?</v>
      </c>
      <c r="V143" s="505">
        <v>35000</v>
      </c>
      <c r="W143" s="505">
        <v>35000</v>
      </c>
      <c r="X143" s="534">
        <v>55000</v>
      </c>
      <c r="Y143" s="535">
        <v>70000</v>
      </c>
      <c r="Z143" s="535"/>
      <c r="AA143" s="535"/>
      <c r="AB143" s="535"/>
      <c r="AC143" s="529">
        <v>27000</v>
      </c>
      <c r="AD143" s="529">
        <v>27000</v>
      </c>
      <c r="AE143" s="529">
        <f t="shared" si="87"/>
        <v>103.94144392698701</v>
      </c>
      <c r="AF143" s="529">
        <f t="shared" si="89"/>
        <v>105.99521688582638</v>
      </c>
      <c r="AG143" s="529">
        <f t="shared" si="89"/>
        <v>122.64150943396226</v>
      </c>
      <c r="AH143" s="529">
        <f>AC143/Q143*100</f>
        <v>83.07692307692308</v>
      </c>
      <c r="AI143" s="535"/>
      <c r="AJ143" s="535">
        <v>70000</v>
      </c>
      <c r="AK143" s="507">
        <f t="shared" si="59"/>
        <v>107.69230769230769</v>
      </c>
      <c r="AL143" s="507">
        <f t="shared" si="60"/>
        <v>157.14285714285714</v>
      </c>
      <c r="AM143" s="507">
        <f>Y143/X143*100</f>
        <v>127.27272727272727</v>
      </c>
      <c r="AN143" s="530" t="e">
        <f ca="1">__xlfn.ISFORMULA(#REF!)</f>
        <v>#NAME?</v>
      </c>
      <c r="AO143" s="531" t="e">
        <f ca="1">__xlfn.ISFORMULA(#REF!)</f>
        <v>#NAME?</v>
      </c>
      <c r="AP143" s="510" t="e">
        <f t="shared" ca="1" si="70"/>
        <v>#NAME?</v>
      </c>
      <c r="AQ143" s="505">
        <v>30543.3</v>
      </c>
      <c r="AR143" s="533">
        <f t="shared" si="81"/>
        <v>107.69230769230769</v>
      </c>
      <c r="AS143" s="533">
        <f t="shared" si="74"/>
        <v>100</v>
      </c>
      <c r="AT143" s="533">
        <f t="shared" si="75"/>
        <v>107.69230769230769</v>
      </c>
      <c r="AU143" s="533">
        <f t="shared" si="76"/>
        <v>87.266571428571424</v>
      </c>
      <c r="AV143" s="533">
        <f t="shared" si="77"/>
        <v>93.979384615384603</v>
      </c>
      <c r="AW143" s="612"/>
      <c r="AX143" s="612"/>
      <c r="AY143" s="612"/>
      <c r="AZ143" s="612"/>
      <c r="BA143" s="612"/>
      <c r="BB143" s="612"/>
      <c r="BC143" s="612">
        <f>AQ143</f>
        <v>30543.3</v>
      </c>
      <c r="BD143" s="612"/>
      <c r="BE143" s="612"/>
      <c r="BF143" s="612"/>
      <c r="BG143" s="612"/>
      <c r="BH143" s="612"/>
      <c r="BI143" s="612"/>
    </row>
    <row r="144" spans="1:61" ht="12" customHeight="1">
      <c r="A144" s="46"/>
      <c r="B144" s="41"/>
      <c r="C144" s="41"/>
      <c r="D144" s="41"/>
      <c r="E144" s="41"/>
      <c r="F144" s="41"/>
      <c r="G144" s="41"/>
      <c r="H144" s="63">
        <v>65149</v>
      </c>
      <c r="I144" s="72"/>
      <c r="J144" s="73"/>
      <c r="K144" s="184" t="s">
        <v>183</v>
      </c>
      <c r="L144" s="84"/>
      <c r="M144" s="84"/>
      <c r="N144" s="85"/>
      <c r="O144" s="85"/>
      <c r="P144" s="86"/>
      <c r="Q144" s="86"/>
      <c r="R144" s="161"/>
      <c r="S144" s="138"/>
      <c r="T144" s="138"/>
      <c r="U144" s="89" t="e">
        <f t="shared" ca="1" si="61"/>
        <v>#NAME?</v>
      </c>
      <c r="V144" s="505">
        <v>15000</v>
      </c>
      <c r="W144" s="505">
        <v>15000</v>
      </c>
      <c r="X144" s="534">
        <v>15000</v>
      </c>
      <c r="Y144" s="535">
        <v>20000</v>
      </c>
      <c r="Z144" s="540"/>
      <c r="AA144" s="540"/>
      <c r="AB144" s="540"/>
      <c r="AC144" s="538"/>
      <c r="AD144" s="538"/>
      <c r="AE144" s="529"/>
      <c r="AF144" s="529"/>
      <c r="AG144" s="529"/>
      <c r="AH144" s="529"/>
      <c r="AI144" s="540"/>
      <c r="AJ144" s="535">
        <v>20000</v>
      </c>
      <c r="AK144" s="507"/>
      <c r="AL144" s="507">
        <f t="shared" si="60"/>
        <v>100</v>
      </c>
      <c r="AM144" s="507">
        <f>Y144/X144*100</f>
        <v>133.33333333333331</v>
      </c>
      <c r="AN144" s="530" t="e">
        <f ca="1">__xlfn.ISFORMULA(#REF!)</f>
        <v>#NAME?</v>
      </c>
      <c r="AO144" s="531" t="e">
        <f ca="1">__xlfn.ISFORMULA(#REF!)</f>
        <v>#NAME?</v>
      </c>
      <c r="AP144" s="510" t="e">
        <f t="shared" ca="1" si="70"/>
        <v>#NAME?</v>
      </c>
      <c r="AQ144" s="505">
        <v>14274.39</v>
      </c>
      <c r="AR144" s="533"/>
      <c r="AS144" s="533"/>
      <c r="AT144" s="533"/>
      <c r="AU144" s="533">
        <f t="shared" si="76"/>
        <v>95.162599999999998</v>
      </c>
      <c r="AV144" s="533"/>
      <c r="AW144" s="612"/>
      <c r="AX144" s="612"/>
      <c r="AY144" s="612"/>
      <c r="AZ144" s="612"/>
      <c r="BA144" s="612"/>
      <c r="BB144" s="612"/>
      <c r="BC144" s="612"/>
      <c r="BD144" s="612">
        <f>AQ144</f>
        <v>14274.39</v>
      </c>
      <c r="BE144" s="612"/>
      <c r="BF144" s="612"/>
      <c r="BG144" s="612"/>
      <c r="BH144" s="612"/>
      <c r="BI144" s="612"/>
    </row>
    <row r="145" spans="1:61" ht="12" customHeight="1">
      <c r="A145" s="60"/>
      <c r="B145" s="61"/>
      <c r="C145" s="61">
        <v>3</v>
      </c>
      <c r="D145" s="61">
        <v>4</v>
      </c>
      <c r="E145" s="61"/>
      <c r="F145" s="61"/>
      <c r="G145" s="61"/>
      <c r="H145" s="62">
        <v>652</v>
      </c>
      <c r="I145" s="127"/>
      <c r="J145" s="128"/>
      <c r="K145" s="20" t="s">
        <v>184</v>
      </c>
      <c r="L145" s="111">
        <f t="shared" ref="L145:Q145" si="90">L147+L150+L151</f>
        <v>573398</v>
      </c>
      <c r="M145" s="111">
        <f t="shared" si="90"/>
        <v>76102.992899329751</v>
      </c>
      <c r="N145" s="112">
        <f t="shared" si="90"/>
        <v>599438</v>
      </c>
      <c r="O145" s="112">
        <f t="shared" si="90"/>
        <v>79559.094830446615</v>
      </c>
      <c r="P145" s="113">
        <f t="shared" si="90"/>
        <v>107000</v>
      </c>
      <c r="Q145" s="113">
        <f t="shared" si="90"/>
        <v>116000</v>
      </c>
      <c r="R145" s="160">
        <v>116000</v>
      </c>
      <c r="S145" s="89"/>
      <c r="T145" s="89"/>
      <c r="U145" s="89" t="e">
        <f t="shared" ca="1" si="61"/>
        <v>#NAME?</v>
      </c>
      <c r="V145" s="505">
        <f>V147+V151</f>
        <v>133000</v>
      </c>
      <c r="W145" s="505">
        <f>W147+W151</f>
        <v>133000</v>
      </c>
      <c r="X145" s="506">
        <f>X147+X151</f>
        <v>150000</v>
      </c>
      <c r="Y145" s="507">
        <f>Y147+Y151</f>
        <v>170000</v>
      </c>
      <c r="Z145" s="507"/>
      <c r="AA145" s="507"/>
      <c r="AB145" s="507"/>
      <c r="AC145" s="508">
        <f>AC147+AC150+AC151</f>
        <v>107000</v>
      </c>
      <c r="AD145" s="508">
        <f>AD147+AD150+AD151</f>
        <v>107000</v>
      </c>
      <c r="AE145" s="529">
        <f>O145/M145*100</f>
        <v>104.54134824327954</v>
      </c>
      <c r="AF145" s="529">
        <f>P145/O145*100</f>
        <v>134.49122344596105</v>
      </c>
      <c r="AG145" s="529">
        <f>Q145/P145*100</f>
        <v>108.41121495327101</v>
      </c>
      <c r="AH145" s="529">
        <f>AC145/Q145*100</f>
        <v>92.241379310344826</v>
      </c>
      <c r="AI145" s="507"/>
      <c r="AJ145" s="507">
        <v>170000</v>
      </c>
      <c r="AK145" s="507">
        <f t="shared" si="59"/>
        <v>114.65517241379311</v>
      </c>
      <c r="AL145" s="507">
        <f t="shared" si="60"/>
        <v>112.78195488721805</v>
      </c>
      <c r="AM145" s="507">
        <f>Y145/X145*100</f>
        <v>113.33333333333333</v>
      </c>
      <c r="AN145" s="530" t="e">
        <f ca="1">__xlfn.ISFORMULA(#REF!)</f>
        <v>#NAME?</v>
      </c>
      <c r="AO145" s="531" t="e">
        <f ca="1">__xlfn.ISFORMULA(#REF!)</f>
        <v>#NAME?</v>
      </c>
      <c r="AP145" s="510" t="e">
        <f t="shared" ca="1" si="70"/>
        <v>#NAME?</v>
      </c>
      <c r="AQ145" s="505">
        <f>AQ147+AQ151</f>
        <v>108261.09</v>
      </c>
      <c r="AR145" s="533">
        <f t="shared" si="81"/>
        <v>114.65517241379311</v>
      </c>
      <c r="AS145" s="533">
        <f t="shared" si="74"/>
        <v>100</v>
      </c>
      <c r="AT145" s="533">
        <f>W145/R145*100</f>
        <v>114.65517241379311</v>
      </c>
      <c r="AU145" s="533">
        <f t="shared" si="76"/>
        <v>81.399315789473675</v>
      </c>
      <c r="AV145" s="533">
        <f>AQ145/R145*100</f>
        <v>93.328525862068972</v>
      </c>
      <c r="AW145" s="612"/>
      <c r="AX145" s="612"/>
      <c r="AY145" s="612"/>
      <c r="AZ145" s="612"/>
      <c r="BA145" s="612"/>
      <c r="BB145" s="612"/>
      <c r="BC145" s="612"/>
      <c r="BD145" s="612"/>
      <c r="BE145" s="612"/>
      <c r="BF145" s="612"/>
      <c r="BG145" s="612"/>
      <c r="BH145" s="612"/>
      <c r="BI145" s="612"/>
    </row>
    <row r="146" spans="1:61" ht="12" customHeight="1">
      <c r="A146" s="51"/>
      <c r="B146" s="52"/>
      <c r="C146" s="52"/>
      <c r="D146" s="52"/>
      <c r="E146" s="52"/>
      <c r="F146" s="52"/>
      <c r="G146" s="52"/>
      <c r="H146" s="63"/>
      <c r="I146" s="116"/>
      <c r="J146" s="117"/>
      <c r="K146" s="19"/>
      <c r="L146" s="118"/>
      <c r="M146" s="118"/>
      <c r="N146" s="119"/>
      <c r="O146" s="119"/>
      <c r="P146" s="120"/>
      <c r="Q146" s="120"/>
      <c r="R146" s="178"/>
      <c r="S146" s="152"/>
      <c r="T146" s="152"/>
      <c r="U146" s="89" t="e">
        <f t="shared" ca="1" si="61"/>
        <v>#NAME?</v>
      </c>
      <c r="V146" s="505"/>
      <c r="W146" s="505"/>
      <c r="X146" s="534"/>
      <c r="Y146" s="535"/>
      <c r="Z146" s="535"/>
      <c r="AA146" s="535"/>
      <c r="AB146" s="535"/>
      <c r="AC146" s="529"/>
      <c r="AD146" s="529"/>
      <c r="AE146" s="529"/>
      <c r="AF146" s="529"/>
      <c r="AG146" s="529"/>
      <c r="AH146" s="529"/>
      <c r="AI146" s="535"/>
      <c r="AJ146" s="535"/>
      <c r="AK146" s="507"/>
      <c r="AL146" s="507"/>
      <c r="AM146" s="507"/>
      <c r="AN146" s="530" t="e">
        <f ca="1">__xlfn.ISFORMULA(#REF!)</f>
        <v>#NAME?</v>
      </c>
      <c r="AO146" s="531" t="e">
        <f ca="1">__xlfn.ISFORMULA(#REF!)</f>
        <v>#NAME?</v>
      </c>
      <c r="AP146" s="510" t="e">
        <f t="shared" ca="1" si="70"/>
        <v>#NAME?</v>
      </c>
      <c r="AQ146" s="505"/>
      <c r="AR146" s="533"/>
      <c r="AS146" s="533"/>
      <c r="AT146" s="533"/>
      <c r="AU146" s="533"/>
      <c r="AV146" s="533"/>
      <c r="AW146" s="612"/>
      <c r="AX146" s="612"/>
      <c r="AY146" s="612"/>
      <c r="AZ146" s="612"/>
      <c r="BA146" s="612"/>
      <c r="BB146" s="612"/>
      <c r="BC146" s="612"/>
      <c r="BD146" s="612"/>
      <c r="BE146" s="612"/>
      <c r="BF146" s="612"/>
      <c r="BG146" s="612"/>
      <c r="BH146" s="612"/>
      <c r="BI146" s="612"/>
    </row>
    <row r="147" spans="1:61" ht="12" customHeight="1">
      <c r="A147" s="51"/>
      <c r="B147" s="52"/>
      <c r="C147" s="52"/>
      <c r="D147" s="52"/>
      <c r="E147" s="52"/>
      <c r="F147" s="52"/>
      <c r="G147" s="52"/>
      <c r="H147" s="63">
        <v>6522</v>
      </c>
      <c r="I147" s="116"/>
      <c r="J147" s="117"/>
      <c r="K147" s="19" t="s">
        <v>185</v>
      </c>
      <c r="L147" s="111">
        <f t="shared" ref="L147:Q147" si="91">L148</f>
        <v>27036</v>
      </c>
      <c r="M147" s="111">
        <f t="shared" si="91"/>
        <v>3588.2938482978298</v>
      </c>
      <c r="N147" s="112">
        <f t="shared" si="91"/>
        <v>23645</v>
      </c>
      <c r="O147" s="112">
        <f t="shared" si="91"/>
        <v>3138.2308049638327</v>
      </c>
      <c r="P147" s="113">
        <f t="shared" si="91"/>
        <v>5000</v>
      </c>
      <c r="Q147" s="113">
        <f t="shared" si="91"/>
        <v>3000</v>
      </c>
      <c r="R147" s="160">
        <v>3000</v>
      </c>
      <c r="S147" s="89"/>
      <c r="T147" s="89"/>
      <c r="U147" s="89" t="e">
        <f t="shared" ca="1" si="61"/>
        <v>#NAME?</v>
      </c>
      <c r="V147" s="505">
        <f>V148</f>
        <v>3000</v>
      </c>
      <c r="W147" s="505">
        <f>W148</f>
        <v>3000</v>
      </c>
      <c r="X147" s="506">
        <f>X148</f>
        <v>5000</v>
      </c>
      <c r="Y147" s="507">
        <f>Y148</f>
        <v>5000</v>
      </c>
      <c r="Z147" s="507"/>
      <c r="AA147" s="507"/>
      <c r="AB147" s="507"/>
      <c r="AC147" s="508">
        <f>AC148</f>
        <v>5000</v>
      </c>
      <c r="AD147" s="508">
        <f>AD148</f>
        <v>5000</v>
      </c>
      <c r="AE147" s="529">
        <f>O147/M147*100</f>
        <v>87.457464121911528</v>
      </c>
      <c r="AF147" s="529">
        <f>P147/O147*100</f>
        <v>159.32543878198354</v>
      </c>
      <c r="AG147" s="529">
        <f>Q147/P147*100</f>
        <v>60</v>
      </c>
      <c r="AH147" s="529">
        <f>AC147/Q147*100</f>
        <v>166.66666666666669</v>
      </c>
      <c r="AI147" s="507"/>
      <c r="AJ147" s="507">
        <v>5000</v>
      </c>
      <c r="AK147" s="507">
        <f t="shared" si="59"/>
        <v>100</v>
      </c>
      <c r="AL147" s="507">
        <f t="shared" si="60"/>
        <v>166.66666666666669</v>
      </c>
      <c r="AM147" s="507">
        <f>Y147/X147*100</f>
        <v>100</v>
      </c>
      <c r="AN147" s="530" t="e">
        <f ca="1">__xlfn.ISFORMULA(#REF!)</f>
        <v>#NAME?</v>
      </c>
      <c r="AO147" s="531" t="e">
        <f ca="1">__xlfn.ISFORMULA(#REF!)</f>
        <v>#NAME?</v>
      </c>
      <c r="AP147" s="510" t="e">
        <f t="shared" ca="1" si="70"/>
        <v>#NAME?</v>
      </c>
      <c r="AQ147" s="505">
        <f>AQ148</f>
        <v>1396.08</v>
      </c>
      <c r="AR147" s="533">
        <f t="shared" si="81"/>
        <v>100</v>
      </c>
      <c r="AS147" s="533">
        <f t="shared" si="74"/>
        <v>100</v>
      </c>
      <c r="AT147" s="533">
        <f>W147/R147*100</f>
        <v>100</v>
      </c>
      <c r="AU147" s="533">
        <f t="shared" si="76"/>
        <v>46.536000000000001</v>
      </c>
      <c r="AV147" s="533">
        <f>AQ147/R147*100</f>
        <v>46.536000000000001</v>
      </c>
      <c r="AW147" s="612"/>
      <c r="AX147" s="612"/>
      <c r="AY147" s="612"/>
      <c r="AZ147" s="612"/>
      <c r="BA147" s="612">
        <f>AQ147</f>
        <v>1396.08</v>
      </c>
      <c r="BB147" s="612"/>
      <c r="BC147" s="612"/>
      <c r="BD147" s="612"/>
      <c r="BE147" s="612"/>
      <c r="BF147" s="612"/>
      <c r="BG147" s="612"/>
      <c r="BH147" s="612"/>
      <c r="BI147" s="612"/>
    </row>
    <row r="148" spans="1:61" ht="12" customHeight="1">
      <c r="A148" s="51"/>
      <c r="B148" s="52"/>
      <c r="C148" s="52"/>
      <c r="D148" s="52"/>
      <c r="E148" s="52"/>
      <c r="F148" s="52"/>
      <c r="G148" s="52"/>
      <c r="H148" s="63">
        <v>65221</v>
      </c>
      <c r="I148" s="116"/>
      <c r="J148" s="117"/>
      <c r="K148" s="19" t="s">
        <v>186</v>
      </c>
      <c r="L148" s="129">
        <v>27036</v>
      </c>
      <c r="M148" s="129">
        <f>27036/7.5345</f>
        <v>3588.2938482978298</v>
      </c>
      <c r="N148" s="130">
        <v>23645</v>
      </c>
      <c r="O148" s="130">
        <f>N148/7.5345</f>
        <v>3138.2308049638327</v>
      </c>
      <c r="P148" s="131">
        <v>5000</v>
      </c>
      <c r="Q148" s="131">
        <v>3000</v>
      </c>
      <c r="R148" s="157">
        <v>3000</v>
      </c>
      <c r="S148" s="158"/>
      <c r="T148" s="158"/>
      <c r="U148" s="89" t="e">
        <f t="shared" ca="1" si="61"/>
        <v>#NAME?</v>
      </c>
      <c r="V148" s="505">
        <v>3000</v>
      </c>
      <c r="W148" s="505">
        <v>3000</v>
      </c>
      <c r="X148" s="534">
        <v>5000</v>
      </c>
      <c r="Y148" s="535">
        <v>5000</v>
      </c>
      <c r="Z148" s="535"/>
      <c r="AA148" s="535"/>
      <c r="AB148" s="535"/>
      <c r="AC148" s="529">
        <v>5000</v>
      </c>
      <c r="AD148" s="529">
        <v>5000</v>
      </c>
      <c r="AE148" s="529">
        <f>O148/M148*100</f>
        <v>87.457464121911528</v>
      </c>
      <c r="AF148" s="529">
        <f>P148/O148*100</f>
        <v>159.32543878198354</v>
      </c>
      <c r="AG148" s="529">
        <f>Q148/P148*100</f>
        <v>60</v>
      </c>
      <c r="AH148" s="529">
        <f>AC148/Q148*100</f>
        <v>166.66666666666669</v>
      </c>
      <c r="AI148" s="535"/>
      <c r="AJ148" s="535">
        <v>5000</v>
      </c>
      <c r="AK148" s="507">
        <f t="shared" si="59"/>
        <v>100</v>
      </c>
      <c r="AL148" s="507">
        <f t="shared" si="60"/>
        <v>166.66666666666669</v>
      </c>
      <c r="AM148" s="507">
        <f>Y148/X148*100</f>
        <v>100</v>
      </c>
      <c r="AN148" s="530" t="e">
        <f ca="1">__xlfn.ISFORMULA(#REF!)</f>
        <v>#NAME?</v>
      </c>
      <c r="AO148" s="531" t="e">
        <f ca="1">__xlfn.ISFORMULA(#REF!)</f>
        <v>#NAME?</v>
      </c>
      <c r="AP148" s="510" t="e">
        <f t="shared" ca="1" si="70"/>
        <v>#NAME?</v>
      </c>
      <c r="AQ148" s="505">
        <v>1396.08</v>
      </c>
      <c r="AR148" s="533">
        <f t="shared" si="81"/>
        <v>100</v>
      </c>
      <c r="AS148" s="533">
        <f t="shared" si="74"/>
        <v>100</v>
      </c>
      <c r="AT148" s="533">
        <f>W148/R148*100</f>
        <v>100</v>
      </c>
      <c r="AU148" s="533">
        <f t="shared" si="76"/>
        <v>46.536000000000001</v>
      </c>
      <c r="AV148" s="533">
        <f>AQ148/R148*100</f>
        <v>46.536000000000001</v>
      </c>
      <c r="AW148" s="612"/>
      <c r="AX148" s="612"/>
      <c r="AY148" s="612"/>
      <c r="AZ148" s="612"/>
      <c r="BA148" s="612"/>
      <c r="BB148" s="612"/>
      <c r="BC148" s="612"/>
      <c r="BD148" s="612"/>
      <c r="BE148" s="612"/>
      <c r="BF148" s="612"/>
      <c r="BG148" s="612"/>
      <c r="BH148" s="612"/>
      <c r="BI148" s="612"/>
    </row>
    <row r="149" spans="1:61" ht="12" customHeight="1">
      <c r="A149" s="51"/>
      <c r="B149" s="52"/>
      <c r="C149" s="52"/>
      <c r="D149" s="52"/>
      <c r="E149" s="52"/>
      <c r="F149" s="52"/>
      <c r="G149" s="52"/>
      <c r="H149" s="63"/>
      <c r="I149" s="116"/>
      <c r="J149" s="117"/>
      <c r="K149" s="19"/>
      <c r="L149" s="118"/>
      <c r="M149" s="118"/>
      <c r="N149" s="119"/>
      <c r="O149" s="130"/>
      <c r="P149" s="120"/>
      <c r="Q149" s="120"/>
      <c r="R149" s="178"/>
      <c r="S149" s="152"/>
      <c r="T149" s="152"/>
      <c r="U149" s="89" t="e">
        <f t="shared" ca="1" si="61"/>
        <v>#NAME?</v>
      </c>
      <c r="V149" s="505"/>
      <c r="W149" s="505"/>
      <c r="X149" s="534"/>
      <c r="Y149" s="535"/>
      <c r="Z149" s="535"/>
      <c r="AA149" s="535"/>
      <c r="AB149" s="535"/>
      <c r="AC149" s="529"/>
      <c r="AD149" s="529"/>
      <c r="AE149" s="529"/>
      <c r="AF149" s="529"/>
      <c r="AG149" s="529"/>
      <c r="AH149" s="529"/>
      <c r="AI149" s="535"/>
      <c r="AJ149" s="535"/>
      <c r="AK149" s="507"/>
      <c r="AL149" s="507"/>
      <c r="AM149" s="507"/>
      <c r="AN149" s="530" t="e">
        <f ca="1">__xlfn.ISFORMULA(#REF!)</f>
        <v>#NAME?</v>
      </c>
      <c r="AO149" s="531" t="e">
        <f ca="1">__xlfn.ISFORMULA(#REF!)</f>
        <v>#NAME?</v>
      </c>
      <c r="AP149" s="510" t="e">
        <f t="shared" ca="1" si="70"/>
        <v>#NAME?</v>
      </c>
      <c r="AQ149" s="505"/>
      <c r="AR149" s="533"/>
      <c r="AS149" s="533"/>
      <c r="AT149" s="533"/>
      <c r="AU149" s="533"/>
      <c r="AV149" s="533"/>
      <c r="AW149" s="612"/>
      <c r="AX149" s="612"/>
      <c r="AY149" s="612"/>
      <c r="AZ149" s="612"/>
      <c r="BA149" s="612"/>
      <c r="BB149" s="612"/>
      <c r="BC149" s="612"/>
      <c r="BD149" s="612"/>
      <c r="BE149" s="612"/>
      <c r="BF149" s="612"/>
      <c r="BG149" s="612"/>
      <c r="BH149" s="612"/>
      <c r="BI149" s="612"/>
    </row>
    <row r="150" spans="1:61" ht="12" customHeight="1">
      <c r="A150" s="67"/>
      <c r="B150" s="68"/>
      <c r="C150" s="68"/>
      <c r="D150" s="68"/>
      <c r="E150" s="68"/>
      <c r="F150" s="68"/>
      <c r="G150" s="68"/>
      <c r="H150" s="63">
        <v>6524</v>
      </c>
      <c r="I150" s="140"/>
      <c r="J150" s="141"/>
      <c r="K150" s="185" t="s">
        <v>187</v>
      </c>
      <c r="L150" s="175"/>
      <c r="M150" s="175"/>
      <c r="N150" s="176"/>
      <c r="O150" s="130"/>
      <c r="P150" s="177"/>
      <c r="Q150" s="177"/>
      <c r="R150" s="179"/>
      <c r="S150" s="180"/>
      <c r="T150" s="180"/>
      <c r="U150" s="89" t="e">
        <f t="shared" ref="U150:U201" ca="1" si="92">__xlfn.ISFORMULA(S150)</f>
        <v>#NAME?</v>
      </c>
      <c r="V150" s="505"/>
      <c r="W150" s="505"/>
      <c r="X150" s="506"/>
      <c r="Y150" s="507"/>
      <c r="Z150" s="507"/>
      <c r="AA150" s="507"/>
      <c r="AB150" s="507"/>
      <c r="AC150" s="508"/>
      <c r="AD150" s="508"/>
      <c r="AE150" s="529"/>
      <c r="AF150" s="529"/>
      <c r="AG150" s="529"/>
      <c r="AH150" s="529"/>
      <c r="AI150" s="507"/>
      <c r="AJ150" s="507"/>
      <c r="AK150" s="507"/>
      <c r="AL150" s="507"/>
      <c r="AM150" s="507"/>
      <c r="AN150" s="530" t="e">
        <f ca="1">__xlfn.ISFORMULA(#REF!)</f>
        <v>#NAME?</v>
      </c>
      <c r="AO150" s="531" t="e">
        <f ca="1">__xlfn.ISFORMULA(#REF!)</f>
        <v>#NAME?</v>
      </c>
      <c r="AP150" s="510" t="e">
        <f t="shared" ca="1" si="70"/>
        <v>#NAME?</v>
      </c>
      <c r="AQ150" s="505"/>
      <c r="AR150" s="533"/>
      <c r="AS150" s="533"/>
      <c r="AT150" s="533"/>
      <c r="AU150" s="533"/>
      <c r="AV150" s="533"/>
      <c r="AW150" s="612"/>
      <c r="AX150" s="612"/>
      <c r="AY150" s="612"/>
      <c r="AZ150" s="612"/>
      <c r="BA150" s="612"/>
      <c r="BB150" s="612"/>
      <c r="BC150" s="612"/>
      <c r="BD150" s="612"/>
      <c r="BE150" s="612"/>
      <c r="BF150" s="612"/>
      <c r="BG150" s="612"/>
      <c r="BH150" s="612"/>
      <c r="BI150" s="612"/>
    </row>
    <row r="151" spans="1:61" ht="12" customHeight="1">
      <c r="A151" s="51"/>
      <c r="B151" s="52"/>
      <c r="C151" s="52"/>
      <c r="D151" s="52"/>
      <c r="E151" s="52"/>
      <c r="F151" s="52"/>
      <c r="G151" s="52"/>
      <c r="H151" s="63">
        <v>6526</v>
      </c>
      <c r="I151" s="116"/>
      <c r="J151" s="117"/>
      <c r="K151" s="19" t="s">
        <v>188</v>
      </c>
      <c r="L151" s="129">
        <v>546362</v>
      </c>
      <c r="M151" s="129">
        <f>546362/7.5345</f>
        <v>72514.699051031916</v>
      </c>
      <c r="N151" s="130">
        <v>575793</v>
      </c>
      <c r="O151" s="130">
        <f>N151/7.5345</f>
        <v>76420.864025482777</v>
      </c>
      <c r="P151" s="131">
        <v>102000</v>
      </c>
      <c r="Q151" s="156">
        <v>113000</v>
      </c>
      <c r="R151" s="157">
        <v>113000</v>
      </c>
      <c r="S151" s="158"/>
      <c r="T151" s="158"/>
      <c r="U151" s="89" t="e">
        <f t="shared" ca="1" si="92"/>
        <v>#NAME?</v>
      </c>
      <c r="V151" s="505">
        <v>130000</v>
      </c>
      <c r="W151" s="505">
        <v>130000</v>
      </c>
      <c r="X151" s="534">
        <v>145000</v>
      </c>
      <c r="Y151" s="535">
        <v>165000</v>
      </c>
      <c r="Z151" s="535"/>
      <c r="AA151" s="535"/>
      <c r="AB151" s="535"/>
      <c r="AC151" s="529">
        <v>102000</v>
      </c>
      <c r="AD151" s="529">
        <v>102000</v>
      </c>
      <c r="AE151" s="529">
        <f>O151/M151*100</f>
        <v>105.38672162412466</v>
      </c>
      <c r="AF151" s="529">
        <f>P151/O151*100</f>
        <v>133.4714037857355</v>
      </c>
      <c r="AG151" s="529">
        <f>Q151/P151*100</f>
        <v>110.78431372549021</v>
      </c>
      <c r="AH151" s="529">
        <f>AC151/Q151*100</f>
        <v>90.265486725663706</v>
      </c>
      <c r="AI151" s="535"/>
      <c r="AJ151" s="535">
        <v>165000</v>
      </c>
      <c r="AK151" s="507">
        <f>W151/R151*100</f>
        <v>115.04424778761062</v>
      </c>
      <c r="AL151" s="507">
        <f>X151/W151*100</f>
        <v>111.53846153846155</v>
      </c>
      <c r="AM151" s="507">
        <f>Y151/X151*100</f>
        <v>113.79310344827587</v>
      </c>
      <c r="AN151" s="530" t="e">
        <f ca="1">__xlfn.ISFORMULA(#REF!)</f>
        <v>#NAME?</v>
      </c>
      <c r="AO151" s="531" t="e">
        <f ca="1">__xlfn.ISFORMULA(#REF!)</f>
        <v>#NAME?</v>
      </c>
      <c r="AP151" s="510" t="e">
        <f t="shared" ca="1" si="70"/>
        <v>#NAME?</v>
      </c>
      <c r="AQ151" s="505">
        <v>106865.01</v>
      </c>
      <c r="AR151" s="533">
        <f t="shared" si="81"/>
        <v>115.04424778761062</v>
      </c>
      <c r="AS151" s="533">
        <f t="shared" si="74"/>
        <v>100</v>
      </c>
      <c r="AT151" s="533">
        <f>W151/R151*100</f>
        <v>115.04424778761062</v>
      </c>
      <c r="AU151" s="533">
        <f t="shared" si="76"/>
        <v>82.203853846153834</v>
      </c>
      <c r="AV151" s="533">
        <f>AQ151/R151*100</f>
        <v>94.57080530973451</v>
      </c>
      <c r="AW151" s="612"/>
      <c r="AX151" s="612">
        <f>AQ151</f>
        <v>106865.01</v>
      </c>
      <c r="AY151" s="612"/>
      <c r="AZ151" s="612"/>
      <c r="BA151" s="612"/>
      <c r="BB151" s="612"/>
      <c r="BC151" s="612"/>
      <c r="BD151" s="612"/>
      <c r="BE151" s="612"/>
      <c r="BF151" s="612"/>
      <c r="BG151" s="612"/>
      <c r="BH151" s="612"/>
      <c r="BI151" s="612"/>
    </row>
    <row r="152" spans="1:61" ht="12" customHeight="1">
      <c r="A152" s="67"/>
      <c r="B152" s="68"/>
      <c r="C152" s="68"/>
      <c r="D152" s="68"/>
      <c r="E152" s="68"/>
      <c r="F152" s="68"/>
      <c r="G152" s="68"/>
      <c r="H152" s="69"/>
      <c r="I152" s="140"/>
      <c r="J152" s="141"/>
      <c r="K152" s="8"/>
      <c r="L152" s="84"/>
      <c r="M152" s="84"/>
      <c r="N152" s="85"/>
      <c r="O152" s="85"/>
      <c r="P152" s="86"/>
      <c r="Q152" s="86"/>
      <c r="R152" s="161"/>
      <c r="S152" s="155"/>
      <c r="T152" s="155"/>
      <c r="U152" s="89" t="e">
        <f t="shared" ca="1" si="92"/>
        <v>#NAME?</v>
      </c>
      <c r="V152" s="505"/>
      <c r="W152" s="505"/>
      <c r="X152" s="536"/>
      <c r="Y152" s="537"/>
      <c r="Z152" s="537"/>
      <c r="AA152" s="537"/>
      <c r="AB152" s="537"/>
      <c r="AC152" s="538"/>
      <c r="AD152" s="538"/>
      <c r="AE152" s="529"/>
      <c r="AF152" s="529"/>
      <c r="AG152" s="529"/>
      <c r="AH152" s="529"/>
      <c r="AI152" s="537"/>
      <c r="AJ152" s="537"/>
      <c r="AK152" s="507"/>
      <c r="AL152" s="507"/>
      <c r="AM152" s="507"/>
      <c r="AN152" s="530" t="e">
        <f ca="1">__xlfn.ISFORMULA(#REF!)</f>
        <v>#NAME?</v>
      </c>
      <c r="AO152" s="531" t="e">
        <f ca="1">__xlfn.ISFORMULA(#REF!)</f>
        <v>#NAME?</v>
      </c>
      <c r="AP152" s="510" t="e">
        <f t="shared" ca="1" si="70"/>
        <v>#NAME?</v>
      </c>
      <c r="AQ152" s="505"/>
      <c r="AR152" s="533"/>
      <c r="AS152" s="533"/>
      <c r="AT152" s="533"/>
      <c r="AU152" s="533"/>
      <c r="AV152" s="533"/>
      <c r="AW152" s="612"/>
      <c r="AX152" s="612"/>
      <c r="AY152" s="612"/>
      <c r="AZ152" s="612"/>
      <c r="BA152" s="612"/>
      <c r="BB152" s="612"/>
      <c r="BC152" s="612"/>
      <c r="BD152" s="612"/>
      <c r="BE152" s="612"/>
      <c r="BF152" s="612"/>
      <c r="BG152" s="612"/>
      <c r="BH152" s="612"/>
      <c r="BI152" s="612"/>
    </row>
    <row r="153" spans="1:61" ht="12" customHeight="1">
      <c r="A153" s="60"/>
      <c r="B153" s="61"/>
      <c r="C153" s="61"/>
      <c r="D153" s="61">
        <v>4</v>
      </c>
      <c r="E153" s="61"/>
      <c r="F153" s="61"/>
      <c r="G153" s="61"/>
      <c r="H153" s="62">
        <v>653</v>
      </c>
      <c r="I153" s="127"/>
      <c r="J153" s="128"/>
      <c r="K153" s="20" t="s">
        <v>189</v>
      </c>
      <c r="L153" s="111">
        <f t="shared" ref="L153:Q153" si="93">L154+L155</f>
        <v>4944798</v>
      </c>
      <c r="M153" s="111">
        <f t="shared" si="93"/>
        <v>656287.47760302597</v>
      </c>
      <c r="N153" s="112">
        <f t="shared" si="93"/>
        <v>5096717</v>
      </c>
      <c r="O153" s="112">
        <f t="shared" si="93"/>
        <v>676450.59393456765</v>
      </c>
      <c r="P153" s="113">
        <f t="shared" si="93"/>
        <v>1036000</v>
      </c>
      <c r="Q153" s="113">
        <f t="shared" si="93"/>
        <v>640000</v>
      </c>
      <c r="R153" s="160">
        <v>640000</v>
      </c>
      <c r="S153" s="89"/>
      <c r="T153" s="89"/>
      <c r="U153" s="89" t="e">
        <f t="shared" ca="1" si="92"/>
        <v>#NAME?</v>
      </c>
      <c r="V153" s="505">
        <f>V154+V155</f>
        <v>780000</v>
      </c>
      <c r="W153" s="505">
        <f>W154+W155</f>
        <v>780000</v>
      </c>
      <c r="X153" s="506">
        <f>X154+X155</f>
        <v>990000</v>
      </c>
      <c r="Y153" s="507">
        <f>Y154+Y155</f>
        <v>800000</v>
      </c>
      <c r="Z153" s="507"/>
      <c r="AA153" s="507"/>
      <c r="AB153" s="507"/>
      <c r="AC153" s="508">
        <f>AC154+AC155</f>
        <v>1040000</v>
      </c>
      <c r="AD153" s="508">
        <f>AD154+AD155</f>
        <v>1040000</v>
      </c>
      <c r="AE153" s="529">
        <f>O153/M153*100</f>
        <v>103.07229941445537</v>
      </c>
      <c r="AF153" s="529">
        <f t="shared" ref="AF153:AG155" si="94">P153/O153*100</f>
        <v>153.15235277924987</v>
      </c>
      <c r="AG153" s="529">
        <f t="shared" si="94"/>
        <v>61.776061776061773</v>
      </c>
      <c r="AH153" s="529">
        <f>AC153/Q153*100</f>
        <v>162.5</v>
      </c>
      <c r="AI153" s="507"/>
      <c r="AJ153" s="507">
        <v>800000</v>
      </c>
      <c r="AK153" s="507">
        <f>W153/R153*100</f>
        <v>121.875</v>
      </c>
      <c r="AL153" s="507">
        <f t="shared" ref="AL153:AM155" si="95">X153/W153*100</f>
        <v>126.92307692307692</v>
      </c>
      <c r="AM153" s="507">
        <f t="shared" si="95"/>
        <v>80.808080808080803</v>
      </c>
      <c r="AN153" s="530" t="e">
        <f ca="1">__xlfn.ISFORMULA(#REF!)</f>
        <v>#NAME?</v>
      </c>
      <c r="AO153" s="531" t="e">
        <f ca="1">__xlfn.ISFORMULA(#REF!)</f>
        <v>#NAME?</v>
      </c>
      <c r="AP153" s="510" t="e">
        <f t="shared" ca="1" si="70"/>
        <v>#NAME?</v>
      </c>
      <c r="AQ153" s="505">
        <f>AQ154+AQ155</f>
        <v>438320.14</v>
      </c>
      <c r="AR153" s="533">
        <f>V153/R153*100</f>
        <v>121.875</v>
      </c>
      <c r="AS153" s="533">
        <f t="shared" si="74"/>
        <v>100</v>
      </c>
      <c r="AT153" s="533">
        <f>W153/R153*100</f>
        <v>121.875</v>
      </c>
      <c r="AU153" s="533">
        <f t="shared" si="76"/>
        <v>56.194889743589748</v>
      </c>
      <c r="AV153" s="533">
        <f>AQ153/R153*100</f>
        <v>68.487521874999999</v>
      </c>
      <c r="AW153" s="612"/>
      <c r="AX153" s="612"/>
      <c r="AY153" s="612">
        <f>AQ153</f>
        <v>438320.14</v>
      </c>
      <c r="AZ153" s="612"/>
      <c r="BA153" s="612"/>
      <c r="BB153" s="612"/>
      <c r="BC153" s="612"/>
      <c r="BD153" s="612"/>
      <c r="BE153" s="612"/>
      <c r="BF153" s="612"/>
      <c r="BG153" s="612"/>
      <c r="BH153" s="612"/>
      <c r="BI153" s="612"/>
    </row>
    <row r="154" spans="1:61" ht="12" customHeight="1">
      <c r="A154" s="51"/>
      <c r="B154" s="52"/>
      <c r="C154" s="52"/>
      <c r="D154" s="52"/>
      <c r="E154" s="52"/>
      <c r="F154" s="52"/>
      <c r="G154" s="52"/>
      <c r="H154" s="63">
        <v>6531</v>
      </c>
      <c r="I154" s="116"/>
      <c r="J154" s="117"/>
      <c r="K154" s="19" t="s">
        <v>190</v>
      </c>
      <c r="L154" s="129">
        <v>3475242</v>
      </c>
      <c r="M154" s="129">
        <f>3475242/7.5345</f>
        <v>461243.87816046184</v>
      </c>
      <c r="N154" s="130">
        <v>3514127</v>
      </c>
      <c r="O154" s="130">
        <f>N154/7.5345</f>
        <v>466404.80456566456</v>
      </c>
      <c r="P154" s="131">
        <v>796000</v>
      </c>
      <c r="Q154" s="156">
        <v>400000</v>
      </c>
      <c r="R154" s="157">
        <v>400000</v>
      </c>
      <c r="S154" s="158"/>
      <c r="T154" s="158"/>
      <c r="U154" s="89" t="e">
        <f t="shared" ca="1" si="92"/>
        <v>#NAME?</v>
      </c>
      <c r="V154" s="505">
        <v>500000</v>
      </c>
      <c r="W154" s="505">
        <v>500000</v>
      </c>
      <c r="X154" s="534">
        <v>650000</v>
      </c>
      <c r="Y154" s="535">
        <v>460000</v>
      </c>
      <c r="Z154" s="535"/>
      <c r="AA154" s="535"/>
      <c r="AB154" s="535"/>
      <c r="AC154" s="529">
        <v>800000</v>
      </c>
      <c r="AD154" s="529">
        <v>800000</v>
      </c>
      <c r="AE154" s="529">
        <f>O154/M154*100</f>
        <v>101.11891488420086</v>
      </c>
      <c r="AF154" s="529">
        <f t="shared" si="94"/>
        <v>170.66719557944265</v>
      </c>
      <c r="AG154" s="529">
        <f t="shared" si="94"/>
        <v>50.251256281407031</v>
      </c>
      <c r="AH154" s="529">
        <f>AC154/Q154*100</f>
        <v>200</v>
      </c>
      <c r="AI154" s="535"/>
      <c r="AJ154" s="535">
        <v>460000</v>
      </c>
      <c r="AK154" s="507">
        <f>W154/R154*100</f>
        <v>125</v>
      </c>
      <c r="AL154" s="507">
        <f t="shared" si="95"/>
        <v>130</v>
      </c>
      <c r="AM154" s="507">
        <f t="shared" si="95"/>
        <v>70.769230769230774</v>
      </c>
      <c r="AN154" s="530" t="e">
        <f ca="1">__xlfn.ISFORMULA(#REF!)</f>
        <v>#NAME?</v>
      </c>
      <c r="AO154" s="531" t="e">
        <f ca="1">__xlfn.ISFORMULA(#REF!)</f>
        <v>#NAME?</v>
      </c>
      <c r="AP154" s="510" t="e">
        <f t="shared" ca="1" si="70"/>
        <v>#NAME?</v>
      </c>
      <c r="AQ154" s="505">
        <v>183488.07</v>
      </c>
      <c r="AR154" s="533">
        <f>V154/R154*100</f>
        <v>125</v>
      </c>
      <c r="AS154" s="533">
        <f t="shared" si="74"/>
        <v>100</v>
      </c>
      <c r="AT154" s="533">
        <f>W154/R154*100</f>
        <v>125</v>
      </c>
      <c r="AU154" s="533">
        <f t="shared" si="76"/>
        <v>36.697614000000002</v>
      </c>
      <c r="AV154" s="533">
        <f>AQ154/R154*100</f>
        <v>45.872017499999998</v>
      </c>
      <c r="AW154" s="612"/>
      <c r="AX154" s="612"/>
      <c r="AY154" s="612"/>
      <c r="AZ154" s="612"/>
      <c r="BA154" s="612"/>
      <c r="BB154" s="612"/>
      <c r="BC154" s="612"/>
      <c r="BD154" s="612"/>
      <c r="BE154" s="612"/>
      <c r="BF154" s="612"/>
      <c r="BG154" s="612"/>
      <c r="BH154" s="612"/>
      <c r="BI154" s="612"/>
    </row>
    <row r="155" spans="1:61" ht="12" customHeight="1">
      <c r="A155" s="51"/>
      <c r="B155" s="52"/>
      <c r="C155" s="52"/>
      <c r="D155" s="52"/>
      <c r="E155" s="52"/>
      <c r="F155" s="52"/>
      <c r="G155" s="52"/>
      <c r="H155" s="63">
        <v>6532</v>
      </c>
      <c r="I155" s="116"/>
      <c r="J155" s="117"/>
      <c r="K155" s="19" t="s">
        <v>191</v>
      </c>
      <c r="L155" s="129">
        <v>1469556</v>
      </c>
      <c r="M155" s="129">
        <f>1469556/7.5345</f>
        <v>195043.59944256418</v>
      </c>
      <c r="N155" s="130">
        <v>1582590</v>
      </c>
      <c r="O155" s="130">
        <f>N155/7.5345</f>
        <v>210045.78936890303</v>
      </c>
      <c r="P155" s="131">
        <v>240000</v>
      </c>
      <c r="Q155" s="131">
        <v>240000</v>
      </c>
      <c r="R155" s="157">
        <v>240000</v>
      </c>
      <c r="S155" s="158"/>
      <c r="T155" s="158"/>
      <c r="U155" s="89" t="e">
        <f t="shared" ca="1" si="92"/>
        <v>#NAME?</v>
      </c>
      <c r="V155" s="505">
        <v>280000</v>
      </c>
      <c r="W155" s="505">
        <v>280000</v>
      </c>
      <c r="X155" s="534">
        <v>340000</v>
      </c>
      <c r="Y155" s="535">
        <v>340000</v>
      </c>
      <c r="Z155" s="535"/>
      <c r="AA155" s="535"/>
      <c r="AB155" s="535"/>
      <c r="AC155" s="529">
        <v>240000</v>
      </c>
      <c r="AD155" s="529">
        <v>240000</v>
      </c>
      <c r="AE155" s="529">
        <f>O155/M155*100</f>
        <v>107.69171096576109</v>
      </c>
      <c r="AF155" s="529">
        <f t="shared" si="94"/>
        <v>114.26080033363033</v>
      </c>
      <c r="AG155" s="529">
        <f t="shared" si="94"/>
        <v>100</v>
      </c>
      <c r="AH155" s="529">
        <f>AC155/Q155*100</f>
        <v>100</v>
      </c>
      <c r="AI155" s="535"/>
      <c r="AJ155" s="535">
        <v>340000</v>
      </c>
      <c r="AK155" s="507">
        <f>W155/R155*100</f>
        <v>116.66666666666667</v>
      </c>
      <c r="AL155" s="507">
        <f t="shared" si="95"/>
        <v>121.42857142857142</v>
      </c>
      <c r="AM155" s="507">
        <f t="shared" si="95"/>
        <v>100</v>
      </c>
      <c r="AN155" s="530" t="e">
        <f ca="1">__xlfn.ISFORMULA(#REF!)</f>
        <v>#NAME?</v>
      </c>
      <c r="AO155" s="531" t="e">
        <f ca="1">__xlfn.ISFORMULA(#REF!)</f>
        <v>#NAME?</v>
      </c>
      <c r="AP155" s="510" t="e">
        <f t="shared" ca="1" si="70"/>
        <v>#NAME?</v>
      </c>
      <c r="AQ155" s="505">
        <v>254832.07</v>
      </c>
      <c r="AR155" s="533">
        <f>V155/R155*100</f>
        <v>116.66666666666667</v>
      </c>
      <c r="AS155" s="533">
        <f t="shared" si="74"/>
        <v>100</v>
      </c>
      <c r="AT155" s="533">
        <f>W155/R155*100</f>
        <v>116.66666666666667</v>
      </c>
      <c r="AU155" s="533">
        <f t="shared" si="76"/>
        <v>91.011453571428575</v>
      </c>
      <c r="AV155" s="533">
        <f>AQ155/R155*100</f>
        <v>106.18002916666667</v>
      </c>
      <c r="AW155" s="612"/>
      <c r="AX155" s="612"/>
      <c r="AY155" s="612"/>
      <c r="AZ155" s="612"/>
      <c r="BA155" s="612"/>
      <c r="BB155" s="612"/>
      <c r="BC155" s="612"/>
      <c r="BD155" s="612"/>
      <c r="BE155" s="612"/>
      <c r="BF155" s="612"/>
      <c r="BG155" s="612"/>
      <c r="BH155" s="612"/>
      <c r="BI155" s="612"/>
    </row>
    <row r="156" spans="1:61" ht="12" customHeight="1">
      <c r="A156" s="51"/>
      <c r="B156" s="52"/>
      <c r="C156" s="52"/>
      <c r="D156" s="52"/>
      <c r="E156" s="52"/>
      <c r="F156" s="52"/>
      <c r="G156" s="52"/>
      <c r="H156" s="63"/>
      <c r="I156" s="116"/>
      <c r="J156" s="117"/>
      <c r="K156" s="19"/>
      <c r="L156" s="129"/>
      <c r="M156" s="129"/>
      <c r="N156" s="130"/>
      <c r="O156" s="130"/>
      <c r="P156" s="131"/>
      <c r="Q156" s="131"/>
      <c r="R156" s="157"/>
      <c r="S156" s="158"/>
      <c r="T156" s="158"/>
      <c r="U156" s="89" t="e">
        <f t="shared" ca="1" si="92"/>
        <v>#NAME?</v>
      </c>
      <c r="V156" s="505"/>
      <c r="W156" s="505"/>
      <c r="X156" s="534"/>
      <c r="Y156" s="535"/>
      <c r="Z156" s="535"/>
      <c r="AA156" s="535"/>
      <c r="AB156" s="535"/>
      <c r="AC156" s="529"/>
      <c r="AD156" s="529"/>
      <c r="AE156" s="529"/>
      <c r="AF156" s="529"/>
      <c r="AG156" s="529"/>
      <c r="AH156" s="529"/>
      <c r="AI156" s="535"/>
      <c r="AJ156" s="535"/>
      <c r="AK156" s="507"/>
      <c r="AL156" s="507"/>
      <c r="AM156" s="507"/>
      <c r="AN156" s="530" t="e">
        <f ca="1">__xlfn.ISFORMULA(#REF!)</f>
        <v>#NAME?</v>
      </c>
      <c r="AO156" s="531" t="e">
        <f ca="1">__xlfn.ISFORMULA(#REF!)</f>
        <v>#NAME?</v>
      </c>
      <c r="AP156" s="510" t="e">
        <f t="shared" ca="1" si="70"/>
        <v>#NAME?</v>
      </c>
      <c r="AQ156" s="505"/>
      <c r="AR156" s="533"/>
      <c r="AS156" s="533"/>
      <c r="AT156" s="533"/>
      <c r="AU156" s="533"/>
      <c r="AV156" s="533"/>
      <c r="AW156" s="612"/>
      <c r="AX156" s="612"/>
      <c r="AY156" s="612"/>
      <c r="AZ156" s="612"/>
      <c r="BA156" s="612"/>
      <c r="BB156" s="612"/>
      <c r="BC156" s="612"/>
      <c r="BD156" s="612"/>
      <c r="BE156" s="612"/>
      <c r="BF156" s="612"/>
      <c r="BG156" s="612"/>
      <c r="BH156" s="612"/>
      <c r="BI156" s="612"/>
    </row>
    <row r="157" spans="1:61" ht="12" customHeight="1">
      <c r="A157" s="57"/>
      <c r="B157" s="58"/>
      <c r="C157" s="58"/>
      <c r="D157" s="58"/>
      <c r="E157" s="58"/>
      <c r="F157" s="58"/>
      <c r="G157" s="58"/>
      <c r="H157" s="59">
        <v>66</v>
      </c>
      <c r="I157" s="124"/>
      <c r="J157" s="125"/>
      <c r="K157" s="126" t="s">
        <v>192</v>
      </c>
      <c r="L157" s="111">
        <f t="shared" ref="L157:Q157" si="96">L159+L160</f>
        <v>114500</v>
      </c>
      <c r="M157" s="111">
        <f t="shared" si="96"/>
        <v>15196.761563474682</v>
      </c>
      <c r="N157" s="112">
        <f t="shared" si="96"/>
        <v>194250</v>
      </c>
      <c r="O157" s="112">
        <f t="shared" si="96"/>
        <v>25781.405534541107</v>
      </c>
      <c r="P157" s="113">
        <f t="shared" si="96"/>
        <v>15300</v>
      </c>
      <c r="Q157" s="113">
        <f t="shared" si="96"/>
        <v>0</v>
      </c>
      <c r="R157" s="160">
        <v>0</v>
      </c>
      <c r="S157" s="89"/>
      <c r="T157" s="89"/>
      <c r="U157" s="89" t="e">
        <f t="shared" ca="1" si="92"/>
        <v>#NAME?</v>
      </c>
      <c r="V157" s="505">
        <f>V160</f>
        <v>4200</v>
      </c>
      <c r="W157" s="505">
        <f>W160</f>
        <v>4200</v>
      </c>
      <c r="X157" s="506">
        <f>X160</f>
        <v>0</v>
      </c>
      <c r="Y157" s="507">
        <f>Y160</f>
        <v>0</v>
      </c>
      <c r="Z157" s="507"/>
      <c r="AA157" s="507"/>
      <c r="AB157" s="507"/>
      <c r="AC157" s="508">
        <f>AC159+AC160</f>
        <v>15000</v>
      </c>
      <c r="AD157" s="508">
        <f>AD159+AD160</f>
        <v>15000</v>
      </c>
      <c r="AE157" s="529">
        <f>O157/M157*100</f>
        <v>169.65065502183404</v>
      </c>
      <c r="AF157" s="529">
        <f>P157/O157*100</f>
        <v>59.34509652509653</v>
      </c>
      <c r="AG157" s="529">
        <f>Q157/P157*100</f>
        <v>0</v>
      </c>
      <c r="AH157" s="529"/>
      <c r="AI157" s="507"/>
      <c r="AJ157" s="507">
        <v>0</v>
      </c>
      <c r="AK157" s="507"/>
      <c r="AL157" s="507">
        <f>X157/W157*100</f>
        <v>0</v>
      </c>
      <c r="AM157" s="507"/>
      <c r="AN157" s="530" t="e">
        <f ca="1">__xlfn.ISFORMULA(#REF!)</f>
        <v>#NAME?</v>
      </c>
      <c r="AO157" s="531" t="e">
        <f ca="1">__xlfn.ISFORMULA(#REF!)</f>
        <v>#NAME?</v>
      </c>
      <c r="AP157" s="510" t="e">
        <f t="shared" ca="1" si="70"/>
        <v>#NAME?</v>
      </c>
      <c r="AQ157" s="505">
        <f>AQ160</f>
        <v>4337.84</v>
      </c>
      <c r="AR157" s="533"/>
      <c r="AS157" s="533">
        <f t="shared" si="74"/>
        <v>100</v>
      </c>
      <c r="AT157" s="533"/>
      <c r="AU157" s="533">
        <f t="shared" si="76"/>
        <v>103.28190476190477</v>
      </c>
      <c r="AV157" s="533"/>
      <c r="AW157" s="612"/>
      <c r="AX157" s="612"/>
      <c r="AY157" s="612"/>
      <c r="AZ157" s="612"/>
      <c r="BA157" s="612"/>
      <c r="BB157" s="612"/>
      <c r="BC157" s="612"/>
      <c r="BD157" s="612"/>
      <c r="BE157" s="612"/>
      <c r="BF157" s="612"/>
      <c r="BG157" s="612"/>
      <c r="BH157" s="612"/>
      <c r="BI157" s="612"/>
    </row>
    <row r="158" spans="1:61" ht="12" customHeight="1">
      <c r="A158" s="181"/>
      <c r="B158" s="25"/>
      <c r="C158" s="25"/>
      <c r="D158" s="25"/>
      <c r="E158" s="25"/>
      <c r="F158" s="25"/>
      <c r="G158" s="25"/>
      <c r="H158" s="182"/>
      <c r="I158" s="186"/>
      <c r="J158" s="187"/>
      <c r="K158" s="3"/>
      <c r="L158" s="111"/>
      <c r="M158" s="111"/>
      <c r="N158" s="112"/>
      <c r="O158" s="112"/>
      <c r="P158" s="113"/>
      <c r="Q158" s="113"/>
      <c r="R158" s="160"/>
      <c r="S158" s="89"/>
      <c r="T158" s="89"/>
      <c r="U158" s="89" t="e">
        <f t="shared" ca="1" si="92"/>
        <v>#NAME?</v>
      </c>
      <c r="V158" s="505"/>
      <c r="W158" s="505"/>
      <c r="X158" s="506"/>
      <c r="Y158" s="507"/>
      <c r="Z158" s="507"/>
      <c r="AA158" s="507"/>
      <c r="AB158" s="507"/>
      <c r="AC158" s="508"/>
      <c r="AD158" s="508"/>
      <c r="AE158" s="529"/>
      <c r="AF158" s="529"/>
      <c r="AG158" s="529"/>
      <c r="AH158" s="529"/>
      <c r="AI158" s="507"/>
      <c r="AJ158" s="507"/>
      <c r="AK158" s="507"/>
      <c r="AL158" s="507"/>
      <c r="AM158" s="507"/>
      <c r="AN158" s="530" t="e">
        <f ca="1">__xlfn.ISFORMULA(#REF!)</f>
        <v>#NAME?</v>
      </c>
      <c r="AO158" s="531" t="e">
        <f ca="1">__xlfn.ISFORMULA(#REF!)</f>
        <v>#NAME?</v>
      </c>
      <c r="AP158" s="510" t="e">
        <f t="shared" ca="1" si="70"/>
        <v>#NAME?</v>
      </c>
      <c r="AQ158" s="505"/>
      <c r="AR158" s="533"/>
      <c r="AS158" s="533"/>
      <c r="AT158" s="533"/>
      <c r="AU158" s="533"/>
      <c r="AV158" s="533"/>
      <c r="AW158" s="612"/>
      <c r="AX158" s="612"/>
      <c r="AY158" s="612"/>
      <c r="AZ158" s="612"/>
      <c r="BA158" s="612"/>
      <c r="BB158" s="612"/>
      <c r="BC158" s="612"/>
      <c r="BD158" s="612"/>
      <c r="BE158" s="612"/>
      <c r="BF158" s="612"/>
      <c r="BG158" s="612"/>
      <c r="BH158" s="612"/>
      <c r="BI158" s="612"/>
    </row>
    <row r="159" spans="1:61" ht="12" customHeight="1">
      <c r="A159" s="51"/>
      <c r="B159" s="52"/>
      <c r="C159" s="52"/>
      <c r="D159" s="52"/>
      <c r="E159" s="52"/>
      <c r="F159" s="52"/>
      <c r="G159" s="52"/>
      <c r="H159" s="63">
        <v>6614</v>
      </c>
      <c r="I159" s="116"/>
      <c r="J159" s="117"/>
      <c r="K159" s="19" t="s">
        <v>193</v>
      </c>
      <c r="L159" s="118"/>
      <c r="M159" s="118"/>
      <c r="N159" s="119"/>
      <c r="O159" s="119"/>
      <c r="P159" s="120"/>
      <c r="Q159" s="120"/>
      <c r="R159" s="178"/>
      <c r="S159" s="152"/>
      <c r="T159" s="152"/>
      <c r="U159" s="89" t="e">
        <f t="shared" ca="1" si="92"/>
        <v>#NAME?</v>
      </c>
      <c r="V159" s="505"/>
      <c r="W159" s="505"/>
      <c r="X159" s="534"/>
      <c r="Y159" s="535"/>
      <c r="Z159" s="535"/>
      <c r="AA159" s="535"/>
      <c r="AB159" s="535"/>
      <c r="AC159" s="529"/>
      <c r="AD159" s="529"/>
      <c r="AE159" s="529"/>
      <c r="AF159" s="529"/>
      <c r="AG159" s="529"/>
      <c r="AH159" s="529"/>
      <c r="AI159" s="535"/>
      <c r="AJ159" s="535"/>
      <c r="AK159" s="507"/>
      <c r="AL159" s="507"/>
      <c r="AM159" s="507"/>
      <c r="AN159" s="530" t="e">
        <f ca="1">__xlfn.ISFORMULA(#REF!)</f>
        <v>#NAME?</v>
      </c>
      <c r="AO159" s="531" t="e">
        <f ca="1">__xlfn.ISFORMULA(#REF!)</f>
        <v>#NAME?</v>
      </c>
      <c r="AP159" s="510" t="e">
        <f t="shared" ca="1" si="70"/>
        <v>#NAME?</v>
      </c>
      <c r="AQ159" s="505"/>
      <c r="AR159" s="533"/>
      <c r="AS159" s="533"/>
      <c r="AT159" s="533"/>
      <c r="AU159" s="533"/>
      <c r="AV159" s="533"/>
      <c r="AW159" s="612"/>
      <c r="AX159" s="612"/>
      <c r="AY159" s="612"/>
      <c r="AZ159" s="612"/>
      <c r="BA159" s="612"/>
      <c r="BB159" s="612"/>
      <c r="BC159" s="612"/>
      <c r="BD159" s="612"/>
      <c r="BE159" s="612"/>
      <c r="BF159" s="612"/>
      <c r="BG159" s="612"/>
      <c r="BH159" s="612"/>
      <c r="BI159" s="612"/>
    </row>
    <row r="160" spans="1:61" ht="12" customHeight="1">
      <c r="A160" s="60"/>
      <c r="B160" s="61"/>
      <c r="C160" s="61"/>
      <c r="D160" s="61"/>
      <c r="E160" s="61"/>
      <c r="F160" s="61">
        <v>6</v>
      </c>
      <c r="G160" s="61"/>
      <c r="H160" s="62">
        <v>663</v>
      </c>
      <c r="I160" s="127"/>
      <c r="J160" s="128"/>
      <c r="K160" s="20" t="s">
        <v>194</v>
      </c>
      <c r="L160" s="111">
        <f t="shared" ref="L160:Q160" si="97">L161+L162</f>
        <v>114500</v>
      </c>
      <c r="M160" s="111">
        <f t="shared" si="97"/>
        <v>15196.761563474682</v>
      </c>
      <c r="N160" s="112">
        <f t="shared" si="97"/>
        <v>194250</v>
      </c>
      <c r="O160" s="112">
        <f t="shared" si="97"/>
        <v>25781.405534541107</v>
      </c>
      <c r="P160" s="113">
        <f t="shared" si="97"/>
        <v>15300</v>
      </c>
      <c r="Q160" s="113">
        <f t="shared" si="97"/>
        <v>0</v>
      </c>
      <c r="R160" s="160">
        <v>0</v>
      </c>
      <c r="S160" s="89"/>
      <c r="T160" s="89"/>
      <c r="U160" s="89" t="e">
        <f t="shared" ca="1" si="92"/>
        <v>#NAME?</v>
      </c>
      <c r="V160" s="505">
        <f>V161+V162</f>
        <v>4200</v>
      </c>
      <c r="W160" s="505">
        <f>W161+W162</f>
        <v>4200</v>
      </c>
      <c r="X160" s="506">
        <f>X161+X162</f>
        <v>0</v>
      </c>
      <c r="Y160" s="507">
        <f>Y161+Y162</f>
        <v>0</v>
      </c>
      <c r="Z160" s="507"/>
      <c r="AA160" s="507"/>
      <c r="AB160" s="507"/>
      <c r="AC160" s="508">
        <f>AC161+AC162</f>
        <v>15000</v>
      </c>
      <c r="AD160" s="508">
        <f>AD161+AD162</f>
        <v>15000</v>
      </c>
      <c r="AE160" s="529">
        <f>O160/M160*100</f>
        <v>169.65065502183404</v>
      </c>
      <c r="AF160" s="529">
        <f>P160/O160*100</f>
        <v>59.34509652509653</v>
      </c>
      <c r="AG160" s="529">
        <f>Q160/P160*100</f>
        <v>0</v>
      </c>
      <c r="AH160" s="529"/>
      <c r="AI160" s="507"/>
      <c r="AJ160" s="507">
        <v>0</v>
      </c>
      <c r="AK160" s="507"/>
      <c r="AL160" s="507">
        <f>X160/W160*100</f>
        <v>0</v>
      </c>
      <c r="AM160" s="507"/>
      <c r="AN160" s="530" t="e">
        <f ca="1">__xlfn.ISFORMULA(#REF!)</f>
        <v>#NAME?</v>
      </c>
      <c r="AO160" s="531" t="e">
        <f ca="1">__xlfn.ISFORMULA(#REF!)</f>
        <v>#NAME?</v>
      </c>
      <c r="AP160" s="510" t="e">
        <f t="shared" ca="1" si="70"/>
        <v>#NAME?</v>
      </c>
      <c r="AQ160" s="505">
        <f>AQ161+AQ162</f>
        <v>4337.84</v>
      </c>
      <c r="AR160" s="533"/>
      <c r="AS160" s="533">
        <f t="shared" si="74"/>
        <v>100</v>
      </c>
      <c r="AT160" s="533"/>
      <c r="AU160" s="533">
        <f t="shared" si="76"/>
        <v>103.28190476190477</v>
      </c>
      <c r="AV160" s="533"/>
      <c r="AW160" s="612"/>
      <c r="AX160" s="612"/>
      <c r="AY160" s="612"/>
      <c r="AZ160" s="612"/>
      <c r="BA160" s="612"/>
      <c r="BB160" s="612"/>
      <c r="BC160" s="612"/>
      <c r="BD160" s="612"/>
      <c r="BE160" s="612"/>
      <c r="BF160" s="612">
        <f>AQ160</f>
        <v>4337.84</v>
      </c>
      <c r="BG160" s="612"/>
      <c r="BH160" s="612"/>
      <c r="BI160" s="612"/>
    </row>
    <row r="161" spans="1:61" ht="12" customHeight="1">
      <c r="A161" s="51"/>
      <c r="B161" s="52"/>
      <c r="C161" s="52"/>
      <c r="D161" s="52"/>
      <c r="E161" s="52"/>
      <c r="F161" s="52"/>
      <c r="G161" s="52"/>
      <c r="H161" s="63">
        <v>6631</v>
      </c>
      <c r="I161" s="116"/>
      <c r="J161" s="117"/>
      <c r="K161" s="19" t="s">
        <v>195</v>
      </c>
      <c r="L161" s="129">
        <v>5000</v>
      </c>
      <c r="M161" s="129">
        <f>5000/7.5345</f>
        <v>663.61404207313024</v>
      </c>
      <c r="N161" s="130">
        <v>8000</v>
      </c>
      <c r="O161" s="130">
        <f>N161/7.5345</f>
        <v>1061.7824673170085</v>
      </c>
      <c r="P161" s="131">
        <v>3300</v>
      </c>
      <c r="Q161" s="156">
        <v>0</v>
      </c>
      <c r="R161" s="157">
        <v>0</v>
      </c>
      <c r="S161" s="158"/>
      <c r="T161" s="158"/>
      <c r="U161" s="89" t="e">
        <f t="shared" ca="1" si="92"/>
        <v>#NAME?</v>
      </c>
      <c r="V161" s="505"/>
      <c r="W161" s="505"/>
      <c r="X161" s="534"/>
      <c r="Y161" s="535"/>
      <c r="Z161" s="535"/>
      <c r="AA161" s="535"/>
      <c r="AB161" s="535"/>
      <c r="AC161" s="529">
        <v>3000</v>
      </c>
      <c r="AD161" s="529">
        <v>3000</v>
      </c>
      <c r="AE161" s="529">
        <f>O161/M161*100</f>
        <v>160</v>
      </c>
      <c r="AF161" s="529">
        <f>P161/O161*100</f>
        <v>310.79812499999997</v>
      </c>
      <c r="AG161" s="529">
        <f>Q161/P161*100</f>
        <v>0</v>
      </c>
      <c r="AH161" s="529"/>
      <c r="AI161" s="535"/>
      <c r="AJ161" s="535"/>
      <c r="AK161" s="507"/>
      <c r="AL161" s="507"/>
      <c r="AM161" s="507"/>
      <c r="AN161" s="530" t="e">
        <f ca="1">__xlfn.ISFORMULA(#REF!)</f>
        <v>#NAME?</v>
      </c>
      <c r="AO161" s="531" t="e">
        <f ca="1">__xlfn.ISFORMULA(#REF!)</f>
        <v>#NAME?</v>
      </c>
      <c r="AP161" s="510" t="e">
        <f t="shared" ca="1" si="70"/>
        <v>#NAME?</v>
      </c>
      <c r="AQ161" s="505">
        <v>150</v>
      </c>
      <c r="AR161" s="533"/>
      <c r="AS161" s="533"/>
      <c r="AT161" s="533"/>
      <c r="AU161" s="533"/>
      <c r="AV161" s="533"/>
      <c r="AW161" s="612"/>
      <c r="AX161" s="612"/>
      <c r="AY161" s="612"/>
      <c r="AZ161" s="612"/>
      <c r="BA161" s="612"/>
      <c r="BB161" s="612"/>
      <c r="BC161" s="612"/>
      <c r="BD161" s="612"/>
      <c r="BE161" s="612"/>
      <c r="BF161" s="612"/>
      <c r="BG161" s="612"/>
      <c r="BH161" s="612"/>
      <c r="BI161" s="612"/>
    </row>
    <row r="162" spans="1:61" ht="12" customHeight="1">
      <c r="A162" s="51"/>
      <c r="B162" s="52"/>
      <c r="C162" s="52"/>
      <c r="D162" s="52"/>
      <c r="E162" s="52"/>
      <c r="F162" s="52"/>
      <c r="G162" s="52"/>
      <c r="H162" s="63">
        <v>6632</v>
      </c>
      <c r="I162" s="116"/>
      <c r="J162" s="117"/>
      <c r="K162" s="19" t="s">
        <v>196</v>
      </c>
      <c r="L162" s="129">
        <v>109500</v>
      </c>
      <c r="M162" s="129">
        <f>109500/7.5345</f>
        <v>14533.147521401552</v>
      </c>
      <c r="N162" s="130">
        <v>186250</v>
      </c>
      <c r="O162" s="130">
        <f>N162/7.5345</f>
        <v>24719.6230672241</v>
      </c>
      <c r="P162" s="131">
        <v>12000</v>
      </c>
      <c r="Q162" s="156">
        <v>0</v>
      </c>
      <c r="R162" s="157">
        <v>0</v>
      </c>
      <c r="S162" s="158"/>
      <c r="T162" s="158"/>
      <c r="U162" s="89" t="e">
        <f t="shared" ca="1" si="92"/>
        <v>#NAME?</v>
      </c>
      <c r="V162" s="505">
        <v>4200</v>
      </c>
      <c r="W162" s="505">
        <v>4200</v>
      </c>
      <c r="X162" s="534"/>
      <c r="Y162" s="535"/>
      <c r="Z162" s="535"/>
      <c r="AA162" s="535"/>
      <c r="AB162" s="535"/>
      <c r="AC162" s="529">
        <v>12000</v>
      </c>
      <c r="AD162" s="529">
        <v>12000</v>
      </c>
      <c r="AE162" s="529">
        <f>O162/M162*100</f>
        <v>170.09132420091325</v>
      </c>
      <c r="AF162" s="529"/>
      <c r="AG162" s="529"/>
      <c r="AH162" s="529"/>
      <c r="AI162" s="535"/>
      <c r="AJ162" s="535"/>
      <c r="AK162" s="507"/>
      <c r="AL162" s="507">
        <f>X162/W162*100</f>
        <v>0</v>
      </c>
      <c r="AM162" s="507"/>
      <c r="AN162" s="530" t="e">
        <f ca="1">__xlfn.ISFORMULA(#REF!)</f>
        <v>#NAME?</v>
      </c>
      <c r="AO162" s="531" t="e">
        <f ca="1">__xlfn.ISFORMULA(#REF!)</f>
        <v>#NAME?</v>
      </c>
      <c r="AP162" s="510" t="e">
        <f t="shared" ca="1" si="70"/>
        <v>#NAME?</v>
      </c>
      <c r="AQ162" s="505">
        <v>4187.84</v>
      </c>
      <c r="AR162" s="533"/>
      <c r="AS162" s="533">
        <f t="shared" si="74"/>
        <v>100</v>
      </c>
      <c r="AT162" s="533"/>
      <c r="AU162" s="533">
        <f t="shared" si="76"/>
        <v>99.7104761904762</v>
      </c>
      <c r="AV162" s="533"/>
      <c r="AW162" s="612"/>
      <c r="AX162" s="612"/>
      <c r="AY162" s="612"/>
      <c r="AZ162" s="612"/>
      <c r="BA162" s="612"/>
      <c r="BB162" s="612"/>
      <c r="BC162" s="612"/>
      <c r="BD162" s="612"/>
      <c r="BE162" s="612"/>
      <c r="BF162" s="612"/>
      <c r="BG162" s="612"/>
      <c r="BH162" s="612"/>
      <c r="BI162" s="612"/>
    </row>
    <row r="163" spans="1:61" ht="12" customHeight="1">
      <c r="A163" s="51"/>
      <c r="B163" s="52"/>
      <c r="C163" s="52"/>
      <c r="D163" s="52"/>
      <c r="E163" s="52"/>
      <c r="F163" s="52"/>
      <c r="G163" s="52"/>
      <c r="H163" s="63"/>
      <c r="I163" s="116"/>
      <c r="J163" s="117"/>
      <c r="K163" s="19"/>
      <c r="L163" s="129"/>
      <c r="M163" s="129"/>
      <c r="N163" s="130"/>
      <c r="O163" s="130"/>
      <c r="P163" s="131"/>
      <c r="Q163" s="131"/>
      <c r="R163" s="157"/>
      <c r="S163" s="158"/>
      <c r="T163" s="158"/>
      <c r="U163" s="89" t="e">
        <f t="shared" ca="1" si="92"/>
        <v>#NAME?</v>
      </c>
      <c r="V163" s="505"/>
      <c r="W163" s="505"/>
      <c r="X163" s="534"/>
      <c r="Y163" s="535"/>
      <c r="Z163" s="535"/>
      <c r="AA163" s="535"/>
      <c r="AB163" s="535"/>
      <c r="AC163" s="529"/>
      <c r="AD163" s="529"/>
      <c r="AE163" s="529"/>
      <c r="AF163" s="529"/>
      <c r="AG163" s="529"/>
      <c r="AH163" s="529"/>
      <c r="AI163" s="535"/>
      <c r="AJ163" s="535"/>
      <c r="AK163" s="507"/>
      <c r="AL163" s="507"/>
      <c r="AM163" s="507"/>
      <c r="AN163" s="530" t="e">
        <f ca="1">__xlfn.ISFORMULA(#REF!)</f>
        <v>#NAME?</v>
      </c>
      <c r="AO163" s="531" t="e">
        <f ca="1">__xlfn.ISFORMULA(#REF!)</f>
        <v>#NAME?</v>
      </c>
      <c r="AP163" s="510" t="e">
        <f t="shared" ca="1" si="70"/>
        <v>#NAME?</v>
      </c>
      <c r="AQ163" s="505"/>
      <c r="AR163" s="533"/>
      <c r="AS163" s="533"/>
      <c r="AT163" s="533"/>
      <c r="AU163" s="533"/>
      <c r="AV163" s="533"/>
      <c r="AW163" s="612"/>
      <c r="AX163" s="612"/>
      <c r="AY163" s="612"/>
      <c r="AZ163" s="612"/>
      <c r="BA163" s="612"/>
      <c r="BB163" s="612"/>
      <c r="BC163" s="612"/>
      <c r="BD163" s="612"/>
      <c r="BE163" s="612"/>
      <c r="BF163" s="612"/>
      <c r="BG163" s="612"/>
      <c r="BH163" s="612"/>
      <c r="BI163" s="612"/>
    </row>
    <row r="164" spans="1:61" ht="12" customHeight="1">
      <c r="A164" s="57"/>
      <c r="B164" s="58"/>
      <c r="C164" s="58"/>
      <c r="D164" s="58"/>
      <c r="E164" s="58"/>
      <c r="F164" s="58"/>
      <c r="G164" s="58"/>
      <c r="H164" s="59">
        <v>68</v>
      </c>
      <c r="I164" s="124"/>
      <c r="J164" s="125"/>
      <c r="K164" s="126" t="s">
        <v>197</v>
      </c>
      <c r="L164" s="111">
        <f t="shared" ref="L164:Q164" si="98">L166+L170</f>
        <v>384701</v>
      </c>
      <c r="M164" s="111">
        <f t="shared" si="98"/>
        <v>51058.597119915059</v>
      </c>
      <c r="N164" s="112">
        <f t="shared" si="98"/>
        <v>302430</v>
      </c>
      <c r="O164" s="112">
        <f t="shared" si="98"/>
        <v>40139.358948835354</v>
      </c>
      <c r="P164" s="113">
        <f t="shared" si="98"/>
        <v>143300</v>
      </c>
      <c r="Q164" s="113">
        <f t="shared" si="98"/>
        <v>52000</v>
      </c>
      <c r="R164" s="160">
        <v>52000</v>
      </c>
      <c r="S164" s="89"/>
      <c r="T164" s="89"/>
      <c r="U164" s="89" t="e">
        <f t="shared" ca="1" si="92"/>
        <v>#NAME?</v>
      </c>
      <c r="V164" s="505">
        <f>V166+V170</f>
        <v>65000</v>
      </c>
      <c r="W164" s="505">
        <f>W166+W170</f>
        <v>65000</v>
      </c>
      <c r="X164" s="506">
        <f>X166+X170</f>
        <v>65000</v>
      </c>
      <c r="Y164" s="507">
        <f>Y166+Y170</f>
        <v>70000</v>
      </c>
      <c r="Z164" s="507"/>
      <c r="AA164" s="507"/>
      <c r="AB164" s="507"/>
      <c r="AC164" s="508">
        <f>AC166+AC170</f>
        <v>65000</v>
      </c>
      <c r="AD164" s="508">
        <f>AD166+AD170</f>
        <v>65000</v>
      </c>
      <c r="AE164" s="529">
        <f>O164/M164*100</f>
        <v>78.614300456718325</v>
      </c>
      <c r="AF164" s="529">
        <f>P164/O164*100</f>
        <v>357.00619978176775</v>
      </c>
      <c r="AG164" s="529">
        <f>Q164/P164*100</f>
        <v>36.287508722958826</v>
      </c>
      <c r="AH164" s="529">
        <f>AC164/Q164*100</f>
        <v>125</v>
      </c>
      <c r="AI164" s="507"/>
      <c r="AJ164" s="507">
        <v>70000</v>
      </c>
      <c r="AK164" s="507">
        <f>W164/R164*100</f>
        <v>125</v>
      </c>
      <c r="AL164" s="507">
        <f>X164/W164*100</f>
        <v>100</v>
      </c>
      <c r="AM164" s="507">
        <f>Y164/X164*100</f>
        <v>107.69230769230769</v>
      </c>
      <c r="AN164" s="530" t="e">
        <f ca="1">__xlfn.ISFORMULA(#REF!)</f>
        <v>#NAME?</v>
      </c>
      <c r="AO164" s="531" t="e">
        <f ca="1">__xlfn.ISFORMULA(#REF!)</f>
        <v>#NAME?</v>
      </c>
      <c r="AP164" s="510" t="e">
        <f t="shared" ca="1" si="70"/>
        <v>#NAME?</v>
      </c>
      <c r="AQ164" s="505">
        <f>AQ166+AQ170</f>
        <v>56189.259999999995</v>
      </c>
      <c r="AR164" s="533">
        <f>V164/R164*100</f>
        <v>125</v>
      </c>
      <c r="AS164" s="533">
        <f t="shared" si="74"/>
        <v>100</v>
      </c>
      <c r="AT164" s="533">
        <f>W164/R164*100</f>
        <v>125</v>
      </c>
      <c r="AU164" s="533">
        <f t="shared" si="76"/>
        <v>86.445015384615374</v>
      </c>
      <c r="AV164" s="533">
        <f>AQ164/R164*100</f>
        <v>108.05626923076923</v>
      </c>
      <c r="AW164" s="612"/>
      <c r="AX164" s="612"/>
      <c r="AY164" s="612"/>
      <c r="AZ164" s="612"/>
      <c r="BA164" s="612"/>
      <c r="BB164" s="612"/>
      <c r="BC164" s="612"/>
      <c r="BD164" s="612"/>
      <c r="BE164" s="612"/>
      <c r="BF164" s="612"/>
      <c r="BG164" s="612"/>
      <c r="BH164" s="612"/>
      <c r="BI164" s="612"/>
    </row>
    <row r="165" spans="1:61" ht="12" customHeight="1">
      <c r="A165" s="51"/>
      <c r="B165" s="52"/>
      <c r="C165" s="52"/>
      <c r="D165" s="52"/>
      <c r="E165" s="52"/>
      <c r="F165" s="52"/>
      <c r="G165" s="52"/>
      <c r="H165" s="63"/>
      <c r="I165" s="116"/>
      <c r="J165" s="117"/>
      <c r="K165" s="19"/>
      <c r="L165" s="129"/>
      <c r="M165" s="129"/>
      <c r="N165" s="130"/>
      <c r="O165" s="130"/>
      <c r="P165" s="131"/>
      <c r="Q165" s="131"/>
      <c r="R165" s="157"/>
      <c r="S165" s="158"/>
      <c r="T165" s="158"/>
      <c r="U165" s="89" t="e">
        <f t="shared" ca="1" si="92"/>
        <v>#NAME?</v>
      </c>
      <c r="V165" s="505"/>
      <c r="W165" s="505"/>
      <c r="X165" s="534"/>
      <c r="Y165" s="535"/>
      <c r="Z165" s="535"/>
      <c r="AA165" s="535"/>
      <c r="AB165" s="535"/>
      <c r="AC165" s="529"/>
      <c r="AD165" s="529"/>
      <c r="AE165" s="529"/>
      <c r="AF165" s="529"/>
      <c r="AG165" s="529"/>
      <c r="AH165" s="529"/>
      <c r="AI165" s="535"/>
      <c r="AJ165" s="535"/>
      <c r="AK165" s="507"/>
      <c r="AL165" s="507"/>
      <c r="AM165" s="507"/>
      <c r="AN165" s="530" t="e">
        <f ca="1">__xlfn.ISFORMULA(#REF!)</f>
        <v>#NAME?</v>
      </c>
      <c r="AO165" s="531" t="e">
        <f ca="1">__xlfn.ISFORMULA(#REF!)</f>
        <v>#NAME?</v>
      </c>
      <c r="AP165" s="510" t="e">
        <f t="shared" ca="1" si="70"/>
        <v>#NAME?</v>
      </c>
      <c r="AQ165" s="505"/>
      <c r="AR165" s="533"/>
      <c r="AS165" s="533"/>
      <c r="AT165" s="533"/>
      <c r="AU165" s="533"/>
      <c r="AV165" s="533"/>
      <c r="AW165" s="612"/>
      <c r="AX165" s="612"/>
      <c r="AY165" s="612"/>
      <c r="AZ165" s="612"/>
      <c r="BA165" s="612"/>
      <c r="BB165" s="612"/>
      <c r="BC165" s="612"/>
      <c r="BD165" s="612"/>
      <c r="BE165" s="612"/>
      <c r="BF165" s="612"/>
      <c r="BG165" s="612"/>
      <c r="BH165" s="612"/>
      <c r="BI165" s="612"/>
    </row>
    <row r="166" spans="1:61" ht="12" customHeight="1">
      <c r="A166" s="60"/>
      <c r="B166" s="61"/>
      <c r="C166" s="61"/>
      <c r="D166" s="61"/>
      <c r="E166" s="61"/>
      <c r="F166" s="61"/>
      <c r="G166" s="61"/>
      <c r="H166" s="62">
        <v>681</v>
      </c>
      <c r="I166" s="127"/>
      <c r="J166" s="128"/>
      <c r="K166" s="20" t="s">
        <v>198</v>
      </c>
      <c r="L166" s="111">
        <f t="shared" ref="L166:Q166" si="99">L167</f>
        <v>123625</v>
      </c>
      <c r="M166" s="111">
        <f t="shared" si="99"/>
        <v>16407.857190258146</v>
      </c>
      <c r="N166" s="112">
        <f t="shared" si="99"/>
        <v>114912</v>
      </c>
      <c r="O166" s="112">
        <f t="shared" si="99"/>
        <v>15251.443360541509</v>
      </c>
      <c r="P166" s="113">
        <f t="shared" si="99"/>
        <v>13300</v>
      </c>
      <c r="Q166" s="113">
        <f t="shared" si="99"/>
        <v>17000</v>
      </c>
      <c r="R166" s="160">
        <v>17000</v>
      </c>
      <c r="S166" s="89"/>
      <c r="T166" s="89"/>
      <c r="U166" s="89" t="e">
        <f t="shared" ca="1" si="92"/>
        <v>#NAME?</v>
      </c>
      <c r="V166" s="505">
        <f>V167</f>
        <v>30000</v>
      </c>
      <c r="W166" s="505">
        <f>W167</f>
        <v>30000</v>
      </c>
      <c r="X166" s="506">
        <f>X167</f>
        <v>30000</v>
      </c>
      <c r="Y166" s="507">
        <f>Y167</f>
        <v>35000</v>
      </c>
      <c r="Z166" s="507"/>
      <c r="AA166" s="507"/>
      <c r="AB166" s="507"/>
      <c r="AC166" s="508">
        <f>AC167</f>
        <v>15000</v>
      </c>
      <c r="AD166" s="508">
        <f>AD167</f>
        <v>15000</v>
      </c>
      <c r="AE166" s="529">
        <f>O166/M166*100</f>
        <v>92.952072800808892</v>
      </c>
      <c r="AF166" s="529">
        <f>P166/O166*100</f>
        <v>87.204861111111114</v>
      </c>
      <c r="AG166" s="529">
        <f>Q166/P166*100</f>
        <v>127.81954887218046</v>
      </c>
      <c r="AH166" s="529">
        <f>AC166/Q166*100</f>
        <v>88.235294117647058</v>
      </c>
      <c r="AI166" s="507"/>
      <c r="AJ166" s="507">
        <v>35000</v>
      </c>
      <c r="AK166" s="507">
        <f>W166/R166*100</f>
        <v>176.47058823529412</v>
      </c>
      <c r="AL166" s="507">
        <f>X166/W166*100</f>
        <v>100</v>
      </c>
      <c r="AM166" s="507">
        <f>Y166/X166*100</f>
        <v>116.66666666666667</v>
      </c>
      <c r="AN166" s="530" t="e">
        <f ca="1">__xlfn.ISFORMULA(#REF!)</f>
        <v>#NAME?</v>
      </c>
      <c r="AO166" s="531" t="e">
        <f ca="1">__xlfn.ISFORMULA(#REF!)</f>
        <v>#NAME?</v>
      </c>
      <c r="AP166" s="510" t="e">
        <f t="shared" ca="1" si="70"/>
        <v>#NAME?</v>
      </c>
      <c r="AQ166" s="505">
        <f>AQ167</f>
        <v>17479.560000000001</v>
      </c>
      <c r="AR166" s="533">
        <f>V166/R166*100</f>
        <v>176.47058823529412</v>
      </c>
      <c r="AS166" s="533">
        <f t="shared" si="74"/>
        <v>100</v>
      </c>
      <c r="AT166" s="533">
        <f>W166/R166*100</f>
        <v>176.47058823529412</v>
      </c>
      <c r="AU166" s="533">
        <f t="shared" si="76"/>
        <v>58.265200000000007</v>
      </c>
      <c r="AV166" s="533">
        <f>AQ166/R166*100</f>
        <v>102.8209411764706</v>
      </c>
      <c r="AW166" s="612">
        <f>AQ166</f>
        <v>17479.560000000001</v>
      </c>
      <c r="AX166" s="612"/>
      <c r="AY166" s="612"/>
      <c r="AZ166" s="612"/>
      <c r="BA166" s="612"/>
      <c r="BB166" s="612"/>
      <c r="BC166" s="612"/>
      <c r="BD166" s="612"/>
      <c r="BE166" s="612"/>
      <c r="BF166" s="612"/>
      <c r="BG166" s="612"/>
      <c r="BH166" s="612"/>
      <c r="BI166" s="612"/>
    </row>
    <row r="167" spans="1:61" ht="12" customHeight="1">
      <c r="A167" s="51"/>
      <c r="B167" s="52"/>
      <c r="C167" s="52"/>
      <c r="D167" s="52"/>
      <c r="E167" s="52"/>
      <c r="F167" s="52"/>
      <c r="G167" s="52"/>
      <c r="H167" s="63">
        <v>6819</v>
      </c>
      <c r="I167" s="116"/>
      <c r="J167" s="117"/>
      <c r="K167" s="19" t="s">
        <v>199</v>
      </c>
      <c r="L167" s="129">
        <v>123625</v>
      </c>
      <c r="M167" s="129">
        <f>123625/7.5345</f>
        <v>16407.857190258146</v>
      </c>
      <c r="N167" s="130">
        <v>114912</v>
      </c>
      <c r="O167" s="130">
        <f>N167/7.5345</f>
        <v>15251.443360541509</v>
      </c>
      <c r="P167" s="131">
        <v>13300</v>
      </c>
      <c r="Q167" s="156">
        <v>17000</v>
      </c>
      <c r="R167" s="157">
        <v>17000</v>
      </c>
      <c r="S167" s="158"/>
      <c r="T167" s="158"/>
      <c r="U167" s="89" t="e">
        <f t="shared" ca="1" si="92"/>
        <v>#NAME?</v>
      </c>
      <c r="V167" s="505">
        <v>30000</v>
      </c>
      <c r="W167" s="505">
        <v>30000</v>
      </c>
      <c r="X167" s="534">
        <v>30000</v>
      </c>
      <c r="Y167" s="535">
        <v>35000</v>
      </c>
      <c r="Z167" s="535"/>
      <c r="AA167" s="535"/>
      <c r="AB167" s="535"/>
      <c r="AC167" s="529">
        <v>15000</v>
      </c>
      <c r="AD167" s="529">
        <v>15000</v>
      </c>
      <c r="AE167" s="529">
        <f>O167/M167*100</f>
        <v>92.952072800808892</v>
      </c>
      <c r="AF167" s="529">
        <f>P167/O167*100</f>
        <v>87.204861111111114</v>
      </c>
      <c r="AG167" s="529">
        <f>Q167/P167*100</f>
        <v>127.81954887218046</v>
      </c>
      <c r="AH167" s="529">
        <f>AC167/Q167*100</f>
        <v>88.235294117647058</v>
      </c>
      <c r="AI167" s="535"/>
      <c r="AJ167" s="535">
        <v>35000</v>
      </c>
      <c r="AK167" s="507">
        <f>W167/R167*100</f>
        <v>176.47058823529412</v>
      </c>
      <c r="AL167" s="507">
        <f>X167/W167*100</f>
        <v>100</v>
      </c>
      <c r="AM167" s="507">
        <f>Y167/X167*100</f>
        <v>116.66666666666667</v>
      </c>
      <c r="AN167" s="530" t="e">
        <f ca="1">__xlfn.ISFORMULA(#REF!)</f>
        <v>#NAME?</v>
      </c>
      <c r="AO167" s="531" t="e">
        <f ca="1">__xlfn.ISFORMULA(#REF!)</f>
        <v>#NAME?</v>
      </c>
      <c r="AP167" s="510" t="e">
        <f t="shared" ca="1" si="70"/>
        <v>#NAME?</v>
      </c>
      <c r="AQ167" s="505">
        <v>17479.560000000001</v>
      </c>
      <c r="AR167" s="533">
        <f>V167/R167*100</f>
        <v>176.47058823529412</v>
      </c>
      <c r="AS167" s="533">
        <f t="shared" si="74"/>
        <v>100</v>
      </c>
      <c r="AT167" s="533">
        <f>W167/R167*100</f>
        <v>176.47058823529412</v>
      </c>
      <c r="AU167" s="533">
        <f t="shared" si="76"/>
        <v>58.265200000000007</v>
      </c>
      <c r="AV167" s="533">
        <f>AQ167/R167*100</f>
        <v>102.8209411764706</v>
      </c>
      <c r="AW167" s="612"/>
      <c r="AX167" s="612"/>
      <c r="AY167" s="612"/>
      <c r="AZ167" s="612"/>
      <c r="BA167" s="612"/>
      <c r="BB167" s="612"/>
      <c r="BC167" s="612"/>
      <c r="BD167" s="612"/>
      <c r="BE167" s="612"/>
      <c r="BF167" s="612"/>
      <c r="BG167" s="612"/>
      <c r="BH167" s="612"/>
      <c r="BI167" s="612"/>
    </row>
    <row r="168" spans="1:61" ht="12" customHeight="1">
      <c r="A168" s="51"/>
      <c r="B168" s="52"/>
      <c r="C168" s="52"/>
      <c r="D168" s="52"/>
      <c r="E168" s="52"/>
      <c r="F168" s="52"/>
      <c r="G168" s="52"/>
      <c r="H168" s="63"/>
      <c r="I168" s="116"/>
      <c r="J168" s="117"/>
      <c r="K168" s="19"/>
      <c r="L168" s="129"/>
      <c r="M168" s="129"/>
      <c r="N168" s="130"/>
      <c r="O168" s="130"/>
      <c r="P168" s="131"/>
      <c r="Q168" s="131"/>
      <c r="R168" s="157"/>
      <c r="S168" s="158"/>
      <c r="T168" s="158"/>
      <c r="U168" s="89" t="e">
        <f t="shared" ca="1" si="92"/>
        <v>#NAME?</v>
      </c>
      <c r="V168" s="505"/>
      <c r="W168" s="505"/>
      <c r="X168" s="534"/>
      <c r="Y168" s="535"/>
      <c r="Z168" s="535"/>
      <c r="AA168" s="535"/>
      <c r="AB168" s="535"/>
      <c r="AC168" s="529"/>
      <c r="AD168" s="529"/>
      <c r="AE168" s="529"/>
      <c r="AF168" s="529"/>
      <c r="AG168" s="529"/>
      <c r="AH168" s="529"/>
      <c r="AI168" s="535"/>
      <c r="AJ168" s="535"/>
      <c r="AK168" s="507"/>
      <c r="AL168" s="507"/>
      <c r="AM168" s="507"/>
      <c r="AN168" s="530" t="e">
        <f ca="1">__xlfn.ISFORMULA(#REF!)</f>
        <v>#NAME?</v>
      </c>
      <c r="AO168" s="531" t="e">
        <f ca="1">__xlfn.ISFORMULA(#REF!)</f>
        <v>#NAME?</v>
      </c>
      <c r="AP168" s="510" t="e">
        <f t="shared" ca="1" si="70"/>
        <v>#NAME?</v>
      </c>
      <c r="AQ168" s="505"/>
      <c r="AR168" s="533"/>
      <c r="AS168" s="533"/>
      <c r="AT168" s="533"/>
      <c r="AU168" s="533"/>
      <c r="AV168" s="533"/>
      <c r="AW168" s="612"/>
      <c r="AX168" s="612"/>
      <c r="AY168" s="612"/>
      <c r="AZ168" s="612"/>
      <c r="BA168" s="612"/>
      <c r="BB168" s="612"/>
      <c r="BC168" s="612"/>
      <c r="BD168" s="612"/>
      <c r="BE168" s="612"/>
      <c r="BF168" s="612"/>
      <c r="BG168" s="612"/>
      <c r="BH168" s="612"/>
      <c r="BI168" s="612"/>
    </row>
    <row r="169" spans="1:61" ht="12" customHeight="1">
      <c r="A169" s="46"/>
      <c r="B169" s="41"/>
      <c r="C169" s="41"/>
      <c r="D169" s="41"/>
      <c r="E169" s="41"/>
      <c r="F169" s="41"/>
      <c r="G169" s="41"/>
      <c r="H169" s="37"/>
      <c r="I169" s="72"/>
      <c r="J169" s="90"/>
      <c r="K169" s="83"/>
      <c r="L169" s="84">
        <v>1</v>
      </c>
      <c r="M169" s="84">
        <v>2</v>
      </c>
      <c r="N169" s="85">
        <v>3</v>
      </c>
      <c r="O169" s="85">
        <v>4</v>
      </c>
      <c r="P169" s="86">
        <v>5</v>
      </c>
      <c r="Q169" s="86">
        <v>6</v>
      </c>
      <c r="R169" s="161">
        <v>4</v>
      </c>
      <c r="S169" s="155"/>
      <c r="T169" s="155"/>
      <c r="U169" s="89" t="e">
        <f t="shared" ca="1" si="92"/>
        <v>#NAME?</v>
      </c>
      <c r="V169" s="505"/>
      <c r="W169" s="505"/>
      <c r="X169" s="536"/>
      <c r="Y169" s="537"/>
      <c r="Z169" s="537"/>
      <c r="AA169" s="537"/>
      <c r="AB169" s="537"/>
      <c r="AC169" s="538">
        <v>7</v>
      </c>
      <c r="AD169" s="538">
        <v>8</v>
      </c>
      <c r="AE169" s="538">
        <v>9</v>
      </c>
      <c r="AF169" s="538">
        <v>10</v>
      </c>
      <c r="AG169" s="538">
        <v>11</v>
      </c>
      <c r="AH169" s="538">
        <v>12</v>
      </c>
      <c r="AI169" s="537"/>
      <c r="AJ169" s="537"/>
      <c r="AK169" s="507">
        <f>W169/R169*100</f>
        <v>0</v>
      </c>
      <c r="AL169" s="507"/>
      <c r="AM169" s="507"/>
      <c r="AN169" s="530" t="e">
        <f ca="1">__xlfn.ISFORMULA(#REF!)</f>
        <v>#NAME?</v>
      </c>
      <c r="AO169" s="531" t="e">
        <f ca="1">__xlfn.ISFORMULA(#REF!)</f>
        <v>#NAME?</v>
      </c>
      <c r="AP169" s="510" t="e">
        <f t="shared" ca="1" si="70"/>
        <v>#NAME?</v>
      </c>
      <c r="AQ169" s="505"/>
      <c r="AR169" s="533">
        <f>V169/R169*100</f>
        <v>0</v>
      </c>
      <c r="AS169" s="533" t="e">
        <f t="shared" si="74"/>
        <v>#DIV/0!</v>
      </c>
      <c r="AT169" s="533">
        <f>W169/R169*100</f>
        <v>0</v>
      </c>
      <c r="AU169" s="533"/>
      <c r="AV169" s="533">
        <f>AQ169/R169*100</f>
        <v>0</v>
      </c>
      <c r="AW169" s="612"/>
      <c r="AX169" s="612"/>
      <c r="AY169" s="612"/>
      <c r="AZ169" s="612"/>
      <c r="BA169" s="612"/>
      <c r="BB169" s="612"/>
      <c r="BC169" s="612"/>
      <c r="BD169" s="612"/>
      <c r="BE169" s="612"/>
      <c r="BF169" s="612"/>
      <c r="BG169" s="612"/>
      <c r="BH169" s="612"/>
      <c r="BI169" s="612"/>
    </row>
    <row r="170" spans="1:61" ht="12" customHeight="1">
      <c r="A170" s="60"/>
      <c r="B170" s="61"/>
      <c r="C170" s="61"/>
      <c r="D170" s="61"/>
      <c r="E170" s="61"/>
      <c r="F170" s="61"/>
      <c r="G170" s="61"/>
      <c r="H170" s="62">
        <v>683</v>
      </c>
      <c r="I170" s="127"/>
      <c r="J170" s="128"/>
      <c r="K170" s="20" t="s">
        <v>192</v>
      </c>
      <c r="L170" s="111">
        <f t="shared" ref="L170:Q170" si="100">L171</f>
        <v>261076</v>
      </c>
      <c r="M170" s="111">
        <f t="shared" si="100"/>
        <v>34650.739929656913</v>
      </c>
      <c r="N170" s="112">
        <f t="shared" si="100"/>
        <v>187518</v>
      </c>
      <c r="O170" s="112">
        <f t="shared" si="100"/>
        <v>24887.915588293847</v>
      </c>
      <c r="P170" s="113">
        <f t="shared" si="100"/>
        <v>130000</v>
      </c>
      <c r="Q170" s="113">
        <f t="shared" si="100"/>
        <v>35000</v>
      </c>
      <c r="R170" s="160">
        <v>35000</v>
      </c>
      <c r="S170" s="89"/>
      <c r="T170" s="89"/>
      <c r="U170" s="89" t="e">
        <f t="shared" ca="1" si="92"/>
        <v>#NAME?</v>
      </c>
      <c r="V170" s="505">
        <f>V171</f>
        <v>35000</v>
      </c>
      <c r="W170" s="505">
        <f>W171</f>
        <v>35000</v>
      </c>
      <c r="X170" s="506">
        <f>X171</f>
        <v>35000</v>
      </c>
      <c r="Y170" s="507">
        <f>Y171</f>
        <v>35000</v>
      </c>
      <c r="Z170" s="507"/>
      <c r="AA170" s="507"/>
      <c r="AB170" s="507"/>
      <c r="AC170" s="508">
        <f>AC171</f>
        <v>50000</v>
      </c>
      <c r="AD170" s="508">
        <f>AD171</f>
        <v>50000</v>
      </c>
      <c r="AE170" s="529">
        <f>O170/M170*100</f>
        <v>71.825062433927272</v>
      </c>
      <c r="AF170" s="529">
        <f>P170/O170*100</f>
        <v>522.34185518190259</v>
      </c>
      <c r="AG170" s="529">
        <f>Q170/P170*100</f>
        <v>26.923076923076923</v>
      </c>
      <c r="AH170" s="529">
        <f>AC170/Q170*100</f>
        <v>142.85714285714286</v>
      </c>
      <c r="AI170" s="507"/>
      <c r="AJ170" s="507">
        <v>35000</v>
      </c>
      <c r="AK170" s="507">
        <f>W170/R170*100</f>
        <v>100</v>
      </c>
      <c r="AL170" s="507">
        <f>X170/W170*100</f>
        <v>100</v>
      </c>
      <c r="AM170" s="507">
        <f>Y170/X170*100</f>
        <v>100</v>
      </c>
      <c r="AN170" s="530" t="e">
        <f ca="1">__xlfn.ISFORMULA(#REF!)</f>
        <v>#NAME?</v>
      </c>
      <c r="AO170" s="531" t="e">
        <f ca="1">__xlfn.ISFORMULA(#REF!)</f>
        <v>#NAME?</v>
      </c>
      <c r="AP170" s="510" t="e">
        <f t="shared" ca="1" si="70"/>
        <v>#NAME?</v>
      </c>
      <c r="AQ170" s="505">
        <f>AQ171</f>
        <v>38709.699999999997</v>
      </c>
      <c r="AR170" s="533">
        <f>V170/R170*100</f>
        <v>100</v>
      </c>
      <c r="AS170" s="533">
        <f t="shared" si="74"/>
        <v>100</v>
      </c>
      <c r="AT170" s="533">
        <f>W170/R170*100</f>
        <v>100</v>
      </c>
      <c r="AU170" s="533">
        <f t="shared" si="76"/>
        <v>110.59914285714285</v>
      </c>
      <c r="AV170" s="533">
        <f>AQ170/R170*100</f>
        <v>110.59914285714285</v>
      </c>
      <c r="AW170" s="612"/>
      <c r="AX170" s="612"/>
      <c r="AY170" s="612"/>
      <c r="AZ170" s="612"/>
      <c r="BA170" s="612"/>
      <c r="BB170" s="612"/>
      <c r="BC170" s="612"/>
      <c r="BD170" s="612"/>
      <c r="BE170" s="612"/>
      <c r="BF170" s="612"/>
      <c r="BG170" s="612"/>
      <c r="BH170" s="612"/>
      <c r="BI170" s="612"/>
    </row>
    <row r="171" spans="1:61" ht="12" customHeight="1">
      <c r="A171" s="51"/>
      <c r="B171" s="52"/>
      <c r="C171" s="52"/>
      <c r="D171" s="52"/>
      <c r="E171" s="52"/>
      <c r="F171" s="52"/>
      <c r="G171" s="52"/>
      <c r="H171" s="63">
        <v>6831</v>
      </c>
      <c r="I171" s="116"/>
      <c r="J171" s="117"/>
      <c r="K171" s="19" t="s">
        <v>200</v>
      </c>
      <c r="L171" s="129">
        <v>261076</v>
      </c>
      <c r="M171" s="129">
        <f>261076/7.5345</f>
        <v>34650.739929656913</v>
      </c>
      <c r="N171" s="130">
        <v>187518</v>
      </c>
      <c r="O171" s="130">
        <f>N171/7.5345</f>
        <v>24887.915588293847</v>
      </c>
      <c r="P171" s="131">
        <v>130000</v>
      </c>
      <c r="Q171" s="156">
        <v>35000</v>
      </c>
      <c r="R171" s="157">
        <v>35000</v>
      </c>
      <c r="S171" s="158"/>
      <c r="T171" s="158"/>
      <c r="U171" s="89" t="e">
        <f t="shared" ca="1" si="92"/>
        <v>#NAME?</v>
      </c>
      <c r="V171" s="505">
        <v>35000</v>
      </c>
      <c r="W171" s="505">
        <v>35000</v>
      </c>
      <c r="X171" s="534">
        <v>35000</v>
      </c>
      <c r="Y171" s="535">
        <v>35000</v>
      </c>
      <c r="Z171" s="535"/>
      <c r="AA171" s="535"/>
      <c r="AB171" s="535"/>
      <c r="AC171" s="529">
        <v>50000</v>
      </c>
      <c r="AD171" s="529">
        <v>50000</v>
      </c>
      <c r="AE171" s="529">
        <f>O171/M171*100</f>
        <v>71.825062433927272</v>
      </c>
      <c r="AF171" s="529">
        <f>P171/O171*100</f>
        <v>522.34185518190259</v>
      </c>
      <c r="AG171" s="529">
        <f>Q171/P171*100</f>
        <v>26.923076923076923</v>
      </c>
      <c r="AH171" s="529">
        <f>AC171/Q171*100</f>
        <v>142.85714285714286</v>
      </c>
      <c r="AI171" s="535"/>
      <c r="AJ171" s="535">
        <v>35000</v>
      </c>
      <c r="AK171" s="507">
        <f>W171/R171*100</f>
        <v>100</v>
      </c>
      <c r="AL171" s="507">
        <f>X171/W171*100</f>
        <v>100</v>
      </c>
      <c r="AM171" s="507">
        <f>Y171/X171*100</f>
        <v>100</v>
      </c>
      <c r="AN171" s="530" t="e">
        <f ca="1">__xlfn.ISFORMULA(#REF!)</f>
        <v>#NAME?</v>
      </c>
      <c r="AO171" s="531" t="e">
        <f ca="1">__xlfn.ISFORMULA(#REF!)</f>
        <v>#NAME?</v>
      </c>
      <c r="AP171" s="510" t="e">
        <f t="shared" ca="1" si="70"/>
        <v>#NAME?</v>
      </c>
      <c r="AQ171" s="505">
        <v>38709.699999999997</v>
      </c>
      <c r="AR171" s="533">
        <f>V171/R171*100</f>
        <v>100</v>
      </c>
      <c r="AS171" s="533">
        <f t="shared" si="74"/>
        <v>100</v>
      </c>
      <c r="AT171" s="533">
        <f>W171/R171*100</f>
        <v>100</v>
      </c>
      <c r="AU171" s="533">
        <f t="shared" si="76"/>
        <v>110.59914285714285</v>
      </c>
      <c r="AV171" s="533">
        <f>AQ171/R171*100</f>
        <v>110.59914285714285</v>
      </c>
      <c r="AW171" s="612">
        <f>AQ171</f>
        <v>38709.699999999997</v>
      </c>
      <c r="AX171" s="612"/>
      <c r="AY171" s="612"/>
      <c r="AZ171" s="612"/>
      <c r="BA171" s="612"/>
      <c r="BB171" s="612"/>
      <c r="BC171" s="612"/>
      <c r="BD171" s="612"/>
      <c r="BE171" s="612"/>
      <c r="BF171" s="612"/>
      <c r="BG171" s="612"/>
      <c r="BH171" s="612"/>
      <c r="BI171" s="612"/>
    </row>
    <row r="172" spans="1:61" ht="12" customHeight="1">
      <c r="A172" s="46"/>
      <c r="B172" s="41"/>
      <c r="C172" s="41"/>
      <c r="D172" s="41"/>
      <c r="E172" s="41"/>
      <c r="F172" s="41"/>
      <c r="G172" s="41"/>
      <c r="H172" s="37"/>
      <c r="I172" s="72"/>
      <c r="J172" s="90"/>
      <c r="K172" s="83"/>
      <c r="L172" s="84"/>
      <c r="M172" s="84"/>
      <c r="N172" s="85"/>
      <c r="O172" s="85"/>
      <c r="P172" s="86"/>
      <c r="Q172" s="86"/>
      <c r="R172" s="161"/>
      <c r="S172" s="155"/>
      <c r="T172" s="155"/>
      <c r="U172" s="89" t="e">
        <f t="shared" ca="1" si="92"/>
        <v>#NAME?</v>
      </c>
      <c r="V172" s="505"/>
      <c r="W172" s="505"/>
      <c r="X172" s="536"/>
      <c r="Y172" s="537"/>
      <c r="Z172" s="537"/>
      <c r="AA172" s="537"/>
      <c r="AB172" s="537"/>
      <c r="AC172" s="538"/>
      <c r="AD172" s="538"/>
      <c r="AE172" s="529"/>
      <c r="AF172" s="529"/>
      <c r="AG172" s="529"/>
      <c r="AH172" s="529"/>
      <c r="AI172" s="537"/>
      <c r="AJ172" s="537"/>
      <c r="AK172" s="507"/>
      <c r="AL172" s="507"/>
      <c r="AM172" s="507"/>
      <c r="AN172" s="530" t="e">
        <f ca="1">__xlfn.ISFORMULA(#REF!)</f>
        <v>#NAME?</v>
      </c>
      <c r="AO172" s="531" t="e">
        <f ca="1">__xlfn.ISFORMULA(#REF!)</f>
        <v>#NAME?</v>
      </c>
      <c r="AP172" s="510" t="e">
        <f t="shared" ca="1" si="70"/>
        <v>#NAME?</v>
      </c>
      <c r="AQ172" s="505"/>
      <c r="AR172" s="533"/>
      <c r="AS172" s="533"/>
      <c r="AT172" s="533"/>
      <c r="AU172" s="533"/>
      <c r="AV172" s="533"/>
      <c r="AW172" s="612"/>
      <c r="AX172" s="612"/>
      <c r="AY172" s="612"/>
      <c r="AZ172" s="612"/>
      <c r="BA172" s="612"/>
      <c r="BB172" s="612"/>
      <c r="BC172" s="612"/>
      <c r="BD172" s="612"/>
      <c r="BE172" s="612"/>
      <c r="BF172" s="612"/>
      <c r="BG172" s="612"/>
      <c r="BH172" s="612"/>
      <c r="BI172" s="612"/>
    </row>
    <row r="173" spans="1:61" ht="12" customHeight="1">
      <c r="A173" s="54"/>
      <c r="B173" s="55"/>
      <c r="C173" s="55"/>
      <c r="D173" s="55"/>
      <c r="E173" s="55"/>
      <c r="F173" s="55"/>
      <c r="G173" s="55"/>
      <c r="H173" s="56">
        <v>7</v>
      </c>
      <c r="I173" s="121"/>
      <c r="J173" s="122"/>
      <c r="K173" s="123" t="s">
        <v>201</v>
      </c>
      <c r="L173" s="111">
        <f t="shared" ref="L173:Q173" si="101">L175+L182</f>
        <v>57946</v>
      </c>
      <c r="M173" s="111">
        <f t="shared" si="101"/>
        <v>7690.7558563939201</v>
      </c>
      <c r="N173" s="112">
        <f t="shared" si="101"/>
        <v>2919</v>
      </c>
      <c r="O173" s="112">
        <f t="shared" si="101"/>
        <v>387.41787776229341</v>
      </c>
      <c r="P173" s="113">
        <f t="shared" si="101"/>
        <v>420530</v>
      </c>
      <c r="Q173" s="113">
        <f t="shared" si="101"/>
        <v>327930</v>
      </c>
      <c r="R173" s="160">
        <v>327930</v>
      </c>
      <c r="S173" s="89"/>
      <c r="T173" s="89"/>
      <c r="U173" s="89" t="e">
        <f t="shared" ca="1" si="92"/>
        <v>#NAME?</v>
      </c>
      <c r="V173" s="505">
        <f>V175+V182</f>
        <v>5130</v>
      </c>
      <c r="W173" s="505">
        <f>W175+W182</f>
        <v>5130</v>
      </c>
      <c r="X173" s="506">
        <f>X175+X182</f>
        <v>200530</v>
      </c>
      <c r="Y173" s="507">
        <f>Y175+Y182</f>
        <v>530</v>
      </c>
      <c r="Z173" s="507"/>
      <c r="AA173" s="507"/>
      <c r="AB173" s="507"/>
      <c r="AC173" s="508">
        <f>AC175+AC182</f>
        <v>100530</v>
      </c>
      <c r="AD173" s="508">
        <f>AD175+AD182</f>
        <v>100530</v>
      </c>
      <c r="AE173" s="529">
        <f>O173/M173*100</f>
        <v>5.0374486590964</v>
      </c>
      <c r="AF173" s="529"/>
      <c r="AG173" s="529"/>
      <c r="AH173" s="529"/>
      <c r="AI173" s="507"/>
      <c r="AJ173" s="507">
        <v>530</v>
      </c>
      <c r="AK173" s="507">
        <f>W173/R173*100</f>
        <v>1.5643582471868995</v>
      </c>
      <c r="AL173" s="507">
        <f>X173/W173*100</f>
        <v>3908.966861598441</v>
      </c>
      <c r="AM173" s="507">
        <f>Y173/X173*100</f>
        <v>0.26429960604398345</v>
      </c>
      <c r="AN173" s="530" t="e">
        <f ca="1">__xlfn.ISFORMULA(#REF!)</f>
        <v>#NAME?</v>
      </c>
      <c r="AO173" s="531" t="e">
        <f ca="1">__xlfn.ISFORMULA(#REF!)</f>
        <v>#NAME?</v>
      </c>
      <c r="AP173" s="510" t="e">
        <f t="shared" ca="1" si="70"/>
        <v>#NAME?</v>
      </c>
      <c r="AQ173" s="505">
        <f>AQ175+AQ182</f>
        <v>4971.54</v>
      </c>
      <c r="AR173" s="533">
        <f>V173/R173*100</f>
        <v>1.5643582471868995</v>
      </c>
      <c r="AS173" s="533">
        <f t="shared" si="74"/>
        <v>100</v>
      </c>
      <c r="AT173" s="533">
        <f>W173/R173*100</f>
        <v>1.5643582471868995</v>
      </c>
      <c r="AU173" s="533">
        <f t="shared" si="76"/>
        <v>96.911111111111111</v>
      </c>
      <c r="AV173" s="533">
        <f>AQ173/R173*100</f>
        <v>1.5160369591071265</v>
      </c>
      <c r="AW173" s="612"/>
      <c r="AX173" s="612"/>
      <c r="AY173" s="612"/>
      <c r="AZ173" s="612"/>
      <c r="BA173" s="612"/>
      <c r="BB173" s="612"/>
      <c r="BC173" s="612"/>
      <c r="BD173" s="612"/>
      <c r="BE173" s="612"/>
      <c r="BF173" s="612"/>
      <c r="BG173" s="612">
        <f>AQ173</f>
        <v>4971.54</v>
      </c>
      <c r="BH173" s="612"/>
      <c r="BI173" s="612"/>
    </row>
    <row r="174" spans="1:61" ht="12" customHeight="1">
      <c r="A174" s="166"/>
      <c r="B174" s="167"/>
      <c r="C174" s="167"/>
      <c r="D174" s="167"/>
      <c r="E174" s="167"/>
      <c r="F174" s="167"/>
      <c r="G174" s="167"/>
      <c r="H174" s="168"/>
      <c r="I174" s="173"/>
      <c r="J174" s="132"/>
      <c r="K174" s="19"/>
      <c r="L174" s="118"/>
      <c r="M174" s="118"/>
      <c r="N174" s="119"/>
      <c r="O174" s="119"/>
      <c r="P174" s="120"/>
      <c r="Q174" s="120"/>
      <c r="R174" s="178"/>
      <c r="S174" s="152"/>
      <c r="T174" s="152"/>
      <c r="U174" s="89" t="e">
        <f t="shared" ca="1" si="92"/>
        <v>#NAME?</v>
      </c>
      <c r="V174" s="505"/>
      <c r="W174" s="505"/>
      <c r="X174" s="534"/>
      <c r="Y174" s="535"/>
      <c r="Z174" s="535"/>
      <c r="AA174" s="535"/>
      <c r="AB174" s="535"/>
      <c r="AC174" s="529"/>
      <c r="AD174" s="529"/>
      <c r="AE174" s="529"/>
      <c r="AF174" s="529"/>
      <c r="AG174" s="529"/>
      <c r="AH174" s="529"/>
      <c r="AI174" s="535"/>
      <c r="AJ174" s="535"/>
      <c r="AK174" s="507"/>
      <c r="AL174" s="507"/>
      <c r="AM174" s="507"/>
      <c r="AN174" s="530" t="e">
        <f ca="1">__xlfn.ISFORMULA(#REF!)</f>
        <v>#NAME?</v>
      </c>
      <c r="AO174" s="531" t="e">
        <f ca="1">__xlfn.ISFORMULA(#REF!)</f>
        <v>#NAME?</v>
      </c>
      <c r="AP174" s="510" t="e">
        <f t="shared" ref="AP174:AP192" ca="1" si="102">__xlfn.ISFORMULA(X174)</f>
        <v>#NAME?</v>
      </c>
      <c r="AQ174" s="505"/>
      <c r="AR174" s="533"/>
      <c r="AS174" s="533"/>
      <c r="AT174" s="533"/>
      <c r="AU174" s="533"/>
      <c r="AV174" s="533"/>
      <c r="AW174" s="612"/>
      <c r="AX174" s="612"/>
      <c r="AY174" s="612"/>
      <c r="AZ174" s="612"/>
      <c r="BA174" s="612"/>
      <c r="BB174" s="612"/>
      <c r="BC174" s="612"/>
      <c r="BD174" s="612"/>
      <c r="BE174" s="612"/>
      <c r="BF174" s="612"/>
      <c r="BG174" s="612"/>
      <c r="BH174" s="612"/>
      <c r="BI174" s="612"/>
    </row>
    <row r="175" spans="1:61" ht="12" customHeight="1">
      <c r="A175" s="57"/>
      <c r="B175" s="58"/>
      <c r="C175" s="58"/>
      <c r="D175" s="58"/>
      <c r="E175" s="58"/>
      <c r="F175" s="58"/>
      <c r="G175" s="58"/>
      <c r="H175" s="59">
        <v>71</v>
      </c>
      <c r="I175" s="124"/>
      <c r="J175" s="125"/>
      <c r="K175" s="126" t="s">
        <v>202</v>
      </c>
      <c r="L175" s="111">
        <f t="shared" ref="L175:Q175" si="103">L177</f>
        <v>2000</v>
      </c>
      <c r="M175" s="111">
        <f t="shared" si="103"/>
        <v>265.44561682925212</v>
      </c>
      <c r="N175" s="112">
        <f t="shared" si="103"/>
        <v>0</v>
      </c>
      <c r="O175" s="112">
        <f t="shared" si="103"/>
        <v>0</v>
      </c>
      <c r="P175" s="113">
        <f t="shared" si="103"/>
        <v>420000</v>
      </c>
      <c r="Q175" s="113">
        <f t="shared" si="103"/>
        <v>327400</v>
      </c>
      <c r="R175" s="160">
        <v>327400</v>
      </c>
      <c r="S175" s="89"/>
      <c r="T175" s="89"/>
      <c r="U175" s="89" t="e">
        <f t="shared" ca="1" si="92"/>
        <v>#NAME?</v>
      </c>
      <c r="V175" s="505">
        <f>V177</f>
        <v>4600</v>
      </c>
      <c r="W175" s="505">
        <f>W177</f>
        <v>4600</v>
      </c>
      <c r="X175" s="506">
        <f>X177</f>
        <v>200000</v>
      </c>
      <c r="Y175" s="507">
        <f>Y177</f>
        <v>0</v>
      </c>
      <c r="Z175" s="507"/>
      <c r="AA175" s="507"/>
      <c r="AB175" s="507"/>
      <c r="AC175" s="508">
        <f>AC177</f>
        <v>100000</v>
      </c>
      <c r="AD175" s="508">
        <f>AD177</f>
        <v>100000</v>
      </c>
      <c r="AE175" s="529">
        <f>O175/M175*100</f>
        <v>0</v>
      </c>
      <c r="AF175" s="529"/>
      <c r="AG175" s="529"/>
      <c r="AH175" s="529"/>
      <c r="AI175" s="507"/>
      <c r="AJ175" s="507">
        <v>0</v>
      </c>
      <c r="AK175" s="507">
        <f>W175/R175*100</f>
        <v>1.4050091631032375</v>
      </c>
      <c r="AL175" s="507">
        <f>X175/W175*100</f>
        <v>4347.826086956522</v>
      </c>
      <c r="AM175" s="507"/>
      <c r="AN175" s="530" t="e">
        <f ca="1">__xlfn.ISFORMULA(#REF!)</f>
        <v>#NAME?</v>
      </c>
      <c r="AO175" s="531" t="e">
        <f ca="1">__xlfn.ISFORMULA(#REF!)</f>
        <v>#NAME?</v>
      </c>
      <c r="AP175" s="510" t="e">
        <f t="shared" ca="1" si="102"/>
        <v>#NAME?</v>
      </c>
      <c r="AQ175" s="505">
        <f>AQ177</f>
        <v>4613.33</v>
      </c>
      <c r="AR175" s="533">
        <f>V175/R175*100</f>
        <v>1.4050091631032375</v>
      </c>
      <c r="AS175" s="533">
        <f>W175/V175*100</f>
        <v>100</v>
      </c>
      <c r="AT175" s="533">
        <f>W175/R175*100</f>
        <v>1.4050091631032375</v>
      </c>
      <c r="AU175" s="533">
        <f>AQ175/W175*100</f>
        <v>100.28978260869566</v>
      </c>
      <c r="AV175" s="533">
        <f>AQ175/R175*100</f>
        <v>1.409080635308491</v>
      </c>
      <c r="AW175" s="612"/>
      <c r="AX175" s="612"/>
      <c r="AY175" s="612"/>
      <c r="AZ175" s="612"/>
      <c r="BA175" s="612"/>
      <c r="BB175" s="612"/>
      <c r="BC175" s="612"/>
      <c r="BD175" s="612"/>
      <c r="BE175" s="612"/>
      <c r="BF175" s="612"/>
      <c r="BG175" s="612"/>
      <c r="BH175" s="612"/>
      <c r="BI175" s="612"/>
    </row>
    <row r="176" spans="1:61" ht="12" customHeight="1">
      <c r="A176" s="51"/>
      <c r="B176" s="52"/>
      <c r="C176" s="52"/>
      <c r="D176" s="52"/>
      <c r="E176" s="52"/>
      <c r="F176" s="52"/>
      <c r="G176" s="52"/>
      <c r="H176" s="63"/>
      <c r="I176" s="116"/>
      <c r="J176" s="117"/>
      <c r="K176" s="19"/>
      <c r="L176" s="118"/>
      <c r="M176" s="118"/>
      <c r="N176" s="119"/>
      <c r="O176" s="119"/>
      <c r="P176" s="120"/>
      <c r="Q176" s="120"/>
      <c r="R176" s="178"/>
      <c r="S176" s="152"/>
      <c r="T176" s="152"/>
      <c r="U176" s="89" t="e">
        <f t="shared" ca="1" si="92"/>
        <v>#NAME?</v>
      </c>
      <c r="V176" s="505"/>
      <c r="W176" s="505"/>
      <c r="X176" s="534"/>
      <c r="Y176" s="535"/>
      <c r="Z176" s="535"/>
      <c r="AA176" s="535"/>
      <c r="AB176" s="535"/>
      <c r="AC176" s="529"/>
      <c r="AD176" s="529"/>
      <c r="AE176" s="529"/>
      <c r="AF176" s="529"/>
      <c r="AG176" s="529"/>
      <c r="AH176" s="529"/>
      <c r="AI176" s="535"/>
      <c r="AJ176" s="535"/>
      <c r="AK176" s="507"/>
      <c r="AL176" s="507"/>
      <c r="AM176" s="507"/>
      <c r="AN176" s="530" t="e">
        <f ca="1">__xlfn.ISFORMULA(#REF!)</f>
        <v>#NAME?</v>
      </c>
      <c r="AO176" s="531" t="e">
        <f ca="1">__xlfn.ISFORMULA(#REF!)</f>
        <v>#NAME?</v>
      </c>
      <c r="AP176" s="510" t="e">
        <f t="shared" ca="1" si="102"/>
        <v>#NAME?</v>
      </c>
      <c r="AQ176" s="505"/>
      <c r="AR176" s="533"/>
      <c r="AS176" s="533"/>
      <c r="AT176" s="533"/>
      <c r="AU176" s="533"/>
      <c r="AV176" s="533"/>
      <c r="AW176" s="612"/>
      <c r="AX176" s="612"/>
      <c r="AY176" s="612"/>
      <c r="AZ176" s="612"/>
      <c r="BA176" s="612"/>
      <c r="BB176" s="612"/>
      <c r="BC176" s="612"/>
      <c r="BD176" s="612"/>
      <c r="BE176" s="612"/>
      <c r="BF176" s="612"/>
      <c r="BG176" s="612"/>
      <c r="BH176" s="612"/>
      <c r="BI176" s="612"/>
    </row>
    <row r="177" spans="1:61" ht="12" customHeight="1">
      <c r="A177" s="60"/>
      <c r="B177" s="61"/>
      <c r="C177" s="61"/>
      <c r="D177" s="61"/>
      <c r="E177" s="61"/>
      <c r="F177" s="61"/>
      <c r="G177" s="61">
        <v>7</v>
      </c>
      <c r="H177" s="62">
        <v>711</v>
      </c>
      <c r="I177" s="127"/>
      <c r="J177" s="128"/>
      <c r="K177" s="20" t="s">
        <v>203</v>
      </c>
      <c r="L177" s="111">
        <f t="shared" ref="L177:Q178" si="104">L178</f>
        <v>2000</v>
      </c>
      <c r="M177" s="111">
        <f t="shared" si="104"/>
        <v>265.44561682925212</v>
      </c>
      <c r="N177" s="112">
        <f t="shared" si="104"/>
        <v>0</v>
      </c>
      <c r="O177" s="112">
        <f t="shared" si="104"/>
        <v>0</v>
      </c>
      <c r="P177" s="113">
        <f t="shared" si="104"/>
        <v>420000</v>
      </c>
      <c r="Q177" s="113">
        <f t="shared" si="104"/>
        <v>327400</v>
      </c>
      <c r="R177" s="160">
        <v>327400</v>
      </c>
      <c r="S177" s="89"/>
      <c r="T177" s="89"/>
      <c r="U177" s="89" t="e">
        <f t="shared" ca="1" si="92"/>
        <v>#NAME?</v>
      </c>
      <c r="V177" s="505">
        <f>V178</f>
        <v>4600</v>
      </c>
      <c r="W177" s="505">
        <f>W178</f>
        <v>4600</v>
      </c>
      <c r="X177" s="506">
        <f>X178</f>
        <v>200000</v>
      </c>
      <c r="Y177" s="507">
        <f>Y178</f>
        <v>0</v>
      </c>
      <c r="Z177" s="507"/>
      <c r="AA177" s="507"/>
      <c r="AB177" s="507"/>
      <c r="AC177" s="508">
        <f>AC178</f>
        <v>100000</v>
      </c>
      <c r="AD177" s="508">
        <f>AD178</f>
        <v>100000</v>
      </c>
      <c r="AE177" s="529">
        <f>O177/M177*100</f>
        <v>0</v>
      </c>
      <c r="AF177" s="529"/>
      <c r="AG177" s="529"/>
      <c r="AH177" s="529"/>
      <c r="AI177" s="507"/>
      <c r="AJ177" s="507">
        <v>0</v>
      </c>
      <c r="AK177" s="507">
        <f>W177/R177*100</f>
        <v>1.4050091631032375</v>
      </c>
      <c r="AL177" s="507">
        <f>X177/W177*100</f>
        <v>4347.826086956522</v>
      </c>
      <c r="AM177" s="507"/>
      <c r="AN177" s="530" t="e">
        <f ca="1">__xlfn.ISFORMULA(#REF!)</f>
        <v>#NAME?</v>
      </c>
      <c r="AO177" s="531" t="e">
        <f ca="1">__xlfn.ISFORMULA(#REF!)</f>
        <v>#NAME?</v>
      </c>
      <c r="AP177" s="510" t="e">
        <f t="shared" ca="1" si="102"/>
        <v>#NAME?</v>
      </c>
      <c r="AQ177" s="505">
        <f>AQ178</f>
        <v>4613.33</v>
      </c>
      <c r="AR177" s="533">
        <f>V177/R177*100</f>
        <v>1.4050091631032375</v>
      </c>
      <c r="AS177" s="533">
        <f>W177/V177*100</f>
        <v>100</v>
      </c>
      <c r="AT177" s="533">
        <f>W177/R177*100</f>
        <v>1.4050091631032375</v>
      </c>
      <c r="AU177" s="533">
        <f>AQ177/W177*100</f>
        <v>100.28978260869566</v>
      </c>
      <c r="AV177" s="533">
        <f>AQ177/R177*100</f>
        <v>1.409080635308491</v>
      </c>
      <c r="AW177" s="612"/>
      <c r="AX177" s="612"/>
      <c r="AY177" s="612"/>
      <c r="AZ177" s="612"/>
      <c r="BA177" s="612"/>
      <c r="BB177" s="612"/>
      <c r="BC177" s="612"/>
      <c r="BD177" s="612"/>
      <c r="BE177" s="612"/>
      <c r="BF177" s="612"/>
      <c r="BG177" s="612"/>
      <c r="BH177" s="612"/>
      <c r="BI177" s="612"/>
    </row>
    <row r="178" spans="1:61" ht="12" customHeight="1">
      <c r="A178" s="51"/>
      <c r="B178" s="52"/>
      <c r="C178" s="52"/>
      <c r="D178" s="52"/>
      <c r="E178" s="52"/>
      <c r="F178" s="52"/>
      <c r="G178" s="52"/>
      <c r="H178" s="63">
        <v>7111</v>
      </c>
      <c r="I178" s="116"/>
      <c r="J178" s="117"/>
      <c r="K178" s="19" t="s">
        <v>204</v>
      </c>
      <c r="L178" s="111">
        <f t="shared" si="104"/>
        <v>2000</v>
      </c>
      <c r="M178" s="111">
        <f t="shared" si="104"/>
        <v>265.44561682925212</v>
      </c>
      <c r="N178" s="112">
        <f t="shared" si="104"/>
        <v>0</v>
      </c>
      <c r="O178" s="112">
        <f t="shared" si="104"/>
        <v>0</v>
      </c>
      <c r="P178" s="113">
        <f t="shared" si="104"/>
        <v>420000</v>
      </c>
      <c r="Q178" s="113">
        <f t="shared" si="104"/>
        <v>327400</v>
      </c>
      <c r="R178" s="160">
        <v>327400</v>
      </c>
      <c r="S178" s="89"/>
      <c r="T178" s="89"/>
      <c r="U178" s="89" t="e">
        <f t="shared" ca="1" si="92"/>
        <v>#NAME?</v>
      </c>
      <c r="V178" s="505">
        <f>V181</f>
        <v>4600</v>
      </c>
      <c r="W178" s="505">
        <f>W181</f>
        <v>4600</v>
      </c>
      <c r="X178" s="506">
        <f>X179+X180+X181</f>
        <v>200000</v>
      </c>
      <c r="Y178" s="507">
        <f>Y181</f>
        <v>0</v>
      </c>
      <c r="Z178" s="507"/>
      <c r="AA178" s="507"/>
      <c r="AB178" s="507"/>
      <c r="AC178" s="508">
        <f>AC179</f>
        <v>100000</v>
      </c>
      <c r="AD178" s="508">
        <f>AD179</f>
        <v>100000</v>
      </c>
      <c r="AE178" s="529">
        <f>O178/M178*100</f>
        <v>0</v>
      </c>
      <c r="AF178" s="529"/>
      <c r="AG178" s="529"/>
      <c r="AH178" s="529"/>
      <c r="AI178" s="507"/>
      <c r="AJ178" s="507">
        <v>0</v>
      </c>
      <c r="AK178" s="507">
        <f>W178/R178*100</f>
        <v>1.4050091631032375</v>
      </c>
      <c r="AL178" s="507">
        <f>X178/W178*100</f>
        <v>4347.826086956522</v>
      </c>
      <c r="AM178" s="507"/>
      <c r="AN178" s="530" t="e">
        <f ca="1">__xlfn.ISFORMULA(#REF!)</f>
        <v>#NAME?</v>
      </c>
      <c r="AO178" s="531" t="e">
        <f ca="1">__xlfn.ISFORMULA(#REF!)</f>
        <v>#NAME?</v>
      </c>
      <c r="AP178" s="510" t="e">
        <f t="shared" ca="1" si="102"/>
        <v>#NAME?</v>
      </c>
      <c r="AQ178" s="505">
        <f>AQ179+AQ180+AQ181</f>
        <v>4613.33</v>
      </c>
      <c r="AR178" s="533">
        <f>V178/R178*100</f>
        <v>1.4050091631032375</v>
      </c>
      <c r="AS178" s="533">
        <f>W178/V178*100</f>
        <v>100</v>
      </c>
      <c r="AT178" s="533">
        <f>W178/R178*100</f>
        <v>1.4050091631032375</v>
      </c>
      <c r="AU178" s="533">
        <f>AQ178/W178*100</f>
        <v>100.28978260869566</v>
      </c>
      <c r="AV178" s="533">
        <f>AQ178/R178*100</f>
        <v>1.409080635308491</v>
      </c>
      <c r="AW178" s="612"/>
      <c r="AX178" s="612"/>
      <c r="AY178" s="612"/>
      <c r="AZ178" s="612"/>
      <c r="BA178" s="612"/>
      <c r="BB178" s="612"/>
      <c r="BC178" s="612"/>
      <c r="BD178" s="612"/>
      <c r="BE178" s="612"/>
      <c r="BF178" s="612"/>
      <c r="BG178" s="612"/>
      <c r="BH178" s="612"/>
      <c r="BI178" s="612"/>
    </row>
    <row r="179" spans="1:61" ht="12" customHeight="1">
      <c r="A179" s="51"/>
      <c r="B179" s="52"/>
      <c r="C179" s="52"/>
      <c r="D179" s="52"/>
      <c r="E179" s="52"/>
      <c r="F179" s="52"/>
      <c r="G179" s="52"/>
      <c r="H179" s="63">
        <v>71112</v>
      </c>
      <c r="I179" s="116"/>
      <c r="J179" s="117"/>
      <c r="K179" s="19" t="s">
        <v>205</v>
      </c>
      <c r="L179" s="129">
        <v>2000</v>
      </c>
      <c r="M179" s="129">
        <f>2000/7.5345</f>
        <v>265.44561682925212</v>
      </c>
      <c r="N179" s="130">
        <v>0</v>
      </c>
      <c r="O179" s="130">
        <v>0</v>
      </c>
      <c r="P179" s="131">
        <v>420000</v>
      </c>
      <c r="Q179" s="156">
        <v>327400</v>
      </c>
      <c r="R179" s="157">
        <v>327400</v>
      </c>
      <c r="S179" s="158"/>
      <c r="T179" s="158"/>
      <c r="U179" s="89" t="e">
        <f t="shared" ca="1" si="92"/>
        <v>#NAME?</v>
      </c>
      <c r="V179" s="505"/>
      <c r="W179" s="505"/>
      <c r="X179" s="534">
        <v>200000</v>
      </c>
      <c r="Y179" s="535"/>
      <c r="Z179" s="535"/>
      <c r="AA179" s="535"/>
      <c r="AB179" s="535"/>
      <c r="AC179" s="529">
        <v>100000</v>
      </c>
      <c r="AD179" s="529">
        <v>100000</v>
      </c>
      <c r="AE179" s="529">
        <f>O179/M179*100</f>
        <v>0</v>
      </c>
      <c r="AF179" s="529"/>
      <c r="AG179" s="529"/>
      <c r="AH179" s="529"/>
      <c r="AI179" s="535"/>
      <c r="AJ179" s="535"/>
      <c r="AK179" s="507">
        <f>W179/R179*100</f>
        <v>0</v>
      </c>
      <c r="AL179" s="507"/>
      <c r="AM179" s="507"/>
      <c r="AN179" s="530" t="e">
        <f ca="1">__xlfn.ISFORMULA(#REF!)</f>
        <v>#NAME?</v>
      </c>
      <c r="AO179" s="531" t="e">
        <f ca="1">__xlfn.ISFORMULA(#REF!)</f>
        <v>#NAME?</v>
      </c>
      <c r="AP179" s="510" t="e">
        <f t="shared" ca="1" si="102"/>
        <v>#NAME?</v>
      </c>
      <c r="AQ179" s="505"/>
      <c r="AR179" s="533">
        <f>V179/R179*100</f>
        <v>0</v>
      </c>
      <c r="AS179" s="533" t="e">
        <f>W179/V179*100</f>
        <v>#DIV/0!</v>
      </c>
      <c r="AT179" s="533">
        <f>W179/R179*100</f>
        <v>0</v>
      </c>
      <c r="AU179" s="533"/>
      <c r="AV179" s="533">
        <f>AQ179/R179*100</f>
        <v>0</v>
      </c>
      <c r="AW179" s="612"/>
      <c r="AX179" s="612"/>
      <c r="AY179" s="612"/>
      <c r="AZ179" s="612"/>
      <c r="BA179" s="612"/>
      <c r="BB179" s="612"/>
      <c r="BC179" s="612"/>
      <c r="BD179" s="612"/>
      <c r="BE179" s="612"/>
      <c r="BF179" s="612"/>
      <c r="BG179" s="612"/>
      <c r="BH179" s="612"/>
      <c r="BI179" s="612"/>
    </row>
    <row r="180" spans="1:61" ht="12" customHeight="1">
      <c r="A180" s="51"/>
      <c r="B180" s="52"/>
      <c r="C180" s="52"/>
      <c r="D180" s="52"/>
      <c r="E180" s="52"/>
      <c r="F180" s="52"/>
      <c r="G180" s="52"/>
      <c r="H180" s="63">
        <v>71112</v>
      </c>
      <c r="I180" s="116"/>
      <c r="J180" s="117"/>
      <c r="K180" s="185" t="s">
        <v>206</v>
      </c>
      <c r="L180" s="118"/>
      <c r="M180" s="118"/>
      <c r="N180" s="119"/>
      <c r="O180" s="119"/>
      <c r="P180" s="120"/>
      <c r="Q180" s="120"/>
      <c r="R180" s="178"/>
      <c r="S180" s="152"/>
      <c r="T180" s="152"/>
      <c r="U180" s="89" t="e">
        <f t="shared" ca="1" si="92"/>
        <v>#NAME?</v>
      </c>
      <c r="V180" s="505"/>
      <c r="W180" s="505"/>
      <c r="X180" s="534"/>
      <c r="Y180" s="535"/>
      <c r="Z180" s="535"/>
      <c r="AA180" s="535"/>
      <c r="AB180" s="535"/>
      <c r="AC180" s="529"/>
      <c r="AD180" s="529"/>
      <c r="AE180" s="529"/>
      <c r="AF180" s="529"/>
      <c r="AG180" s="529"/>
      <c r="AH180" s="529"/>
      <c r="AI180" s="535"/>
      <c r="AJ180" s="535"/>
      <c r="AK180" s="507"/>
      <c r="AL180" s="507"/>
      <c r="AM180" s="507"/>
      <c r="AN180" s="530" t="e">
        <f ca="1">__xlfn.ISFORMULA(#REF!)</f>
        <v>#NAME?</v>
      </c>
      <c r="AO180" s="531" t="e">
        <f ca="1">__xlfn.ISFORMULA(#REF!)</f>
        <v>#NAME?</v>
      </c>
      <c r="AP180" s="510" t="e">
        <f t="shared" ca="1" si="102"/>
        <v>#NAME?</v>
      </c>
      <c r="AQ180" s="505"/>
      <c r="AR180" s="533"/>
      <c r="AS180" s="533"/>
      <c r="AT180" s="533"/>
      <c r="AU180" s="533"/>
      <c r="AV180" s="533"/>
      <c r="AW180" s="612"/>
      <c r="AX180" s="612"/>
      <c r="AY180" s="612"/>
      <c r="AZ180" s="612"/>
      <c r="BA180" s="612"/>
      <c r="BB180" s="612"/>
      <c r="BC180" s="612"/>
      <c r="BD180" s="612"/>
      <c r="BE180" s="612"/>
      <c r="BF180" s="612"/>
      <c r="BG180" s="612"/>
      <c r="BH180" s="612"/>
      <c r="BI180" s="612"/>
    </row>
    <row r="181" spans="1:61" ht="12" customHeight="1">
      <c r="A181" s="51"/>
      <c r="B181" s="52"/>
      <c r="C181" s="52"/>
      <c r="D181" s="52"/>
      <c r="E181" s="52"/>
      <c r="F181" s="52"/>
      <c r="G181" s="52"/>
      <c r="H181" s="63">
        <v>71119</v>
      </c>
      <c r="I181" s="116"/>
      <c r="J181" s="117"/>
      <c r="K181" s="185" t="s">
        <v>207</v>
      </c>
      <c r="L181" s="129"/>
      <c r="M181" s="129"/>
      <c r="N181" s="130"/>
      <c r="O181" s="130"/>
      <c r="P181" s="131"/>
      <c r="Q181" s="131"/>
      <c r="R181" s="157"/>
      <c r="S181" s="158"/>
      <c r="T181" s="158"/>
      <c r="U181" s="89" t="e">
        <f t="shared" ca="1" si="92"/>
        <v>#NAME?</v>
      </c>
      <c r="V181" s="505">
        <v>4600</v>
      </c>
      <c r="W181" s="505">
        <v>4600</v>
      </c>
      <c r="X181" s="534"/>
      <c r="Y181" s="535"/>
      <c r="Z181" s="535"/>
      <c r="AA181" s="535"/>
      <c r="AB181" s="535"/>
      <c r="AC181" s="529"/>
      <c r="AD181" s="529"/>
      <c r="AE181" s="529"/>
      <c r="AF181" s="529"/>
      <c r="AG181" s="529"/>
      <c r="AH181" s="529"/>
      <c r="AI181" s="535"/>
      <c r="AJ181" s="535"/>
      <c r="AK181" s="507"/>
      <c r="AL181" s="507">
        <f>X181/W181*100</f>
        <v>0</v>
      </c>
      <c r="AM181" s="507"/>
      <c r="AN181" s="530" t="e">
        <f ca="1">__xlfn.ISFORMULA(#REF!)</f>
        <v>#NAME?</v>
      </c>
      <c r="AO181" s="531" t="e">
        <f ca="1">__xlfn.ISFORMULA(#REF!)</f>
        <v>#NAME?</v>
      </c>
      <c r="AP181" s="510" t="e">
        <f t="shared" ca="1" si="102"/>
        <v>#NAME?</v>
      </c>
      <c r="AQ181" s="505">
        <v>4613.33</v>
      </c>
      <c r="AR181" s="533"/>
      <c r="AS181" s="533"/>
      <c r="AT181" s="533"/>
      <c r="AU181" s="533">
        <f>AQ181/W181*100</f>
        <v>100.28978260869566</v>
      </c>
      <c r="AV181" s="533"/>
      <c r="AW181" s="612"/>
      <c r="AX181" s="612"/>
      <c r="AY181" s="612"/>
      <c r="AZ181" s="612"/>
      <c r="BA181" s="612"/>
      <c r="BB181" s="612"/>
      <c r="BC181" s="612"/>
      <c r="BD181" s="612"/>
      <c r="BE181" s="612"/>
      <c r="BF181" s="612"/>
      <c r="BG181" s="612"/>
      <c r="BH181" s="612"/>
      <c r="BI181" s="612"/>
    </row>
    <row r="182" spans="1:61" ht="12" customHeight="1">
      <c r="A182" s="57"/>
      <c r="B182" s="58"/>
      <c r="C182" s="58"/>
      <c r="D182" s="58"/>
      <c r="E182" s="58"/>
      <c r="F182" s="58"/>
      <c r="G182" s="58"/>
      <c r="H182" s="59">
        <v>72</v>
      </c>
      <c r="I182" s="124"/>
      <c r="J182" s="125"/>
      <c r="K182" s="126" t="s">
        <v>208</v>
      </c>
      <c r="L182" s="111">
        <f t="shared" ref="L182:Q182" si="105">L184</f>
        <v>55946</v>
      </c>
      <c r="M182" s="111">
        <f t="shared" si="105"/>
        <v>7425.3102395646683</v>
      </c>
      <c r="N182" s="112">
        <f t="shared" si="105"/>
        <v>2919</v>
      </c>
      <c r="O182" s="112">
        <f t="shared" si="105"/>
        <v>387.41787776229341</v>
      </c>
      <c r="P182" s="113">
        <f t="shared" si="105"/>
        <v>530</v>
      </c>
      <c r="Q182" s="113">
        <f t="shared" si="105"/>
        <v>530</v>
      </c>
      <c r="R182" s="160">
        <v>530</v>
      </c>
      <c r="S182" s="89"/>
      <c r="T182" s="89"/>
      <c r="U182" s="89" t="e">
        <f t="shared" ca="1" si="92"/>
        <v>#NAME?</v>
      </c>
      <c r="V182" s="505">
        <f>V184</f>
        <v>530</v>
      </c>
      <c r="W182" s="505">
        <f>W184</f>
        <v>530</v>
      </c>
      <c r="X182" s="506">
        <f>X184</f>
        <v>530</v>
      </c>
      <c r="Y182" s="507">
        <f>Y184</f>
        <v>530</v>
      </c>
      <c r="Z182" s="507"/>
      <c r="AA182" s="507"/>
      <c r="AB182" s="507"/>
      <c r="AC182" s="508">
        <f>AC184</f>
        <v>530</v>
      </c>
      <c r="AD182" s="508">
        <f>AD184</f>
        <v>530</v>
      </c>
      <c r="AE182" s="529">
        <f>O182/M182*100</f>
        <v>5.2175311907911199</v>
      </c>
      <c r="AF182" s="529"/>
      <c r="AG182" s="529"/>
      <c r="AH182" s="529"/>
      <c r="AI182" s="507"/>
      <c r="AJ182" s="507">
        <v>530</v>
      </c>
      <c r="AK182" s="507">
        <f>W182/R182*100</f>
        <v>100</v>
      </c>
      <c r="AL182" s="507">
        <f>X182/W182*100</f>
        <v>100</v>
      </c>
      <c r="AM182" s="507">
        <f>Y182/X182*100</f>
        <v>100</v>
      </c>
      <c r="AN182" s="530" t="e">
        <f ca="1">__xlfn.ISFORMULA(#REF!)</f>
        <v>#NAME?</v>
      </c>
      <c r="AO182" s="531" t="e">
        <f ca="1">__xlfn.ISFORMULA(#REF!)</f>
        <v>#NAME?</v>
      </c>
      <c r="AP182" s="510" t="e">
        <f t="shared" ca="1" si="102"/>
        <v>#NAME?</v>
      </c>
      <c r="AQ182" s="505">
        <f>AQ184</f>
        <v>358.21</v>
      </c>
      <c r="AR182" s="533">
        <f>V182/R182*100</f>
        <v>100</v>
      </c>
      <c r="AS182" s="533">
        <f>W182/V182*100</f>
        <v>100</v>
      </c>
      <c r="AT182" s="533">
        <f>W182/R182*100</f>
        <v>100</v>
      </c>
      <c r="AU182" s="533">
        <f>AQ182/W182*100</f>
        <v>67.586792452830181</v>
      </c>
      <c r="AV182" s="533">
        <f>AQ182/R182*100</f>
        <v>67.586792452830181</v>
      </c>
      <c r="AW182" s="612"/>
      <c r="AX182" s="612"/>
      <c r="AY182" s="612"/>
      <c r="AZ182" s="612"/>
      <c r="BA182" s="612"/>
      <c r="BB182" s="612"/>
      <c r="BC182" s="612"/>
      <c r="BD182" s="612"/>
      <c r="BE182" s="612"/>
      <c r="BF182" s="612"/>
      <c r="BG182" s="612"/>
      <c r="BH182" s="612"/>
      <c r="BI182" s="612"/>
    </row>
    <row r="183" spans="1:61" ht="12" customHeight="1">
      <c r="A183" s="46"/>
      <c r="B183" s="41"/>
      <c r="C183" s="41"/>
      <c r="D183" s="41"/>
      <c r="E183" s="41"/>
      <c r="F183" s="41"/>
      <c r="G183" s="41"/>
      <c r="H183" s="37"/>
      <c r="I183" s="72"/>
      <c r="J183" s="90"/>
      <c r="K183" s="83"/>
      <c r="L183" s="84"/>
      <c r="M183" s="84"/>
      <c r="N183" s="85"/>
      <c r="O183" s="85"/>
      <c r="P183" s="86"/>
      <c r="Q183" s="86"/>
      <c r="R183" s="161"/>
      <c r="S183" s="155"/>
      <c r="T183" s="155"/>
      <c r="U183" s="89" t="e">
        <f t="shared" ca="1" si="92"/>
        <v>#NAME?</v>
      </c>
      <c r="V183" s="505"/>
      <c r="W183" s="505"/>
      <c r="X183" s="536"/>
      <c r="Y183" s="537"/>
      <c r="Z183" s="537"/>
      <c r="AA183" s="537"/>
      <c r="AB183" s="537"/>
      <c r="AC183" s="538"/>
      <c r="AD183" s="538"/>
      <c r="AE183" s="529"/>
      <c r="AF183" s="529"/>
      <c r="AG183" s="529"/>
      <c r="AH183" s="529"/>
      <c r="AI183" s="537"/>
      <c r="AJ183" s="537"/>
      <c r="AK183" s="507"/>
      <c r="AL183" s="507"/>
      <c r="AM183" s="507"/>
      <c r="AN183" s="530" t="e">
        <f ca="1">__xlfn.ISFORMULA(#REF!)</f>
        <v>#NAME?</v>
      </c>
      <c r="AO183" s="531" t="e">
        <f ca="1">__xlfn.ISFORMULA(#REF!)</f>
        <v>#NAME?</v>
      </c>
      <c r="AP183" s="510" t="e">
        <f t="shared" ca="1" si="102"/>
        <v>#NAME?</v>
      </c>
      <c r="AQ183" s="505"/>
      <c r="AR183" s="533"/>
      <c r="AS183" s="533"/>
      <c r="AT183" s="533"/>
      <c r="AU183" s="533"/>
      <c r="AV183" s="533"/>
      <c r="AW183" s="612"/>
      <c r="AX183" s="612"/>
      <c r="AY183" s="612"/>
      <c r="AZ183" s="612"/>
      <c r="BA183" s="612"/>
      <c r="BB183" s="612"/>
      <c r="BC183" s="612"/>
      <c r="BD183" s="612"/>
      <c r="BE183" s="612"/>
      <c r="BF183" s="612"/>
      <c r="BG183" s="612"/>
      <c r="BH183" s="612"/>
      <c r="BI183" s="612"/>
    </row>
    <row r="184" spans="1:61" ht="12" customHeight="1">
      <c r="A184" s="60"/>
      <c r="B184" s="61"/>
      <c r="C184" s="61"/>
      <c r="D184" s="61"/>
      <c r="E184" s="61"/>
      <c r="F184" s="61"/>
      <c r="G184" s="61">
        <v>7</v>
      </c>
      <c r="H184" s="62">
        <v>721</v>
      </c>
      <c r="I184" s="127"/>
      <c r="J184" s="128"/>
      <c r="K184" s="20" t="s">
        <v>209</v>
      </c>
      <c r="L184" s="111">
        <f t="shared" ref="L184:Q184" si="106">L186+L189+L191</f>
        <v>55946</v>
      </c>
      <c r="M184" s="111">
        <f t="shared" si="106"/>
        <v>7425.3102395646683</v>
      </c>
      <c r="N184" s="112">
        <f t="shared" si="106"/>
        <v>2919</v>
      </c>
      <c r="O184" s="112">
        <f t="shared" si="106"/>
        <v>387.41787776229341</v>
      </c>
      <c r="P184" s="113">
        <f t="shared" si="106"/>
        <v>530</v>
      </c>
      <c r="Q184" s="113">
        <f t="shared" si="106"/>
        <v>530</v>
      </c>
      <c r="R184" s="160">
        <v>530</v>
      </c>
      <c r="S184" s="89"/>
      <c r="T184" s="89"/>
      <c r="U184" s="89" t="e">
        <f t="shared" ca="1" si="92"/>
        <v>#NAME?</v>
      </c>
      <c r="V184" s="505">
        <f>V186</f>
        <v>530</v>
      </c>
      <c r="W184" s="505">
        <f>W186</f>
        <v>530</v>
      </c>
      <c r="X184" s="506">
        <f>X186</f>
        <v>530</v>
      </c>
      <c r="Y184" s="507">
        <f>Y186</f>
        <v>530</v>
      </c>
      <c r="Z184" s="507"/>
      <c r="AA184" s="507"/>
      <c r="AB184" s="507"/>
      <c r="AC184" s="508">
        <f>AC186+AC189+AC191</f>
        <v>530</v>
      </c>
      <c r="AD184" s="508">
        <f>AD186+AD189+AD191</f>
        <v>530</v>
      </c>
      <c r="AE184" s="529">
        <f>O184/M184*100</f>
        <v>5.2175311907911199</v>
      </c>
      <c r="AF184" s="529"/>
      <c r="AG184" s="529"/>
      <c r="AH184" s="529"/>
      <c r="AI184" s="507"/>
      <c r="AJ184" s="507">
        <v>530</v>
      </c>
      <c r="AK184" s="507">
        <f>W184/R184*100</f>
        <v>100</v>
      </c>
      <c r="AL184" s="507">
        <f>X184/W184*100</f>
        <v>100</v>
      </c>
      <c r="AM184" s="507">
        <f>Y184/X184*100</f>
        <v>100</v>
      </c>
      <c r="AN184" s="530" t="e">
        <f ca="1">__xlfn.ISFORMULA(#REF!)</f>
        <v>#NAME?</v>
      </c>
      <c r="AO184" s="531" t="e">
        <f ca="1">__xlfn.ISFORMULA(#REF!)</f>
        <v>#NAME?</v>
      </c>
      <c r="AP184" s="510" t="e">
        <f t="shared" ca="1" si="102"/>
        <v>#NAME?</v>
      </c>
      <c r="AQ184" s="505">
        <f>AQ186</f>
        <v>358.21</v>
      </c>
      <c r="AR184" s="533">
        <f>V184/R184*100</f>
        <v>100</v>
      </c>
      <c r="AS184" s="533">
        <f>W184/V184*100</f>
        <v>100</v>
      </c>
      <c r="AT184" s="533">
        <f>W184/R184*100</f>
        <v>100</v>
      </c>
      <c r="AU184" s="533">
        <f>AQ184/W184*100</f>
        <v>67.586792452830181</v>
      </c>
      <c r="AV184" s="533">
        <f>AQ184/R184*100</f>
        <v>67.586792452830181</v>
      </c>
      <c r="AW184" s="612"/>
      <c r="AX184" s="612"/>
      <c r="AY184" s="612"/>
      <c r="AZ184" s="612"/>
      <c r="BA184" s="612"/>
      <c r="BB184" s="612"/>
      <c r="BC184" s="612"/>
      <c r="BD184" s="612"/>
      <c r="BE184" s="612"/>
      <c r="BF184" s="612"/>
      <c r="BG184" s="612"/>
      <c r="BH184" s="612"/>
      <c r="BI184" s="612"/>
    </row>
    <row r="185" spans="1:61" ht="12" customHeight="1">
      <c r="A185" s="46"/>
      <c r="B185" s="41"/>
      <c r="C185" s="41"/>
      <c r="D185" s="41"/>
      <c r="E185" s="41"/>
      <c r="F185" s="41"/>
      <c r="G185" s="41"/>
      <c r="H185" s="37"/>
      <c r="I185" s="72"/>
      <c r="J185" s="73"/>
      <c r="K185" s="83"/>
      <c r="L185" s="84"/>
      <c r="M185" s="84"/>
      <c r="N185" s="85"/>
      <c r="O185" s="85"/>
      <c r="P185" s="86"/>
      <c r="Q185" s="86"/>
      <c r="R185" s="161"/>
      <c r="S185" s="155"/>
      <c r="T185" s="155"/>
      <c r="U185" s="89" t="e">
        <f t="shared" ca="1" si="92"/>
        <v>#NAME?</v>
      </c>
      <c r="V185" s="505"/>
      <c r="W185" s="505"/>
      <c r="X185" s="536"/>
      <c r="Y185" s="537"/>
      <c r="Z185" s="537"/>
      <c r="AA185" s="537"/>
      <c r="AB185" s="537"/>
      <c r="AC185" s="538"/>
      <c r="AD185" s="538"/>
      <c r="AE185" s="529"/>
      <c r="AF185" s="529"/>
      <c r="AG185" s="529"/>
      <c r="AH185" s="529"/>
      <c r="AI185" s="537"/>
      <c r="AJ185" s="537"/>
      <c r="AK185" s="507"/>
      <c r="AL185" s="507"/>
      <c r="AM185" s="507"/>
      <c r="AN185" s="530" t="e">
        <f ca="1">__xlfn.ISFORMULA(#REF!)</f>
        <v>#NAME?</v>
      </c>
      <c r="AO185" s="531" t="e">
        <f ca="1">__xlfn.ISFORMULA(#REF!)</f>
        <v>#NAME?</v>
      </c>
      <c r="AP185" s="510" t="e">
        <f t="shared" ca="1" si="102"/>
        <v>#NAME?</v>
      </c>
      <c r="AQ185" s="505"/>
      <c r="AR185" s="533"/>
      <c r="AS185" s="533"/>
      <c r="AT185" s="533"/>
      <c r="AU185" s="533"/>
      <c r="AV185" s="533"/>
      <c r="AW185" s="612"/>
      <c r="AX185" s="612"/>
      <c r="AY185" s="612"/>
      <c r="AZ185" s="612"/>
      <c r="BA185" s="612"/>
      <c r="BB185" s="612"/>
      <c r="BC185" s="612"/>
      <c r="BD185" s="612"/>
      <c r="BE185" s="612"/>
      <c r="BF185" s="612"/>
      <c r="BG185" s="612"/>
      <c r="BH185" s="612"/>
      <c r="BI185" s="612"/>
    </row>
    <row r="186" spans="1:61" ht="12" customHeight="1">
      <c r="A186" s="51"/>
      <c r="B186" s="52"/>
      <c r="C186" s="52"/>
      <c r="D186" s="52"/>
      <c r="E186" s="52"/>
      <c r="F186" s="52"/>
      <c r="G186" s="52"/>
      <c r="H186" s="63">
        <v>7211</v>
      </c>
      <c r="I186" s="116"/>
      <c r="J186" s="117"/>
      <c r="K186" s="19" t="s">
        <v>210</v>
      </c>
      <c r="L186" s="111">
        <f t="shared" ref="L186:Q186" si="107">L187+L188</f>
        <v>4046</v>
      </c>
      <c r="M186" s="111">
        <f t="shared" si="107"/>
        <v>536.99648284557702</v>
      </c>
      <c r="N186" s="112">
        <f t="shared" si="107"/>
        <v>2919</v>
      </c>
      <c r="O186" s="112">
        <f t="shared" si="107"/>
        <v>387.41787776229341</v>
      </c>
      <c r="P186" s="113">
        <f t="shared" si="107"/>
        <v>530</v>
      </c>
      <c r="Q186" s="113">
        <f t="shared" si="107"/>
        <v>530</v>
      </c>
      <c r="R186" s="160">
        <v>530</v>
      </c>
      <c r="S186" s="89"/>
      <c r="T186" s="89"/>
      <c r="U186" s="89" t="e">
        <f t="shared" ca="1" si="92"/>
        <v>#NAME?</v>
      </c>
      <c r="V186" s="505">
        <f>V187</f>
        <v>530</v>
      </c>
      <c r="W186" s="505">
        <f>W187</f>
        <v>530</v>
      </c>
      <c r="X186" s="506">
        <f>X187</f>
        <v>530</v>
      </c>
      <c r="Y186" s="507">
        <f>Y187</f>
        <v>530</v>
      </c>
      <c r="Z186" s="507"/>
      <c r="AA186" s="507"/>
      <c r="AB186" s="507"/>
      <c r="AC186" s="508">
        <f>AC187+AC188</f>
        <v>530</v>
      </c>
      <c r="AD186" s="508">
        <f>AD187+AD188</f>
        <v>530</v>
      </c>
      <c r="AE186" s="529">
        <f>O186/M186*100</f>
        <v>72.145328719723182</v>
      </c>
      <c r="AF186" s="529"/>
      <c r="AG186" s="529"/>
      <c r="AH186" s="529"/>
      <c r="AI186" s="507"/>
      <c r="AJ186" s="507">
        <v>530</v>
      </c>
      <c r="AK186" s="507">
        <f>W186/R186*100</f>
        <v>100</v>
      </c>
      <c r="AL186" s="507">
        <f>X186/W186*100</f>
        <v>100</v>
      </c>
      <c r="AM186" s="507">
        <f>Y186/X186*100</f>
        <v>100</v>
      </c>
      <c r="AN186" s="530" t="e">
        <f ca="1">__xlfn.ISFORMULA(#REF!)</f>
        <v>#NAME?</v>
      </c>
      <c r="AO186" s="531" t="e">
        <f ca="1">__xlfn.ISFORMULA(#REF!)</f>
        <v>#NAME?</v>
      </c>
      <c r="AP186" s="510" t="e">
        <f t="shared" ca="1" si="102"/>
        <v>#NAME?</v>
      </c>
      <c r="AQ186" s="505">
        <f>AQ187</f>
        <v>358.21</v>
      </c>
      <c r="AR186" s="533">
        <f>V186/R186*100</f>
        <v>100</v>
      </c>
      <c r="AS186" s="533">
        <f>W186/V186*100</f>
        <v>100</v>
      </c>
      <c r="AT186" s="533">
        <f>W186/R186*100</f>
        <v>100</v>
      </c>
      <c r="AU186" s="533">
        <f>AQ186/W186*100</f>
        <v>67.586792452830181</v>
      </c>
      <c r="AV186" s="533">
        <f>AQ186/R186*100</f>
        <v>67.586792452830181</v>
      </c>
      <c r="AW186" s="612"/>
      <c r="AX186" s="612"/>
      <c r="AY186" s="612"/>
      <c r="AZ186" s="612"/>
      <c r="BA186" s="612"/>
      <c r="BB186" s="612"/>
      <c r="BC186" s="612"/>
      <c r="BD186" s="612"/>
      <c r="BE186" s="612"/>
      <c r="BF186" s="612"/>
      <c r="BG186" s="612"/>
      <c r="BH186" s="612"/>
      <c r="BI186" s="612"/>
    </row>
    <row r="187" spans="1:61" ht="12" customHeight="1">
      <c r="A187" s="51"/>
      <c r="B187" s="52"/>
      <c r="C187" s="52"/>
      <c r="D187" s="52"/>
      <c r="E187" s="52"/>
      <c r="F187" s="52"/>
      <c r="G187" s="52"/>
      <c r="H187" s="63">
        <v>72119</v>
      </c>
      <c r="I187" s="116"/>
      <c r="J187" s="117"/>
      <c r="K187" s="19" t="s">
        <v>211</v>
      </c>
      <c r="L187" s="129">
        <v>4046</v>
      </c>
      <c r="M187" s="129">
        <f>4046/7.5345</f>
        <v>536.99648284557702</v>
      </c>
      <c r="N187" s="130">
        <v>2919</v>
      </c>
      <c r="O187" s="130">
        <f>N187/7.5345</f>
        <v>387.41787776229341</v>
      </c>
      <c r="P187" s="131">
        <v>530</v>
      </c>
      <c r="Q187" s="131">
        <v>530</v>
      </c>
      <c r="R187" s="157">
        <v>530</v>
      </c>
      <c r="S187" s="158"/>
      <c r="T187" s="158"/>
      <c r="U187" s="89" t="e">
        <f t="shared" ca="1" si="92"/>
        <v>#NAME?</v>
      </c>
      <c r="V187" s="505">
        <v>530</v>
      </c>
      <c r="W187" s="505">
        <v>530</v>
      </c>
      <c r="X187" s="534">
        <v>530</v>
      </c>
      <c r="Y187" s="535">
        <v>530</v>
      </c>
      <c r="Z187" s="535"/>
      <c r="AA187" s="535"/>
      <c r="AB187" s="535"/>
      <c r="AC187" s="529">
        <v>530</v>
      </c>
      <c r="AD187" s="529">
        <v>530</v>
      </c>
      <c r="AE187" s="529">
        <f>O187/M187*100</f>
        <v>72.145328719723182</v>
      </c>
      <c r="AF187" s="529">
        <f>P187/O187*100</f>
        <v>136.8031860226105</v>
      </c>
      <c r="AG187" s="529">
        <f>Q187/P187*100</f>
        <v>100</v>
      </c>
      <c r="AH187" s="529">
        <f>AC187/Q187*100</f>
        <v>100</v>
      </c>
      <c r="AI187" s="535"/>
      <c r="AJ187" s="535">
        <v>530</v>
      </c>
      <c r="AK187" s="507">
        <f>W187/R187*100</f>
        <v>100</v>
      </c>
      <c r="AL187" s="507">
        <f>X187/W187*100</f>
        <v>100</v>
      </c>
      <c r="AM187" s="507">
        <f>Y187/X187*100</f>
        <v>100</v>
      </c>
      <c r="AN187" s="530" t="e">
        <f ca="1">__xlfn.ISFORMULA(#REF!)</f>
        <v>#NAME?</v>
      </c>
      <c r="AO187" s="531" t="e">
        <f ca="1">__xlfn.ISFORMULA(#REF!)</f>
        <v>#NAME?</v>
      </c>
      <c r="AP187" s="510" t="e">
        <f t="shared" ca="1" si="102"/>
        <v>#NAME?</v>
      </c>
      <c r="AQ187" s="505">
        <v>358.21</v>
      </c>
      <c r="AR187" s="533">
        <f>V187/R187*100</f>
        <v>100</v>
      </c>
      <c r="AS187" s="533">
        <f>W187/V187*100</f>
        <v>100</v>
      </c>
      <c r="AT187" s="533">
        <f>W187/R187*100</f>
        <v>100</v>
      </c>
      <c r="AU187" s="533">
        <f>AQ187/W187*100</f>
        <v>67.586792452830181</v>
      </c>
      <c r="AV187" s="533">
        <f>AQ187/R187*100</f>
        <v>67.586792452830181</v>
      </c>
      <c r="AW187" s="612"/>
      <c r="AX187" s="612"/>
      <c r="AY187" s="612"/>
      <c r="AZ187" s="612"/>
      <c r="BA187" s="612"/>
      <c r="BB187" s="612"/>
      <c r="BC187" s="612"/>
      <c r="BD187" s="612"/>
      <c r="BE187" s="612"/>
      <c r="BF187" s="612"/>
      <c r="BG187" s="612"/>
      <c r="BH187" s="612"/>
      <c r="BI187" s="612"/>
    </row>
    <row r="188" spans="1:61" ht="12" customHeight="1">
      <c r="A188" s="51"/>
      <c r="B188" s="52"/>
      <c r="C188" s="52"/>
      <c r="D188" s="52"/>
      <c r="E188" s="52"/>
      <c r="F188" s="52"/>
      <c r="G188" s="52"/>
      <c r="H188" s="63">
        <v>72119</v>
      </c>
      <c r="I188" s="116"/>
      <c r="J188" s="117"/>
      <c r="K188" s="19" t="s">
        <v>212</v>
      </c>
      <c r="L188" s="129">
        <v>0</v>
      </c>
      <c r="M188" s="129">
        <v>0</v>
      </c>
      <c r="N188" s="130">
        <v>0</v>
      </c>
      <c r="O188" s="130">
        <v>0</v>
      </c>
      <c r="P188" s="131">
        <v>0</v>
      </c>
      <c r="Q188" s="131">
        <v>0</v>
      </c>
      <c r="R188" s="157">
        <v>0</v>
      </c>
      <c r="S188" s="158"/>
      <c r="T188" s="158"/>
      <c r="U188" s="89" t="e">
        <f t="shared" ca="1" si="92"/>
        <v>#NAME?</v>
      </c>
      <c r="V188" s="505"/>
      <c r="W188" s="505"/>
      <c r="X188" s="534"/>
      <c r="Y188" s="535"/>
      <c r="Z188" s="535"/>
      <c r="AA188" s="535"/>
      <c r="AB188" s="535"/>
      <c r="AC188" s="529">
        <v>0</v>
      </c>
      <c r="AD188" s="529">
        <v>0</v>
      </c>
      <c r="AE188" s="529"/>
      <c r="AF188" s="529"/>
      <c r="AG188" s="529"/>
      <c r="AH188" s="529"/>
      <c r="AI188" s="535"/>
      <c r="AJ188" s="535"/>
      <c r="AK188" s="507"/>
      <c r="AL188" s="507"/>
      <c r="AM188" s="507"/>
      <c r="AN188" s="530" t="e">
        <f ca="1">__xlfn.ISFORMULA(#REF!)</f>
        <v>#NAME?</v>
      </c>
      <c r="AO188" s="531" t="e">
        <f ca="1">__xlfn.ISFORMULA(#REF!)</f>
        <v>#NAME?</v>
      </c>
      <c r="AP188" s="510" t="e">
        <f t="shared" ca="1" si="102"/>
        <v>#NAME?</v>
      </c>
      <c r="AQ188" s="505"/>
      <c r="AR188" s="533"/>
      <c r="AS188" s="533"/>
      <c r="AT188" s="533"/>
      <c r="AU188" s="533"/>
      <c r="AV188" s="533"/>
      <c r="AW188" s="612"/>
      <c r="AX188" s="612"/>
      <c r="AY188" s="612"/>
      <c r="AZ188" s="612"/>
      <c r="BA188" s="612"/>
      <c r="BB188" s="612"/>
      <c r="BC188" s="612"/>
      <c r="BD188" s="612"/>
      <c r="BE188" s="612"/>
      <c r="BF188" s="612"/>
      <c r="BG188" s="612"/>
      <c r="BH188" s="612"/>
      <c r="BI188" s="612"/>
    </row>
    <row r="189" spans="1:61" ht="12" customHeight="1">
      <c r="A189" s="51"/>
      <c r="B189" s="52"/>
      <c r="C189" s="52"/>
      <c r="D189" s="52"/>
      <c r="E189" s="52"/>
      <c r="F189" s="52"/>
      <c r="G189" s="52"/>
      <c r="H189" s="63">
        <v>7212</v>
      </c>
      <c r="I189" s="116"/>
      <c r="J189" s="117"/>
      <c r="K189" s="19" t="s">
        <v>213</v>
      </c>
      <c r="L189" s="111">
        <f t="shared" ref="L189:Q189" si="108">L190+L193</f>
        <v>51900</v>
      </c>
      <c r="M189" s="111">
        <f t="shared" si="108"/>
        <v>6888.3137567190915</v>
      </c>
      <c r="N189" s="112">
        <f t="shared" si="108"/>
        <v>0</v>
      </c>
      <c r="O189" s="112">
        <f t="shared" si="108"/>
        <v>0</v>
      </c>
      <c r="P189" s="113">
        <f t="shared" si="108"/>
        <v>0</v>
      </c>
      <c r="Q189" s="113">
        <f t="shared" si="108"/>
        <v>0</v>
      </c>
      <c r="R189" s="160">
        <v>0</v>
      </c>
      <c r="S189" s="89"/>
      <c r="T189" s="89"/>
      <c r="U189" s="89" t="e">
        <f t="shared" ca="1" si="92"/>
        <v>#NAME?</v>
      </c>
      <c r="V189" s="505"/>
      <c r="W189" s="505"/>
      <c r="X189" s="506"/>
      <c r="Y189" s="507"/>
      <c r="Z189" s="507"/>
      <c r="AA189" s="507"/>
      <c r="AB189" s="507"/>
      <c r="AC189" s="508">
        <f>AC190+AC193</f>
        <v>0</v>
      </c>
      <c r="AD189" s="508">
        <f>AD190+AD193</f>
        <v>0</v>
      </c>
      <c r="AE189" s="529">
        <f>O189/M189*100</f>
        <v>0</v>
      </c>
      <c r="AF189" s="529"/>
      <c r="AG189" s="529"/>
      <c r="AH189" s="529"/>
      <c r="AI189" s="507"/>
      <c r="AJ189" s="507"/>
      <c r="AK189" s="507"/>
      <c r="AL189" s="507"/>
      <c r="AM189" s="507"/>
      <c r="AN189" s="530" t="e">
        <f ca="1">__xlfn.ISFORMULA(#REF!)</f>
        <v>#NAME?</v>
      </c>
      <c r="AO189" s="531" t="e">
        <f ca="1">__xlfn.ISFORMULA(#REF!)</f>
        <v>#NAME?</v>
      </c>
      <c r="AP189" s="510" t="e">
        <f t="shared" ca="1" si="102"/>
        <v>#NAME?</v>
      </c>
      <c r="AQ189" s="505"/>
      <c r="AR189" s="533"/>
      <c r="AS189" s="533"/>
      <c r="AT189" s="533"/>
      <c r="AU189" s="533"/>
      <c r="AV189" s="533"/>
      <c r="AW189" s="612"/>
      <c r="AX189" s="612"/>
      <c r="AY189" s="612"/>
      <c r="AZ189" s="612"/>
      <c r="BA189" s="612"/>
      <c r="BB189" s="612"/>
      <c r="BC189" s="612"/>
      <c r="BD189" s="612"/>
      <c r="BE189" s="612"/>
      <c r="BF189" s="612"/>
      <c r="BG189" s="612"/>
      <c r="BH189" s="612"/>
      <c r="BI189" s="612"/>
    </row>
    <row r="190" spans="1:61" ht="12" customHeight="1">
      <c r="A190" s="51"/>
      <c r="B190" s="52"/>
      <c r="C190" s="52"/>
      <c r="D190" s="52"/>
      <c r="E190" s="52"/>
      <c r="F190" s="52"/>
      <c r="G190" s="52"/>
      <c r="H190" s="63">
        <v>72129</v>
      </c>
      <c r="I190" s="116"/>
      <c r="J190" s="117"/>
      <c r="K190" s="19" t="s">
        <v>214</v>
      </c>
      <c r="L190" s="129">
        <v>51900</v>
      </c>
      <c r="M190" s="129">
        <f>51900/7.5345</f>
        <v>6888.3137567190915</v>
      </c>
      <c r="N190" s="130">
        <v>0</v>
      </c>
      <c r="O190" s="130">
        <v>0</v>
      </c>
      <c r="P190" s="131">
        <v>0</v>
      </c>
      <c r="Q190" s="131">
        <v>0</v>
      </c>
      <c r="R190" s="157">
        <v>0</v>
      </c>
      <c r="S190" s="158"/>
      <c r="T190" s="158"/>
      <c r="U190" s="89" t="e">
        <f t="shared" ca="1" si="92"/>
        <v>#NAME?</v>
      </c>
      <c r="V190" s="505"/>
      <c r="W190" s="505"/>
      <c r="X190" s="534"/>
      <c r="Y190" s="535"/>
      <c r="Z190" s="535"/>
      <c r="AA190" s="535"/>
      <c r="AB190" s="535"/>
      <c r="AC190" s="529">
        <v>0</v>
      </c>
      <c r="AD190" s="529">
        <v>0</v>
      </c>
      <c r="AE190" s="529">
        <f>O190/M190*100</f>
        <v>0</v>
      </c>
      <c r="AF190" s="529"/>
      <c r="AG190" s="529"/>
      <c r="AH190" s="529"/>
      <c r="AI190" s="535"/>
      <c r="AJ190" s="535"/>
      <c r="AK190" s="507"/>
      <c r="AL190" s="507"/>
      <c r="AM190" s="507"/>
      <c r="AN190" s="530" t="e">
        <f ca="1">__xlfn.ISFORMULA(#REF!)</f>
        <v>#NAME?</v>
      </c>
      <c r="AO190" s="531" t="e">
        <f ca="1">__xlfn.ISFORMULA(#REF!)</f>
        <v>#NAME?</v>
      </c>
      <c r="AP190" s="510" t="e">
        <f t="shared" ca="1" si="102"/>
        <v>#NAME?</v>
      </c>
      <c r="AQ190" s="505"/>
      <c r="AR190" s="533"/>
      <c r="AS190" s="533"/>
      <c r="AT190" s="533"/>
      <c r="AU190" s="533"/>
      <c r="AV190" s="533"/>
      <c r="AW190" s="612"/>
      <c r="AX190" s="612"/>
      <c r="AY190" s="612"/>
      <c r="AZ190" s="612"/>
      <c r="BA190" s="612"/>
      <c r="BB190" s="612"/>
      <c r="BC190" s="612"/>
      <c r="BD190" s="612"/>
      <c r="BE190" s="612"/>
      <c r="BF190" s="612"/>
      <c r="BG190" s="612"/>
      <c r="BH190" s="612"/>
      <c r="BI190" s="612"/>
    </row>
    <row r="191" spans="1:61" ht="12" customHeight="1">
      <c r="A191" s="51"/>
      <c r="B191" s="52"/>
      <c r="C191" s="52"/>
      <c r="D191" s="52"/>
      <c r="E191" s="52"/>
      <c r="F191" s="52"/>
      <c r="G191" s="52"/>
      <c r="H191" s="63">
        <v>7214</v>
      </c>
      <c r="I191" s="116"/>
      <c r="J191" s="117"/>
      <c r="K191" s="19" t="s">
        <v>215</v>
      </c>
      <c r="L191" s="111">
        <f t="shared" ref="L191:Q191" si="109">L192</f>
        <v>0</v>
      </c>
      <c r="M191" s="111">
        <f t="shared" si="109"/>
        <v>0</v>
      </c>
      <c r="N191" s="112">
        <f t="shared" si="109"/>
        <v>0</v>
      </c>
      <c r="O191" s="112">
        <f t="shared" si="109"/>
        <v>0</v>
      </c>
      <c r="P191" s="113">
        <f t="shared" si="109"/>
        <v>0</v>
      </c>
      <c r="Q191" s="113">
        <f t="shared" si="109"/>
        <v>0</v>
      </c>
      <c r="R191" s="160">
        <v>0</v>
      </c>
      <c r="S191" s="89"/>
      <c r="T191" s="89"/>
      <c r="U191" s="89" t="e">
        <f t="shared" ca="1" si="92"/>
        <v>#NAME?</v>
      </c>
      <c r="V191" s="505"/>
      <c r="W191" s="505"/>
      <c r="X191" s="506"/>
      <c r="Y191" s="507"/>
      <c r="Z191" s="507"/>
      <c r="AA191" s="507"/>
      <c r="AB191" s="507"/>
      <c r="AC191" s="508">
        <f>AC192</f>
        <v>0</v>
      </c>
      <c r="AD191" s="508">
        <f>AD192</f>
        <v>0</v>
      </c>
      <c r="AE191" s="529"/>
      <c r="AF191" s="529"/>
      <c r="AG191" s="529"/>
      <c r="AH191" s="529"/>
      <c r="AI191" s="507"/>
      <c r="AJ191" s="507"/>
      <c r="AK191" s="507"/>
      <c r="AL191" s="507"/>
      <c r="AM191" s="507"/>
      <c r="AN191" s="530" t="e">
        <f ca="1">__xlfn.ISFORMULA(#REF!)</f>
        <v>#NAME?</v>
      </c>
      <c r="AO191" s="531" t="e">
        <f ca="1">__xlfn.ISFORMULA(#REF!)</f>
        <v>#NAME?</v>
      </c>
      <c r="AP191" s="510" t="e">
        <f t="shared" ca="1" si="102"/>
        <v>#NAME?</v>
      </c>
      <c r="AQ191" s="505"/>
      <c r="AR191" s="533"/>
      <c r="AS191" s="533"/>
      <c r="AT191" s="533"/>
      <c r="AU191" s="533"/>
      <c r="AV191" s="533"/>
      <c r="AW191" s="612"/>
      <c r="AX191" s="612"/>
      <c r="AY191" s="612"/>
      <c r="AZ191" s="612"/>
      <c r="BA191" s="612"/>
      <c r="BB191" s="612"/>
      <c r="BC191" s="612"/>
      <c r="BD191" s="612"/>
      <c r="BE191" s="612"/>
      <c r="BF191" s="612"/>
      <c r="BG191" s="612"/>
      <c r="BH191" s="612"/>
      <c r="BI191" s="612"/>
    </row>
    <row r="192" spans="1:61" ht="12" customHeight="1">
      <c r="A192" s="480"/>
      <c r="B192" s="481"/>
      <c r="C192" s="481"/>
      <c r="D192" s="481"/>
      <c r="E192" s="481"/>
      <c r="F192" s="481"/>
      <c r="G192" s="481"/>
      <c r="H192" s="204">
        <v>72149</v>
      </c>
      <c r="I192" s="207"/>
      <c r="J192" s="208"/>
      <c r="K192" s="268" t="s">
        <v>216</v>
      </c>
      <c r="L192" s="269">
        <v>0</v>
      </c>
      <c r="M192" s="269">
        <v>0</v>
      </c>
      <c r="N192" s="270">
        <v>0</v>
      </c>
      <c r="O192" s="270">
        <v>0</v>
      </c>
      <c r="P192" s="271">
        <v>0</v>
      </c>
      <c r="Q192" s="271">
        <v>0</v>
      </c>
      <c r="R192" s="277">
        <v>0</v>
      </c>
      <c r="S192" s="276"/>
      <c r="T192" s="276"/>
      <c r="U192" s="97" t="e">
        <f t="shared" ca="1" si="92"/>
        <v>#NAME?</v>
      </c>
      <c r="V192" s="512"/>
      <c r="W192" s="512"/>
      <c r="X192" s="542"/>
      <c r="Y192" s="543"/>
      <c r="Z192" s="543"/>
      <c r="AA192" s="543"/>
      <c r="AB192" s="543"/>
      <c r="AC192" s="544">
        <v>0</v>
      </c>
      <c r="AD192" s="544">
        <v>0</v>
      </c>
      <c r="AE192" s="544"/>
      <c r="AF192" s="544"/>
      <c r="AG192" s="544"/>
      <c r="AH192" s="544"/>
      <c r="AI192" s="543"/>
      <c r="AJ192" s="543"/>
      <c r="AK192" s="514"/>
      <c r="AL192" s="514"/>
      <c r="AM192" s="514"/>
      <c r="AN192" s="545" t="e">
        <f ca="1">__xlfn.ISFORMULA(#REF!)</f>
        <v>#NAME?</v>
      </c>
      <c r="AO192" s="546" t="e">
        <f ca="1">__xlfn.ISFORMULA(#REF!)</f>
        <v>#NAME?</v>
      </c>
      <c r="AP192" s="510" t="e">
        <f t="shared" ca="1" si="102"/>
        <v>#NAME?</v>
      </c>
      <c r="AQ192" s="505"/>
      <c r="AR192" s="533"/>
      <c r="AS192" s="533"/>
      <c r="AT192" s="533"/>
      <c r="AU192" s="533"/>
      <c r="AV192" s="533"/>
      <c r="AW192" s="612"/>
      <c r="AX192" s="612"/>
      <c r="AY192" s="612"/>
      <c r="AZ192" s="612"/>
      <c r="BA192" s="612"/>
      <c r="BB192" s="612"/>
      <c r="BC192" s="612"/>
      <c r="BD192" s="612"/>
      <c r="BE192" s="612"/>
      <c r="BF192" s="612"/>
      <c r="BG192" s="612"/>
      <c r="BH192" s="612" t="s">
        <v>218</v>
      </c>
      <c r="BI192" s="612"/>
    </row>
    <row r="193" spans="1:62" ht="12" customHeight="1">
      <c r="A193" s="188"/>
      <c r="B193" s="188"/>
      <c r="C193" s="188"/>
      <c r="D193" s="188"/>
      <c r="E193" s="188"/>
      <c r="F193" s="188"/>
      <c r="G193" s="188"/>
      <c r="H193" s="189" t="s">
        <v>217</v>
      </c>
      <c r="I193" s="193"/>
      <c r="J193" s="189"/>
      <c r="K193" s="98"/>
      <c r="L193" s="100"/>
      <c r="M193" s="100"/>
      <c r="N193" s="100"/>
      <c r="O193" s="100"/>
      <c r="P193" s="100"/>
      <c r="Q193" s="100"/>
      <c r="R193" s="198"/>
      <c r="S193" s="198"/>
      <c r="T193" s="198"/>
      <c r="U193" s="199" t="e">
        <f t="shared" ca="1" si="92"/>
        <v>#NAME?</v>
      </c>
      <c r="V193" s="547"/>
      <c r="W193" s="547"/>
      <c r="X193" s="547"/>
      <c r="Y193" s="548"/>
      <c r="Z193" s="548"/>
      <c r="AA193" s="548"/>
      <c r="AB193" s="548"/>
      <c r="AC193" s="549"/>
      <c r="AD193" s="549"/>
      <c r="AE193" s="550"/>
      <c r="AF193" s="550"/>
      <c r="AG193" s="550"/>
      <c r="AH193" s="550"/>
      <c r="AI193" s="548"/>
      <c r="AJ193" s="548"/>
      <c r="AK193" s="551"/>
      <c r="AL193" s="551"/>
      <c r="AM193" s="551"/>
      <c r="AN193" s="552"/>
      <c r="AO193" s="553"/>
      <c r="AP193" s="553" t="e">
        <f ca="1">__xlfn.ISFORMULA(X193)</f>
        <v>#NAME?</v>
      </c>
      <c r="AQ193" s="547"/>
      <c r="AR193" s="554"/>
      <c r="AS193" s="554"/>
      <c r="AT193" s="554"/>
      <c r="AU193" s="554"/>
      <c r="AV193" s="554"/>
      <c r="AW193" s="612">
        <f>SUM(AW46:AW192)</f>
        <v>3061733.7100000004</v>
      </c>
      <c r="AX193" s="612">
        <f t="shared" ref="AX193:BG193" si="110">SUM(AX46:AX192)</f>
        <v>106865.01</v>
      </c>
      <c r="AY193" s="612">
        <f t="shared" si="110"/>
        <v>438320.14</v>
      </c>
      <c r="AZ193" s="612">
        <f t="shared" si="110"/>
        <v>204297.34999999998</v>
      </c>
      <c r="BA193" s="612">
        <f t="shared" si="110"/>
        <v>1396.08</v>
      </c>
      <c r="BB193" s="612">
        <f t="shared" si="110"/>
        <v>98053.65</v>
      </c>
      <c r="BC193" s="612">
        <f t="shared" si="110"/>
        <v>30543.3</v>
      </c>
      <c r="BD193" s="612">
        <f t="shared" si="110"/>
        <v>14274.39</v>
      </c>
      <c r="BE193" s="612">
        <f t="shared" si="110"/>
        <v>825611.49</v>
      </c>
      <c r="BF193" s="612">
        <f t="shared" si="110"/>
        <v>4337.84</v>
      </c>
      <c r="BG193" s="612">
        <f t="shared" si="110"/>
        <v>4971.54</v>
      </c>
      <c r="BH193" s="612">
        <f>SUM(AW193:BG193)</f>
        <v>4790404.5</v>
      </c>
      <c r="BI193" s="612"/>
    </row>
    <row r="194" spans="1:62" ht="12" customHeight="1">
      <c r="A194" s="35"/>
      <c r="B194" s="36"/>
      <c r="C194" s="36"/>
      <c r="D194" s="36"/>
      <c r="E194" s="36"/>
      <c r="F194" s="36"/>
      <c r="G194" s="36"/>
      <c r="H194" s="37"/>
      <c r="I194" s="72"/>
      <c r="J194" s="73"/>
      <c r="K194" s="74"/>
      <c r="L194" s="75" t="s">
        <v>4</v>
      </c>
      <c r="M194" s="75" t="s">
        <v>4</v>
      </c>
      <c r="N194" s="76" t="s">
        <v>5</v>
      </c>
      <c r="O194" s="76" t="s">
        <v>5</v>
      </c>
      <c r="P194" s="77" t="s">
        <v>6</v>
      </c>
      <c r="Q194" s="77" t="s">
        <v>7</v>
      </c>
      <c r="R194" s="143"/>
      <c r="S194" s="144" t="s">
        <v>8</v>
      </c>
      <c r="T194" s="145"/>
      <c r="U194" s="146"/>
      <c r="V194" s="499" t="s">
        <v>9</v>
      </c>
      <c r="W194" s="499" t="s">
        <v>10</v>
      </c>
      <c r="X194" s="500" t="s">
        <v>11</v>
      </c>
      <c r="Y194" s="500" t="s">
        <v>12</v>
      </c>
      <c r="Z194" s="500" t="s">
        <v>12</v>
      </c>
      <c r="AA194" s="500" t="s">
        <v>12</v>
      </c>
      <c r="AB194" s="500" t="s">
        <v>12</v>
      </c>
      <c r="AC194" s="500" t="s">
        <v>12</v>
      </c>
      <c r="AD194" s="500" t="s">
        <v>12</v>
      </c>
      <c r="AE194" s="500" t="s">
        <v>12</v>
      </c>
      <c r="AF194" s="500" t="s">
        <v>12</v>
      </c>
      <c r="AG194" s="500" t="s">
        <v>12</v>
      </c>
      <c r="AH194" s="500" t="s">
        <v>12</v>
      </c>
      <c r="AI194" s="500" t="s">
        <v>12</v>
      </c>
      <c r="AJ194" s="500" t="s">
        <v>12</v>
      </c>
      <c r="AK194" s="500" t="s">
        <v>49</v>
      </c>
      <c r="AL194" s="500" t="s">
        <v>50</v>
      </c>
      <c r="AM194" s="500" t="s">
        <v>51</v>
      </c>
      <c r="AN194" s="500"/>
      <c r="AO194" s="500"/>
      <c r="AP194" s="500" t="e">
        <f ca="1">__xlfn.ISFORMULA(X194)</f>
        <v>#NAME?</v>
      </c>
      <c r="AQ194" s="499" t="s">
        <v>13</v>
      </c>
      <c r="AR194" s="625" t="s">
        <v>14</v>
      </c>
      <c r="AS194" s="625" t="s">
        <v>15</v>
      </c>
      <c r="AT194" s="625" t="s">
        <v>16</v>
      </c>
      <c r="AU194" s="625" t="s">
        <v>17</v>
      </c>
      <c r="AV194" s="625" t="s">
        <v>18</v>
      </c>
      <c r="AW194" s="617" t="s">
        <v>52</v>
      </c>
      <c r="AX194" s="617" t="s">
        <v>53</v>
      </c>
      <c r="AY194" s="617" t="s">
        <v>909</v>
      </c>
      <c r="AZ194" s="617" t="s">
        <v>910</v>
      </c>
      <c r="BA194" s="617" t="s">
        <v>911</v>
      </c>
      <c r="BB194" s="617" t="s">
        <v>912</v>
      </c>
      <c r="BC194" s="617" t="s">
        <v>913</v>
      </c>
      <c r="BD194" s="617" t="s">
        <v>914</v>
      </c>
      <c r="BE194" s="617" t="s">
        <v>54</v>
      </c>
      <c r="BF194" s="617" t="s">
        <v>55</v>
      </c>
      <c r="BG194" s="617" t="s">
        <v>56</v>
      </c>
      <c r="BH194" s="617"/>
      <c r="BI194" s="612"/>
    </row>
    <row r="195" spans="1:62" ht="12" customHeight="1">
      <c r="A195" s="45"/>
      <c r="B195" s="33"/>
      <c r="C195" s="33"/>
      <c r="D195" s="33"/>
      <c r="E195" s="33"/>
      <c r="F195" s="33"/>
      <c r="G195" s="33"/>
      <c r="H195" s="40"/>
      <c r="I195" s="71"/>
      <c r="J195" s="34"/>
      <c r="K195" s="78"/>
      <c r="L195" s="103"/>
      <c r="M195" s="103"/>
      <c r="N195" s="104"/>
      <c r="O195" s="104"/>
      <c r="P195" s="105"/>
      <c r="Q195" s="105"/>
      <c r="R195" s="147" t="s">
        <v>21</v>
      </c>
      <c r="S195" s="145"/>
      <c r="T195" s="145"/>
      <c r="U195" s="146"/>
      <c r="V195" s="501" t="s">
        <v>24</v>
      </c>
      <c r="W195" s="501" t="s">
        <v>23</v>
      </c>
      <c r="X195" s="500"/>
      <c r="Y195" s="500"/>
      <c r="Z195" s="500"/>
      <c r="AA195" s="500"/>
      <c r="AB195" s="500"/>
      <c r="AC195" s="500"/>
      <c r="AD195" s="500"/>
      <c r="AE195" s="500"/>
      <c r="AF195" s="500"/>
      <c r="AG195" s="500"/>
      <c r="AH195" s="500"/>
      <c r="AI195" s="500"/>
      <c r="AJ195" s="500"/>
      <c r="AK195" s="500"/>
      <c r="AL195" s="500"/>
      <c r="AM195" s="500"/>
      <c r="AN195" s="500"/>
      <c r="AO195" s="500"/>
      <c r="AP195" s="500"/>
      <c r="AQ195" s="501" t="s">
        <v>24</v>
      </c>
      <c r="AR195" s="626"/>
      <c r="AS195" s="626"/>
      <c r="AT195" s="626"/>
      <c r="AU195" s="626"/>
      <c r="AV195" s="626"/>
      <c r="AW195" s="612"/>
      <c r="AX195" s="612"/>
      <c r="AY195" s="612"/>
      <c r="AZ195" s="612"/>
      <c r="BA195" s="612"/>
      <c r="BB195" s="612"/>
      <c r="BC195" s="612"/>
      <c r="BD195" s="612"/>
      <c r="BE195" s="612"/>
      <c r="BF195" s="612"/>
      <c r="BG195" s="612"/>
      <c r="BH195" s="612"/>
      <c r="BI195" s="612"/>
    </row>
    <row r="196" spans="1:62" ht="12" customHeight="1">
      <c r="A196" s="38"/>
      <c r="B196" s="39"/>
      <c r="C196" s="39"/>
      <c r="D196" s="39"/>
      <c r="E196" s="39"/>
      <c r="F196" s="39"/>
      <c r="G196" s="39"/>
      <c r="H196" s="40"/>
      <c r="I196" s="71"/>
      <c r="J196" s="106"/>
      <c r="K196" s="107"/>
      <c r="L196" s="79" t="s">
        <v>19</v>
      </c>
      <c r="M196" s="79" t="s">
        <v>20</v>
      </c>
      <c r="N196" s="80" t="s">
        <v>19</v>
      </c>
      <c r="O196" s="80" t="s">
        <v>20</v>
      </c>
      <c r="P196" s="81" t="s">
        <v>20</v>
      </c>
      <c r="Q196" s="81" t="s">
        <v>20</v>
      </c>
      <c r="R196" s="148"/>
      <c r="S196" s="145" t="s">
        <v>22</v>
      </c>
      <c r="T196" s="145"/>
      <c r="U196" s="146"/>
      <c r="V196" s="502" t="s">
        <v>25</v>
      </c>
      <c r="W196" s="502" t="s">
        <v>26</v>
      </c>
      <c r="X196" s="500"/>
      <c r="Y196" s="500"/>
      <c r="Z196" s="500"/>
      <c r="AA196" s="500"/>
      <c r="AB196" s="500"/>
      <c r="AC196" s="500"/>
      <c r="AD196" s="500"/>
      <c r="AE196" s="500"/>
      <c r="AF196" s="500"/>
      <c r="AG196" s="500"/>
      <c r="AH196" s="500"/>
      <c r="AI196" s="500"/>
      <c r="AJ196" s="500"/>
      <c r="AK196" s="500"/>
      <c r="AL196" s="500"/>
      <c r="AM196" s="500"/>
      <c r="AN196" s="500"/>
      <c r="AO196" s="500"/>
      <c r="AP196" s="500" t="e">
        <f ca="1">__xlfn.ISFORMULA(X196)</f>
        <v>#NAME?</v>
      </c>
      <c r="AQ196" s="502"/>
      <c r="AR196" s="525"/>
      <c r="AS196" s="525"/>
      <c r="AT196" s="525"/>
      <c r="AU196" s="525"/>
      <c r="AV196" s="525"/>
      <c r="AW196" s="612"/>
      <c r="AX196" s="612"/>
      <c r="AY196" s="612"/>
      <c r="AZ196" s="612"/>
      <c r="BA196" s="612"/>
      <c r="BB196" s="612"/>
      <c r="BC196" s="612"/>
      <c r="BD196" s="612"/>
      <c r="BE196" s="612"/>
      <c r="BF196" s="612"/>
      <c r="BG196" s="612"/>
      <c r="BH196" s="612"/>
      <c r="BI196" s="612"/>
    </row>
    <row r="197" spans="1:62" ht="0.2" customHeight="1">
      <c r="A197" s="39"/>
      <c r="B197" s="39"/>
      <c r="C197" s="39"/>
      <c r="D197" s="39"/>
      <c r="E197" s="39"/>
      <c r="F197" s="39"/>
      <c r="G197" s="39"/>
      <c r="H197" s="40"/>
      <c r="I197" s="71"/>
      <c r="J197" s="106"/>
      <c r="K197" s="82"/>
      <c r="L197" s="79"/>
      <c r="M197" s="79"/>
      <c r="N197" s="80"/>
      <c r="O197" s="80"/>
      <c r="P197" s="81"/>
      <c r="Q197" s="81"/>
      <c r="R197" s="145"/>
      <c r="S197" s="145"/>
      <c r="T197" s="145"/>
      <c r="U197" s="145"/>
      <c r="V197" s="500"/>
      <c r="W197" s="500"/>
      <c r="X197" s="500"/>
      <c r="Y197" s="500"/>
      <c r="Z197" s="500"/>
      <c r="AA197" s="500"/>
      <c r="AB197" s="500"/>
      <c r="AC197" s="500"/>
      <c r="AD197" s="500"/>
      <c r="AE197" s="500"/>
      <c r="AF197" s="500"/>
      <c r="AG197" s="500"/>
      <c r="AH197" s="500"/>
      <c r="AI197" s="500"/>
      <c r="AJ197" s="500"/>
      <c r="AK197" s="500"/>
      <c r="AL197" s="500"/>
      <c r="AM197" s="500"/>
      <c r="AN197" s="500"/>
      <c r="AO197" s="500"/>
      <c r="AP197" s="500"/>
      <c r="AQ197" s="500"/>
      <c r="AR197" s="491"/>
      <c r="AS197" s="491"/>
      <c r="AT197" s="491"/>
      <c r="AU197" s="491"/>
      <c r="AV197" s="491"/>
      <c r="AW197" s="612">
        <v>5</v>
      </c>
      <c r="AX197" s="612">
        <v>6</v>
      </c>
      <c r="AY197" s="612">
        <v>7</v>
      </c>
      <c r="AZ197" s="612" t="s">
        <v>57</v>
      </c>
      <c r="BA197" s="612" t="s">
        <v>58</v>
      </c>
      <c r="BB197" s="612" t="s">
        <v>59</v>
      </c>
      <c r="BC197" s="612" t="s">
        <v>60</v>
      </c>
      <c r="BD197" s="612"/>
      <c r="BE197" s="612">
        <v>8</v>
      </c>
      <c r="BF197" s="612">
        <v>9</v>
      </c>
      <c r="BG197" s="612">
        <v>10</v>
      </c>
      <c r="BH197" s="612"/>
      <c r="BI197" s="612"/>
    </row>
    <row r="198" spans="1:62" ht="0.2" customHeight="1">
      <c r="A198" s="39"/>
      <c r="B198" s="39"/>
      <c r="C198" s="39"/>
      <c r="D198" s="39"/>
      <c r="E198" s="39"/>
      <c r="F198" s="39"/>
      <c r="G198" s="39"/>
      <c r="H198" s="40"/>
      <c r="I198" s="71"/>
      <c r="J198" s="106"/>
      <c r="K198" s="82"/>
      <c r="L198" s="79"/>
      <c r="M198" s="79"/>
      <c r="N198" s="80"/>
      <c r="O198" s="80"/>
      <c r="P198" s="81"/>
      <c r="Q198" s="81"/>
      <c r="R198" s="143"/>
      <c r="S198" s="144"/>
      <c r="T198" s="145"/>
      <c r="U198" s="146"/>
      <c r="V198" s="499"/>
      <c r="W198" s="499"/>
      <c r="X198" s="500"/>
      <c r="Y198" s="500"/>
      <c r="Z198" s="500"/>
      <c r="AA198" s="500"/>
      <c r="AB198" s="500"/>
      <c r="AC198" s="500"/>
      <c r="AD198" s="500"/>
      <c r="AE198" s="500"/>
      <c r="AF198" s="500"/>
      <c r="AG198" s="500"/>
      <c r="AH198" s="500"/>
      <c r="AI198" s="500"/>
      <c r="AJ198" s="500"/>
      <c r="AK198" s="500"/>
      <c r="AL198" s="500"/>
      <c r="AM198" s="500"/>
      <c r="AN198" s="500"/>
      <c r="AO198" s="500"/>
      <c r="AP198" s="500"/>
      <c r="AQ198" s="499"/>
      <c r="AR198" s="491"/>
      <c r="AS198" s="491"/>
      <c r="AT198" s="491"/>
      <c r="AU198" s="491"/>
      <c r="AV198" s="491"/>
      <c r="AW198" s="612"/>
      <c r="AX198" s="612"/>
      <c r="AY198" s="612"/>
      <c r="AZ198" s="612"/>
      <c r="BA198" s="612"/>
      <c r="BB198" s="612"/>
      <c r="BC198" s="612"/>
      <c r="BD198" s="612"/>
      <c r="BE198" s="612"/>
      <c r="BF198" s="612"/>
      <c r="BG198" s="612"/>
      <c r="BH198" s="612"/>
      <c r="BI198" s="612"/>
    </row>
    <row r="199" spans="1:62" ht="0.2" customHeight="1">
      <c r="A199" s="46" t="s">
        <v>61</v>
      </c>
      <c r="B199" s="41" t="s">
        <v>62</v>
      </c>
      <c r="C199" s="41" t="s">
        <v>63</v>
      </c>
      <c r="D199" s="41" t="s">
        <v>64</v>
      </c>
      <c r="E199" s="41" t="s">
        <v>65</v>
      </c>
      <c r="F199" s="41" t="s">
        <v>66</v>
      </c>
      <c r="G199" s="41" t="s">
        <v>67</v>
      </c>
      <c r="H199" s="37" t="s">
        <v>68</v>
      </c>
      <c r="I199" s="72" t="s">
        <v>69</v>
      </c>
      <c r="J199" s="90" t="s">
        <v>70</v>
      </c>
      <c r="K199" s="83" t="s">
        <v>71</v>
      </c>
      <c r="L199" s="84" t="s">
        <v>72</v>
      </c>
      <c r="M199" s="84" t="s">
        <v>73</v>
      </c>
      <c r="N199" s="85" t="s">
        <v>74</v>
      </c>
      <c r="O199" s="85" t="s">
        <v>75</v>
      </c>
      <c r="P199" s="86" t="s">
        <v>76</v>
      </c>
      <c r="Q199" s="86" t="s">
        <v>77</v>
      </c>
      <c r="R199" s="147" t="s">
        <v>78</v>
      </c>
      <c r="S199" s="145" t="s">
        <v>79</v>
      </c>
      <c r="T199" s="145" t="s">
        <v>80</v>
      </c>
      <c r="U199" s="146" t="s">
        <v>81</v>
      </c>
      <c r="V199" s="501" t="s">
        <v>82</v>
      </c>
      <c r="W199" s="501" t="s">
        <v>83</v>
      </c>
      <c r="X199" s="500" t="s">
        <v>84</v>
      </c>
      <c r="Y199" s="500" t="s">
        <v>85</v>
      </c>
      <c r="Z199" s="500" t="s">
        <v>86</v>
      </c>
      <c r="AA199" s="500" t="s">
        <v>87</v>
      </c>
      <c r="AB199" s="500" t="s">
        <v>88</v>
      </c>
      <c r="AC199" s="500" t="s">
        <v>89</v>
      </c>
      <c r="AD199" s="500" t="s">
        <v>90</v>
      </c>
      <c r="AE199" s="500" t="s">
        <v>91</v>
      </c>
      <c r="AF199" s="500" t="s">
        <v>92</v>
      </c>
      <c r="AG199" s="500" t="s">
        <v>93</v>
      </c>
      <c r="AH199" s="500" t="s">
        <v>94</v>
      </c>
      <c r="AI199" s="500" t="s">
        <v>95</v>
      </c>
      <c r="AJ199" s="500" t="s">
        <v>96</v>
      </c>
      <c r="AK199" s="500" t="s">
        <v>97</v>
      </c>
      <c r="AL199" s="500" t="s">
        <v>98</v>
      </c>
      <c r="AM199" s="500" t="s">
        <v>99</v>
      </c>
      <c r="AN199" s="500" t="s">
        <v>100</v>
      </c>
      <c r="AO199" s="500" t="s">
        <v>101</v>
      </c>
      <c r="AP199" s="500" t="e">
        <f ca="1">__xlfn.ISFORMULA(X199)</f>
        <v>#NAME?</v>
      </c>
      <c r="AQ199" s="501"/>
      <c r="AR199" s="491"/>
      <c r="AS199" s="491"/>
      <c r="AT199" s="491"/>
      <c r="AU199" s="491"/>
      <c r="AV199" s="491"/>
      <c r="AW199" s="612"/>
      <c r="AX199" s="612"/>
      <c r="AY199" s="612"/>
      <c r="AZ199" s="612"/>
      <c r="BA199" s="612"/>
      <c r="BB199" s="612"/>
      <c r="BC199" s="612"/>
      <c r="BD199" s="612"/>
      <c r="BE199" s="612"/>
      <c r="BF199" s="612"/>
      <c r="BG199" s="612"/>
      <c r="BH199" s="612"/>
      <c r="BI199" s="612"/>
    </row>
    <row r="200" spans="1:62" ht="12" customHeight="1">
      <c r="A200" s="46"/>
      <c r="B200" s="41"/>
      <c r="C200" s="41"/>
      <c r="D200" s="41"/>
      <c r="E200" s="41"/>
      <c r="F200" s="41"/>
      <c r="G200" s="41"/>
      <c r="H200" s="37"/>
      <c r="I200" s="72"/>
      <c r="J200" s="90"/>
      <c r="K200" s="83"/>
      <c r="L200" s="84">
        <v>1</v>
      </c>
      <c r="M200" s="84">
        <v>2</v>
      </c>
      <c r="N200" s="85">
        <v>3</v>
      </c>
      <c r="O200" s="85">
        <v>4</v>
      </c>
      <c r="P200" s="86">
        <v>5</v>
      </c>
      <c r="Q200" s="86">
        <v>6</v>
      </c>
      <c r="R200" s="149">
        <v>1</v>
      </c>
      <c r="S200" s="145">
        <v>5</v>
      </c>
      <c r="T200" s="145"/>
      <c r="U200" s="146"/>
      <c r="V200" s="502">
        <v>2</v>
      </c>
      <c r="W200" s="502">
        <v>3</v>
      </c>
      <c r="X200" s="500">
        <v>4</v>
      </c>
      <c r="Y200" s="500">
        <v>5</v>
      </c>
      <c r="Z200" s="500"/>
      <c r="AA200" s="500"/>
      <c r="AB200" s="500"/>
      <c r="AC200" s="500">
        <v>7</v>
      </c>
      <c r="AD200" s="500">
        <v>8</v>
      </c>
      <c r="AE200" s="500">
        <v>9</v>
      </c>
      <c r="AF200" s="500">
        <v>10</v>
      </c>
      <c r="AG200" s="500">
        <v>11</v>
      </c>
      <c r="AH200" s="500">
        <v>12</v>
      </c>
      <c r="AI200" s="500"/>
      <c r="AJ200" s="500">
        <v>5</v>
      </c>
      <c r="AK200" s="500">
        <v>7</v>
      </c>
      <c r="AL200" s="500">
        <v>8</v>
      </c>
      <c r="AM200" s="500">
        <v>9</v>
      </c>
      <c r="AN200" s="500"/>
      <c r="AO200" s="500" t="e">
        <f ca="1">__xlfn.ISFORMULA(#REF!)</f>
        <v>#NAME?</v>
      </c>
      <c r="AP200" s="500" t="e">
        <f ca="1">__xlfn.ISFORMULA(X200)</f>
        <v>#NAME?</v>
      </c>
      <c r="AQ200" s="502">
        <v>4</v>
      </c>
      <c r="AR200" s="622"/>
      <c r="AS200" s="623"/>
      <c r="AT200" s="623"/>
      <c r="AU200" s="623"/>
      <c r="AV200" s="624"/>
      <c r="AW200" s="612"/>
      <c r="AX200" s="612"/>
      <c r="AY200" s="612"/>
      <c r="AZ200" s="612"/>
      <c r="BA200" s="612"/>
      <c r="BB200" s="612"/>
      <c r="BC200" s="612"/>
      <c r="BD200" s="612"/>
      <c r="BE200" s="612"/>
      <c r="BF200" s="612"/>
      <c r="BG200" s="612"/>
      <c r="BH200" s="612"/>
      <c r="BI200" s="612"/>
    </row>
    <row r="201" spans="1:62" ht="12" customHeight="1">
      <c r="A201" s="188"/>
      <c r="B201" s="188"/>
      <c r="C201" s="188"/>
      <c r="D201" s="188"/>
      <c r="E201" s="188"/>
      <c r="F201" s="188"/>
      <c r="G201" s="188"/>
      <c r="H201" s="189"/>
      <c r="I201" s="193"/>
      <c r="J201" s="189"/>
      <c r="K201" s="98"/>
      <c r="L201" s="100"/>
      <c r="M201" s="100"/>
      <c r="N201" s="100"/>
      <c r="O201" s="100"/>
      <c r="P201" s="100"/>
      <c r="Q201" s="100"/>
      <c r="R201" s="198"/>
      <c r="S201" s="198"/>
      <c r="T201" s="198"/>
      <c r="U201" s="199" t="e">
        <f t="shared" ca="1" si="92"/>
        <v>#NAME?</v>
      </c>
      <c r="V201" s="547"/>
      <c r="W201" s="547"/>
      <c r="X201" s="547"/>
      <c r="Y201" s="548"/>
      <c r="Z201" s="548"/>
      <c r="AA201" s="548"/>
      <c r="AB201" s="548"/>
      <c r="AC201" s="549"/>
      <c r="AD201" s="549"/>
      <c r="AE201" s="555"/>
      <c r="AF201" s="555"/>
      <c r="AG201" s="555"/>
      <c r="AH201" s="555"/>
      <c r="AI201" s="548"/>
      <c r="AJ201" s="548"/>
      <c r="AK201" s="551"/>
      <c r="AL201" s="551"/>
      <c r="AM201" s="551"/>
      <c r="AN201" s="552"/>
      <c r="AO201" s="553"/>
      <c r="AP201" s="553" t="e">
        <f ca="1">__xlfn.ISFORMULA(X201)</f>
        <v>#NAME?</v>
      </c>
      <c r="AQ201" s="547"/>
      <c r="AR201" s="554"/>
      <c r="AS201" s="554"/>
      <c r="AT201" s="554"/>
      <c r="AU201" s="554"/>
      <c r="AV201" s="554"/>
      <c r="AW201" s="612"/>
      <c r="AX201" s="612"/>
      <c r="AY201" s="612"/>
      <c r="AZ201" s="612"/>
      <c r="BA201" s="612"/>
      <c r="BB201" s="612"/>
      <c r="BC201" s="612"/>
      <c r="BD201" s="612"/>
      <c r="BE201" s="612"/>
      <c r="BF201" s="612"/>
      <c r="BG201" s="612"/>
      <c r="BH201" s="612" t="s">
        <v>218</v>
      </c>
      <c r="BI201" s="612"/>
    </row>
    <row r="202" spans="1:62" ht="12" customHeight="1">
      <c r="A202" s="190"/>
      <c r="B202" s="190"/>
      <c r="C202" s="190"/>
      <c r="D202" s="190"/>
      <c r="E202" s="190"/>
      <c r="F202" s="190"/>
      <c r="G202" s="190"/>
      <c r="H202" s="191"/>
      <c r="I202" s="194"/>
      <c r="J202" s="195"/>
      <c r="K202" s="115" t="s">
        <v>219</v>
      </c>
      <c r="L202" s="111">
        <f t="shared" ref="L202:S202" si="111">L204+L311</f>
        <v>24995631</v>
      </c>
      <c r="M202" s="111">
        <f t="shared" si="111"/>
        <v>3317490.344415688</v>
      </c>
      <c r="N202" s="112">
        <f t="shared" si="111"/>
        <v>24086719</v>
      </c>
      <c r="O202" s="112">
        <f t="shared" si="111"/>
        <v>3196856.9911739328</v>
      </c>
      <c r="P202" s="113">
        <f t="shared" si="111"/>
        <v>5173379.5089256093</v>
      </c>
      <c r="Q202" s="113">
        <f t="shared" si="111"/>
        <v>4545820</v>
      </c>
      <c r="R202" s="87">
        <f t="shared" si="111"/>
        <v>4195513</v>
      </c>
      <c r="S202" s="89" t="e">
        <f t="shared" ca="1" si="111"/>
        <v>#NAME?</v>
      </c>
      <c r="T202" s="89"/>
      <c r="U202" s="89" t="e">
        <f t="shared" ref="U202:U264" ca="1" si="112">__xlfn.ISFORMULA(S202)</f>
        <v>#NAME?</v>
      </c>
      <c r="V202" s="532">
        <f>V204+V311</f>
        <v>5310459.93</v>
      </c>
      <c r="W202" s="532">
        <f>W204+W311</f>
        <v>5310459.93</v>
      </c>
      <c r="X202" s="506">
        <f>X204+X311</f>
        <v>6991250</v>
      </c>
      <c r="Y202" s="507" t="e">
        <f ca="1">Y204+Y311</f>
        <v>#NAME?</v>
      </c>
      <c r="Z202" s="507"/>
      <c r="AA202" s="507" t="e">
        <f ca="1">AA204+AA311</f>
        <v>#NAME?</v>
      </c>
      <c r="AB202" s="507">
        <f>AB204+AB311</f>
        <v>4</v>
      </c>
      <c r="AC202" s="508">
        <f>AC204+AC311</f>
        <v>4224500</v>
      </c>
      <c r="AD202" s="508">
        <f>AD204+AD311</f>
        <v>4224500</v>
      </c>
      <c r="AE202" s="529">
        <f>O202/M202*100</f>
        <v>96.363716523099569</v>
      </c>
      <c r="AF202" s="529">
        <f>P202/O202*100</f>
        <v>161.82705461046817</v>
      </c>
      <c r="AG202" s="529">
        <f>Q202/P202*100</f>
        <v>87.869447662927428</v>
      </c>
      <c r="AH202" s="529">
        <f>AC202/Q202*100</f>
        <v>92.93152830512426</v>
      </c>
      <c r="AI202" s="507"/>
      <c r="AJ202" s="507">
        <v>6923250.2999999998</v>
      </c>
      <c r="AK202" s="507">
        <f>W202/R202*100</f>
        <v>126.57474616334163</v>
      </c>
      <c r="AL202" s="507">
        <f>X202/W202*100</f>
        <v>131.65055554802012</v>
      </c>
      <c r="AM202" s="507" t="e">
        <f ca="1">Y202/X202*100</f>
        <v>#NAME?</v>
      </c>
      <c r="AN202" s="509"/>
      <c r="AO202" s="510"/>
      <c r="AP202" s="510" t="e">
        <f t="shared" ref="AP202:AP264" ca="1" si="113">__xlfn.ISFORMULA(X202)</f>
        <v>#NAME?</v>
      </c>
      <c r="AQ202" s="532">
        <f>AQ204+AQ311</f>
        <v>4746873.91</v>
      </c>
      <c r="AR202" s="532">
        <f t="shared" ref="AR202:BG202" si="114">AR204+AR311</f>
        <v>46825.425464023429</v>
      </c>
      <c r="AS202" s="532">
        <f t="shared" si="114"/>
        <v>17612.182424986939</v>
      </c>
      <c r="AT202" s="532">
        <f t="shared" si="114"/>
        <v>47070.833196706713</v>
      </c>
      <c r="AU202" s="532">
        <f t="shared" si="114"/>
        <v>15224.248004565521</v>
      </c>
      <c r="AV202" s="532">
        <f t="shared" si="114"/>
        <v>37277.362145684732</v>
      </c>
      <c r="AW202" s="612">
        <f t="shared" si="114"/>
        <v>3018203.53</v>
      </c>
      <c r="AX202" s="612">
        <f t="shared" si="114"/>
        <v>106865.01</v>
      </c>
      <c r="AY202" s="612">
        <f t="shared" si="114"/>
        <v>438320.14</v>
      </c>
      <c r="AZ202" s="612">
        <f t="shared" si="114"/>
        <v>204297</v>
      </c>
      <c r="BA202" s="612">
        <f t="shared" si="114"/>
        <v>1396</v>
      </c>
      <c r="BB202" s="612">
        <f t="shared" si="114"/>
        <v>98054</v>
      </c>
      <c r="BC202" s="612">
        <f t="shared" si="114"/>
        <v>30543</v>
      </c>
      <c r="BD202" s="612">
        <f t="shared" si="114"/>
        <v>14274</v>
      </c>
      <c r="BE202" s="612">
        <f t="shared" si="114"/>
        <v>825611.49</v>
      </c>
      <c r="BF202" s="612">
        <f t="shared" si="114"/>
        <v>4337.75</v>
      </c>
      <c r="BG202" s="612">
        <f t="shared" si="114"/>
        <v>4971.5</v>
      </c>
      <c r="BH202" s="612">
        <f>BH204+BH311</f>
        <v>4746873.91</v>
      </c>
      <c r="BI202" s="612">
        <f>SUM(AW202:BG202)</f>
        <v>4746873.42</v>
      </c>
      <c r="BJ202" s="201">
        <f t="shared" ref="BJ202:BJ265" si="115">BI202-AQ202</f>
        <v>-0.49000000022351742</v>
      </c>
    </row>
    <row r="203" spans="1:62" ht="12" customHeight="1">
      <c r="A203" s="52"/>
      <c r="B203" s="52"/>
      <c r="C203" s="52"/>
      <c r="D203" s="52"/>
      <c r="E203" s="52"/>
      <c r="F203" s="52"/>
      <c r="G203" s="52"/>
      <c r="H203" s="53"/>
      <c r="I203" s="116"/>
      <c r="J203" s="117"/>
      <c r="K203" s="19"/>
      <c r="L203" s="118"/>
      <c r="M203" s="118"/>
      <c r="N203" s="119"/>
      <c r="O203" s="119"/>
      <c r="P203" s="120"/>
      <c r="Q203" s="120"/>
      <c r="R203" s="151"/>
      <c r="S203" s="152"/>
      <c r="T203" s="152"/>
      <c r="U203" s="89" t="e">
        <f t="shared" ca="1" si="112"/>
        <v>#NAME?</v>
      </c>
      <c r="V203" s="532"/>
      <c r="W203" s="532"/>
      <c r="X203" s="534"/>
      <c r="Y203" s="535"/>
      <c r="Z203" s="535"/>
      <c r="AA203" s="535"/>
      <c r="AB203" s="535"/>
      <c r="AC203" s="529"/>
      <c r="AD203" s="529"/>
      <c r="AE203" s="529"/>
      <c r="AF203" s="529"/>
      <c r="AG203" s="529"/>
      <c r="AH203" s="529"/>
      <c r="AI203" s="535"/>
      <c r="AJ203" s="535"/>
      <c r="AK203" s="507"/>
      <c r="AL203" s="507"/>
      <c r="AM203" s="507"/>
      <c r="AN203" s="556"/>
      <c r="AO203" s="510"/>
      <c r="AP203" s="510" t="e">
        <f t="shared" ca="1" si="113"/>
        <v>#NAME?</v>
      </c>
      <c r="AQ203" s="532"/>
      <c r="AR203" s="532"/>
      <c r="AS203" s="532"/>
      <c r="AT203" s="532"/>
      <c r="AU203" s="532"/>
      <c r="AV203" s="532"/>
      <c r="AW203" s="612"/>
      <c r="AX203" s="612"/>
      <c r="AY203" s="612"/>
      <c r="AZ203" s="612"/>
      <c r="BA203" s="612"/>
      <c r="BB203" s="612"/>
      <c r="BC203" s="612"/>
      <c r="BD203" s="612"/>
      <c r="BE203" s="612"/>
      <c r="BF203" s="612"/>
      <c r="BG203" s="612"/>
      <c r="BH203" s="612"/>
      <c r="BI203" s="612">
        <f t="shared" ref="BI203:BI217" si="116">SUM(AW203:BG203)</f>
        <v>0</v>
      </c>
      <c r="BJ203" s="201">
        <f t="shared" si="115"/>
        <v>0</v>
      </c>
    </row>
    <row r="204" spans="1:62" ht="12" customHeight="1">
      <c r="A204" s="55"/>
      <c r="B204" s="55"/>
      <c r="C204" s="55"/>
      <c r="D204" s="55"/>
      <c r="E204" s="55"/>
      <c r="F204" s="55"/>
      <c r="G204" s="55"/>
      <c r="H204" s="56">
        <v>3</v>
      </c>
      <c r="I204" s="121"/>
      <c r="J204" s="122"/>
      <c r="K204" s="123" t="s">
        <v>220</v>
      </c>
      <c r="L204" s="111">
        <f t="shared" ref="L204:S204" si="117">L206+L219+L260+L271+L276+L285+L292</f>
        <v>20517207</v>
      </c>
      <c r="M204" s="111">
        <f t="shared" si="117"/>
        <v>2723101.3338642246</v>
      </c>
      <c r="N204" s="112">
        <f t="shared" si="117"/>
        <v>22082242</v>
      </c>
      <c r="O204" s="112">
        <f t="shared" si="117"/>
        <v>2930817.1743314085</v>
      </c>
      <c r="P204" s="113">
        <f t="shared" si="117"/>
        <v>3636679.5089256088</v>
      </c>
      <c r="Q204" s="113">
        <f t="shared" si="117"/>
        <v>3883760</v>
      </c>
      <c r="R204" s="87">
        <f>R206+R219+R260+R271+R276+R285+R292</f>
        <v>3466709</v>
      </c>
      <c r="S204" s="89" t="e">
        <f t="shared" ca="1" si="117"/>
        <v>#NAME?</v>
      </c>
      <c r="T204" s="89"/>
      <c r="U204" s="89" t="e">
        <f t="shared" ca="1" si="112"/>
        <v>#NAME?</v>
      </c>
      <c r="V204" s="532">
        <f>V206+V219+V260+V271+V276+V285+V292</f>
        <v>4580459.93</v>
      </c>
      <c r="W204" s="532">
        <f>W206+W219+W260+W271+W276+W285+W292</f>
        <v>4579688.93</v>
      </c>
      <c r="X204" s="506">
        <f>X206+X219+X260+X271+X276+X285+X292</f>
        <v>5886750</v>
      </c>
      <c r="Y204" s="507" t="e">
        <f ca="1">Y206+Y219+Y260+Y271+Y276+Y285+Y292</f>
        <v>#NAME?</v>
      </c>
      <c r="Z204" s="507"/>
      <c r="AA204" s="507" t="e">
        <f ca="1">AA206+AA219+AA260+AA271+AA276+AA285+AA292</f>
        <v>#NAME?</v>
      </c>
      <c r="AB204" s="507">
        <f>AB206+AB219+AB260+AB271+AB276+AB285+AB292</f>
        <v>0</v>
      </c>
      <c r="AC204" s="508">
        <f>AC206+AC219+AC260+AC271+AC276+AC285+AC292</f>
        <v>3729400</v>
      </c>
      <c r="AD204" s="508">
        <f>AD206+AD219+AD260+AD271+AD276+AD285+AD292</f>
        <v>3729400</v>
      </c>
      <c r="AE204" s="529">
        <f>O204/M204*100</f>
        <v>107.62791446223649</v>
      </c>
      <c r="AF204" s="529">
        <f>P204/O204*100</f>
        <v>124.08414761508367</v>
      </c>
      <c r="AG204" s="529">
        <f>Q204/P204*100</f>
        <v>106.79412333333124</v>
      </c>
      <c r="AH204" s="529">
        <f>AC204/Q204*100</f>
        <v>96.025501060827651</v>
      </c>
      <c r="AI204" s="507"/>
      <c r="AJ204" s="507">
        <v>6011750</v>
      </c>
      <c r="AK204" s="507">
        <f>W204/R204*100</f>
        <v>132.10479823948302</v>
      </c>
      <c r="AL204" s="507">
        <f>X204/W204*100</f>
        <v>128.54038975088207</v>
      </c>
      <c r="AM204" s="507" t="e">
        <f ca="1">Y204/X204*100</f>
        <v>#NAME?</v>
      </c>
      <c r="AN204" s="509"/>
      <c r="AO204" s="510"/>
      <c r="AP204" s="510" t="e">
        <f t="shared" ca="1" si="113"/>
        <v>#NAME?</v>
      </c>
      <c r="AQ204" s="532">
        <f>AQ206+AQ219+AQ260+AQ271+AQ276+AQ285+AQ292</f>
        <v>4098086.93</v>
      </c>
      <c r="AR204" s="532">
        <f t="shared" ref="AR204:BH204" si="118">AR206+AR219+AR260+AR271+AR276+AR285+AR292</f>
        <v>42864.602448873105</v>
      </c>
      <c r="AS204" s="532">
        <f t="shared" si="118"/>
        <v>16212.182424986937</v>
      </c>
      <c r="AT204" s="532">
        <f t="shared" si="118"/>
        <v>43109.862088897637</v>
      </c>
      <c r="AU204" s="532">
        <f t="shared" si="118"/>
        <v>14160.355518471577</v>
      </c>
      <c r="AV204" s="532">
        <f t="shared" si="118"/>
        <v>33791.822321452877</v>
      </c>
      <c r="AW204" s="612">
        <f t="shared" si="118"/>
        <v>2675004.2999999998</v>
      </c>
      <c r="AX204" s="612">
        <f t="shared" si="118"/>
        <v>106865.01</v>
      </c>
      <c r="AY204" s="612">
        <f t="shared" si="118"/>
        <v>438320.14</v>
      </c>
      <c r="AZ204" s="612">
        <f t="shared" si="118"/>
        <v>204297</v>
      </c>
      <c r="BA204" s="612">
        <f t="shared" si="118"/>
        <v>1396</v>
      </c>
      <c r="BB204" s="612">
        <f t="shared" si="118"/>
        <v>98054</v>
      </c>
      <c r="BC204" s="612">
        <f t="shared" si="118"/>
        <v>30543</v>
      </c>
      <c r="BD204" s="612">
        <f t="shared" si="118"/>
        <v>14274</v>
      </c>
      <c r="BE204" s="612">
        <f t="shared" si="118"/>
        <v>523284.99000000005</v>
      </c>
      <c r="BF204" s="612">
        <f t="shared" si="118"/>
        <v>1914</v>
      </c>
      <c r="BG204" s="612">
        <f t="shared" si="118"/>
        <v>4134</v>
      </c>
      <c r="BH204" s="612">
        <f t="shared" si="118"/>
        <v>4098086.93</v>
      </c>
      <c r="BI204" s="612">
        <f>SUM(AW204:BG204)</f>
        <v>4098086.44</v>
      </c>
      <c r="BJ204" s="201">
        <f t="shared" si="115"/>
        <v>-0.49000000022351742</v>
      </c>
    </row>
    <row r="205" spans="1:62" ht="12" customHeight="1">
      <c r="A205" s="52"/>
      <c r="B205" s="52"/>
      <c r="C205" s="52"/>
      <c r="D205" s="52"/>
      <c r="E205" s="52"/>
      <c r="F205" s="52"/>
      <c r="G205" s="52"/>
      <c r="H205" s="63"/>
      <c r="I205" s="116"/>
      <c r="J205" s="117"/>
      <c r="K205" s="19"/>
      <c r="L205" s="118"/>
      <c r="M205" s="118"/>
      <c r="N205" s="119"/>
      <c r="O205" s="119"/>
      <c r="P205" s="120"/>
      <c r="Q205" s="120"/>
      <c r="R205" s="151"/>
      <c r="S205" s="152"/>
      <c r="T205" s="152"/>
      <c r="U205" s="89" t="e">
        <f t="shared" ca="1" si="112"/>
        <v>#NAME?</v>
      </c>
      <c r="V205" s="532"/>
      <c r="W205" s="532"/>
      <c r="X205" s="534"/>
      <c r="Y205" s="535"/>
      <c r="Z205" s="535"/>
      <c r="AA205" s="535"/>
      <c r="AB205" s="535"/>
      <c r="AC205" s="529"/>
      <c r="AD205" s="529"/>
      <c r="AE205" s="529"/>
      <c r="AF205" s="529"/>
      <c r="AG205" s="529"/>
      <c r="AH205" s="529"/>
      <c r="AI205" s="535"/>
      <c r="AJ205" s="535"/>
      <c r="AK205" s="507"/>
      <c r="AL205" s="507"/>
      <c r="AM205" s="507"/>
      <c r="AN205" s="556"/>
      <c r="AO205" s="510"/>
      <c r="AP205" s="510" t="e">
        <f t="shared" ca="1" si="113"/>
        <v>#NAME?</v>
      </c>
      <c r="AQ205" s="532"/>
      <c r="AR205" s="532"/>
      <c r="AS205" s="532"/>
      <c r="AT205" s="532"/>
      <c r="AU205" s="532"/>
      <c r="AV205" s="532"/>
      <c r="AW205" s="612"/>
      <c r="AX205" s="612"/>
      <c r="AY205" s="612"/>
      <c r="AZ205" s="612"/>
      <c r="BA205" s="612"/>
      <c r="BB205" s="612"/>
      <c r="BC205" s="612"/>
      <c r="BD205" s="612"/>
      <c r="BE205" s="612"/>
      <c r="BF205" s="612"/>
      <c r="BG205" s="612"/>
      <c r="BH205" s="612"/>
      <c r="BI205" s="612">
        <f t="shared" si="116"/>
        <v>0</v>
      </c>
      <c r="BJ205" s="201">
        <f t="shared" si="115"/>
        <v>0</v>
      </c>
    </row>
    <row r="206" spans="1:62" ht="12" customHeight="1">
      <c r="A206" s="58"/>
      <c r="B206" s="58"/>
      <c r="C206" s="58"/>
      <c r="D206" s="58"/>
      <c r="E206" s="58"/>
      <c r="F206" s="58"/>
      <c r="G206" s="58"/>
      <c r="H206" s="59">
        <v>31</v>
      </c>
      <c r="I206" s="124"/>
      <c r="J206" s="125"/>
      <c r="K206" s="126" t="s">
        <v>221</v>
      </c>
      <c r="L206" s="111">
        <f t="shared" ref="L206:S206" si="119">L208+L212+L215</f>
        <v>5481241</v>
      </c>
      <c r="M206" s="111">
        <f t="shared" si="119"/>
        <v>727485.69911739335</v>
      </c>
      <c r="N206" s="112">
        <f t="shared" si="119"/>
        <v>5350745</v>
      </c>
      <c r="O206" s="112">
        <f t="shared" si="119"/>
        <v>710165.90351051826</v>
      </c>
      <c r="P206" s="113">
        <f t="shared" si="119"/>
        <v>935720</v>
      </c>
      <c r="Q206" s="113">
        <f t="shared" si="119"/>
        <v>855400</v>
      </c>
      <c r="R206" s="87">
        <f t="shared" si="119"/>
        <v>821430</v>
      </c>
      <c r="S206" s="89" t="e">
        <f t="shared" ca="1" si="119"/>
        <v>#NAME?</v>
      </c>
      <c r="T206" s="89"/>
      <c r="U206" s="89" t="e">
        <f t="shared" ca="1" si="112"/>
        <v>#NAME?</v>
      </c>
      <c r="V206" s="532">
        <f>V208+V212+V215</f>
        <v>1096650</v>
      </c>
      <c r="W206" s="532">
        <f>W208+W212+W215</f>
        <v>1088521</v>
      </c>
      <c r="X206" s="506">
        <f>X208+X212+X215</f>
        <v>1345400</v>
      </c>
      <c r="Y206" s="507">
        <f>Y208+Y212+Y215</f>
        <v>1081500.1000000001</v>
      </c>
      <c r="Z206" s="507"/>
      <c r="AA206" s="507" t="e">
        <f ca="1">AA208+AA212+AA215</f>
        <v>#NAME?</v>
      </c>
      <c r="AB206" s="507">
        <f>AB208+AB212+AB215</f>
        <v>0</v>
      </c>
      <c r="AC206" s="508">
        <f>AC208+AC212+AC215</f>
        <v>944150</v>
      </c>
      <c r="AD206" s="508">
        <f>AD208+AD212+AD215</f>
        <v>944150</v>
      </c>
      <c r="AE206" s="529">
        <f>O206/M206*100</f>
        <v>97.619225281282098</v>
      </c>
      <c r="AF206" s="529">
        <f>P206/O206*100</f>
        <v>131.76076116503404</v>
      </c>
      <c r="AG206" s="529">
        <f>Q206/P206*100</f>
        <v>91.416235626041981</v>
      </c>
      <c r="AH206" s="529">
        <f>AC206/Q206*100</f>
        <v>110.37526303483752</v>
      </c>
      <c r="AI206" s="507"/>
      <c r="AJ206" s="507">
        <v>1081500.1000000001</v>
      </c>
      <c r="AK206" s="507">
        <f>W206/R206*100</f>
        <v>132.51536953848776</v>
      </c>
      <c r="AL206" s="507">
        <f>X206/W206*100</f>
        <v>123.59890162890747</v>
      </c>
      <c r="AM206" s="507">
        <f>Y206/X206*100</f>
        <v>80.385023041474653</v>
      </c>
      <c r="AN206" s="509"/>
      <c r="AO206" s="510"/>
      <c r="AP206" s="510" t="e">
        <f t="shared" ca="1" si="113"/>
        <v>#NAME?</v>
      </c>
      <c r="AQ206" s="532">
        <f>AQ208+AQ212+AQ215</f>
        <v>992870.95</v>
      </c>
      <c r="AR206" s="532">
        <f t="shared" ref="AR206:BH206" si="120">AR208+AR212+AR215</f>
        <v>1739.4613802515385</v>
      </c>
      <c r="AS206" s="532">
        <f t="shared" si="120"/>
        <v>1297.4987692307691</v>
      </c>
      <c r="AT206" s="532">
        <f t="shared" si="120"/>
        <v>1736.3640047714432</v>
      </c>
      <c r="AU206" s="532">
        <f t="shared" si="120"/>
        <v>1244.1004332276605</v>
      </c>
      <c r="AV206" s="532">
        <f t="shared" si="120"/>
        <v>1633.8012746354768</v>
      </c>
      <c r="AW206" s="612">
        <f t="shared" si="120"/>
        <v>886005.94</v>
      </c>
      <c r="AX206" s="612">
        <f t="shared" si="120"/>
        <v>106865.01</v>
      </c>
      <c r="AY206" s="612">
        <f t="shared" si="120"/>
        <v>0</v>
      </c>
      <c r="AZ206" s="612">
        <f t="shared" si="120"/>
        <v>0</v>
      </c>
      <c r="BA206" s="612">
        <f t="shared" si="120"/>
        <v>0</v>
      </c>
      <c r="BB206" s="612">
        <f t="shared" si="120"/>
        <v>0</v>
      </c>
      <c r="BC206" s="612">
        <f t="shared" si="120"/>
        <v>0</v>
      </c>
      <c r="BD206" s="612">
        <f t="shared" si="120"/>
        <v>0</v>
      </c>
      <c r="BE206" s="612">
        <f t="shared" si="120"/>
        <v>0</v>
      </c>
      <c r="BF206" s="612">
        <f t="shared" si="120"/>
        <v>0</v>
      </c>
      <c r="BG206" s="612">
        <f t="shared" si="120"/>
        <v>0</v>
      </c>
      <c r="BH206" s="612">
        <f t="shared" si="120"/>
        <v>992870.95</v>
      </c>
      <c r="BI206" s="612">
        <f t="shared" si="116"/>
        <v>992870.95</v>
      </c>
      <c r="BJ206" s="201">
        <f t="shared" si="115"/>
        <v>0</v>
      </c>
    </row>
    <row r="207" spans="1:62" ht="12" customHeight="1">
      <c r="A207" s="52"/>
      <c r="B207" s="52"/>
      <c r="C207" s="52"/>
      <c r="D207" s="52"/>
      <c r="E207" s="52"/>
      <c r="F207" s="52"/>
      <c r="G207" s="52"/>
      <c r="H207" s="63"/>
      <c r="I207" s="116"/>
      <c r="J207" s="117"/>
      <c r="K207" s="19"/>
      <c r="L207" s="118"/>
      <c r="M207" s="118"/>
      <c r="N207" s="119"/>
      <c r="O207" s="119"/>
      <c r="P207" s="120"/>
      <c r="Q207" s="120"/>
      <c r="R207" s="151"/>
      <c r="S207" s="152"/>
      <c r="T207" s="152"/>
      <c r="U207" s="89" t="e">
        <f t="shared" ca="1" si="112"/>
        <v>#NAME?</v>
      </c>
      <c r="V207" s="532"/>
      <c r="W207" s="532"/>
      <c r="X207" s="534"/>
      <c r="Y207" s="535"/>
      <c r="Z207" s="535"/>
      <c r="AA207" s="535"/>
      <c r="AB207" s="535"/>
      <c r="AC207" s="529"/>
      <c r="AD207" s="529"/>
      <c r="AE207" s="529"/>
      <c r="AF207" s="529"/>
      <c r="AG207" s="529"/>
      <c r="AH207" s="529"/>
      <c r="AI207" s="535"/>
      <c r="AJ207" s="535"/>
      <c r="AK207" s="507"/>
      <c r="AL207" s="507"/>
      <c r="AM207" s="507"/>
      <c r="AN207" s="556"/>
      <c r="AO207" s="510"/>
      <c r="AP207" s="510" t="e">
        <f t="shared" ca="1" si="113"/>
        <v>#NAME?</v>
      </c>
      <c r="AQ207" s="532"/>
      <c r="AR207" s="532"/>
      <c r="AS207" s="532"/>
      <c r="AT207" s="532"/>
      <c r="AU207" s="532"/>
      <c r="AV207" s="532"/>
      <c r="AW207" s="612"/>
      <c r="AX207" s="612"/>
      <c r="AY207" s="612"/>
      <c r="AZ207" s="612"/>
      <c r="BA207" s="612"/>
      <c r="BB207" s="612"/>
      <c r="BC207" s="612"/>
      <c r="BD207" s="612"/>
      <c r="BE207" s="612"/>
      <c r="BF207" s="612"/>
      <c r="BG207" s="612"/>
      <c r="BH207" s="612"/>
      <c r="BI207" s="612">
        <f t="shared" si="116"/>
        <v>0</v>
      </c>
      <c r="BJ207" s="201">
        <f t="shared" si="115"/>
        <v>0</v>
      </c>
    </row>
    <row r="208" spans="1:62" ht="12" customHeight="1">
      <c r="A208" s="61"/>
      <c r="B208" s="61"/>
      <c r="C208" s="61"/>
      <c r="D208" s="61"/>
      <c r="E208" s="61"/>
      <c r="F208" s="61"/>
      <c r="G208" s="61"/>
      <c r="H208" s="62">
        <v>311</v>
      </c>
      <c r="I208" s="127"/>
      <c r="J208" s="128"/>
      <c r="K208" s="20" t="s">
        <v>222</v>
      </c>
      <c r="L208" s="111">
        <f t="shared" ref="L208:S208" si="121">L209+L210</f>
        <v>4577611</v>
      </c>
      <c r="M208" s="111">
        <f t="shared" si="121"/>
        <v>607553.38774968474</v>
      </c>
      <c r="N208" s="112">
        <f t="shared" si="121"/>
        <v>4462694</v>
      </c>
      <c r="O208" s="112">
        <f t="shared" si="121"/>
        <v>592301.28077510116</v>
      </c>
      <c r="P208" s="113">
        <f t="shared" si="121"/>
        <v>796600</v>
      </c>
      <c r="Q208" s="113">
        <f t="shared" si="121"/>
        <v>702500</v>
      </c>
      <c r="R208" s="87">
        <f t="shared" si="121"/>
        <v>687005</v>
      </c>
      <c r="S208" s="89" t="e">
        <f t="shared" ca="1" si="121"/>
        <v>#NAME?</v>
      </c>
      <c r="T208" s="89"/>
      <c r="U208" s="89" t="e">
        <f t="shared" ca="1" si="112"/>
        <v>#NAME?</v>
      </c>
      <c r="V208" s="532">
        <f>V209+V210</f>
        <v>912000</v>
      </c>
      <c r="W208" s="532">
        <f>W209+W210</f>
        <v>903871</v>
      </c>
      <c r="X208" s="506">
        <f>X209+X210</f>
        <v>1109000</v>
      </c>
      <c r="Y208" s="507">
        <f>Y209+Y210</f>
        <v>807000</v>
      </c>
      <c r="Z208" s="507"/>
      <c r="AA208" s="507" t="e">
        <f ca="1">AA209+AA210</f>
        <v>#NAME?</v>
      </c>
      <c r="AB208" s="507">
        <f>AB209+AB210</f>
        <v>0</v>
      </c>
      <c r="AC208" s="508">
        <f>AC209+AC210</f>
        <v>803700</v>
      </c>
      <c r="AD208" s="508">
        <f>AD209+AD210</f>
        <v>803700</v>
      </c>
      <c r="AE208" s="529">
        <f>O208/M208*100</f>
        <v>97.48958572495566</v>
      </c>
      <c r="AF208" s="529">
        <f t="shared" ref="AF208:AG210" si="122">P208/O208*100</f>
        <v>134.49236492576011</v>
      </c>
      <c r="AG208" s="529">
        <f t="shared" si="122"/>
        <v>88.187296008034139</v>
      </c>
      <c r="AH208" s="529">
        <f>AC208/Q208*100</f>
        <v>114.40569395017795</v>
      </c>
      <c r="AI208" s="507"/>
      <c r="AJ208" s="507">
        <v>807000</v>
      </c>
      <c r="AK208" s="507">
        <f>W208/R208*100</f>
        <v>131.56687360353999</v>
      </c>
      <c r="AL208" s="507">
        <f>X208/W208*100</f>
        <v>122.69449954694862</v>
      </c>
      <c r="AM208" s="507">
        <f>Y208/X208*100</f>
        <v>72.768259693417491</v>
      </c>
      <c r="AN208" s="509"/>
      <c r="AO208" s="510"/>
      <c r="AP208" s="510" t="e">
        <f t="shared" ca="1" si="113"/>
        <v>#NAME?</v>
      </c>
      <c r="AQ208" s="532">
        <f>AQ209+AQ210</f>
        <v>828203.63</v>
      </c>
      <c r="AR208" s="532">
        <f t="shared" ref="AR208:BH208" si="123">AR209+AR210</f>
        <v>488.38698396424132</v>
      </c>
      <c r="AS208" s="532">
        <f t="shared" si="123"/>
        <v>397.4987692307692</v>
      </c>
      <c r="AT208" s="532">
        <f t="shared" si="123"/>
        <v>485.28960848414619</v>
      </c>
      <c r="AU208" s="532">
        <f t="shared" si="123"/>
        <v>379.73616871011029</v>
      </c>
      <c r="AV208" s="532">
        <f t="shared" si="123"/>
        <v>458.01165927440644</v>
      </c>
      <c r="AW208" s="612">
        <f t="shared" si="123"/>
        <v>721338.62</v>
      </c>
      <c r="AX208" s="612">
        <f t="shared" si="123"/>
        <v>106865.01</v>
      </c>
      <c r="AY208" s="612">
        <f t="shared" si="123"/>
        <v>0</v>
      </c>
      <c r="AZ208" s="612">
        <f t="shared" si="123"/>
        <v>0</v>
      </c>
      <c r="BA208" s="612">
        <f t="shared" si="123"/>
        <v>0</v>
      </c>
      <c r="BB208" s="612">
        <f t="shared" si="123"/>
        <v>0</v>
      </c>
      <c r="BC208" s="612">
        <f t="shared" si="123"/>
        <v>0</v>
      </c>
      <c r="BD208" s="612">
        <f t="shared" si="123"/>
        <v>0</v>
      </c>
      <c r="BE208" s="612">
        <f t="shared" si="123"/>
        <v>0</v>
      </c>
      <c r="BF208" s="612">
        <f t="shared" si="123"/>
        <v>0</v>
      </c>
      <c r="BG208" s="612">
        <f t="shared" si="123"/>
        <v>0</v>
      </c>
      <c r="BH208" s="612">
        <f t="shared" si="123"/>
        <v>828203.63</v>
      </c>
      <c r="BI208" s="612">
        <f t="shared" si="116"/>
        <v>828203.63</v>
      </c>
      <c r="BJ208" s="201">
        <f t="shared" si="115"/>
        <v>0</v>
      </c>
    </row>
    <row r="209" spans="1:62" ht="12" customHeight="1">
      <c r="A209" s="52"/>
      <c r="B209" s="52"/>
      <c r="C209" s="52"/>
      <c r="D209" s="52"/>
      <c r="E209" s="52"/>
      <c r="F209" s="52"/>
      <c r="G209" s="52"/>
      <c r="H209" s="63">
        <v>3111</v>
      </c>
      <c r="I209" s="116"/>
      <c r="J209" s="117"/>
      <c r="K209" s="19" t="s">
        <v>223</v>
      </c>
      <c r="L209" s="129">
        <f t="shared" ref="L209:S209" si="124">L368+L370+L994+L1076+L1139</f>
        <v>4554160</v>
      </c>
      <c r="M209" s="129">
        <f t="shared" si="124"/>
        <v>604440.90516955336</v>
      </c>
      <c r="N209" s="130">
        <f t="shared" si="124"/>
        <v>4462694</v>
      </c>
      <c r="O209" s="130">
        <f t="shared" si="124"/>
        <v>592301.28077510116</v>
      </c>
      <c r="P209" s="131">
        <f t="shared" si="124"/>
        <v>793900</v>
      </c>
      <c r="Q209" s="131">
        <f t="shared" si="124"/>
        <v>699800</v>
      </c>
      <c r="R209" s="153">
        <f t="shared" si="124"/>
        <v>687005</v>
      </c>
      <c r="S209" s="158" t="e">
        <f t="shared" ca="1" si="124"/>
        <v>#NAME?</v>
      </c>
      <c r="T209" s="158"/>
      <c r="U209" s="89" t="e">
        <f t="shared" ca="1" si="112"/>
        <v>#NAME?</v>
      </c>
      <c r="V209" s="532">
        <f>V368+V370+V994+V1076+V1139</f>
        <v>912000</v>
      </c>
      <c r="W209" s="532">
        <f>W368+W370+W994+W1076+W1139</f>
        <v>903871</v>
      </c>
      <c r="X209" s="534">
        <f>X368+X370+X994+X1076+X1139</f>
        <v>1104000</v>
      </c>
      <c r="Y209" s="535">
        <f>Y368+Y370+Y994+Y1076+Y1139</f>
        <v>802000</v>
      </c>
      <c r="Z209" s="535"/>
      <c r="AA209" s="535" t="e">
        <f ca="1">AA368+AA370+AA994+AA1076+AA1139</f>
        <v>#NAME?</v>
      </c>
      <c r="AB209" s="535">
        <f>AB368+AB370+AB994+AB1076+AB1139</f>
        <v>0</v>
      </c>
      <c r="AC209" s="529">
        <f>AC368+AC370+AC994+AC1076+AC1139</f>
        <v>801000</v>
      </c>
      <c r="AD209" s="529">
        <f>AD368+AD370+AD994+AD1076+AD1139</f>
        <v>801000</v>
      </c>
      <c r="AE209" s="529">
        <f>O209/M209*100</f>
        <v>97.991594498217012</v>
      </c>
      <c r="AF209" s="529">
        <f t="shared" si="122"/>
        <v>134.03651583550206</v>
      </c>
      <c r="AG209" s="529">
        <f t="shared" si="122"/>
        <v>88.14712180375362</v>
      </c>
      <c r="AH209" s="529">
        <f>AC209/Q209*100</f>
        <v>114.46127464989996</v>
      </c>
      <c r="AI209" s="535"/>
      <c r="AJ209" s="535">
        <v>802000</v>
      </c>
      <c r="AK209" s="507">
        <f>W209/R209*100</f>
        <v>131.56687360353999</v>
      </c>
      <c r="AL209" s="507">
        <f>X209/W209*100</f>
        <v>122.14132326404984</v>
      </c>
      <c r="AM209" s="507">
        <f>Y209/X209*100</f>
        <v>72.64492753623189</v>
      </c>
      <c r="AN209" s="556"/>
      <c r="AO209" s="510"/>
      <c r="AP209" s="510" t="e">
        <f t="shared" ca="1" si="113"/>
        <v>#NAME?</v>
      </c>
      <c r="AQ209" s="532">
        <f t="shared" ref="AQ209:BH209" si="125">AQ368+AQ370+AQ994+AQ1076+AQ1139</f>
        <v>828203.63</v>
      </c>
      <c r="AR209" s="532">
        <f t="shared" si="125"/>
        <v>488.38698396424132</v>
      </c>
      <c r="AS209" s="532">
        <f t="shared" si="125"/>
        <v>397.4987692307692</v>
      </c>
      <c r="AT209" s="532">
        <f t="shared" si="125"/>
        <v>485.28960848414619</v>
      </c>
      <c r="AU209" s="532">
        <f t="shared" si="125"/>
        <v>379.73616871011029</v>
      </c>
      <c r="AV209" s="532">
        <f t="shared" si="125"/>
        <v>458.01165927440644</v>
      </c>
      <c r="AW209" s="612">
        <f t="shared" si="125"/>
        <v>721338.62</v>
      </c>
      <c r="AX209" s="612">
        <f t="shared" si="125"/>
        <v>106865.01</v>
      </c>
      <c r="AY209" s="612">
        <f t="shared" si="125"/>
        <v>0</v>
      </c>
      <c r="AZ209" s="612">
        <f t="shared" si="125"/>
        <v>0</v>
      </c>
      <c r="BA209" s="612">
        <f t="shared" si="125"/>
        <v>0</v>
      </c>
      <c r="BB209" s="612">
        <f t="shared" si="125"/>
        <v>0</v>
      </c>
      <c r="BC209" s="612">
        <f t="shared" si="125"/>
        <v>0</v>
      </c>
      <c r="BD209" s="612">
        <f t="shared" si="125"/>
        <v>0</v>
      </c>
      <c r="BE209" s="612">
        <f t="shared" si="125"/>
        <v>0</v>
      </c>
      <c r="BF209" s="612">
        <f t="shared" si="125"/>
        <v>0</v>
      </c>
      <c r="BG209" s="612">
        <f t="shared" si="125"/>
        <v>0</v>
      </c>
      <c r="BH209" s="612">
        <f t="shared" si="125"/>
        <v>828203.63</v>
      </c>
      <c r="BI209" s="612">
        <f t="shared" si="116"/>
        <v>828203.63</v>
      </c>
      <c r="BJ209" s="201">
        <f t="shared" si="115"/>
        <v>0</v>
      </c>
    </row>
    <row r="210" spans="1:62" ht="12" customHeight="1">
      <c r="A210" s="52"/>
      <c r="B210" s="52"/>
      <c r="C210" s="52"/>
      <c r="D210" s="52"/>
      <c r="E210" s="52"/>
      <c r="F210" s="52"/>
      <c r="G210" s="52"/>
      <c r="H210" s="63">
        <v>3113</v>
      </c>
      <c r="I210" s="116"/>
      <c r="J210" s="117"/>
      <c r="K210" s="19" t="s">
        <v>224</v>
      </c>
      <c r="L210" s="129">
        <f t="shared" ref="L210:S210" si="126">L369</f>
        <v>23451</v>
      </c>
      <c r="M210" s="129">
        <f t="shared" si="126"/>
        <v>3112.4825801313955</v>
      </c>
      <c r="N210" s="130">
        <f t="shared" si="126"/>
        <v>0</v>
      </c>
      <c r="O210" s="130">
        <f t="shared" si="126"/>
        <v>0</v>
      </c>
      <c r="P210" s="131">
        <f t="shared" si="126"/>
        <v>2700</v>
      </c>
      <c r="Q210" s="131">
        <f t="shared" si="126"/>
        <v>2700</v>
      </c>
      <c r="R210" s="153">
        <f t="shared" si="126"/>
        <v>0</v>
      </c>
      <c r="S210" s="158" t="e">
        <f t="shared" ca="1" si="126"/>
        <v>#NAME?</v>
      </c>
      <c r="T210" s="158"/>
      <c r="U210" s="89" t="e">
        <f t="shared" ca="1" si="112"/>
        <v>#NAME?</v>
      </c>
      <c r="V210" s="532">
        <f>V369</f>
        <v>0</v>
      </c>
      <c r="W210" s="532">
        <f>W369</f>
        <v>0</v>
      </c>
      <c r="X210" s="534">
        <f>X369</f>
        <v>5000</v>
      </c>
      <c r="Y210" s="535">
        <f>Y369</f>
        <v>5000</v>
      </c>
      <c r="Z210" s="535"/>
      <c r="AA210" s="535" t="e">
        <f ca="1">AA369</f>
        <v>#NAME?</v>
      </c>
      <c r="AB210" s="535">
        <f>AB369</f>
        <v>0</v>
      </c>
      <c r="AC210" s="529">
        <f>AC369</f>
        <v>2700</v>
      </c>
      <c r="AD210" s="529">
        <f>AD369</f>
        <v>2700</v>
      </c>
      <c r="AE210" s="529">
        <f>O210/M210*100</f>
        <v>0</v>
      </c>
      <c r="AF210" s="529" t="e">
        <f t="shared" si="122"/>
        <v>#DIV/0!</v>
      </c>
      <c r="AG210" s="529">
        <f t="shared" si="122"/>
        <v>100</v>
      </c>
      <c r="AH210" s="529">
        <f>AC210/Q210*100</f>
        <v>100</v>
      </c>
      <c r="AI210" s="535"/>
      <c r="AJ210" s="535">
        <v>5000</v>
      </c>
      <c r="AK210" s="507"/>
      <c r="AL210" s="507"/>
      <c r="AM210" s="507">
        <f>Y210/X210*100</f>
        <v>100</v>
      </c>
      <c r="AN210" s="556"/>
      <c r="AO210" s="510"/>
      <c r="AP210" s="510" t="e">
        <f t="shared" ca="1" si="113"/>
        <v>#NAME?</v>
      </c>
      <c r="AQ210" s="532">
        <f t="shared" ref="AQ210:BH210" si="127">AQ369</f>
        <v>0</v>
      </c>
      <c r="AR210" s="532">
        <f t="shared" si="127"/>
        <v>0</v>
      </c>
      <c r="AS210" s="532">
        <f t="shared" si="127"/>
        <v>0</v>
      </c>
      <c r="AT210" s="532">
        <f t="shared" si="127"/>
        <v>0</v>
      </c>
      <c r="AU210" s="532">
        <f t="shared" si="127"/>
        <v>0</v>
      </c>
      <c r="AV210" s="532">
        <f t="shared" si="127"/>
        <v>0</v>
      </c>
      <c r="AW210" s="612">
        <f t="shared" si="127"/>
        <v>0</v>
      </c>
      <c r="AX210" s="612">
        <f t="shared" si="127"/>
        <v>0</v>
      </c>
      <c r="AY210" s="612">
        <f t="shared" si="127"/>
        <v>0</v>
      </c>
      <c r="AZ210" s="612">
        <f t="shared" si="127"/>
        <v>0</v>
      </c>
      <c r="BA210" s="612">
        <f t="shared" si="127"/>
        <v>0</v>
      </c>
      <c r="BB210" s="612">
        <f t="shared" si="127"/>
        <v>0</v>
      </c>
      <c r="BC210" s="612">
        <f t="shared" si="127"/>
        <v>0</v>
      </c>
      <c r="BD210" s="612">
        <f t="shared" si="127"/>
        <v>0</v>
      </c>
      <c r="BE210" s="612">
        <f t="shared" si="127"/>
        <v>0</v>
      </c>
      <c r="BF210" s="612">
        <f t="shared" si="127"/>
        <v>0</v>
      </c>
      <c r="BG210" s="612">
        <f t="shared" si="127"/>
        <v>0</v>
      </c>
      <c r="BH210" s="612">
        <f t="shared" si="127"/>
        <v>0</v>
      </c>
      <c r="BI210" s="612">
        <f t="shared" si="116"/>
        <v>0</v>
      </c>
      <c r="BJ210" s="201">
        <f t="shared" si="115"/>
        <v>0</v>
      </c>
    </row>
    <row r="211" spans="1:62" ht="12" customHeight="1">
      <c r="A211" s="41"/>
      <c r="B211" s="41"/>
      <c r="C211" s="41"/>
      <c r="D211" s="41"/>
      <c r="E211" s="41"/>
      <c r="F211" s="41"/>
      <c r="G211" s="41"/>
      <c r="H211" s="37"/>
      <c r="I211" s="72"/>
      <c r="J211" s="90"/>
      <c r="K211" s="83"/>
      <c r="L211" s="84">
        <v>1</v>
      </c>
      <c r="M211" s="84">
        <v>2</v>
      </c>
      <c r="N211" s="85">
        <v>3</v>
      </c>
      <c r="O211" s="85">
        <v>4</v>
      </c>
      <c r="P211" s="86">
        <v>5</v>
      </c>
      <c r="Q211" s="86">
        <v>6</v>
      </c>
      <c r="R211" s="154"/>
      <c r="S211" s="155"/>
      <c r="T211" s="155"/>
      <c r="U211" s="89" t="e">
        <f t="shared" ca="1" si="112"/>
        <v>#NAME?</v>
      </c>
      <c r="V211" s="532"/>
      <c r="W211" s="532"/>
      <c r="X211" s="536"/>
      <c r="Y211" s="537"/>
      <c r="Z211" s="537"/>
      <c r="AA211" s="537"/>
      <c r="AB211" s="537"/>
      <c r="AC211" s="538">
        <v>7</v>
      </c>
      <c r="AD211" s="538">
        <v>8</v>
      </c>
      <c r="AE211" s="538">
        <v>9</v>
      </c>
      <c r="AF211" s="538">
        <v>10</v>
      </c>
      <c r="AG211" s="538">
        <v>11</v>
      </c>
      <c r="AH211" s="538">
        <v>12</v>
      </c>
      <c r="AI211" s="537"/>
      <c r="AJ211" s="537"/>
      <c r="AK211" s="507"/>
      <c r="AL211" s="507"/>
      <c r="AM211" s="507"/>
      <c r="AN211" s="557"/>
      <c r="AO211" s="510"/>
      <c r="AP211" s="510" t="e">
        <f t="shared" ca="1" si="113"/>
        <v>#NAME?</v>
      </c>
      <c r="AQ211" s="532"/>
      <c r="AR211" s="532"/>
      <c r="AS211" s="532"/>
      <c r="AT211" s="532"/>
      <c r="AU211" s="532"/>
      <c r="AV211" s="532"/>
      <c r="AW211" s="612"/>
      <c r="AX211" s="612"/>
      <c r="AY211" s="612"/>
      <c r="AZ211" s="612"/>
      <c r="BA211" s="612"/>
      <c r="BB211" s="612"/>
      <c r="BC211" s="612"/>
      <c r="BD211" s="612"/>
      <c r="BE211" s="612"/>
      <c r="BF211" s="612"/>
      <c r="BG211" s="612"/>
      <c r="BH211" s="612"/>
      <c r="BI211" s="612">
        <f t="shared" si="116"/>
        <v>0</v>
      </c>
      <c r="BJ211" s="201">
        <f t="shared" si="115"/>
        <v>0</v>
      </c>
    </row>
    <row r="212" spans="1:62" ht="12" customHeight="1">
      <c r="A212" s="61"/>
      <c r="B212" s="61"/>
      <c r="C212" s="61"/>
      <c r="D212" s="61"/>
      <c r="E212" s="61"/>
      <c r="F212" s="61"/>
      <c r="G212" s="61"/>
      <c r="H212" s="62">
        <v>312</v>
      </c>
      <c r="I212" s="127"/>
      <c r="J212" s="128"/>
      <c r="K212" s="20" t="s">
        <v>225</v>
      </c>
      <c r="L212" s="111">
        <f t="shared" ref="L212:AD212" si="128">L213</f>
        <v>133654</v>
      </c>
      <c r="M212" s="111">
        <f t="shared" si="128"/>
        <v>17738.934235848432</v>
      </c>
      <c r="N212" s="112">
        <f t="shared" si="128"/>
        <v>171000</v>
      </c>
      <c r="O212" s="112">
        <f t="shared" si="128"/>
        <v>22695.600238901057</v>
      </c>
      <c r="P212" s="113">
        <f t="shared" si="128"/>
        <v>24900</v>
      </c>
      <c r="Q212" s="113">
        <f t="shared" si="128"/>
        <v>35200</v>
      </c>
      <c r="R212" s="87">
        <f t="shared" si="128"/>
        <v>25216</v>
      </c>
      <c r="S212" s="89" t="e">
        <f t="shared" ca="1" si="128"/>
        <v>#NAME?</v>
      </c>
      <c r="T212" s="89"/>
      <c r="U212" s="89" t="e">
        <f t="shared" ca="1" si="112"/>
        <v>#NAME?</v>
      </c>
      <c r="V212" s="532">
        <f>V213</f>
        <v>30900</v>
      </c>
      <c r="W212" s="532">
        <f t="shared" si="128"/>
        <v>30900</v>
      </c>
      <c r="X212" s="506">
        <f t="shared" si="128"/>
        <v>45500</v>
      </c>
      <c r="Y212" s="507">
        <f t="shared" si="128"/>
        <v>57500.1</v>
      </c>
      <c r="Z212" s="507"/>
      <c r="AA212" s="507" t="e">
        <f t="shared" ca="1" si="128"/>
        <v>#NAME?</v>
      </c>
      <c r="AB212" s="507">
        <f t="shared" si="128"/>
        <v>0</v>
      </c>
      <c r="AC212" s="508">
        <f t="shared" si="128"/>
        <v>25100</v>
      </c>
      <c r="AD212" s="508">
        <f t="shared" si="128"/>
        <v>25100</v>
      </c>
      <c r="AE212" s="529">
        <f>O212/M212*100</f>
        <v>127.94229877145465</v>
      </c>
      <c r="AF212" s="529">
        <f>P212/O212*100</f>
        <v>109.71289473684209</v>
      </c>
      <c r="AG212" s="529">
        <f>Q212/P212*100</f>
        <v>141.36546184738955</v>
      </c>
      <c r="AH212" s="529">
        <f>AC212/Q212*100</f>
        <v>71.306818181818173</v>
      </c>
      <c r="AI212" s="507"/>
      <c r="AJ212" s="507">
        <v>57500.1</v>
      </c>
      <c r="AK212" s="507">
        <f>W212/R212*100</f>
        <v>122.54124365482232</v>
      </c>
      <c r="AL212" s="507">
        <f>X212/W212*100</f>
        <v>147.24919093851133</v>
      </c>
      <c r="AM212" s="507">
        <f>Y212/X212*100</f>
        <v>126.37384615384615</v>
      </c>
      <c r="AN212" s="509"/>
      <c r="AO212" s="510"/>
      <c r="AP212" s="510" t="e">
        <f t="shared" ca="1" si="113"/>
        <v>#NAME?</v>
      </c>
      <c r="AQ212" s="532">
        <f>AQ213</f>
        <v>26020.309999999998</v>
      </c>
      <c r="AR212" s="532">
        <f t="shared" ref="AR212:BH212" si="129">AR213</f>
        <v>537.34662030842469</v>
      </c>
      <c r="AS212" s="532">
        <f t="shared" si="129"/>
        <v>400</v>
      </c>
      <c r="AT212" s="532">
        <f t="shared" si="129"/>
        <v>537.34662030842469</v>
      </c>
      <c r="AU212" s="532">
        <f t="shared" si="129"/>
        <v>420.23893070175444</v>
      </c>
      <c r="AV212" s="532">
        <f t="shared" si="129"/>
        <v>564.18445682360016</v>
      </c>
      <c r="AW212" s="612">
        <f t="shared" si="129"/>
        <v>26020.309999999998</v>
      </c>
      <c r="AX212" s="612">
        <f t="shared" si="129"/>
        <v>0</v>
      </c>
      <c r="AY212" s="612">
        <f t="shared" si="129"/>
        <v>0</v>
      </c>
      <c r="AZ212" s="612">
        <f t="shared" si="129"/>
        <v>0</v>
      </c>
      <c r="BA212" s="612">
        <f t="shared" si="129"/>
        <v>0</v>
      </c>
      <c r="BB212" s="612">
        <f t="shared" si="129"/>
        <v>0</v>
      </c>
      <c r="BC212" s="612">
        <f t="shared" si="129"/>
        <v>0</v>
      </c>
      <c r="BD212" s="612">
        <f t="shared" si="129"/>
        <v>0</v>
      </c>
      <c r="BE212" s="612">
        <f t="shared" si="129"/>
        <v>0</v>
      </c>
      <c r="BF212" s="612">
        <f t="shared" si="129"/>
        <v>0</v>
      </c>
      <c r="BG212" s="612">
        <f t="shared" si="129"/>
        <v>0</v>
      </c>
      <c r="BH212" s="612">
        <f t="shared" si="129"/>
        <v>26020.309999999998</v>
      </c>
      <c r="BI212" s="612">
        <f t="shared" si="116"/>
        <v>26020.309999999998</v>
      </c>
      <c r="BJ212" s="201">
        <f t="shared" si="115"/>
        <v>0</v>
      </c>
    </row>
    <row r="213" spans="1:62" ht="12" customHeight="1">
      <c r="A213" s="52"/>
      <c r="B213" s="52"/>
      <c r="C213" s="52"/>
      <c r="D213" s="52"/>
      <c r="E213" s="52"/>
      <c r="F213" s="52"/>
      <c r="G213" s="52"/>
      <c r="H213" s="63">
        <v>3121</v>
      </c>
      <c r="I213" s="116"/>
      <c r="J213" s="117"/>
      <c r="K213" s="19" t="s">
        <v>225</v>
      </c>
      <c r="L213" s="129">
        <f t="shared" ref="L213:S213" si="130">L373+L374+L997+L1079+L1142</f>
        <v>133654</v>
      </c>
      <c r="M213" s="129">
        <f t="shared" si="130"/>
        <v>17738.934235848432</v>
      </c>
      <c r="N213" s="130">
        <f t="shared" si="130"/>
        <v>171000</v>
      </c>
      <c r="O213" s="130">
        <f t="shared" si="130"/>
        <v>22695.600238901057</v>
      </c>
      <c r="P213" s="131">
        <f t="shared" si="130"/>
        <v>24900</v>
      </c>
      <c r="Q213" s="131">
        <f t="shared" si="130"/>
        <v>35200</v>
      </c>
      <c r="R213" s="153">
        <f t="shared" si="130"/>
        <v>25216</v>
      </c>
      <c r="S213" s="158" t="e">
        <f t="shared" ca="1" si="130"/>
        <v>#NAME?</v>
      </c>
      <c r="T213" s="158"/>
      <c r="U213" s="89" t="e">
        <f t="shared" ca="1" si="112"/>
        <v>#NAME?</v>
      </c>
      <c r="V213" s="532">
        <f>V373+V374+V997+V1079+V1142</f>
        <v>30900</v>
      </c>
      <c r="W213" s="532">
        <f>W373+W374+W997+W1079+W1142</f>
        <v>30900</v>
      </c>
      <c r="X213" s="534">
        <f>X373+X374+X997+X1079+X1142</f>
        <v>45500</v>
      </c>
      <c r="Y213" s="535">
        <f>Y373+Y374+Y997+Y1079+Y1142</f>
        <v>57500.1</v>
      </c>
      <c r="Z213" s="535"/>
      <c r="AA213" s="535" t="e">
        <f ca="1">AA373+AA374+AA997+AA1079+AA1142</f>
        <v>#NAME?</v>
      </c>
      <c r="AB213" s="535">
        <f>AB373+AB374+AB997+AB1079+AB1142</f>
        <v>0</v>
      </c>
      <c r="AC213" s="529">
        <f>AC373+AC374+AC997+AC1079+AC1142</f>
        <v>25100</v>
      </c>
      <c r="AD213" s="529">
        <f>AD373+AD374+AD997+AD1079+AD1142</f>
        <v>25100</v>
      </c>
      <c r="AE213" s="529">
        <f>O213/M213*100</f>
        <v>127.94229877145465</v>
      </c>
      <c r="AF213" s="529">
        <f>P213/O213*100</f>
        <v>109.71289473684209</v>
      </c>
      <c r="AG213" s="529">
        <f>Q213/P213*100</f>
        <v>141.36546184738955</v>
      </c>
      <c r="AH213" s="529">
        <f>AC213/Q213*100</f>
        <v>71.306818181818173</v>
      </c>
      <c r="AI213" s="535"/>
      <c r="AJ213" s="535">
        <v>57500.1</v>
      </c>
      <c r="AK213" s="507">
        <f>W213/R213*100</f>
        <v>122.54124365482232</v>
      </c>
      <c r="AL213" s="507">
        <f>X213/W213*100</f>
        <v>147.24919093851133</v>
      </c>
      <c r="AM213" s="507">
        <f>Y213/X213*100</f>
        <v>126.37384615384615</v>
      </c>
      <c r="AN213" s="556"/>
      <c r="AO213" s="510"/>
      <c r="AP213" s="510" t="e">
        <f t="shared" ca="1" si="113"/>
        <v>#NAME?</v>
      </c>
      <c r="AQ213" s="532">
        <f t="shared" ref="AQ213:BH213" si="131">AQ373+AQ374+AQ997+AQ1079+AQ1142</f>
        <v>26020.309999999998</v>
      </c>
      <c r="AR213" s="532">
        <f t="shared" si="131"/>
        <v>537.34662030842469</v>
      </c>
      <c r="AS213" s="532">
        <f t="shared" si="131"/>
        <v>400</v>
      </c>
      <c r="AT213" s="532">
        <f t="shared" si="131"/>
        <v>537.34662030842469</v>
      </c>
      <c r="AU213" s="532">
        <f t="shared" si="131"/>
        <v>420.23893070175444</v>
      </c>
      <c r="AV213" s="532">
        <f t="shared" si="131"/>
        <v>564.18445682360016</v>
      </c>
      <c r="AW213" s="612">
        <f t="shared" si="131"/>
        <v>26020.309999999998</v>
      </c>
      <c r="AX213" s="612">
        <f t="shared" si="131"/>
        <v>0</v>
      </c>
      <c r="AY213" s="612">
        <f t="shared" si="131"/>
        <v>0</v>
      </c>
      <c r="AZ213" s="612">
        <f t="shared" si="131"/>
        <v>0</v>
      </c>
      <c r="BA213" s="612">
        <f t="shared" si="131"/>
        <v>0</v>
      </c>
      <c r="BB213" s="612">
        <f t="shared" si="131"/>
        <v>0</v>
      </c>
      <c r="BC213" s="612">
        <f t="shared" si="131"/>
        <v>0</v>
      </c>
      <c r="BD213" s="612">
        <f t="shared" si="131"/>
        <v>0</v>
      </c>
      <c r="BE213" s="612">
        <f t="shared" si="131"/>
        <v>0</v>
      </c>
      <c r="BF213" s="612">
        <f t="shared" si="131"/>
        <v>0</v>
      </c>
      <c r="BG213" s="612">
        <f t="shared" si="131"/>
        <v>0</v>
      </c>
      <c r="BH213" s="612">
        <f t="shared" si="131"/>
        <v>26020.309999999998</v>
      </c>
      <c r="BI213" s="612">
        <f t="shared" si="116"/>
        <v>26020.309999999998</v>
      </c>
      <c r="BJ213" s="201">
        <f t="shared" si="115"/>
        <v>0</v>
      </c>
    </row>
    <row r="214" spans="1:62" ht="12" customHeight="1">
      <c r="A214" s="52"/>
      <c r="B214" s="52"/>
      <c r="C214" s="52"/>
      <c r="D214" s="52"/>
      <c r="E214" s="52"/>
      <c r="F214" s="52"/>
      <c r="G214" s="52"/>
      <c r="H214" s="63"/>
      <c r="I214" s="116"/>
      <c r="J214" s="117"/>
      <c r="K214" s="19"/>
      <c r="L214" s="118"/>
      <c r="M214" s="118"/>
      <c r="N214" s="119"/>
      <c r="O214" s="119"/>
      <c r="P214" s="120"/>
      <c r="Q214" s="120"/>
      <c r="R214" s="151"/>
      <c r="S214" s="152"/>
      <c r="T214" s="152"/>
      <c r="U214" s="89" t="e">
        <f t="shared" ca="1" si="112"/>
        <v>#NAME?</v>
      </c>
      <c r="V214" s="532"/>
      <c r="W214" s="532"/>
      <c r="X214" s="534"/>
      <c r="Y214" s="535"/>
      <c r="Z214" s="535"/>
      <c r="AA214" s="535"/>
      <c r="AB214" s="535"/>
      <c r="AC214" s="529"/>
      <c r="AD214" s="529"/>
      <c r="AE214" s="529"/>
      <c r="AF214" s="529"/>
      <c r="AG214" s="529"/>
      <c r="AH214" s="529"/>
      <c r="AI214" s="535"/>
      <c r="AJ214" s="535"/>
      <c r="AK214" s="507"/>
      <c r="AL214" s="507"/>
      <c r="AM214" s="507"/>
      <c r="AN214" s="556"/>
      <c r="AO214" s="510"/>
      <c r="AP214" s="510" t="e">
        <f t="shared" ca="1" si="113"/>
        <v>#NAME?</v>
      </c>
      <c r="AQ214" s="532"/>
      <c r="AR214" s="532"/>
      <c r="AS214" s="532"/>
      <c r="AT214" s="532"/>
      <c r="AU214" s="532"/>
      <c r="AV214" s="532"/>
      <c r="AW214" s="612"/>
      <c r="AX214" s="612"/>
      <c r="AY214" s="612"/>
      <c r="AZ214" s="612"/>
      <c r="BA214" s="612"/>
      <c r="BB214" s="612"/>
      <c r="BC214" s="612"/>
      <c r="BD214" s="612"/>
      <c r="BE214" s="612"/>
      <c r="BF214" s="612"/>
      <c r="BG214" s="612"/>
      <c r="BH214" s="612"/>
      <c r="BI214" s="612">
        <f t="shared" si="116"/>
        <v>0</v>
      </c>
      <c r="BJ214" s="201">
        <f t="shared" si="115"/>
        <v>0</v>
      </c>
    </row>
    <row r="215" spans="1:62" ht="12" customHeight="1">
      <c r="A215" s="61"/>
      <c r="B215" s="61"/>
      <c r="C215" s="61"/>
      <c r="D215" s="61"/>
      <c r="E215" s="61"/>
      <c r="F215" s="61"/>
      <c r="G215" s="61"/>
      <c r="H215" s="62">
        <v>313</v>
      </c>
      <c r="I215" s="127"/>
      <c r="J215" s="128"/>
      <c r="K215" s="20" t="s">
        <v>226</v>
      </c>
      <c r="L215" s="111">
        <f t="shared" ref="L215:S215" si="132">L216+L217</f>
        <v>769976</v>
      </c>
      <c r="M215" s="111">
        <f t="shared" si="132"/>
        <v>102193.37713186011</v>
      </c>
      <c r="N215" s="112">
        <f t="shared" si="132"/>
        <v>717051</v>
      </c>
      <c r="O215" s="112">
        <f t="shared" si="132"/>
        <v>95169.022496516016</v>
      </c>
      <c r="P215" s="113">
        <f t="shared" si="132"/>
        <v>114220</v>
      </c>
      <c r="Q215" s="113">
        <f t="shared" si="132"/>
        <v>117700</v>
      </c>
      <c r="R215" s="87">
        <f t="shared" si="132"/>
        <v>109209</v>
      </c>
      <c r="S215" s="89" t="e">
        <f t="shared" ca="1" si="132"/>
        <v>#NAME?</v>
      </c>
      <c r="T215" s="89"/>
      <c r="U215" s="89" t="e">
        <f t="shared" ca="1" si="112"/>
        <v>#NAME?</v>
      </c>
      <c r="V215" s="532">
        <f>V216+V217</f>
        <v>153750</v>
      </c>
      <c r="W215" s="532">
        <f>W216+W217</f>
        <v>153750</v>
      </c>
      <c r="X215" s="506">
        <f>X216+X217</f>
        <v>190900</v>
      </c>
      <c r="Y215" s="507">
        <f>Y216+Y217</f>
        <v>217000</v>
      </c>
      <c r="Z215" s="507"/>
      <c r="AA215" s="507" t="e">
        <f ca="1">AA216+AA217</f>
        <v>#NAME?</v>
      </c>
      <c r="AB215" s="507">
        <f>AB216+AB217</f>
        <v>0</v>
      </c>
      <c r="AC215" s="508">
        <f>AC216+AC217</f>
        <v>115350</v>
      </c>
      <c r="AD215" s="508">
        <f>AD216+AD217</f>
        <v>115350</v>
      </c>
      <c r="AE215" s="529">
        <f>O215/M215*100</f>
        <v>93.126409134830169</v>
      </c>
      <c r="AF215" s="529">
        <f t="shared" ref="AF215:AG217" si="133">P215/O215*100</f>
        <v>120.01804474158743</v>
      </c>
      <c r="AG215" s="529">
        <f t="shared" si="133"/>
        <v>103.04675188233234</v>
      </c>
      <c r="AH215" s="529">
        <f>AC215/Q215*100</f>
        <v>98.003398470688182</v>
      </c>
      <c r="AI215" s="507"/>
      <c r="AJ215" s="507">
        <v>217000</v>
      </c>
      <c r="AK215" s="507">
        <f>W215/R215*100</f>
        <v>140.78510012911022</v>
      </c>
      <c r="AL215" s="507">
        <f>X215/W215*100</f>
        <v>124.16260162601627</v>
      </c>
      <c r="AM215" s="507">
        <f>Y215/X215*100</f>
        <v>113.67207962283918</v>
      </c>
      <c r="AN215" s="509"/>
      <c r="AO215" s="510"/>
      <c r="AP215" s="510" t="e">
        <f t="shared" ca="1" si="113"/>
        <v>#NAME?</v>
      </c>
      <c r="AQ215" s="532">
        <f>AQ216+AQ217</f>
        <v>138647.01</v>
      </c>
      <c r="AR215" s="532">
        <f t="shared" ref="AR215:BH215" si="134">AR216+AR217</f>
        <v>713.72777597887239</v>
      </c>
      <c r="AS215" s="532">
        <f t="shared" si="134"/>
        <v>500</v>
      </c>
      <c r="AT215" s="532">
        <f t="shared" si="134"/>
        <v>713.72777597887239</v>
      </c>
      <c r="AU215" s="532">
        <f t="shared" si="134"/>
        <v>444.12533381579584</v>
      </c>
      <c r="AV215" s="532">
        <f t="shared" si="134"/>
        <v>611.60515853747029</v>
      </c>
      <c r="AW215" s="612">
        <f t="shared" si="134"/>
        <v>138647.01</v>
      </c>
      <c r="AX215" s="612">
        <f t="shared" si="134"/>
        <v>0</v>
      </c>
      <c r="AY215" s="612">
        <f t="shared" si="134"/>
        <v>0</v>
      </c>
      <c r="AZ215" s="612">
        <f t="shared" si="134"/>
        <v>0</v>
      </c>
      <c r="BA215" s="612">
        <f t="shared" si="134"/>
        <v>0</v>
      </c>
      <c r="BB215" s="612">
        <f t="shared" si="134"/>
        <v>0</v>
      </c>
      <c r="BC215" s="612">
        <f t="shared" si="134"/>
        <v>0</v>
      </c>
      <c r="BD215" s="612">
        <f t="shared" si="134"/>
        <v>0</v>
      </c>
      <c r="BE215" s="612">
        <f t="shared" si="134"/>
        <v>0</v>
      </c>
      <c r="BF215" s="612">
        <f t="shared" si="134"/>
        <v>0</v>
      </c>
      <c r="BG215" s="612">
        <f t="shared" si="134"/>
        <v>0</v>
      </c>
      <c r="BH215" s="612">
        <f t="shared" si="134"/>
        <v>138647.01</v>
      </c>
      <c r="BI215" s="612">
        <f t="shared" si="116"/>
        <v>138647.01</v>
      </c>
      <c r="BJ215" s="201">
        <f t="shared" si="115"/>
        <v>0</v>
      </c>
    </row>
    <row r="216" spans="1:62" ht="12" customHeight="1">
      <c r="A216" s="52"/>
      <c r="B216" s="52"/>
      <c r="C216" s="52"/>
      <c r="D216" s="52"/>
      <c r="E216" s="52"/>
      <c r="F216" s="52"/>
      <c r="G216" s="52"/>
      <c r="H216" s="63">
        <v>3132</v>
      </c>
      <c r="I216" s="116"/>
      <c r="J216" s="117"/>
      <c r="K216" s="19" t="s">
        <v>227</v>
      </c>
      <c r="L216" s="129">
        <f t="shared" ref="L216:S217" si="135">L377+L379+L1001+L1082+L1145</f>
        <v>754788</v>
      </c>
      <c r="M216" s="129">
        <f t="shared" si="135"/>
        <v>100177.58311765877</v>
      </c>
      <c r="N216" s="130">
        <f t="shared" si="135"/>
        <v>702989</v>
      </c>
      <c r="O216" s="130">
        <f t="shared" si="135"/>
        <v>93302.674364589548</v>
      </c>
      <c r="P216" s="131">
        <f t="shared" si="135"/>
        <v>112120</v>
      </c>
      <c r="Q216" s="131">
        <f t="shared" si="135"/>
        <v>116100</v>
      </c>
      <c r="R216" s="153">
        <f t="shared" si="135"/>
        <v>107762</v>
      </c>
      <c r="S216" s="158" t="e">
        <f t="shared" ca="1" si="135"/>
        <v>#NAME?</v>
      </c>
      <c r="T216" s="158"/>
      <c r="U216" s="89" t="e">
        <f t="shared" ca="1" si="112"/>
        <v>#NAME?</v>
      </c>
      <c r="V216" s="532">
        <f t="shared" ref="V216:Y217" si="136">V377+V379+V1001+V1082+V1145</f>
        <v>150750</v>
      </c>
      <c r="W216" s="532">
        <f t="shared" si="136"/>
        <v>150750</v>
      </c>
      <c r="X216" s="534">
        <f t="shared" si="136"/>
        <v>188800</v>
      </c>
      <c r="Y216" s="535">
        <f t="shared" si="136"/>
        <v>214900</v>
      </c>
      <c r="Z216" s="535"/>
      <c r="AA216" s="535" t="e">
        <f t="shared" ref="AA216:AD217" ca="1" si="137">AA377+AA379+AA1001+AA1082+AA1145</f>
        <v>#NAME?</v>
      </c>
      <c r="AB216" s="535">
        <f t="shared" si="137"/>
        <v>0</v>
      </c>
      <c r="AC216" s="529">
        <f t="shared" si="137"/>
        <v>113250</v>
      </c>
      <c r="AD216" s="529">
        <f t="shared" si="137"/>
        <v>113250</v>
      </c>
      <c r="AE216" s="529">
        <f>O216/M216*100</f>
        <v>93.137278282113641</v>
      </c>
      <c r="AF216" s="529">
        <f t="shared" si="133"/>
        <v>120.16804530369609</v>
      </c>
      <c r="AG216" s="529">
        <f t="shared" si="133"/>
        <v>103.54976810560115</v>
      </c>
      <c r="AH216" s="529">
        <f>AC216/Q216*100</f>
        <v>97.545219638242898</v>
      </c>
      <c r="AI216" s="535"/>
      <c r="AJ216" s="535">
        <v>214900</v>
      </c>
      <c r="AK216" s="507">
        <f t="shared" ref="AK216:AK276" si="138">W216/R216*100</f>
        <v>139.89161299901636</v>
      </c>
      <c r="AL216" s="507">
        <f t="shared" ref="AL216:AM276" si="139">X216/W216*100</f>
        <v>125.24046434494196</v>
      </c>
      <c r="AM216" s="507">
        <f t="shared" si="139"/>
        <v>113.82415254237289</v>
      </c>
      <c r="AN216" s="556"/>
      <c r="AO216" s="510"/>
      <c r="AP216" s="510" t="e">
        <f t="shared" ca="1" si="113"/>
        <v>#NAME?</v>
      </c>
      <c r="AQ216" s="532">
        <f t="shared" ref="AQ216:BH216" si="140">AQ377+AQ379+AQ1001+AQ1082+AQ1145</f>
        <v>136659.01</v>
      </c>
      <c r="AR216" s="532">
        <f t="shared" si="140"/>
        <v>506.4022749422449</v>
      </c>
      <c r="AS216" s="532">
        <f t="shared" si="140"/>
        <v>400</v>
      </c>
      <c r="AT216" s="532">
        <f t="shared" si="140"/>
        <v>506.4022749422449</v>
      </c>
      <c r="AU216" s="532">
        <f t="shared" si="140"/>
        <v>377.85866714912919</v>
      </c>
      <c r="AV216" s="532">
        <f t="shared" si="140"/>
        <v>474.21745985053178</v>
      </c>
      <c r="AW216" s="612">
        <f t="shared" si="140"/>
        <v>136659.01</v>
      </c>
      <c r="AX216" s="612">
        <f t="shared" si="140"/>
        <v>0</v>
      </c>
      <c r="AY216" s="612">
        <f t="shared" si="140"/>
        <v>0</v>
      </c>
      <c r="AZ216" s="612">
        <f t="shared" si="140"/>
        <v>0</v>
      </c>
      <c r="BA216" s="612">
        <f t="shared" si="140"/>
        <v>0</v>
      </c>
      <c r="BB216" s="612">
        <f t="shared" si="140"/>
        <v>0</v>
      </c>
      <c r="BC216" s="612">
        <f t="shared" si="140"/>
        <v>0</v>
      </c>
      <c r="BD216" s="612">
        <f t="shared" si="140"/>
        <v>0</v>
      </c>
      <c r="BE216" s="612">
        <f t="shared" si="140"/>
        <v>0</v>
      </c>
      <c r="BF216" s="612">
        <f t="shared" si="140"/>
        <v>0</v>
      </c>
      <c r="BG216" s="612">
        <f t="shared" si="140"/>
        <v>0</v>
      </c>
      <c r="BH216" s="612">
        <f t="shared" si="140"/>
        <v>136659.01</v>
      </c>
      <c r="BI216" s="612">
        <f t="shared" si="116"/>
        <v>136659.01</v>
      </c>
      <c r="BJ216" s="201">
        <f t="shared" si="115"/>
        <v>0</v>
      </c>
    </row>
    <row r="217" spans="1:62" ht="12" customHeight="1">
      <c r="A217" s="52"/>
      <c r="B217" s="52"/>
      <c r="C217" s="52"/>
      <c r="D217" s="52"/>
      <c r="E217" s="52"/>
      <c r="F217" s="52"/>
      <c r="G217" s="52"/>
      <c r="H217" s="63">
        <v>3133</v>
      </c>
      <c r="I217" s="116"/>
      <c r="J217" s="117"/>
      <c r="K217" s="19" t="s">
        <v>228</v>
      </c>
      <c r="L217" s="129">
        <f t="shared" si="135"/>
        <v>15188</v>
      </c>
      <c r="M217" s="129">
        <f t="shared" si="135"/>
        <v>2015.7940142013404</v>
      </c>
      <c r="N217" s="130">
        <f t="shared" si="135"/>
        <v>14062</v>
      </c>
      <c r="O217" s="130">
        <f t="shared" si="135"/>
        <v>1866.3481319264715</v>
      </c>
      <c r="P217" s="131">
        <f t="shared" si="135"/>
        <v>2100</v>
      </c>
      <c r="Q217" s="131">
        <f t="shared" si="135"/>
        <v>1600</v>
      </c>
      <c r="R217" s="153">
        <f t="shared" si="135"/>
        <v>1447</v>
      </c>
      <c r="S217" s="158" t="e">
        <f t="shared" ca="1" si="135"/>
        <v>#NAME?</v>
      </c>
      <c r="T217" s="158"/>
      <c r="U217" s="89" t="e">
        <f t="shared" ca="1" si="112"/>
        <v>#NAME?</v>
      </c>
      <c r="V217" s="532">
        <f t="shared" si="136"/>
        <v>3000</v>
      </c>
      <c r="W217" s="532">
        <f t="shared" si="136"/>
        <v>3000</v>
      </c>
      <c r="X217" s="534">
        <f t="shared" si="136"/>
        <v>2100</v>
      </c>
      <c r="Y217" s="535">
        <f t="shared" si="136"/>
        <v>2100</v>
      </c>
      <c r="Z217" s="535"/>
      <c r="AA217" s="535" t="e">
        <f t="shared" ca="1" si="137"/>
        <v>#NAME?</v>
      </c>
      <c r="AB217" s="535">
        <f t="shared" si="137"/>
        <v>0</v>
      </c>
      <c r="AC217" s="529">
        <f t="shared" si="137"/>
        <v>2100</v>
      </c>
      <c r="AD217" s="529">
        <f t="shared" si="137"/>
        <v>2100</v>
      </c>
      <c r="AE217" s="529">
        <f>O217/M217*100</f>
        <v>92.586252304450895</v>
      </c>
      <c r="AF217" s="529">
        <f t="shared" si="133"/>
        <v>112.51920068269095</v>
      </c>
      <c r="AG217" s="529">
        <f t="shared" si="133"/>
        <v>76.19047619047619</v>
      </c>
      <c r="AH217" s="529">
        <f>AC217/Q217*100</f>
        <v>131.25</v>
      </c>
      <c r="AI217" s="535"/>
      <c r="AJ217" s="535">
        <v>2100</v>
      </c>
      <c r="AK217" s="507">
        <f t="shared" si="138"/>
        <v>207.32550103662751</v>
      </c>
      <c r="AL217" s="507">
        <f t="shared" si="139"/>
        <v>70</v>
      </c>
      <c r="AM217" s="507">
        <f t="shared" si="139"/>
        <v>100</v>
      </c>
      <c r="AN217" s="556"/>
      <c r="AO217" s="510"/>
      <c r="AP217" s="510" t="e">
        <f t="shared" ca="1" si="113"/>
        <v>#NAME?</v>
      </c>
      <c r="AQ217" s="532">
        <f t="shared" ref="AQ217:BH217" si="141">AQ378+AQ380+AQ1002+AQ1083+AQ1146</f>
        <v>1988</v>
      </c>
      <c r="AR217" s="532">
        <f t="shared" si="141"/>
        <v>207.32550103662751</v>
      </c>
      <c r="AS217" s="532">
        <f t="shared" si="141"/>
        <v>100</v>
      </c>
      <c r="AT217" s="532">
        <f t="shared" si="141"/>
        <v>207.32550103662751</v>
      </c>
      <c r="AU217" s="532">
        <f t="shared" si="141"/>
        <v>66.266666666666666</v>
      </c>
      <c r="AV217" s="532">
        <f t="shared" si="141"/>
        <v>137.38769868693851</v>
      </c>
      <c r="AW217" s="612">
        <f t="shared" si="141"/>
        <v>1988</v>
      </c>
      <c r="AX217" s="612">
        <f t="shared" si="141"/>
        <v>0</v>
      </c>
      <c r="AY217" s="612">
        <f t="shared" si="141"/>
        <v>0</v>
      </c>
      <c r="AZ217" s="612">
        <f t="shared" si="141"/>
        <v>0</v>
      </c>
      <c r="BA217" s="612">
        <f t="shared" si="141"/>
        <v>0</v>
      </c>
      <c r="BB217" s="612">
        <f t="shared" si="141"/>
        <v>0</v>
      </c>
      <c r="BC217" s="612">
        <f t="shared" si="141"/>
        <v>0</v>
      </c>
      <c r="BD217" s="612">
        <f t="shared" si="141"/>
        <v>0</v>
      </c>
      <c r="BE217" s="612">
        <f t="shared" si="141"/>
        <v>0</v>
      </c>
      <c r="BF217" s="612">
        <f t="shared" si="141"/>
        <v>0</v>
      </c>
      <c r="BG217" s="612">
        <f t="shared" si="141"/>
        <v>0</v>
      </c>
      <c r="BH217" s="612">
        <f t="shared" si="141"/>
        <v>1988</v>
      </c>
      <c r="BI217" s="612">
        <f t="shared" si="116"/>
        <v>1988</v>
      </c>
      <c r="BJ217" s="201">
        <f t="shared" si="115"/>
        <v>0</v>
      </c>
    </row>
    <row r="218" spans="1:62" ht="12" customHeight="1">
      <c r="A218" s="52"/>
      <c r="B218" s="52"/>
      <c r="C218" s="52"/>
      <c r="D218" s="52"/>
      <c r="E218" s="52"/>
      <c r="F218" s="52"/>
      <c r="G218" s="52"/>
      <c r="H218" s="63"/>
      <c r="I218" s="116"/>
      <c r="J218" s="117"/>
      <c r="K218" s="19"/>
      <c r="L218" s="118"/>
      <c r="M218" s="118"/>
      <c r="N218" s="119"/>
      <c r="O218" s="119"/>
      <c r="P218" s="120"/>
      <c r="Q218" s="120"/>
      <c r="R218" s="151"/>
      <c r="S218" s="152"/>
      <c r="T218" s="152"/>
      <c r="U218" s="89" t="e">
        <f t="shared" ca="1" si="112"/>
        <v>#NAME?</v>
      </c>
      <c r="V218" s="532"/>
      <c r="W218" s="532"/>
      <c r="X218" s="534"/>
      <c r="Y218" s="535"/>
      <c r="Z218" s="535"/>
      <c r="AA218" s="535"/>
      <c r="AB218" s="535"/>
      <c r="AC218" s="529"/>
      <c r="AD218" s="529"/>
      <c r="AE218" s="529"/>
      <c r="AF218" s="529"/>
      <c r="AG218" s="529"/>
      <c r="AH218" s="529"/>
      <c r="AI218" s="535"/>
      <c r="AJ218" s="535"/>
      <c r="AK218" s="507"/>
      <c r="AL218" s="507"/>
      <c r="AM218" s="507"/>
      <c r="AN218" s="556"/>
      <c r="AO218" s="510"/>
      <c r="AP218" s="510" t="e">
        <f t="shared" ca="1" si="113"/>
        <v>#NAME?</v>
      </c>
      <c r="AQ218" s="532"/>
      <c r="AR218" s="532"/>
      <c r="AS218" s="532"/>
      <c r="AT218" s="532"/>
      <c r="AU218" s="532"/>
      <c r="AV218" s="532"/>
      <c r="AW218" s="612"/>
      <c r="AX218" s="612"/>
      <c r="AY218" s="612"/>
      <c r="AZ218" s="612"/>
      <c r="BA218" s="612"/>
      <c r="BB218" s="612"/>
      <c r="BC218" s="612"/>
      <c r="BD218" s="612"/>
      <c r="BE218" s="612"/>
      <c r="BF218" s="612"/>
      <c r="BG218" s="612"/>
      <c r="BH218" s="612"/>
      <c r="BI218" s="612">
        <f t="shared" ref="BI218:BI249" si="142">SUM(AW218:BG218)</f>
        <v>0</v>
      </c>
      <c r="BJ218" s="201">
        <f t="shared" si="115"/>
        <v>0</v>
      </c>
    </row>
    <row r="219" spans="1:62" ht="12" customHeight="1">
      <c r="A219" s="58"/>
      <c r="B219" s="58"/>
      <c r="C219" s="58"/>
      <c r="D219" s="58"/>
      <c r="E219" s="58"/>
      <c r="F219" s="58"/>
      <c r="G219" s="58"/>
      <c r="H219" s="59">
        <v>32</v>
      </c>
      <c r="I219" s="124"/>
      <c r="J219" s="125"/>
      <c r="K219" s="126" t="s">
        <v>229</v>
      </c>
      <c r="L219" s="111">
        <f t="shared" ref="L219:S219" si="143">L221+L227+L236+L247+L251</f>
        <v>7145737</v>
      </c>
      <c r="M219" s="111">
        <f t="shared" si="143"/>
        <v>948402.28283230471</v>
      </c>
      <c r="N219" s="112">
        <f t="shared" si="143"/>
        <v>6811632</v>
      </c>
      <c r="O219" s="112">
        <f t="shared" si="143"/>
        <v>904058.92892693612</v>
      </c>
      <c r="P219" s="113">
        <f t="shared" si="143"/>
        <v>1141200</v>
      </c>
      <c r="Q219" s="113">
        <f t="shared" si="143"/>
        <v>1283000</v>
      </c>
      <c r="R219" s="87">
        <f t="shared" si="143"/>
        <v>1112958</v>
      </c>
      <c r="S219" s="89" t="e">
        <f t="shared" ca="1" si="143"/>
        <v>#NAME?</v>
      </c>
      <c r="T219" s="89"/>
      <c r="U219" s="89" t="e">
        <f t="shared" ca="1" si="112"/>
        <v>#NAME?</v>
      </c>
      <c r="V219" s="532">
        <f>V221+V227+V236+V247+V251</f>
        <v>1680009.93</v>
      </c>
      <c r="W219" s="532">
        <f>W221+W227+W236+W247+W251</f>
        <v>1716311.93</v>
      </c>
      <c r="X219" s="506">
        <f>X221+X227+X236+X247+X251</f>
        <v>1849940</v>
      </c>
      <c r="Y219" s="507">
        <f>Y221+Y227+Y236+Y247+Y251</f>
        <v>2154051.9</v>
      </c>
      <c r="Z219" s="507"/>
      <c r="AA219" s="507" t="e">
        <f ca="1">AA221+AA227+AA236+AA247+AA251</f>
        <v>#NAME?</v>
      </c>
      <c r="AB219" s="507">
        <f>AB221+AB227+AB236+AB247+AB251</f>
        <v>0</v>
      </c>
      <c r="AC219" s="508">
        <f>AC221+AC227+AC236+AC247+AC251</f>
        <v>1229700</v>
      </c>
      <c r="AD219" s="508">
        <f>AD221+AD227+AD236+AD247+AD251</f>
        <v>1229700</v>
      </c>
      <c r="AE219" s="529">
        <f>O219/M219*100</f>
        <v>95.324415102319051</v>
      </c>
      <c r="AF219" s="529">
        <f>P219/O219*100</f>
        <v>126.23070946874404</v>
      </c>
      <c r="AG219" s="529">
        <f>Q219/P219*100</f>
        <v>112.42551699964949</v>
      </c>
      <c r="AH219" s="529">
        <f>AC219/Q219*100</f>
        <v>95.845674201091185</v>
      </c>
      <c r="AI219" s="507"/>
      <c r="AJ219" s="507">
        <v>2154051.9</v>
      </c>
      <c r="AK219" s="507">
        <f t="shared" si="138"/>
        <v>154.21174294088365</v>
      </c>
      <c r="AL219" s="507">
        <f t="shared" si="139"/>
        <v>107.78576828980033</v>
      </c>
      <c r="AM219" s="507">
        <f t="shared" si="139"/>
        <v>116.43901423829961</v>
      </c>
      <c r="AN219" s="509"/>
      <c r="AO219" s="510"/>
      <c r="AP219" s="510" t="e">
        <f t="shared" ca="1" si="113"/>
        <v>#NAME?</v>
      </c>
      <c r="AQ219" s="532">
        <f>AQ221+AQ227+AQ236+AQ247+AQ251</f>
        <v>1596624.2599999998</v>
      </c>
      <c r="AR219" s="532">
        <f t="shared" ref="AR219:BH219" si="144">AR221+AR227+AR236+AR247+AR251</f>
        <v>34266.476910281388</v>
      </c>
      <c r="AS219" s="532">
        <f t="shared" si="144"/>
        <v>11085.413888888888</v>
      </c>
      <c r="AT219" s="532">
        <f t="shared" si="144"/>
        <v>34465.761249690826</v>
      </c>
      <c r="AU219" s="532">
        <f t="shared" si="144"/>
        <v>10014.753249398653</v>
      </c>
      <c r="AV219" s="532">
        <f t="shared" si="144"/>
        <v>26353.747386710722</v>
      </c>
      <c r="AW219" s="612">
        <f t="shared" si="144"/>
        <v>1030432.6399999999</v>
      </c>
      <c r="AX219" s="612">
        <f t="shared" si="144"/>
        <v>0</v>
      </c>
      <c r="AY219" s="612">
        <f t="shared" si="144"/>
        <v>43530.18</v>
      </c>
      <c r="AZ219" s="612">
        <f t="shared" si="144"/>
        <v>174297</v>
      </c>
      <c r="BA219" s="612">
        <f t="shared" si="144"/>
        <v>1396</v>
      </c>
      <c r="BB219" s="612">
        <f t="shared" si="144"/>
        <v>98054</v>
      </c>
      <c r="BC219" s="612">
        <f t="shared" si="144"/>
        <v>30543</v>
      </c>
      <c r="BD219" s="612">
        <f t="shared" si="144"/>
        <v>3778</v>
      </c>
      <c r="BE219" s="612">
        <f t="shared" si="144"/>
        <v>211428.95</v>
      </c>
      <c r="BF219" s="612">
        <f t="shared" si="144"/>
        <v>1914</v>
      </c>
      <c r="BG219" s="612">
        <f t="shared" si="144"/>
        <v>1250</v>
      </c>
      <c r="BH219" s="612">
        <f t="shared" si="144"/>
        <v>1596624.2599999998</v>
      </c>
      <c r="BI219" s="612">
        <f t="shared" si="142"/>
        <v>1596623.7699999998</v>
      </c>
      <c r="BJ219" s="201">
        <f t="shared" si="115"/>
        <v>-0.48999999999068677</v>
      </c>
    </row>
    <row r="220" spans="1:62" ht="12" customHeight="1">
      <c r="A220" s="52"/>
      <c r="B220" s="52"/>
      <c r="C220" s="52"/>
      <c r="D220" s="52"/>
      <c r="E220" s="52"/>
      <c r="F220" s="52"/>
      <c r="G220" s="52"/>
      <c r="H220" s="63"/>
      <c r="I220" s="116"/>
      <c r="J220" s="117"/>
      <c r="K220" s="19"/>
      <c r="L220" s="118"/>
      <c r="M220" s="118"/>
      <c r="N220" s="119"/>
      <c r="O220" s="119"/>
      <c r="P220" s="120"/>
      <c r="Q220" s="120"/>
      <c r="R220" s="151"/>
      <c r="S220" s="152"/>
      <c r="T220" s="152"/>
      <c r="U220" s="89" t="e">
        <f t="shared" ca="1" si="112"/>
        <v>#NAME?</v>
      </c>
      <c r="V220" s="532"/>
      <c r="W220" s="532"/>
      <c r="X220" s="534"/>
      <c r="Y220" s="535"/>
      <c r="Z220" s="535"/>
      <c r="AA220" s="535"/>
      <c r="AB220" s="535"/>
      <c r="AC220" s="529"/>
      <c r="AD220" s="529"/>
      <c r="AE220" s="529"/>
      <c r="AF220" s="529"/>
      <c r="AG220" s="529"/>
      <c r="AH220" s="529"/>
      <c r="AI220" s="535"/>
      <c r="AJ220" s="535"/>
      <c r="AK220" s="507"/>
      <c r="AL220" s="507"/>
      <c r="AM220" s="507"/>
      <c r="AN220" s="556"/>
      <c r="AO220" s="510"/>
      <c r="AP220" s="510" t="e">
        <f t="shared" ca="1" si="113"/>
        <v>#NAME?</v>
      </c>
      <c r="AQ220" s="532"/>
      <c r="AR220" s="532"/>
      <c r="AS220" s="532"/>
      <c r="AT220" s="532"/>
      <c r="AU220" s="532"/>
      <c r="AV220" s="532"/>
      <c r="AW220" s="612"/>
      <c r="AX220" s="612"/>
      <c r="AY220" s="612"/>
      <c r="AZ220" s="612"/>
      <c r="BA220" s="612"/>
      <c r="BB220" s="612"/>
      <c r="BC220" s="612"/>
      <c r="BD220" s="612"/>
      <c r="BE220" s="612"/>
      <c r="BF220" s="612"/>
      <c r="BG220" s="612"/>
      <c r="BH220" s="612"/>
      <c r="BI220" s="612">
        <f t="shared" si="142"/>
        <v>0</v>
      </c>
      <c r="BJ220" s="201">
        <f t="shared" si="115"/>
        <v>0</v>
      </c>
    </row>
    <row r="221" spans="1:62" ht="12" customHeight="1">
      <c r="A221" s="61"/>
      <c r="B221" s="61"/>
      <c r="C221" s="61"/>
      <c r="D221" s="61"/>
      <c r="E221" s="61"/>
      <c r="F221" s="61"/>
      <c r="G221" s="61"/>
      <c r="H221" s="62">
        <v>321</v>
      </c>
      <c r="I221" s="127"/>
      <c r="J221" s="128"/>
      <c r="K221" s="20" t="s">
        <v>230</v>
      </c>
      <c r="L221" s="111">
        <f t="shared" ref="L221:S221" si="145">L222+L223+L224+L225</f>
        <v>201575</v>
      </c>
      <c r="M221" s="111">
        <f t="shared" si="145"/>
        <v>26753.600106178248</v>
      </c>
      <c r="N221" s="112">
        <f t="shared" si="145"/>
        <v>289051</v>
      </c>
      <c r="O221" s="112">
        <f t="shared" si="145"/>
        <v>38363.660495056072</v>
      </c>
      <c r="P221" s="113">
        <f t="shared" si="145"/>
        <v>49800</v>
      </c>
      <c r="Q221" s="113">
        <f t="shared" si="145"/>
        <v>58700</v>
      </c>
      <c r="R221" s="87">
        <f t="shared" si="145"/>
        <v>51862</v>
      </c>
      <c r="S221" s="89" t="e">
        <f t="shared" ca="1" si="145"/>
        <v>#NAME?</v>
      </c>
      <c r="T221" s="89"/>
      <c r="U221" s="89" t="e">
        <f t="shared" ca="1" si="112"/>
        <v>#NAME?</v>
      </c>
      <c r="V221" s="532">
        <f>V222+V223+V224+V225</f>
        <v>68300</v>
      </c>
      <c r="W221" s="532">
        <f>W222+W223+W224+W225</f>
        <v>68300</v>
      </c>
      <c r="X221" s="506">
        <f>X222+X223+X224+X225</f>
        <v>85500</v>
      </c>
      <c r="Y221" s="507">
        <f>Y222+Y223+Y224+Y225</f>
        <v>99600.5</v>
      </c>
      <c r="Z221" s="507"/>
      <c r="AA221" s="507" t="e">
        <f ca="1">AA222+AA223+AA224+AA225</f>
        <v>#NAME?</v>
      </c>
      <c r="AB221" s="507">
        <f>AB222+AB223+AB224+AB225</f>
        <v>0</v>
      </c>
      <c r="AC221" s="508">
        <f>AC222+AC223+AC224+AC225</f>
        <v>50700</v>
      </c>
      <c r="AD221" s="508">
        <f>AD222+AD223+AD224+AD225</f>
        <v>50700</v>
      </c>
      <c r="AE221" s="529">
        <f>O221/M221*100</f>
        <v>143.3962544958452</v>
      </c>
      <c r="AF221" s="529">
        <f t="shared" ref="AF221:AG225" si="146">P221/O221*100</f>
        <v>129.81034488723444</v>
      </c>
      <c r="AG221" s="529">
        <f t="shared" si="146"/>
        <v>117.8714859437751</v>
      </c>
      <c r="AH221" s="529">
        <f>AC221/Q221*100</f>
        <v>86.371379897785346</v>
      </c>
      <c r="AI221" s="507"/>
      <c r="AJ221" s="507">
        <v>99600.5</v>
      </c>
      <c r="AK221" s="507">
        <f t="shared" si="138"/>
        <v>131.69565385060352</v>
      </c>
      <c r="AL221" s="507">
        <f t="shared" si="139"/>
        <v>125.18301610541727</v>
      </c>
      <c r="AM221" s="507">
        <f t="shared" si="139"/>
        <v>116.49181286549708</v>
      </c>
      <c r="AN221" s="509"/>
      <c r="AO221" s="510"/>
      <c r="AP221" s="510" t="e">
        <f t="shared" ca="1" si="113"/>
        <v>#NAME?</v>
      </c>
      <c r="AQ221" s="532">
        <f>AQ222+AQ223+AQ224+AQ225</f>
        <v>63967.630000000005</v>
      </c>
      <c r="AR221" s="532">
        <f t="shared" ref="AR221:BH221" si="147">AR222+AR223+AR224+AR225</f>
        <v>1401.5160685043065</v>
      </c>
      <c r="AS221" s="532">
        <f t="shared" si="147"/>
        <v>1100</v>
      </c>
      <c r="AT221" s="532">
        <f t="shared" si="147"/>
        <v>1401.5160685043065</v>
      </c>
      <c r="AU221" s="532">
        <f t="shared" si="147"/>
        <v>840.73565703993688</v>
      </c>
      <c r="AV221" s="532">
        <f t="shared" si="147"/>
        <v>1565.850714757747</v>
      </c>
      <c r="AW221" s="612">
        <f t="shared" si="147"/>
        <v>63967.630000000005</v>
      </c>
      <c r="AX221" s="612">
        <f t="shared" si="147"/>
        <v>0</v>
      </c>
      <c r="AY221" s="612">
        <f t="shared" si="147"/>
        <v>0</v>
      </c>
      <c r="AZ221" s="612">
        <f t="shared" si="147"/>
        <v>0</v>
      </c>
      <c r="BA221" s="612">
        <f t="shared" si="147"/>
        <v>0</v>
      </c>
      <c r="BB221" s="612">
        <f t="shared" si="147"/>
        <v>0</v>
      </c>
      <c r="BC221" s="612">
        <f t="shared" si="147"/>
        <v>0</v>
      </c>
      <c r="BD221" s="612">
        <f t="shared" si="147"/>
        <v>0</v>
      </c>
      <c r="BE221" s="612">
        <f t="shared" si="147"/>
        <v>0</v>
      </c>
      <c r="BF221" s="612">
        <f t="shared" si="147"/>
        <v>0</v>
      </c>
      <c r="BG221" s="612">
        <f t="shared" si="147"/>
        <v>0</v>
      </c>
      <c r="BH221" s="612">
        <f t="shared" si="147"/>
        <v>63967.630000000005</v>
      </c>
      <c r="BI221" s="612">
        <f t="shared" si="142"/>
        <v>63967.630000000005</v>
      </c>
      <c r="BJ221" s="201">
        <f t="shared" si="115"/>
        <v>0</v>
      </c>
    </row>
    <row r="222" spans="1:62" ht="12" customHeight="1">
      <c r="A222" s="52"/>
      <c r="B222" s="52"/>
      <c r="C222" s="52"/>
      <c r="D222" s="52"/>
      <c r="E222" s="52"/>
      <c r="F222" s="52"/>
      <c r="G222" s="52"/>
      <c r="H222" s="63">
        <v>3211</v>
      </c>
      <c r="I222" s="116"/>
      <c r="J222" s="117"/>
      <c r="K222" s="19" t="s">
        <v>231</v>
      </c>
      <c r="L222" s="129">
        <f t="shared" ref="L222:S222" si="148">L385+L1088+L1006+L1150</f>
        <v>32670</v>
      </c>
      <c r="M222" s="129">
        <f t="shared" si="148"/>
        <v>4336.054150905833</v>
      </c>
      <c r="N222" s="130">
        <f t="shared" si="148"/>
        <v>67696</v>
      </c>
      <c r="O222" s="130">
        <f t="shared" si="148"/>
        <v>8984.8032384365233</v>
      </c>
      <c r="P222" s="131">
        <f t="shared" si="148"/>
        <v>13400</v>
      </c>
      <c r="Q222" s="131">
        <f t="shared" si="148"/>
        <v>17000</v>
      </c>
      <c r="R222" s="153">
        <f t="shared" si="148"/>
        <v>12913</v>
      </c>
      <c r="S222" s="158">
        <f t="shared" si="148"/>
        <v>9495</v>
      </c>
      <c r="T222" s="158"/>
      <c r="U222" s="89" t="e">
        <f t="shared" ca="1" si="112"/>
        <v>#NAME?</v>
      </c>
      <c r="V222" s="532">
        <f>V385+V1088+V1006+V1150</f>
        <v>17800</v>
      </c>
      <c r="W222" s="532">
        <f>W385+W1088+W1006+W1150</f>
        <v>17800</v>
      </c>
      <c r="X222" s="534">
        <f>X385+X1088+X1006+X1150</f>
        <v>21000</v>
      </c>
      <c r="Y222" s="535">
        <f>Y385+Y1088+Y1006+Y1150</f>
        <v>25200</v>
      </c>
      <c r="Z222" s="535"/>
      <c r="AA222" s="535" t="e">
        <f ca="1">AA385+AA1088+AA1006+AA1150</f>
        <v>#NAME?</v>
      </c>
      <c r="AB222" s="535">
        <f>AB385+AB1088+AB1006+AB1150</f>
        <v>0</v>
      </c>
      <c r="AC222" s="529">
        <f>AC385+AC1088+AC1006+AC1150</f>
        <v>13700</v>
      </c>
      <c r="AD222" s="529">
        <f>AD385+AD1088+AD1006+AD1150</f>
        <v>13700</v>
      </c>
      <c r="AE222" s="529">
        <f>O222/M222*100</f>
        <v>207.21150902969077</v>
      </c>
      <c r="AF222" s="529">
        <f t="shared" si="146"/>
        <v>149.14071732450961</v>
      </c>
      <c r="AG222" s="529">
        <f t="shared" si="146"/>
        <v>126.86567164179105</v>
      </c>
      <c r="AH222" s="529">
        <f>AC222/Q222*100</f>
        <v>80.588235294117652</v>
      </c>
      <c r="AI222" s="535"/>
      <c r="AJ222" s="535">
        <v>25200</v>
      </c>
      <c r="AK222" s="507">
        <f t="shared" si="138"/>
        <v>137.84558197165646</v>
      </c>
      <c r="AL222" s="507">
        <f t="shared" si="139"/>
        <v>117.97752808988764</v>
      </c>
      <c r="AM222" s="507">
        <f t="shared" si="139"/>
        <v>120</v>
      </c>
      <c r="AN222" s="556"/>
      <c r="AO222" s="510"/>
      <c r="AP222" s="510" t="e">
        <f t="shared" ca="1" si="113"/>
        <v>#NAME?</v>
      </c>
      <c r="AQ222" s="532">
        <f t="shared" ref="AQ222:BH222" si="149">AQ385+AQ1088+AQ1006+AQ1150</f>
        <v>15455.480000000001</v>
      </c>
      <c r="AR222" s="532">
        <f t="shared" si="149"/>
        <v>346.91408329095196</v>
      </c>
      <c r="AS222" s="532">
        <f t="shared" si="149"/>
        <v>400</v>
      </c>
      <c r="AT222" s="532">
        <f t="shared" si="149"/>
        <v>346.91408329095196</v>
      </c>
      <c r="AU222" s="532">
        <f t="shared" si="149"/>
        <v>246.24665018315019</v>
      </c>
      <c r="AV222" s="532">
        <f t="shared" si="149"/>
        <v>291.13809644123842</v>
      </c>
      <c r="AW222" s="612">
        <f t="shared" si="149"/>
        <v>15455.480000000001</v>
      </c>
      <c r="AX222" s="612">
        <f t="shared" si="149"/>
        <v>0</v>
      </c>
      <c r="AY222" s="612">
        <f t="shared" si="149"/>
        <v>0</v>
      </c>
      <c r="AZ222" s="612">
        <f t="shared" si="149"/>
        <v>0</v>
      </c>
      <c r="BA222" s="612">
        <f t="shared" si="149"/>
        <v>0</v>
      </c>
      <c r="BB222" s="612">
        <f t="shared" si="149"/>
        <v>0</v>
      </c>
      <c r="BC222" s="612">
        <f t="shared" si="149"/>
        <v>0</v>
      </c>
      <c r="BD222" s="612">
        <f t="shared" si="149"/>
        <v>0</v>
      </c>
      <c r="BE222" s="612">
        <f t="shared" si="149"/>
        <v>0</v>
      </c>
      <c r="BF222" s="612">
        <f t="shared" si="149"/>
        <v>0</v>
      </c>
      <c r="BG222" s="612">
        <f t="shared" si="149"/>
        <v>0</v>
      </c>
      <c r="BH222" s="612">
        <f t="shared" si="149"/>
        <v>15455.480000000001</v>
      </c>
      <c r="BI222" s="612">
        <f t="shared" si="142"/>
        <v>15455.480000000001</v>
      </c>
      <c r="BJ222" s="201">
        <f t="shared" si="115"/>
        <v>0</v>
      </c>
    </row>
    <row r="223" spans="1:62" ht="12" customHeight="1">
      <c r="A223" s="52"/>
      <c r="B223" s="52"/>
      <c r="C223" s="52"/>
      <c r="D223" s="52"/>
      <c r="E223" s="52"/>
      <c r="F223" s="52"/>
      <c r="G223" s="52"/>
      <c r="H223" s="63">
        <v>3212</v>
      </c>
      <c r="I223" s="116"/>
      <c r="J223" s="117"/>
      <c r="K223" s="19" t="s">
        <v>232</v>
      </c>
      <c r="L223" s="129">
        <f t="shared" ref="L223:S223" si="150">L386+L1007+L1151</f>
        <v>154013</v>
      </c>
      <c r="M223" s="129">
        <f t="shared" si="150"/>
        <v>20441.037892361801</v>
      </c>
      <c r="N223" s="130">
        <f t="shared" si="150"/>
        <v>198037</v>
      </c>
      <c r="O223" s="130">
        <f t="shared" si="150"/>
        <v>26284.026810007297</v>
      </c>
      <c r="P223" s="131">
        <f t="shared" si="150"/>
        <v>29900</v>
      </c>
      <c r="Q223" s="131">
        <f t="shared" si="150"/>
        <v>34800</v>
      </c>
      <c r="R223" s="153">
        <f t="shared" si="150"/>
        <v>33042</v>
      </c>
      <c r="S223" s="158">
        <f t="shared" si="150"/>
        <v>4176</v>
      </c>
      <c r="T223" s="158"/>
      <c r="U223" s="89" t="e">
        <f t="shared" ca="1" si="112"/>
        <v>#NAME?</v>
      </c>
      <c r="V223" s="532">
        <f>V386+V1007+V1151</f>
        <v>38500</v>
      </c>
      <c r="W223" s="532">
        <f>W386+W1007+W1151</f>
        <v>38500</v>
      </c>
      <c r="X223" s="534">
        <f>X386+X1007+X1151</f>
        <v>49500</v>
      </c>
      <c r="Y223" s="535">
        <f>Y386+Y1007+Y1151</f>
        <v>53800.2</v>
      </c>
      <c r="Z223" s="535"/>
      <c r="AA223" s="535" t="e">
        <f ca="1">AA386+AA1007+AA1151</f>
        <v>#NAME?</v>
      </c>
      <c r="AB223" s="535">
        <f>AB386+AB1007+AB1151</f>
        <v>0</v>
      </c>
      <c r="AC223" s="529">
        <f>AC386+AC1007+AC1151</f>
        <v>30500</v>
      </c>
      <c r="AD223" s="529">
        <f>AD386+AD1007+AD1151</f>
        <v>30500</v>
      </c>
      <c r="AE223" s="529">
        <f>O223/M223*100</f>
        <v>128.58460000129858</v>
      </c>
      <c r="AF223" s="529">
        <f t="shared" si="146"/>
        <v>113.75730292824069</v>
      </c>
      <c r="AG223" s="529">
        <f t="shared" si="146"/>
        <v>116.38795986622073</v>
      </c>
      <c r="AH223" s="529">
        <f>AC223/Q223*100</f>
        <v>87.643678160919535</v>
      </c>
      <c r="AI223" s="535"/>
      <c r="AJ223" s="535">
        <v>53800.2</v>
      </c>
      <c r="AK223" s="507">
        <f t="shared" si="138"/>
        <v>116.51837055868288</v>
      </c>
      <c r="AL223" s="507">
        <f t="shared" si="139"/>
        <v>128.57142857142858</v>
      </c>
      <c r="AM223" s="507">
        <f t="shared" si="139"/>
        <v>108.68727272727273</v>
      </c>
      <c r="AN223" s="556"/>
      <c r="AO223" s="510"/>
      <c r="AP223" s="510" t="e">
        <f t="shared" ca="1" si="113"/>
        <v>#NAME?</v>
      </c>
      <c r="AQ223" s="532">
        <f t="shared" ref="AQ223:BH223" si="151">AQ386+AQ1007+AQ1151</f>
        <v>36718.630000000005</v>
      </c>
      <c r="AR223" s="532">
        <f t="shared" si="151"/>
        <v>404.37503520111966</v>
      </c>
      <c r="AS223" s="532">
        <f t="shared" si="151"/>
        <v>300</v>
      </c>
      <c r="AT223" s="532">
        <f t="shared" si="151"/>
        <v>404.37503520111966</v>
      </c>
      <c r="AU223" s="532">
        <f t="shared" si="151"/>
        <v>302.57745130123112</v>
      </c>
      <c r="AV223" s="532">
        <f t="shared" si="151"/>
        <v>400.66661610054189</v>
      </c>
      <c r="AW223" s="612">
        <f t="shared" si="151"/>
        <v>36718.630000000005</v>
      </c>
      <c r="AX223" s="612">
        <f t="shared" si="151"/>
        <v>0</v>
      </c>
      <c r="AY223" s="612">
        <f t="shared" si="151"/>
        <v>0</v>
      </c>
      <c r="AZ223" s="612">
        <f t="shared" si="151"/>
        <v>0</v>
      </c>
      <c r="BA223" s="612">
        <f t="shared" si="151"/>
        <v>0</v>
      </c>
      <c r="BB223" s="612">
        <f t="shared" si="151"/>
        <v>0</v>
      </c>
      <c r="BC223" s="612">
        <f t="shared" si="151"/>
        <v>0</v>
      </c>
      <c r="BD223" s="612">
        <f t="shared" si="151"/>
        <v>0</v>
      </c>
      <c r="BE223" s="612">
        <f t="shared" si="151"/>
        <v>0</v>
      </c>
      <c r="BF223" s="612">
        <f t="shared" si="151"/>
        <v>0</v>
      </c>
      <c r="BG223" s="612">
        <f t="shared" si="151"/>
        <v>0</v>
      </c>
      <c r="BH223" s="612">
        <f t="shared" si="151"/>
        <v>36718.630000000005</v>
      </c>
      <c r="BI223" s="612">
        <f t="shared" si="142"/>
        <v>36718.630000000005</v>
      </c>
      <c r="BJ223" s="201">
        <f t="shared" si="115"/>
        <v>0</v>
      </c>
    </row>
    <row r="224" spans="1:62" ht="12" customHeight="1">
      <c r="A224" s="52"/>
      <c r="B224" s="52"/>
      <c r="C224" s="52"/>
      <c r="D224" s="52"/>
      <c r="E224" s="52"/>
      <c r="F224" s="52"/>
      <c r="G224" s="52"/>
      <c r="H224" s="63">
        <v>3213</v>
      </c>
      <c r="I224" s="116"/>
      <c r="J224" s="117"/>
      <c r="K224" s="19" t="s">
        <v>233</v>
      </c>
      <c r="L224" s="129">
        <f t="shared" ref="L224:S224" si="152">L387+L1008+L1089+L1152</f>
        <v>9714</v>
      </c>
      <c r="M224" s="129">
        <f t="shared" si="152"/>
        <v>1289.2693609396774</v>
      </c>
      <c r="N224" s="130">
        <f t="shared" si="152"/>
        <v>14565</v>
      </c>
      <c r="O224" s="130">
        <f t="shared" si="152"/>
        <v>1933.1077045590282</v>
      </c>
      <c r="P224" s="131">
        <f t="shared" si="152"/>
        <v>4300</v>
      </c>
      <c r="Q224" s="131">
        <f t="shared" si="152"/>
        <v>4700</v>
      </c>
      <c r="R224" s="153">
        <f t="shared" si="152"/>
        <v>4333</v>
      </c>
      <c r="S224" s="158">
        <f t="shared" si="152"/>
        <v>3776</v>
      </c>
      <c r="T224" s="158"/>
      <c r="U224" s="89" t="e">
        <f t="shared" ca="1" si="112"/>
        <v>#NAME?</v>
      </c>
      <c r="V224" s="532">
        <f>V387+V1008+V1089+V1152</f>
        <v>9500</v>
      </c>
      <c r="W224" s="532">
        <f>W387+W1008+W1089+W1152</f>
        <v>9500</v>
      </c>
      <c r="X224" s="534">
        <f>X387+X1008+X1089+X1152</f>
        <v>11500</v>
      </c>
      <c r="Y224" s="535">
        <f>Y387+Y1008+Y1089+Y1152</f>
        <v>16400.3</v>
      </c>
      <c r="Z224" s="535"/>
      <c r="AA224" s="535" t="e">
        <f ca="1">AA387+AA1008+AA1089+AA1152</f>
        <v>#NAME?</v>
      </c>
      <c r="AB224" s="535">
        <f>AB387+AB1008+AB1089+AB1152</f>
        <v>0</v>
      </c>
      <c r="AC224" s="535">
        <f>AC387+AC1008+AC1089+AC1152</f>
        <v>4300</v>
      </c>
      <c r="AD224" s="535">
        <f>AD387+AD1008+AD1089+AD1152</f>
        <v>4300</v>
      </c>
      <c r="AE224" s="529">
        <f>O224/M224*100</f>
        <v>149.93823347745521</v>
      </c>
      <c r="AF224" s="529">
        <f t="shared" si="146"/>
        <v>222.43975283213183</v>
      </c>
      <c r="AG224" s="529">
        <f t="shared" si="146"/>
        <v>109.30232558139534</v>
      </c>
      <c r="AH224" s="529">
        <f>AC224/Q224*100</f>
        <v>91.489361702127653</v>
      </c>
      <c r="AI224" s="535"/>
      <c r="AJ224" s="535">
        <v>16400.3</v>
      </c>
      <c r="AK224" s="507">
        <f t="shared" si="138"/>
        <v>219.24763443341794</v>
      </c>
      <c r="AL224" s="507">
        <f t="shared" si="139"/>
        <v>121.05263157894737</v>
      </c>
      <c r="AM224" s="507">
        <f t="shared" si="139"/>
        <v>142.61130434782606</v>
      </c>
      <c r="AN224" s="556"/>
      <c r="AO224" s="510"/>
      <c r="AP224" s="510" t="e">
        <f t="shared" ca="1" si="113"/>
        <v>#NAME?</v>
      </c>
      <c r="AQ224" s="532">
        <f t="shared" ref="AQ224:BH224" si="153">AQ387+AQ1008+AQ1089+AQ1152</f>
        <v>8581.5</v>
      </c>
      <c r="AR224" s="532">
        <f t="shared" si="153"/>
        <v>494.70595467786484</v>
      </c>
      <c r="AS224" s="532">
        <f t="shared" si="153"/>
        <v>200</v>
      </c>
      <c r="AT224" s="532">
        <f t="shared" si="153"/>
        <v>494.70595467786484</v>
      </c>
      <c r="AU224" s="532">
        <f t="shared" si="153"/>
        <v>170.18555555555554</v>
      </c>
      <c r="AV224" s="532">
        <f t="shared" si="153"/>
        <v>414.77123765747365</v>
      </c>
      <c r="AW224" s="612">
        <f t="shared" si="153"/>
        <v>8581.5</v>
      </c>
      <c r="AX224" s="612">
        <f t="shared" si="153"/>
        <v>0</v>
      </c>
      <c r="AY224" s="612">
        <f t="shared" si="153"/>
        <v>0</v>
      </c>
      <c r="AZ224" s="612">
        <f t="shared" si="153"/>
        <v>0</v>
      </c>
      <c r="BA224" s="612">
        <f t="shared" si="153"/>
        <v>0</v>
      </c>
      <c r="BB224" s="612">
        <f t="shared" si="153"/>
        <v>0</v>
      </c>
      <c r="BC224" s="612">
        <f t="shared" si="153"/>
        <v>0</v>
      </c>
      <c r="BD224" s="612">
        <f t="shared" si="153"/>
        <v>0</v>
      </c>
      <c r="BE224" s="612">
        <f t="shared" si="153"/>
        <v>0</v>
      </c>
      <c r="BF224" s="612">
        <f t="shared" si="153"/>
        <v>0</v>
      </c>
      <c r="BG224" s="612">
        <f t="shared" si="153"/>
        <v>0</v>
      </c>
      <c r="BH224" s="612">
        <f t="shared" si="153"/>
        <v>8581.5</v>
      </c>
      <c r="BI224" s="612">
        <f t="shared" si="142"/>
        <v>8581.5</v>
      </c>
      <c r="BJ224" s="201">
        <f t="shared" si="115"/>
        <v>0</v>
      </c>
    </row>
    <row r="225" spans="1:62" ht="12" customHeight="1">
      <c r="A225" s="192"/>
      <c r="B225" s="192"/>
      <c r="C225" s="192"/>
      <c r="D225" s="192"/>
      <c r="E225" s="192"/>
      <c r="F225" s="192"/>
      <c r="G225" s="192"/>
      <c r="H225" s="63">
        <v>3214</v>
      </c>
      <c r="I225" s="196"/>
      <c r="J225" s="197"/>
      <c r="K225" s="19" t="s">
        <v>234</v>
      </c>
      <c r="L225" s="136">
        <f t="shared" ref="L225:S225" si="154">L388+L1153+L1009</f>
        <v>5178</v>
      </c>
      <c r="M225" s="136">
        <f t="shared" si="154"/>
        <v>687.23870197093368</v>
      </c>
      <c r="N225" s="137">
        <f t="shared" si="154"/>
        <v>8753</v>
      </c>
      <c r="O225" s="137">
        <f t="shared" si="154"/>
        <v>1161.7227420532217</v>
      </c>
      <c r="P225" s="138">
        <f t="shared" si="154"/>
        <v>2200</v>
      </c>
      <c r="Q225" s="138">
        <f t="shared" si="154"/>
        <v>2200</v>
      </c>
      <c r="R225" s="136">
        <f t="shared" si="154"/>
        <v>1574</v>
      </c>
      <c r="S225" s="138" t="e">
        <f t="shared" ca="1" si="154"/>
        <v>#NAME?</v>
      </c>
      <c r="T225" s="138"/>
      <c r="U225" s="89" t="e">
        <f t="shared" ca="1" si="112"/>
        <v>#NAME?</v>
      </c>
      <c r="V225" s="532">
        <f>V388+V1153+V1009</f>
        <v>2500</v>
      </c>
      <c r="W225" s="532">
        <f>W388+W1153+W1009</f>
        <v>2500</v>
      </c>
      <c r="X225" s="539">
        <f>X388+X1153+X1009</f>
        <v>3500</v>
      </c>
      <c r="Y225" s="540">
        <f>Y388+Y1153+Y1009</f>
        <v>4200</v>
      </c>
      <c r="Z225" s="540"/>
      <c r="AA225" s="540" t="e">
        <f ca="1">AA388+AA1153+AA1009</f>
        <v>#NAME?</v>
      </c>
      <c r="AB225" s="540">
        <f>AB388+AB1153+AB1009</f>
        <v>0</v>
      </c>
      <c r="AC225" s="541">
        <f>AC388+AC1153+AC1009</f>
        <v>2200</v>
      </c>
      <c r="AD225" s="541">
        <f>AD388+AD1153+AD1009</f>
        <v>2200</v>
      </c>
      <c r="AE225" s="529">
        <f>O225/M225*100</f>
        <v>169.04210119737348</v>
      </c>
      <c r="AF225" s="529">
        <f t="shared" si="146"/>
        <v>189.37392893864961</v>
      </c>
      <c r="AG225" s="529">
        <f t="shared" si="146"/>
        <v>100</v>
      </c>
      <c r="AH225" s="529">
        <f>AC225/Q225*100</f>
        <v>100</v>
      </c>
      <c r="AI225" s="540"/>
      <c r="AJ225" s="540">
        <v>4200</v>
      </c>
      <c r="AK225" s="507">
        <f t="shared" si="138"/>
        <v>158.83100381194407</v>
      </c>
      <c r="AL225" s="507">
        <f t="shared" si="139"/>
        <v>140</v>
      </c>
      <c r="AM225" s="507">
        <f t="shared" si="139"/>
        <v>120</v>
      </c>
      <c r="AN225" s="558"/>
      <c r="AO225" s="510"/>
      <c r="AP225" s="510" t="e">
        <f t="shared" ca="1" si="113"/>
        <v>#NAME?</v>
      </c>
      <c r="AQ225" s="532">
        <f t="shared" ref="AQ225:BH225" si="155">AQ388+AQ1153+AQ1009</f>
        <v>3212.02</v>
      </c>
      <c r="AR225" s="532">
        <f t="shared" si="155"/>
        <v>155.52099533437013</v>
      </c>
      <c r="AS225" s="532">
        <f t="shared" si="155"/>
        <v>200</v>
      </c>
      <c r="AT225" s="532">
        <f t="shared" si="155"/>
        <v>155.52099533437013</v>
      </c>
      <c r="AU225" s="532">
        <f t="shared" si="155"/>
        <v>121.726</v>
      </c>
      <c r="AV225" s="532">
        <f t="shared" si="155"/>
        <v>459.27476455849319</v>
      </c>
      <c r="AW225" s="612">
        <f t="shared" si="155"/>
        <v>3212.02</v>
      </c>
      <c r="AX225" s="612">
        <f t="shared" si="155"/>
        <v>0</v>
      </c>
      <c r="AY225" s="612">
        <f t="shared" si="155"/>
        <v>0</v>
      </c>
      <c r="AZ225" s="612">
        <f t="shared" si="155"/>
        <v>0</v>
      </c>
      <c r="BA225" s="612">
        <f t="shared" si="155"/>
        <v>0</v>
      </c>
      <c r="BB225" s="612">
        <f t="shared" si="155"/>
        <v>0</v>
      </c>
      <c r="BC225" s="612">
        <f t="shared" si="155"/>
        <v>0</v>
      </c>
      <c r="BD225" s="612">
        <f t="shared" si="155"/>
        <v>0</v>
      </c>
      <c r="BE225" s="612">
        <f t="shared" si="155"/>
        <v>0</v>
      </c>
      <c r="BF225" s="612">
        <f t="shared" si="155"/>
        <v>0</v>
      </c>
      <c r="BG225" s="612">
        <f t="shared" si="155"/>
        <v>0</v>
      </c>
      <c r="BH225" s="612">
        <f t="shared" si="155"/>
        <v>3212.02</v>
      </c>
      <c r="BI225" s="612">
        <f t="shared" si="142"/>
        <v>3212.02</v>
      </c>
      <c r="BJ225" s="201">
        <f t="shared" si="115"/>
        <v>0</v>
      </c>
    </row>
    <row r="226" spans="1:62" ht="12" customHeight="1">
      <c r="A226" s="41"/>
      <c r="B226" s="41"/>
      <c r="C226" s="41"/>
      <c r="D226" s="41"/>
      <c r="E226" s="41"/>
      <c r="F226" s="41"/>
      <c r="G226" s="41"/>
      <c r="H226" s="37"/>
      <c r="I226" s="72"/>
      <c r="J226" s="90"/>
      <c r="K226" s="83"/>
      <c r="L226" s="84"/>
      <c r="M226" s="84"/>
      <c r="N226" s="85"/>
      <c r="O226" s="85"/>
      <c r="P226" s="86"/>
      <c r="Q226" s="86"/>
      <c r="R226" s="154"/>
      <c r="S226" s="155"/>
      <c r="T226" s="155"/>
      <c r="U226" s="89" t="e">
        <f t="shared" ca="1" si="112"/>
        <v>#NAME?</v>
      </c>
      <c r="V226" s="532"/>
      <c r="W226" s="532"/>
      <c r="X226" s="536"/>
      <c r="Y226" s="537"/>
      <c r="Z226" s="537"/>
      <c r="AA226" s="537"/>
      <c r="AB226" s="537"/>
      <c r="AC226" s="538"/>
      <c r="AD226" s="538"/>
      <c r="AE226" s="529"/>
      <c r="AF226" s="529"/>
      <c r="AG226" s="529"/>
      <c r="AH226" s="529"/>
      <c r="AI226" s="537"/>
      <c r="AJ226" s="537"/>
      <c r="AK226" s="507"/>
      <c r="AL226" s="507"/>
      <c r="AM226" s="507"/>
      <c r="AN226" s="557"/>
      <c r="AO226" s="510"/>
      <c r="AP226" s="510" t="e">
        <f t="shared" ca="1" si="113"/>
        <v>#NAME?</v>
      </c>
      <c r="AQ226" s="532"/>
      <c r="AR226" s="532"/>
      <c r="AS226" s="532"/>
      <c r="AT226" s="532"/>
      <c r="AU226" s="532"/>
      <c r="AV226" s="532"/>
      <c r="AW226" s="612"/>
      <c r="AX226" s="612"/>
      <c r="AY226" s="612"/>
      <c r="AZ226" s="612"/>
      <c r="BA226" s="612"/>
      <c r="BB226" s="612"/>
      <c r="BC226" s="612"/>
      <c r="BD226" s="612"/>
      <c r="BE226" s="612"/>
      <c r="BF226" s="612"/>
      <c r="BG226" s="612"/>
      <c r="BH226" s="612"/>
      <c r="BI226" s="612">
        <f t="shared" si="142"/>
        <v>0</v>
      </c>
      <c r="BJ226" s="201">
        <f t="shared" si="115"/>
        <v>0</v>
      </c>
    </row>
    <row r="227" spans="1:62" ht="12" customHeight="1">
      <c r="A227" s="61"/>
      <c r="B227" s="61"/>
      <c r="C227" s="61"/>
      <c r="D227" s="61"/>
      <c r="E227" s="61"/>
      <c r="F227" s="61"/>
      <c r="G227" s="61"/>
      <c r="H227" s="62">
        <v>322</v>
      </c>
      <c r="I227" s="127"/>
      <c r="J227" s="128"/>
      <c r="K227" s="20" t="s">
        <v>235</v>
      </c>
      <c r="L227" s="111">
        <f t="shared" ref="L227:S227" si="156">L229+L230+L231+L232+L233+L234</f>
        <v>913369</v>
      </c>
      <c r="M227" s="111">
        <f t="shared" si="156"/>
        <v>121224.89879885857</v>
      </c>
      <c r="N227" s="112">
        <f t="shared" si="156"/>
        <v>1391677</v>
      </c>
      <c r="O227" s="112">
        <f t="shared" si="156"/>
        <v>184707.27984604155</v>
      </c>
      <c r="P227" s="113">
        <f t="shared" si="156"/>
        <v>186100</v>
      </c>
      <c r="Q227" s="113">
        <f t="shared" si="156"/>
        <v>196100</v>
      </c>
      <c r="R227" s="87">
        <f t="shared" si="156"/>
        <v>185183</v>
      </c>
      <c r="S227" s="89" t="e">
        <f t="shared" ca="1" si="156"/>
        <v>#NAME?</v>
      </c>
      <c r="T227" s="89"/>
      <c r="U227" s="89" t="e">
        <f t="shared" ca="1" si="112"/>
        <v>#NAME?</v>
      </c>
      <c r="V227" s="532">
        <f>V229+V230+V231+V232+V233+V234</f>
        <v>216319.76</v>
      </c>
      <c r="W227" s="532">
        <f>W229+W230+W231+W232+W233+W234</f>
        <v>216319.76</v>
      </c>
      <c r="X227" s="506">
        <f>X229+X230+X231+X232+X233+X234</f>
        <v>246400</v>
      </c>
      <c r="Y227" s="507">
        <f>Y229+Y230+Y231+Y232+Y233+Y234</f>
        <v>273100.3</v>
      </c>
      <c r="Z227" s="507"/>
      <c r="AA227" s="507" t="e">
        <f ca="1">AA229+AA230+AA231+AA232+AA233+AA234</f>
        <v>#NAME?</v>
      </c>
      <c r="AB227" s="507">
        <f>AB229+AB230+AB231+AB232+AB233+AB234</f>
        <v>0</v>
      </c>
      <c r="AC227" s="508">
        <f>AC229+AC230+AC231+AC232+AC233+AC234</f>
        <v>198100</v>
      </c>
      <c r="AD227" s="508">
        <f>AD229+AD230+AD231+AD232+AD233+AD234</f>
        <v>198100</v>
      </c>
      <c r="AE227" s="529">
        <f>O227/M227*100</f>
        <v>152.36744404506834</v>
      </c>
      <c r="AF227" s="529">
        <f>P227/O227*100</f>
        <v>100.75401476060897</v>
      </c>
      <c r="AG227" s="529">
        <f>Q227/P227*100</f>
        <v>105.37345513164964</v>
      </c>
      <c r="AH227" s="529">
        <f>AC227/Q227*100</f>
        <v>101.01988781234064</v>
      </c>
      <c r="AI227" s="507"/>
      <c r="AJ227" s="507">
        <v>273100.3</v>
      </c>
      <c r="AK227" s="507">
        <f t="shared" si="138"/>
        <v>116.81404880577591</v>
      </c>
      <c r="AL227" s="507">
        <f t="shared" si="139"/>
        <v>113.90545181817879</v>
      </c>
      <c r="AM227" s="507">
        <f t="shared" si="139"/>
        <v>110.8361607142857</v>
      </c>
      <c r="AN227" s="509"/>
      <c r="AO227" s="510"/>
      <c r="AP227" s="510" t="e">
        <f t="shared" ca="1" si="113"/>
        <v>#NAME?</v>
      </c>
      <c r="AQ227" s="532">
        <f>AQ229+AQ230+AQ231+AQ232+AQ233+AQ234</f>
        <v>181101.38</v>
      </c>
      <c r="AR227" s="532">
        <f t="shared" ref="AR227:BH227" si="157">AR229+AR230+AR231+AR232+AR233+AR234</f>
        <v>7451.9890866891046</v>
      </c>
      <c r="AS227" s="532">
        <f t="shared" si="157"/>
        <v>2000</v>
      </c>
      <c r="AT227" s="532">
        <f t="shared" si="157"/>
        <v>7451.9890866891046</v>
      </c>
      <c r="AU227" s="532">
        <f t="shared" si="157"/>
        <v>1301.5613498126186</v>
      </c>
      <c r="AV227" s="532">
        <f t="shared" si="157"/>
        <v>2499.8764175268147</v>
      </c>
      <c r="AW227" s="612">
        <f t="shared" si="157"/>
        <v>115586.27</v>
      </c>
      <c r="AX227" s="612">
        <f t="shared" si="157"/>
        <v>0</v>
      </c>
      <c r="AY227" s="612">
        <f t="shared" si="157"/>
        <v>0</v>
      </c>
      <c r="AZ227" s="612">
        <f t="shared" si="157"/>
        <v>0</v>
      </c>
      <c r="BA227" s="612">
        <f t="shared" si="157"/>
        <v>0</v>
      </c>
      <c r="BB227" s="612">
        <f t="shared" si="157"/>
        <v>0</v>
      </c>
      <c r="BC227" s="612">
        <f t="shared" si="157"/>
        <v>0</v>
      </c>
      <c r="BD227" s="612">
        <f t="shared" si="157"/>
        <v>0</v>
      </c>
      <c r="BE227" s="612">
        <f t="shared" si="157"/>
        <v>65515.11</v>
      </c>
      <c r="BF227" s="612">
        <f t="shared" si="157"/>
        <v>0</v>
      </c>
      <c r="BG227" s="612">
        <f t="shared" si="157"/>
        <v>0</v>
      </c>
      <c r="BH227" s="612">
        <f t="shared" si="157"/>
        <v>181101.38</v>
      </c>
      <c r="BI227" s="612">
        <f t="shared" si="142"/>
        <v>181101.38</v>
      </c>
      <c r="BJ227" s="201">
        <f t="shared" si="115"/>
        <v>0</v>
      </c>
    </row>
    <row r="228" spans="1:62" ht="12" customHeight="1">
      <c r="A228" s="41"/>
      <c r="B228" s="41"/>
      <c r="C228" s="41"/>
      <c r="D228" s="41"/>
      <c r="E228" s="41"/>
      <c r="F228" s="41"/>
      <c r="G228" s="41"/>
      <c r="H228" s="37"/>
      <c r="I228" s="72"/>
      <c r="J228" s="73"/>
      <c r="K228" s="83"/>
      <c r="L228" s="84"/>
      <c r="M228" s="84"/>
      <c r="N228" s="85"/>
      <c r="O228" s="85"/>
      <c r="P228" s="86"/>
      <c r="Q228" s="86"/>
      <c r="R228" s="154"/>
      <c r="S228" s="155"/>
      <c r="T228" s="155"/>
      <c r="U228" s="89" t="e">
        <f t="shared" ca="1" si="112"/>
        <v>#NAME?</v>
      </c>
      <c r="V228" s="532"/>
      <c r="W228" s="532"/>
      <c r="X228" s="536"/>
      <c r="Y228" s="537"/>
      <c r="Z228" s="537"/>
      <c r="AA228" s="537"/>
      <c r="AB228" s="537"/>
      <c r="AC228" s="538"/>
      <c r="AD228" s="538"/>
      <c r="AE228" s="529"/>
      <c r="AF228" s="529"/>
      <c r="AG228" s="529"/>
      <c r="AH228" s="529"/>
      <c r="AI228" s="537"/>
      <c r="AJ228" s="537"/>
      <c r="AK228" s="507"/>
      <c r="AL228" s="507"/>
      <c r="AM228" s="507"/>
      <c r="AN228" s="557"/>
      <c r="AO228" s="510"/>
      <c r="AP228" s="510" t="e">
        <f t="shared" ca="1" si="113"/>
        <v>#NAME?</v>
      </c>
      <c r="AQ228" s="532"/>
      <c r="AR228" s="532"/>
      <c r="AS228" s="532"/>
      <c r="AT228" s="532"/>
      <c r="AU228" s="532"/>
      <c r="AV228" s="532"/>
      <c r="AW228" s="612"/>
      <c r="AX228" s="612"/>
      <c r="AY228" s="612"/>
      <c r="AZ228" s="612"/>
      <c r="BA228" s="612"/>
      <c r="BB228" s="612"/>
      <c r="BC228" s="612"/>
      <c r="BD228" s="612"/>
      <c r="BE228" s="612"/>
      <c r="BF228" s="612"/>
      <c r="BG228" s="612"/>
      <c r="BH228" s="612"/>
      <c r="BI228" s="612">
        <f t="shared" si="142"/>
        <v>0</v>
      </c>
      <c r="BJ228" s="201">
        <f t="shared" si="115"/>
        <v>0</v>
      </c>
    </row>
    <row r="229" spans="1:62" ht="12" customHeight="1">
      <c r="A229" s="52"/>
      <c r="B229" s="52"/>
      <c r="C229" s="52"/>
      <c r="D229" s="52"/>
      <c r="E229" s="52"/>
      <c r="F229" s="52"/>
      <c r="G229" s="52"/>
      <c r="H229" s="63">
        <v>3221</v>
      </c>
      <c r="I229" s="116"/>
      <c r="J229" s="117"/>
      <c r="K229" s="19" t="s">
        <v>236</v>
      </c>
      <c r="L229" s="129">
        <f t="shared" ref="L229:S229" si="158">L391+L1017+L1092+L1156</f>
        <v>145370</v>
      </c>
      <c r="M229" s="129">
        <f t="shared" si="158"/>
        <v>19293.914659234189</v>
      </c>
      <c r="N229" s="130">
        <f t="shared" si="158"/>
        <v>149401</v>
      </c>
      <c r="O229" s="130">
        <f t="shared" si="158"/>
        <v>19828.920299953545</v>
      </c>
      <c r="P229" s="131">
        <f t="shared" si="158"/>
        <v>21200</v>
      </c>
      <c r="Q229" s="131">
        <f t="shared" si="158"/>
        <v>24900</v>
      </c>
      <c r="R229" s="153">
        <f t="shared" si="158"/>
        <v>25031</v>
      </c>
      <c r="S229" s="158">
        <f t="shared" si="158"/>
        <v>4610</v>
      </c>
      <c r="T229" s="158"/>
      <c r="U229" s="89" t="e">
        <f t="shared" ca="1" si="112"/>
        <v>#NAME?</v>
      </c>
      <c r="V229" s="532">
        <f>V391+V1017+V1092+V1156</f>
        <v>27299.5</v>
      </c>
      <c r="W229" s="532">
        <f>W391+W1017+W1092+W1156</f>
        <v>27299.5</v>
      </c>
      <c r="X229" s="534">
        <f>X391+X1017+X1092+X1156</f>
        <v>29900</v>
      </c>
      <c r="Y229" s="535">
        <f>Y391+Y1017+Y1092+Y1156</f>
        <v>31300</v>
      </c>
      <c r="Z229" s="535"/>
      <c r="AA229" s="535" t="e">
        <f ca="1">AA391+AA1017+AA1092+AA1156</f>
        <v>#NAME?</v>
      </c>
      <c r="AB229" s="535">
        <f>AB391+AB1017+AB1092+AB1156</f>
        <v>0</v>
      </c>
      <c r="AC229" s="529">
        <f>AC391+AC1017+AC1092+AC1156</f>
        <v>21700</v>
      </c>
      <c r="AD229" s="529">
        <f>AD391+AD1017+AD1092+AD1156</f>
        <v>21700</v>
      </c>
      <c r="AE229" s="529">
        <f>O229/M229*100</f>
        <v>102.77292426222742</v>
      </c>
      <c r="AF229" s="529">
        <f t="shared" ref="AF229:AG233" si="159">P229/O229*100</f>
        <v>106.91454541803604</v>
      </c>
      <c r="AG229" s="529">
        <f t="shared" si="159"/>
        <v>117.45283018867924</v>
      </c>
      <c r="AH229" s="529">
        <f>AC229/Q229*100</f>
        <v>87.148594377510037</v>
      </c>
      <c r="AI229" s="535"/>
      <c r="AJ229" s="535">
        <v>31300</v>
      </c>
      <c r="AK229" s="507">
        <f t="shared" si="138"/>
        <v>109.06276217490311</v>
      </c>
      <c r="AL229" s="507">
        <f t="shared" si="139"/>
        <v>109.52581549112621</v>
      </c>
      <c r="AM229" s="507">
        <f t="shared" si="139"/>
        <v>104.68227424749163</v>
      </c>
      <c r="AN229" s="556"/>
      <c r="AO229" s="510"/>
      <c r="AP229" s="510" t="e">
        <f t="shared" ca="1" si="113"/>
        <v>#NAME?</v>
      </c>
      <c r="AQ229" s="532">
        <f t="shared" ref="AQ229:BH229" si="160">AQ391+AQ1017+AQ1092+AQ1156</f>
        <v>21945.83</v>
      </c>
      <c r="AR229" s="532">
        <f t="shared" si="160"/>
        <v>471.45166433252115</v>
      </c>
      <c r="AS229" s="532">
        <f t="shared" si="160"/>
        <v>400</v>
      </c>
      <c r="AT229" s="532">
        <f t="shared" si="160"/>
        <v>471.45166433252115</v>
      </c>
      <c r="AU229" s="532">
        <f t="shared" si="160"/>
        <v>381.17163571853348</v>
      </c>
      <c r="AV229" s="532">
        <f t="shared" si="160"/>
        <v>461.66881533157868</v>
      </c>
      <c r="AW229" s="612">
        <f t="shared" si="160"/>
        <v>21945.83</v>
      </c>
      <c r="AX229" s="612">
        <f t="shared" si="160"/>
        <v>0</v>
      </c>
      <c r="AY229" s="612">
        <f t="shared" si="160"/>
        <v>0</v>
      </c>
      <c r="AZ229" s="612">
        <f t="shared" si="160"/>
        <v>0</v>
      </c>
      <c r="BA229" s="612">
        <f t="shared" si="160"/>
        <v>0</v>
      </c>
      <c r="BB229" s="612">
        <f t="shared" si="160"/>
        <v>0</v>
      </c>
      <c r="BC229" s="612">
        <f t="shared" si="160"/>
        <v>0</v>
      </c>
      <c r="BD229" s="612">
        <f t="shared" si="160"/>
        <v>0</v>
      </c>
      <c r="BE229" s="612">
        <f t="shared" si="160"/>
        <v>0</v>
      </c>
      <c r="BF229" s="612">
        <f t="shared" si="160"/>
        <v>0</v>
      </c>
      <c r="BG229" s="612">
        <f t="shared" si="160"/>
        <v>0</v>
      </c>
      <c r="BH229" s="612">
        <f t="shared" si="160"/>
        <v>21945.83</v>
      </c>
      <c r="BI229" s="612">
        <f t="shared" si="142"/>
        <v>21945.83</v>
      </c>
      <c r="BJ229" s="201">
        <f t="shared" si="115"/>
        <v>0</v>
      </c>
    </row>
    <row r="230" spans="1:62" ht="12" customHeight="1">
      <c r="A230" s="52"/>
      <c r="B230" s="52"/>
      <c r="C230" s="52"/>
      <c r="D230" s="52"/>
      <c r="E230" s="52"/>
      <c r="F230" s="52"/>
      <c r="G230" s="52"/>
      <c r="H230" s="63">
        <v>3222</v>
      </c>
      <c r="I230" s="116"/>
      <c r="J230" s="117"/>
      <c r="K230" s="19" t="s">
        <v>237</v>
      </c>
      <c r="L230" s="129">
        <f t="shared" ref="L230:S230" si="161">L1018</f>
        <v>211207</v>
      </c>
      <c r="M230" s="129">
        <f t="shared" si="161"/>
        <v>28031.986196827922</v>
      </c>
      <c r="N230" s="130">
        <f t="shared" si="161"/>
        <v>256784</v>
      </c>
      <c r="O230" s="130">
        <f t="shared" si="161"/>
        <v>34081.093635941332</v>
      </c>
      <c r="P230" s="131">
        <f t="shared" si="161"/>
        <v>40500</v>
      </c>
      <c r="Q230" s="131">
        <f t="shared" si="161"/>
        <v>42200</v>
      </c>
      <c r="R230" s="153">
        <f t="shared" si="161"/>
        <v>47585</v>
      </c>
      <c r="S230" s="158">
        <f t="shared" si="161"/>
        <v>0</v>
      </c>
      <c r="T230" s="158"/>
      <c r="U230" s="89" t="e">
        <f t="shared" ca="1" si="112"/>
        <v>#NAME?</v>
      </c>
      <c r="V230" s="532">
        <f>V1018</f>
        <v>48300</v>
      </c>
      <c r="W230" s="532">
        <f>W1018</f>
        <v>48300</v>
      </c>
      <c r="X230" s="534">
        <f>X1018</f>
        <v>50000</v>
      </c>
      <c r="Y230" s="535">
        <f>Y1018</f>
        <v>51200</v>
      </c>
      <c r="Z230" s="535"/>
      <c r="AA230" s="535" t="e">
        <f ca="1">AA1018</f>
        <v>#NAME?</v>
      </c>
      <c r="AB230" s="535">
        <f>AB1018</f>
        <v>0</v>
      </c>
      <c r="AC230" s="529">
        <f>AC1018</f>
        <v>40500</v>
      </c>
      <c r="AD230" s="529">
        <f>AD1018</f>
        <v>40500</v>
      </c>
      <c r="AE230" s="529">
        <f>O230/M230*100</f>
        <v>121.5793037162594</v>
      </c>
      <c r="AF230" s="529">
        <f t="shared" si="159"/>
        <v>118.8342147485825</v>
      </c>
      <c r="AG230" s="529">
        <f t="shared" si="159"/>
        <v>104.19753086419755</v>
      </c>
      <c r="AH230" s="529">
        <f>AC230/Q230*100</f>
        <v>95.97156398104265</v>
      </c>
      <c r="AI230" s="535"/>
      <c r="AJ230" s="535">
        <v>51200</v>
      </c>
      <c r="AK230" s="507">
        <f t="shared" si="138"/>
        <v>101.50257434065357</v>
      </c>
      <c r="AL230" s="507">
        <f t="shared" si="139"/>
        <v>103.51966873706004</v>
      </c>
      <c r="AM230" s="507">
        <f t="shared" si="139"/>
        <v>102.4</v>
      </c>
      <c r="AN230" s="556"/>
      <c r="AO230" s="510"/>
      <c r="AP230" s="510" t="e">
        <f t="shared" ca="1" si="113"/>
        <v>#NAME?</v>
      </c>
      <c r="AQ230" s="532">
        <f t="shared" ref="AQ230:BH230" si="162">AQ1018</f>
        <v>51210.44</v>
      </c>
      <c r="AR230" s="532">
        <f t="shared" si="162"/>
        <v>101.50257434065357</v>
      </c>
      <c r="AS230" s="532">
        <f t="shared" si="162"/>
        <v>100</v>
      </c>
      <c r="AT230" s="532">
        <f t="shared" si="162"/>
        <v>101.50257434065357</v>
      </c>
      <c r="AU230" s="532">
        <f t="shared" si="162"/>
        <v>106.02575569358179</v>
      </c>
      <c r="AV230" s="532">
        <f t="shared" si="162"/>
        <v>107.61887149311758</v>
      </c>
      <c r="AW230" s="612">
        <f t="shared" si="162"/>
        <v>51210.44</v>
      </c>
      <c r="AX230" s="612">
        <f t="shared" si="162"/>
        <v>0</v>
      </c>
      <c r="AY230" s="612">
        <f t="shared" si="162"/>
        <v>0</v>
      </c>
      <c r="AZ230" s="612">
        <f t="shared" si="162"/>
        <v>0</v>
      </c>
      <c r="BA230" s="612">
        <f t="shared" si="162"/>
        <v>0</v>
      </c>
      <c r="BB230" s="612">
        <f t="shared" si="162"/>
        <v>0</v>
      </c>
      <c r="BC230" s="612">
        <f t="shared" si="162"/>
        <v>0</v>
      </c>
      <c r="BD230" s="612">
        <f t="shared" si="162"/>
        <v>0</v>
      </c>
      <c r="BE230" s="612">
        <f t="shared" si="162"/>
        <v>0</v>
      </c>
      <c r="BF230" s="612">
        <f t="shared" si="162"/>
        <v>0</v>
      </c>
      <c r="BG230" s="612">
        <f t="shared" si="162"/>
        <v>0</v>
      </c>
      <c r="BH230" s="612">
        <f t="shared" si="162"/>
        <v>51210.44</v>
      </c>
      <c r="BI230" s="612">
        <f t="shared" si="142"/>
        <v>51210.44</v>
      </c>
      <c r="BJ230" s="201">
        <f t="shared" si="115"/>
        <v>0</v>
      </c>
    </row>
    <row r="231" spans="1:62" ht="12" customHeight="1">
      <c r="A231" s="52"/>
      <c r="B231" s="52"/>
      <c r="C231" s="52"/>
      <c r="D231" s="52"/>
      <c r="E231" s="52"/>
      <c r="F231" s="52"/>
      <c r="G231" s="52"/>
      <c r="H231" s="63">
        <v>3223</v>
      </c>
      <c r="I231" s="116"/>
      <c r="J231" s="117"/>
      <c r="K231" s="19" t="s">
        <v>238</v>
      </c>
      <c r="L231" s="129">
        <f t="shared" ref="L231:S231" si="163">L392+L684+L1019+L1093</f>
        <v>495566</v>
      </c>
      <c r="M231" s="129">
        <f t="shared" si="163"/>
        <v>65772.911274802565</v>
      </c>
      <c r="N231" s="130">
        <f t="shared" si="163"/>
        <v>867308</v>
      </c>
      <c r="O231" s="130">
        <f t="shared" si="163"/>
        <v>115111.55352047249</v>
      </c>
      <c r="P231" s="131">
        <f t="shared" si="163"/>
        <v>89300</v>
      </c>
      <c r="Q231" s="131">
        <f t="shared" si="163"/>
        <v>101900</v>
      </c>
      <c r="R231" s="153">
        <f t="shared" si="163"/>
        <v>94184</v>
      </c>
      <c r="S231" s="158" t="e">
        <f t="shared" ca="1" si="163"/>
        <v>#NAME?</v>
      </c>
      <c r="T231" s="158"/>
      <c r="U231" s="89" t="e">
        <f t="shared" ca="1" si="112"/>
        <v>#NAME?</v>
      </c>
      <c r="V231" s="532">
        <f>V392+V684+V1019+V1093</f>
        <v>111420.26</v>
      </c>
      <c r="W231" s="532">
        <f>W392+W684+W1019+W1093</f>
        <v>111420.26</v>
      </c>
      <c r="X231" s="534">
        <f>X392+X684+X1019+X1093</f>
        <v>124800</v>
      </c>
      <c r="Y231" s="535">
        <f>Y392+Y684+Y1019+Y1093</f>
        <v>141300</v>
      </c>
      <c r="Z231" s="535"/>
      <c r="AA231" s="535" t="e">
        <f ca="1">AA392+AA684+AA1019+AA1093</f>
        <v>#NAME?</v>
      </c>
      <c r="AB231" s="535">
        <f>AB392+AB684+AB1019+AB1093</f>
        <v>0</v>
      </c>
      <c r="AC231" s="529">
        <f>AC392+AC684+AC1019+AC1093</f>
        <v>95300</v>
      </c>
      <c r="AD231" s="529">
        <f>AD392+AD684+AD1019+AD1093</f>
        <v>95300</v>
      </c>
      <c r="AE231" s="529">
        <f>O231/M231*100</f>
        <v>175.01362078915827</v>
      </c>
      <c r="AF231" s="529">
        <f t="shared" si="159"/>
        <v>77.576921923930144</v>
      </c>
      <c r="AG231" s="529">
        <f t="shared" si="159"/>
        <v>114.10974244120942</v>
      </c>
      <c r="AH231" s="529">
        <f>AC231/Q231*100</f>
        <v>93.523061825318948</v>
      </c>
      <c r="AI231" s="535"/>
      <c r="AJ231" s="535">
        <v>141300</v>
      </c>
      <c r="AK231" s="507">
        <f t="shared" si="138"/>
        <v>118.30062430986155</v>
      </c>
      <c r="AL231" s="507">
        <f t="shared" si="139"/>
        <v>112.00835467445509</v>
      </c>
      <c r="AM231" s="507">
        <f t="shared" si="139"/>
        <v>113.22115384615385</v>
      </c>
      <c r="AN231" s="556"/>
      <c r="AO231" s="510"/>
      <c r="AP231" s="510" t="e">
        <f t="shared" ca="1" si="113"/>
        <v>#NAME?</v>
      </c>
      <c r="AQ231" s="532">
        <f t="shared" ref="AQ231:BH231" si="164">AQ392+AQ684+AQ1019+AQ1093</f>
        <v>84482.47</v>
      </c>
      <c r="AR231" s="532">
        <f t="shared" si="164"/>
        <v>425.11409025182803</v>
      </c>
      <c r="AS231" s="532">
        <f t="shared" si="164"/>
        <v>400</v>
      </c>
      <c r="AT231" s="532">
        <f t="shared" si="164"/>
        <v>425.11409025182803</v>
      </c>
      <c r="AU231" s="532">
        <f t="shared" si="164"/>
        <v>221.81726352870834</v>
      </c>
      <c r="AV231" s="532">
        <f t="shared" si="164"/>
        <v>270.31417911737805</v>
      </c>
      <c r="AW231" s="612">
        <f t="shared" si="164"/>
        <v>18967.36</v>
      </c>
      <c r="AX231" s="612">
        <f t="shared" si="164"/>
        <v>0</v>
      </c>
      <c r="AY231" s="612">
        <f t="shared" si="164"/>
        <v>0</v>
      </c>
      <c r="AZ231" s="612">
        <f t="shared" si="164"/>
        <v>0</v>
      </c>
      <c r="BA231" s="612">
        <f t="shared" si="164"/>
        <v>0</v>
      </c>
      <c r="BB231" s="612">
        <f t="shared" si="164"/>
        <v>0</v>
      </c>
      <c r="BC231" s="612">
        <f t="shared" si="164"/>
        <v>0</v>
      </c>
      <c r="BD231" s="612">
        <f t="shared" si="164"/>
        <v>0</v>
      </c>
      <c r="BE231" s="612">
        <f t="shared" si="164"/>
        <v>65515.11</v>
      </c>
      <c r="BF231" s="612">
        <f t="shared" si="164"/>
        <v>0</v>
      </c>
      <c r="BG231" s="612">
        <f t="shared" si="164"/>
        <v>0</v>
      </c>
      <c r="BH231" s="612">
        <f t="shared" si="164"/>
        <v>84482.47</v>
      </c>
      <c r="BI231" s="612">
        <f t="shared" si="142"/>
        <v>84482.47</v>
      </c>
      <c r="BJ231" s="201">
        <f t="shared" si="115"/>
        <v>0</v>
      </c>
    </row>
    <row r="232" spans="1:62" ht="12" customHeight="1">
      <c r="A232" s="52"/>
      <c r="B232" s="52"/>
      <c r="C232" s="52"/>
      <c r="D232" s="52"/>
      <c r="E232" s="52"/>
      <c r="F232" s="52"/>
      <c r="G232" s="52"/>
      <c r="H232" s="63">
        <v>3224</v>
      </c>
      <c r="I232" s="116"/>
      <c r="J232" s="117"/>
      <c r="K232" s="19" t="s">
        <v>239</v>
      </c>
      <c r="L232" s="129">
        <f t="shared" ref="L232:S232" si="165">L393+L543+L729+L1020+L1021+L1094+L1157</f>
        <v>21777</v>
      </c>
      <c r="M232" s="129">
        <f t="shared" si="165"/>
        <v>2890.3045988453114</v>
      </c>
      <c r="N232" s="130">
        <f t="shared" si="165"/>
        <v>106682</v>
      </c>
      <c r="O232" s="130">
        <f t="shared" si="165"/>
        <v>14159.134647289136</v>
      </c>
      <c r="P232" s="131">
        <f t="shared" si="165"/>
        <v>28200</v>
      </c>
      <c r="Q232" s="131">
        <f t="shared" si="165"/>
        <v>15400</v>
      </c>
      <c r="R232" s="153">
        <f t="shared" si="165"/>
        <v>9733</v>
      </c>
      <c r="S232" s="158" t="e">
        <f t="shared" ca="1" si="165"/>
        <v>#NAME?</v>
      </c>
      <c r="T232" s="158"/>
      <c r="U232" s="89" t="e">
        <f t="shared" ca="1" si="112"/>
        <v>#NAME?</v>
      </c>
      <c r="V232" s="532">
        <f>V393+V543+V729+V1020+V1021+V1094+V1157</f>
        <v>10900</v>
      </c>
      <c r="W232" s="532">
        <f>W393+W543+W729+W1020+W1021+W1094+W1157</f>
        <v>10900</v>
      </c>
      <c r="X232" s="534">
        <f>X393+X543+X729+X1020+X1021+X1094+X1157</f>
        <v>28900</v>
      </c>
      <c r="Y232" s="535">
        <f>Y393+Y543+Y729+Y1020+Y1021+Y1094+Y1157</f>
        <v>35600.1</v>
      </c>
      <c r="Z232" s="535"/>
      <c r="AA232" s="535" t="e">
        <f ca="1">AA393+AA543+AA729+AA1020+AA1021+AA1094+AA1157</f>
        <v>#NAME?</v>
      </c>
      <c r="AB232" s="535">
        <f>AB393+AB543+AB729+AB1020+AB1021+AB1094+AB1157</f>
        <v>0</v>
      </c>
      <c r="AC232" s="529">
        <f>AC393+AC543+AC729+AC1020+AC1021+AC1094+AC1157</f>
        <v>33500</v>
      </c>
      <c r="AD232" s="529">
        <f>AD393+AD543+AD729+AD1020+AD1021+AD1094+AD1157</f>
        <v>33500</v>
      </c>
      <c r="AE232" s="529">
        <f>O232/M232*100</f>
        <v>489.88382238141162</v>
      </c>
      <c r="AF232" s="529">
        <f t="shared" si="159"/>
        <v>199.16471382238802</v>
      </c>
      <c r="AG232" s="529">
        <f t="shared" si="159"/>
        <v>54.609929078014183</v>
      </c>
      <c r="AH232" s="529">
        <f>AC232/Q232*100</f>
        <v>217.53246753246751</v>
      </c>
      <c r="AI232" s="535"/>
      <c r="AJ232" s="535">
        <v>35600.1</v>
      </c>
      <c r="AK232" s="507">
        <f t="shared" si="138"/>
        <v>111.99013664851536</v>
      </c>
      <c r="AL232" s="507">
        <f t="shared" si="139"/>
        <v>265.13761467889907</v>
      </c>
      <c r="AM232" s="507">
        <f t="shared" si="139"/>
        <v>123.18373702422146</v>
      </c>
      <c r="AN232" s="556"/>
      <c r="AO232" s="510"/>
      <c r="AP232" s="510" t="e">
        <f t="shared" ca="1" si="113"/>
        <v>#NAME?</v>
      </c>
      <c r="AQ232" s="532">
        <f t="shared" ref="AQ232:BH232" si="166">AQ393+AQ543+AQ729+AQ1020+AQ1021+AQ1094+AQ1157</f>
        <v>5847.01</v>
      </c>
      <c r="AR232" s="532">
        <f t="shared" si="166"/>
        <v>1592.8840037474165</v>
      </c>
      <c r="AS232" s="532">
        <f t="shared" si="166"/>
        <v>600</v>
      </c>
      <c r="AT232" s="532">
        <f t="shared" si="166"/>
        <v>1592.8840037474165</v>
      </c>
      <c r="AU232" s="532">
        <f t="shared" si="166"/>
        <v>263.37389999999999</v>
      </c>
      <c r="AV232" s="532">
        <f t="shared" si="166"/>
        <v>981.56014345786639</v>
      </c>
      <c r="AW232" s="612">
        <f t="shared" si="166"/>
        <v>5847.01</v>
      </c>
      <c r="AX232" s="612">
        <f t="shared" si="166"/>
        <v>0</v>
      </c>
      <c r="AY232" s="612">
        <f t="shared" si="166"/>
        <v>0</v>
      </c>
      <c r="AZ232" s="612">
        <f t="shared" si="166"/>
        <v>0</v>
      </c>
      <c r="BA232" s="612">
        <f t="shared" si="166"/>
        <v>0</v>
      </c>
      <c r="BB232" s="612">
        <f t="shared" si="166"/>
        <v>0</v>
      </c>
      <c r="BC232" s="612">
        <f t="shared" si="166"/>
        <v>0</v>
      </c>
      <c r="BD232" s="612">
        <f t="shared" si="166"/>
        <v>0</v>
      </c>
      <c r="BE232" s="612">
        <f t="shared" si="166"/>
        <v>0</v>
      </c>
      <c r="BF232" s="612">
        <f t="shared" si="166"/>
        <v>0</v>
      </c>
      <c r="BG232" s="612">
        <f t="shared" si="166"/>
        <v>0</v>
      </c>
      <c r="BH232" s="612">
        <f t="shared" si="166"/>
        <v>5847.01</v>
      </c>
      <c r="BI232" s="612">
        <f t="shared" si="142"/>
        <v>5847.01</v>
      </c>
      <c r="BJ232" s="201">
        <f t="shared" si="115"/>
        <v>0</v>
      </c>
    </row>
    <row r="233" spans="1:62" ht="12" customHeight="1">
      <c r="A233" s="52"/>
      <c r="B233" s="52"/>
      <c r="C233" s="52"/>
      <c r="D233" s="52"/>
      <c r="E233" s="52"/>
      <c r="F233" s="52"/>
      <c r="G233" s="52"/>
      <c r="H233" s="63">
        <v>3225</v>
      </c>
      <c r="I233" s="116"/>
      <c r="J233" s="117"/>
      <c r="K233" s="19" t="s">
        <v>240</v>
      </c>
      <c r="L233" s="129">
        <f t="shared" ref="L233:S233" si="167">L394+L1022+L1095+L1158</f>
        <v>39449</v>
      </c>
      <c r="M233" s="129">
        <f t="shared" si="167"/>
        <v>5235.7820691485831</v>
      </c>
      <c r="N233" s="130">
        <f t="shared" si="167"/>
        <v>11502</v>
      </c>
      <c r="O233" s="130">
        <f t="shared" si="167"/>
        <v>1526.5777423850288</v>
      </c>
      <c r="P233" s="131">
        <f t="shared" si="167"/>
        <v>5600</v>
      </c>
      <c r="Q233" s="131">
        <f t="shared" si="167"/>
        <v>10400</v>
      </c>
      <c r="R233" s="153">
        <f t="shared" si="167"/>
        <v>8650</v>
      </c>
      <c r="S233" s="158">
        <f t="shared" si="167"/>
        <v>756</v>
      </c>
      <c r="T233" s="158"/>
      <c r="U233" s="89" t="e">
        <f t="shared" ca="1" si="112"/>
        <v>#NAME?</v>
      </c>
      <c r="V233" s="532">
        <f>V394+V1022+V1095+V1158</f>
        <v>15400</v>
      </c>
      <c r="W233" s="532">
        <f>W394+W1022+W1095+W1158</f>
        <v>15400</v>
      </c>
      <c r="X233" s="534">
        <f>X394+X1022+X1095+X1158</f>
        <v>11800</v>
      </c>
      <c r="Y233" s="535">
        <f>Y394+Y1022+Y1095+Y1158</f>
        <v>11700.2</v>
      </c>
      <c r="Z233" s="535"/>
      <c r="AA233" s="535" t="e">
        <f ca="1">AA394+AA1022+AA1095+AA1158</f>
        <v>#NAME?</v>
      </c>
      <c r="AB233" s="535">
        <f>AB394+AB1022+AB1095+AB1158</f>
        <v>0</v>
      </c>
      <c r="AC233" s="529">
        <f>AC394+AC1022+AC1095+AC1158</f>
        <v>6100</v>
      </c>
      <c r="AD233" s="529">
        <f>AD394+AD1022+AD1095+AD1158</f>
        <v>6100</v>
      </c>
      <c r="AE233" s="529">
        <f>O233/M233*100</f>
        <v>29.156632614261451</v>
      </c>
      <c r="AF233" s="529">
        <f t="shared" si="159"/>
        <v>366.83359415753785</v>
      </c>
      <c r="AG233" s="529">
        <f t="shared" si="159"/>
        <v>185.71428571428572</v>
      </c>
      <c r="AH233" s="529">
        <f>AC233/Q233*100</f>
        <v>58.653846153846153</v>
      </c>
      <c r="AI233" s="535"/>
      <c r="AJ233" s="535">
        <v>11700.2</v>
      </c>
      <c r="AK233" s="507">
        <f t="shared" si="138"/>
        <v>178.03468208092485</v>
      </c>
      <c r="AL233" s="507">
        <f t="shared" si="139"/>
        <v>76.623376623376629</v>
      </c>
      <c r="AM233" s="507">
        <f t="shared" si="139"/>
        <v>99.154237288135604</v>
      </c>
      <c r="AN233" s="556"/>
      <c r="AO233" s="510"/>
      <c r="AP233" s="510" t="e">
        <f t="shared" ca="1" si="113"/>
        <v>#NAME?</v>
      </c>
      <c r="AQ233" s="532">
        <f t="shared" ref="AQ233:BH233" si="168">AQ394+AQ1022+AQ1095+AQ1158</f>
        <v>14776.6</v>
      </c>
      <c r="AR233" s="532">
        <f t="shared" si="168"/>
        <v>4861.0367540166853</v>
      </c>
      <c r="AS233" s="532">
        <f t="shared" si="168"/>
        <v>400</v>
      </c>
      <c r="AT233" s="532">
        <f t="shared" si="168"/>
        <v>4861.0367540166853</v>
      </c>
      <c r="AU233" s="532">
        <f t="shared" si="168"/>
        <v>234.53846153846155</v>
      </c>
      <c r="AV233" s="532">
        <f t="shared" si="168"/>
        <v>678.7144081268741</v>
      </c>
      <c r="AW233" s="612">
        <f t="shared" si="168"/>
        <v>14776.6</v>
      </c>
      <c r="AX233" s="612">
        <f t="shared" si="168"/>
        <v>0</v>
      </c>
      <c r="AY233" s="612">
        <f t="shared" si="168"/>
        <v>0</v>
      </c>
      <c r="AZ233" s="612">
        <f t="shared" si="168"/>
        <v>0</v>
      </c>
      <c r="BA233" s="612">
        <f t="shared" si="168"/>
        <v>0</v>
      </c>
      <c r="BB233" s="612">
        <f t="shared" si="168"/>
        <v>0</v>
      </c>
      <c r="BC233" s="612">
        <f t="shared" si="168"/>
        <v>0</v>
      </c>
      <c r="BD233" s="612">
        <f t="shared" si="168"/>
        <v>0</v>
      </c>
      <c r="BE233" s="612">
        <f t="shared" si="168"/>
        <v>0</v>
      </c>
      <c r="BF233" s="612">
        <f t="shared" si="168"/>
        <v>0</v>
      </c>
      <c r="BG233" s="612">
        <f t="shared" si="168"/>
        <v>0</v>
      </c>
      <c r="BH233" s="612">
        <f t="shared" si="168"/>
        <v>14776.6</v>
      </c>
      <c r="BI233" s="612">
        <f t="shared" si="142"/>
        <v>14776.6</v>
      </c>
      <c r="BJ233" s="201">
        <f t="shared" si="115"/>
        <v>0</v>
      </c>
    </row>
    <row r="234" spans="1:62" ht="12" customHeight="1">
      <c r="A234" s="52"/>
      <c r="B234" s="52"/>
      <c r="C234" s="52"/>
      <c r="D234" s="52"/>
      <c r="E234" s="52"/>
      <c r="F234" s="52"/>
      <c r="G234" s="52"/>
      <c r="H234" s="63">
        <v>3227</v>
      </c>
      <c r="I234" s="116"/>
      <c r="J234" s="117"/>
      <c r="K234" s="19" t="s">
        <v>241</v>
      </c>
      <c r="L234" s="129">
        <f t="shared" ref="L234:S234" si="169">L395</f>
        <v>0</v>
      </c>
      <c r="M234" s="129">
        <f t="shared" si="169"/>
        <v>0</v>
      </c>
      <c r="N234" s="130">
        <f t="shared" si="169"/>
        <v>0</v>
      </c>
      <c r="O234" s="130">
        <f t="shared" si="169"/>
        <v>0</v>
      </c>
      <c r="P234" s="131">
        <f t="shared" si="169"/>
        <v>1300</v>
      </c>
      <c r="Q234" s="131">
        <f t="shared" si="169"/>
        <v>1300</v>
      </c>
      <c r="R234" s="153">
        <f t="shared" si="169"/>
        <v>0</v>
      </c>
      <c r="S234" s="158" t="e">
        <f t="shared" ca="1" si="169"/>
        <v>#NAME?</v>
      </c>
      <c r="T234" s="158"/>
      <c r="U234" s="89" t="e">
        <f t="shared" ca="1" si="112"/>
        <v>#NAME?</v>
      </c>
      <c r="V234" s="532">
        <f>V395</f>
        <v>3000</v>
      </c>
      <c r="W234" s="532">
        <f>W395</f>
        <v>3000</v>
      </c>
      <c r="X234" s="534">
        <f>X395</f>
        <v>1000</v>
      </c>
      <c r="Y234" s="535">
        <f>Y395</f>
        <v>2000</v>
      </c>
      <c r="Z234" s="535"/>
      <c r="AA234" s="535" t="e">
        <f ca="1">AA395</f>
        <v>#NAME?</v>
      </c>
      <c r="AB234" s="535">
        <f>AB395</f>
        <v>0</v>
      </c>
      <c r="AC234" s="529">
        <f>AC395</f>
        <v>1000</v>
      </c>
      <c r="AD234" s="529">
        <f>AD395</f>
        <v>1000</v>
      </c>
      <c r="AE234" s="529"/>
      <c r="AF234" s="529"/>
      <c r="AG234" s="529"/>
      <c r="AH234" s="529"/>
      <c r="AI234" s="535"/>
      <c r="AJ234" s="535">
        <v>2000</v>
      </c>
      <c r="AK234" s="507"/>
      <c r="AL234" s="507">
        <f t="shared" si="139"/>
        <v>33.333333333333329</v>
      </c>
      <c r="AM234" s="507">
        <f t="shared" si="139"/>
        <v>200</v>
      </c>
      <c r="AN234" s="556"/>
      <c r="AO234" s="510"/>
      <c r="AP234" s="510" t="e">
        <f t="shared" ca="1" si="113"/>
        <v>#NAME?</v>
      </c>
      <c r="AQ234" s="532">
        <f t="shared" ref="AQ234:BH234" si="170">AQ395</f>
        <v>2839.03</v>
      </c>
      <c r="AR234" s="532">
        <f t="shared" si="170"/>
        <v>0</v>
      </c>
      <c r="AS234" s="532">
        <f t="shared" si="170"/>
        <v>100</v>
      </c>
      <c r="AT234" s="532">
        <f t="shared" si="170"/>
        <v>0</v>
      </c>
      <c r="AU234" s="532">
        <f t="shared" si="170"/>
        <v>94.634333333333345</v>
      </c>
      <c r="AV234" s="532">
        <f t="shared" si="170"/>
        <v>0</v>
      </c>
      <c r="AW234" s="612">
        <f t="shared" si="170"/>
        <v>2839.03</v>
      </c>
      <c r="AX234" s="612">
        <f t="shared" si="170"/>
        <v>0</v>
      </c>
      <c r="AY234" s="612">
        <f t="shared" si="170"/>
        <v>0</v>
      </c>
      <c r="AZ234" s="612">
        <f t="shared" si="170"/>
        <v>0</v>
      </c>
      <c r="BA234" s="612">
        <f t="shared" si="170"/>
        <v>0</v>
      </c>
      <c r="BB234" s="612">
        <f t="shared" si="170"/>
        <v>0</v>
      </c>
      <c r="BC234" s="612">
        <f t="shared" si="170"/>
        <v>0</v>
      </c>
      <c r="BD234" s="612">
        <f t="shared" si="170"/>
        <v>0</v>
      </c>
      <c r="BE234" s="612">
        <f t="shared" si="170"/>
        <v>0</v>
      </c>
      <c r="BF234" s="612">
        <f t="shared" si="170"/>
        <v>0</v>
      </c>
      <c r="BG234" s="612">
        <f t="shared" si="170"/>
        <v>0</v>
      </c>
      <c r="BH234" s="612">
        <f t="shared" si="170"/>
        <v>2839.03</v>
      </c>
      <c r="BI234" s="612">
        <f t="shared" si="142"/>
        <v>2839.03</v>
      </c>
      <c r="BJ234" s="201">
        <f t="shared" si="115"/>
        <v>0</v>
      </c>
    </row>
    <row r="235" spans="1:62" ht="12" customHeight="1">
      <c r="A235" s="52"/>
      <c r="B235" s="52"/>
      <c r="C235" s="52"/>
      <c r="D235" s="52"/>
      <c r="E235" s="52"/>
      <c r="F235" s="52"/>
      <c r="G235" s="52"/>
      <c r="H235" s="63"/>
      <c r="I235" s="116"/>
      <c r="J235" s="117"/>
      <c r="K235" s="19"/>
      <c r="L235" s="129"/>
      <c r="M235" s="129"/>
      <c r="N235" s="130"/>
      <c r="O235" s="130"/>
      <c r="P235" s="131"/>
      <c r="Q235" s="131"/>
      <c r="R235" s="153"/>
      <c r="S235" s="158"/>
      <c r="T235" s="158"/>
      <c r="U235" s="89" t="e">
        <f t="shared" ca="1" si="112"/>
        <v>#NAME?</v>
      </c>
      <c r="V235" s="532"/>
      <c r="W235" s="532"/>
      <c r="X235" s="534"/>
      <c r="Y235" s="535"/>
      <c r="Z235" s="535"/>
      <c r="AA235" s="535"/>
      <c r="AB235" s="535"/>
      <c r="AC235" s="529"/>
      <c r="AD235" s="529"/>
      <c r="AE235" s="529"/>
      <c r="AF235" s="529"/>
      <c r="AG235" s="529"/>
      <c r="AH235" s="529"/>
      <c r="AI235" s="535"/>
      <c r="AJ235" s="535"/>
      <c r="AK235" s="507"/>
      <c r="AL235" s="507"/>
      <c r="AM235" s="507"/>
      <c r="AN235" s="556"/>
      <c r="AO235" s="510"/>
      <c r="AP235" s="510" t="e">
        <f t="shared" ca="1" si="113"/>
        <v>#NAME?</v>
      </c>
      <c r="AQ235" s="532"/>
      <c r="AR235" s="532"/>
      <c r="AS235" s="532"/>
      <c r="AT235" s="532"/>
      <c r="AU235" s="532"/>
      <c r="AV235" s="532"/>
      <c r="AW235" s="612"/>
      <c r="AX235" s="612"/>
      <c r="AY235" s="612"/>
      <c r="AZ235" s="612"/>
      <c r="BA235" s="612"/>
      <c r="BB235" s="612"/>
      <c r="BC235" s="612"/>
      <c r="BD235" s="612"/>
      <c r="BE235" s="612"/>
      <c r="BF235" s="612"/>
      <c r="BG235" s="612"/>
      <c r="BH235" s="612"/>
      <c r="BI235" s="612">
        <f t="shared" si="142"/>
        <v>0</v>
      </c>
      <c r="BJ235" s="201">
        <f t="shared" si="115"/>
        <v>0</v>
      </c>
    </row>
    <row r="236" spans="1:62" ht="12" customHeight="1">
      <c r="A236" s="61"/>
      <c r="B236" s="61"/>
      <c r="C236" s="61"/>
      <c r="D236" s="61"/>
      <c r="E236" s="61"/>
      <c r="F236" s="61"/>
      <c r="G236" s="61"/>
      <c r="H236" s="62">
        <v>323</v>
      </c>
      <c r="I236" s="127"/>
      <c r="J236" s="128"/>
      <c r="K236" s="20" t="s">
        <v>242</v>
      </c>
      <c r="L236" s="111">
        <f t="shared" ref="L236:S236" si="171">L237+L238+L239+L240+L241+L242+L243+L244+L245</f>
        <v>4721874</v>
      </c>
      <c r="M236" s="111">
        <f t="shared" si="171"/>
        <v>626700.37826000398</v>
      </c>
      <c r="N236" s="112">
        <f t="shared" si="171"/>
        <v>3965944</v>
      </c>
      <c r="O236" s="112">
        <f t="shared" si="171"/>
        <v>526371.22569513565</v>
      </c>
      <c r="P236" s="113">
        <f t="shared" si="171"/>
        <v>689400</v>
      </c>
      <c r="Q236" s="113">
        <f t="shared" si="171"/>
        <v>766900</v>
      </c>
      <c r="R236" s="87">
        <f t="shared" si="171"/>
        <v>642674</v>
      </c>
      <c r="S236" s="89" t="e">
        <f t="shared" ca="1" si="171"/>
        <v>#NAME?</v>
      </c>
      <c r="T236" s="89"/>
      <c r="U236" s="89" t="e">
        <f t="shared" ca="1" si="112"/>
        <v>#NAME?</v>
      </c>
      <c r="V236" s="532">
        <f>V237+V238+V239+V240+V241+V242+V243+V244+V245</f>
        <v>1059319.92</v>
      </c>
      <c r="W236" s="532">
        <f>W237+W238+W239+W240+W241+W242+W243+W244+W245</f>
        <v>1095621.92</v>
      </c>
      <c r="X236" s="506">
        <f>X237+X238+X239+X240+X241+X242+X243+X244+X245</f>
        <v>1042590</v>
      </c>
      <c r="Y236" s="507">
        <f>Y237+Y238+Y239+Y240+Y241+Y242+Y243+Y244+Y245</f>
        <v>1316950.7999999998</v>
      </c>
      <c r="Z236" s="507"/>
      <c r="AA236" s="507" t="e">
        <f ca="1">AA237+AA238+AA239+AA240+AA241+AA242+AA243+AA244+AA245</f>
        <v>#NAME?</v>
      </c>
      <c r="AB236" s="507">
        <f>AB237+AB238+AB239+AB240+AB241+AB242+AB243+AB244+AB245</f>
        <v>0</v>
      </c>
      <c r="AC236" s="508">
        <f>AC237+AC238+AC239+AC240+AC241+AC242+AC243+AC244+AC245</f>
        <v>719200</v>
      </c>
      <c r="AD236" s="508">
        <f>AD237+AD238+AD239+AD240+AD241+AD242+AD243+AD244+AD245</f>
        <v>719200</v>
      </c>
      <c r="AE236" s="529">
        <f t="shared" ref="AE236:AE245" si="172">O236/M236*100</f>
        <v>83.990890057633877</v>
      </c>
      <c r="AF236" s="529">
        <f t="shared" ref="AF236:AG245" si="173">P236/O236*100</f>
        <v>130.97220485211091</v>
      </c>
      <c r="AG236" s="529">
        <f t="shared" si="173"/>
        <v>111.24165941398316</v>
      </c>
      <c r="AH236" s="529">
        <f t="shared" ref="AH236:AH245" si="174">AC236/Q236*100</f>
        <v>93.780153866214633</v>
      </c>
      <c r="AI236" s="507"/>
      <c r="AJ236" s="507">
        <v>1316950.8</v>
      </c>
      <c r="AK236" s="507">
        <f t="shared" si="138"/>
        <v>170.47864391588891</v>
      </c>
      <c r="AL236" s="507">
        <f t="shared" si="139"/>
        <v>95.159651424279659</v>
      </c>
      <c r="AM236" s="507">
        <f t="shared" si="139"/>
        <v>126.31531090841077</v>
      </c>
      <c r="AN236" s="509"/>
      <c r="AO236" s="510"/>
      <c r="AP236" s="510" t="e">
        <f t="shared" ca="1" si="113"/>
        <v>#NAME?</v>
      </c>
      <c r="AQ236" s="532">
        <f>AQ237+AQ238+AQ239+AQ240+AQ241+AQ242+AQ243+AQ244+AQ245</f>
        <v>1046485.8599999998</v>
      </c>
      <c r="AR236" s="532">
        <f t="shared" ref="AR236:BH236" si="175">AR237+AR238+AR239+AR240+AR241+AR242+AR243+AR244+AR245</f>
        <v>15851.262368685144</v>
      </c>
      <c r="AS236" s="532">
        <f t="shared" si="175"/>
        <v>5085.4138888888892</v>
      </c>
      <c r="AT236" s="532">
        <f t="shared" si="175"/>
        <v>16050.546708094578</v>
      </c>
      <c r="AU236" s="532">
        <f t="shared" si="175"/>
        <v>5815.6982669879599</v>
      </c>
      <c r="AV236" s="532">
        <f t="shared" si="175"/>
        <v>16367.658591430318</v>
      </c>
      <c r="AW236" s="612">
        <f t="shared" si="175"/>
        <v>714394.3899999999</v>
      </c>
      <c r="AX236" s="612">
        <f t="shared" si="175"/>
        <v>0</v>
      </c>
      <c r="AY236" s="612">
        <f t="shared" si="175"/>
        <v>43530.18</v>
      </c>
      <c r="AZ236" s="612">
        <f t="shared" si="175"/>
        <v>174297</v>
      </c>
      <c r="BA236" s="612">
        <f t="shared" si="175"/>
        <v>1396</v>
      </c>
      <c r="BB236" s="612">
        <f t="shared" si="175"/>
        <v>0</v>
      </c>
      <c r="BC236" s="612">
        <f t="shared" si="175"/>
        <v>0</v>
      </c>
      <c r="BD236" s="612">
        <f t="shared" si="175"/>
        <v>0</v>
      </c>
      <c r="BE236" s="612">
        <f t="shared" si="175"/>
        <v>111617.8</v>
      </c>
      <c r="BF236" s="612">
        <f t="shared" si="175"/>
        <v>0</v>
      </c>
      <c r="BG236" s="612">
        <f t="shared" si="175"/>
        <v>1250</v>
      </c>
      <c r="BH236" s="612">
        <f t="shared" si="175"/>
        <v>1046485.8599999998</v>
      </c>
      <c r="BI236" s="612">
        <f t="shared" si="142"/>
        <v>1046485.37</v>
      </c>
      <c r="BJ236" s="201">
        <f t="shared" si="115"/>
        <v>-0.48999999975785613</v>
      </c>
    </row>
    <row r="237" spans="1:62" ht="12" customHeight="1">
      <c r="A237" s="52"/>
      <c r="B237" s="52"/>
      <c r="C237" s="52"/>
      <c r="D237" s="52"/>
      <c r="E237" s="52"/>
      <c r="F237" s="52"/>
      <c r="G237" s="52"/>
      <c r="H237" s="63">
        <v>3231</v>
      </c>
      <c r="I237" s="116"/>
      <c r="J237" s="117"/>
      <c r="K237" s="19" t="s">
        <v>243</v>
      </c>
      <c r="L237" s="129">
        <f t="shared" ref="L237:S237" si="176">L398+L1025+L1098+L1161</f>
        <v>111772</v>
      </c>
      <c r="M237" s="129">
        <f t="shared" si="176"/>
        <v>14834.693742119582</v>
      </c>
      <c r="N237" s="130">
        <f t="shared" si="176"/>
        <v>125470</v>
      </c>
      <c r="O237" s="130">
        <f t="shared" si="176"/>
        <v>16652.730771783128</v>
      </c>
      <c r="P237" s="131">
        <f t="shared" si="176"/>
        <v>20700</v>
      </c>
      <c r="Q237" s="131">
        <f t="shared" si="176"/>
        <v>20700</v>
      </c>
      <c r="R237" s="153">
        <f t="shared" si="176"/>
        <v>15755</v>
      </c>
      <c r="S237" s="158">
        <f t="shared" si="176"/>
        <v>21508</v>
      </c>
      <c r="T237" s="158"/>
      <c r="U237" s="89" t="e">
        <f t="shared" ca="1" si="112"/>
        <v>#NAME?</v>
      </c>
      <c r="V237" s="532">
        <f>V398+V1025+V1098+V1161</f>
        <v>30520</v>
      </c>
      <c r="W237" s="532">
        <f>W398+W1025+W1098+W1161</f>
        <v>30520</v>
      </c>
      <c r="X237" s="534">
        <f>X398+X1025+X1098+X1161</f>
        <v>37200</v>
      </c>
      <c r="Y237" s="535">
        <f>Y398+Y1025+Y1098+Y1161</f>
        <v>42300.1</v>
      </c>
      <c r="Z237" s="535"/>
      <c r="AA237" s="535" t="e">
        <f ca="1">AA398+AA1025+AA1098+AA1161</f>
        <v>#NAME?</v>
      </c>
      <c r="AB237" s="535">
        <f>AB398+AB1025+AB1098+AB1161</f>
        <v>0</v>
      </c>
      <c r="AC237" s="529">
        <f>AC398+AC1025+AC1098+AC1161</f>
        <v>22000</v>
      </c>
      <c r="AD237" s="529">
        <f>AD398+AD1025+AD1098+AD1161</f>
        <v>22000</v>
      </c>
      <c r="AE237" s="529">
        <f t="shared" si="172"/>
        <v>112.2553054432237</v>
      </c>
      <c r="AF237" s="529">
        <f t="shared" si="173"/>
        <v>124.30393719614253</v>
      </c>
      <c r="AG237" s="529">
        <f t="shared" si="173"/>
        <v>100</v>
      </c>
      <c r="AH237" s="529">
        <f t="shared" si="174"/>
        <v>106.28019323671498</v>
      </c>
      <c r="AI237" s="535"/>
      <c r="AJ237" s="535">
        <v>42300.1</v>
      </c>
      <c r="AK237" s="507">
        <f t="shared" si="138"/>
        <v>193.71628054585847</v>
      </c>
      <c r="AL237" s="507">
        <f t="shared" si="139"/>
        <v>121.8872870249017</v>
      </c>
      <c r="AM237" s="507">
        <f t="shared" si="139"/>
        <v>113.70994623655915</v>
      </c>
      <c r="AN237" s="556"/>
      <c r="AO237" s="510"/>
      <c r="AP237" s="510" t="e">
        <f t="shared" ca="1" si="113"/>
        <v>#NAME?</v>
      </c>
      <c r="AQ237" s="532">
        <f t="shared" ref="AQ237:BH237" si="177">AQ398+AQ1025+AQ1098+AQ1161</f>
        <v>28592.879999999997</v>
      </c>
      <c r="AR237" s="532">
        <f t="shared" si="177"/>
        <v>633.60815128148738</v>
      </c>
      <c r="AS237" s="532">
        <f t="shared" si="177"/>
        <v>400</v>
      </c>
      <c r="AT237" s="532">
        <f t="shared" si="177"/>
        <v>633.60815128148738</v>
      </c>
      <c r="AU237" s="532">
        <f t="shared" si="177"/>
        <v>314.57416853233832</v>
      </c>
      <c r="AV237" s="532">
        <f t="shared" si="177"/>
        <v>513.98952052099378</v>
      </c>
      <c r="AW237" s="612">
        <f t="shared" si="177"/>
        <v>28592.879999999997</v>
      </c>
      <c r="AX237" s="612">
        <f t="shared" si="177"/>
        <v>0</v>
      </c>
      <c r="AY237" s="612">
        <f t="shared" si="177"/>
        <v>0</v>
      </c>
      <c r="AZ237" s="612">
        <f t="shared" si="177"/>
        <v>0</v>
      </c>
      <c r="BA237" s="612">
        <f t="shared" si="177"/>
        <v>0</v>
      </c>
      <c r="BB237" s="612">
        <f t="shared" si="177"/>
        <v>0</v>
      </c>
      <c r="BC237" s="612">
        <f t="shared" si="177"/>
        <v>0</v>
      </c>
      <c r="BD237" s="612">
        <f t="shared" si="177"/>
        <v>0</v>
      </c>
      <c r="BE237" s="612">
        <f t="shared" si="177"/>
        <v>0</v>
      </c>
      <c r="BF237" s="612">
        <f t="shared" si="177"/>
        <v>0</v>
      </c>
      <c r="BG237" s="612">
        <f t="shared" si="177"/>
        <v>0</v>
      </c>
      <c r="BH237" s="612">
        <f t="shared" si="177"/>
        <v>28592.879999999997</v>
      </c>
      <c r="BI237" s="612">
        <f t="shared" si="142"/>
        <v>28592.879999999997</v>
      </c>
      <c r="BJ237" s="201">
        <f t="shared" si="115"/>
        <v>0</v>
      </c>
    </row>
    <row r="238" spans="1:62" ht="12" customHeight="1">
      <c r="A238" s="52"/>
      <c r="B238" s="52"/>
      <c r="C238" s="52"/>
      <c r="D238" s="52"/>
      <c r="E238" s="52"/>
      <c r="F238" s="52"/>
      <c r="G238" s="52"/>
      <c r="H238" s="63">
        <v>3232</v>
      </c>
      <c r="I238" s="116"/>
      <c r="J238" s="117"/>
      <c r="K238" s="19" t="s">
        <v>244</v>
      </c>
      <c r="L238" s="129">
        <f t="shared" ref="L238:S238" si="178">L399+L557+L558+L559+L560+L569+L687+L715+L732+L798+L854+L855+L1026+L1027+L1099+L1162+L1182+L1183</f>
        <v>2714947</v>
      </c>
      <c r="M238" s="129">
        <f t="shared" si="178"/>
        <v>360335.39053686376</v>
      </c>
      <c r="N238" s="130">
        <f t="shared" si="178"/>
        <v>2569034</v>
      </c>
      <c r="O238" s="130">
        <f t="shared" si="178"/>
        <v>340969.40739266045</v>
      </c>
      <c r="P238" s="131">
        <f t="shared" si="178"/>
        <v>357800</v>
      </c>
      <c r="Q238" s="131">
        <f t="shared" si="178"/>
        <v>439300</v>
      </c>
      <c r="R238" s="153">
        <f t="shared" si="178"/>
        <v>409710</v>
      </c>
      <c r="S238" s="158" t="e">
        <f t="shared" ca="1" si="178"/>
        <v>#NAME?</v>
      </c>
      <c r="T238" s="158"/>
      <c r="U238" s="89" t="e">
        <f t="shared" ca="1" si="112"/>
        <v>#NAME?</v>
      </c>
      <c r="V238" s="532">
        <f>V399+V557+V558+V559+V560+V569+V687+V715+V732+V798+V854+V855+V1026+V1027+V1099+V1162+V1182+V1183</f>
        <v>665980</v>
      </c>
      <c r="W238" s="532">
        <f>W399+W557+W558+W559+W560+W569+W687+W715+W732+W798+W854+W855+W1026+W1027+W1099+W1162+W1182+W1183</f>
        <v>699677</v>
      </c>
      <c r="X238" s="534">
        <f>X399+X557+X558+X559+X560+X569+X687+X715+X732+X798+X854+X855+X1026+X1027+X1099+X1162+X1182+X1183</f>
        <v>592200</v>
      </c>
      <c r="Y238" s="535">
        <f>Y399+Y557+Y558+Y559+Y560+Y569+Y687+Y715+Y732+Y798+Y854+Y855+Y1026+Y1027+Y1099+Y1162+Y1182+Y1183</f>
        <v>805400.2</v>
      </c>
      <c r="Z238" s="535"/>
      <c r="AA238" s="535" t="e">
        <f ca="1">AA399+AA557+AA558+AA559+AA560+AA569+AA687+AA715+AA732+AA798+AA854+AA855+AA1026+AA1027+AA1099+AA1162+AA1182+AA1183</f>
        <v>#NAME?</v>
      </c>
      <c r="AB238" s="535">
        <f>AB399+AB557+AB558+AB559+AB560+AB569+AB687+AB715+AB732+AB798+AB854+AB855+AB1026+AB1027+AB1099+AB1162+AB1182+AB1183</f>
        <v>0</v>
      </c>
      <c r="AC238" s="529">
        <f>AC399+AC557+AC558+AC559+AC560+AC569+AC687+AC715+AC732+AC798+AC854+AC855+AC1026+AC1027+AC1099+AC1162+AC1182+AC1183</f>
        <v>380000</v>
      </c>
      <c r="AD238" s="529">
        <f>AD399+AD557+AD558+AD559+AD560+AD569+AD687+AD715+AD732+AD798+AD854+AD855+AD1026+AD1027+AD1099+AD1162+AD1182+AD1183</f>
        <v>380000</v>
      </c>
      <c r="AE238" s="529">
        <f t="shared" si="172"/>
        <v>94.625567276267276</v>
      </c>
      <c r="AF238" s="529">
        <f t="shared" si="173"/>
        <v>104.93610049536129</v>
      </c>
      <c r="AG238" s="529">
        <f t="shared" si="173"/>
        <v>122.77808831749581</v>
      </c>
      <c r="AH238" s="529">
        <f t="shared" si="174"/>
        <v>86.501251991805134</v>
      </c>
      <c r="AI238" s="535"/>
      <c r="AJ238" s="535">
        <v>805400.2</v>
      </c>
      <c r="AK238" s="507">
        <f t="shared" si="138"/>
        <v>170.77371799565546</v>
      </c>
      <c r="AL238" s="507">
        <f t="shared" si="139"/>
        <v>84.639054878179493</v>
      </c>
      <c r="AM238" s="507">
        <f t="shared" si="139"/>
        <v>136.00138466734211</v>
      </c>
      <c r="AN238" s="556"/>
      <c r="AO238" s="510"/>
      <c r="AP238" s="510" t="e">
        <f t="shared" ca="1" si="113"/>
        <v>#NAME?</v>
      </c>
      <c r="AQ238" s="532">
        <f t="shared" ref="AQ238:BH238" si="179">AQ399+AQ557+AQ558+AQ559+AQ560+AQ569+AQ687+AQ715+AQ732+AQ798+AQ854+AQ855+AQ1026+AQ1027+AQ1099+AQ1162+AQ1182+AQ1183</f>
        <v>679754.90999999992</v>
      </c>
      <c r="AR238" s="532">
        <f t="shared" si="179"/>
        <v>9044.3740755264644</v>
      </c>
      <c r="AS238" s="532">
        <f t="shared" si="179"/>
        <v>1400</v>
      </c>
      <c r="AT238" s="532">
        <f t="shared" si="179"/>
        <v>9139.6925865017984</v>
      </c>
      <c r="AU238" s="532">
        <f t="shared" si="179"/>
        <v>1845.9817296510553</v>
      </c>
      <c r="AV238" s="532">
        <f t="shared" si="179"/>
        <v>10526.335155469069</v>
      </c>
      <c r="AW238" s="612">
        <f t="shared" si="179"/>
        <v>412578.24</v>
      </c>
      <c r="AX238" s="612">
        <f t="shared" si="179"/>
        <v>0</v>
      </c>
      <c r="AY238" s="612">
        <f t="shared" si="179"/>
        <v>43530.18</v>
      </c>
      <c r="AZ238" s="612">
        <f t="shared" si="179"/>
        <v>172597</v>
      </c>
      <c r="BA238" s="612">
        <f t="shared" si="179"/>
        <v>1396</v>
      </c>
      <c r="BB238" s="612">
        <f t="shared" si="179"/>
        <v>0</v>
      </c>
      <c r="BC238" s="612">
        <f t="shared" si="179"/>
        <v>0</v>
      </c>
      <c r="BD238" s="612">
        <f t="shared" si="179"/>
        <v>0</v>
      </c>
      <c r="BE238" s="612">
        <f t="shared" si="179"/>
        <v>49653</v>
      </c>
      <c r="BF238" s="612">
        <f t="shared" si="179"/>
        <v>0</v>
      </c>
      <c r="BG238" s="612">
        <f t="shared" si="179"/>
        <v>0</v>
      </c>
      <c r="BH238" s="612">
        <f t="shared" si="179"/>
        <v>679754.90999999992</v>
      </c>
      <c r="BI238" s="612">
        <f t="shared" si="142"/>
        <v>679754.41999999993</v>
      </c>
      <c r="BJ238" s="201">
        <f t="shared" si="115"/>
        <v>-0.48999999999068677</v>
      </c>
    </row>
    <row r="239" spans="1:62" ht="12" customHeight="1">
      <c r="A239" s="52"/>
      <c r="B239" s="52"/>
      <c r="C239" s="52"/>
      <c r="D239" s="52"/>
      <c r="E239" s="52"/>
      <c r="F239" s="52"/>
      <c r="G239" s="52"/>
      <c r="H239" s="63">
        <v>3233</v>
      </c>
      <c r="I239" s="116"/>
      <c r="J239" s="117"/>
      <c r="K239" s="19" t="s">
        <v>245</v>
      </c>
      <c r="L239" s="129">
        <f t="shared" ref="L239:S239" si="180">L419+L607+L1028</f>
        <v>77779</v>
      </c>
      <c r="M239" s="129">
        <f t="shared" si="180"/>
        <v>10323.047315681199</v>
      </c>
      <c r="N239" s="130">
        <f t="shared" si="180"/>
        <v>39189</v>
      </c>
      <c r="O239" s="130">
        <f t="shared" si="180"/>
        <v>5201.27413896078</v>
      </c>
      <c r="P239" s="131">
        <f t="shared" si="180"/>
        <v>16400</v>
      </c>
      <c r="Q239" s="131">
        <f t="shared" si="180"/>
        <v>11500</v>
      </c>
      <c r="R239" s="153">
        <f t="shared" si="180"/>
        <v>3957</v>
      </c>
      <c r="S239" s="158" t="e">
        <f t="shared" ca="1" si="180"/>
        <v>#NAME?</v>
      </c>
      <c r="T239" s="158"/>
      <c r="U239" s="89" t="e">
        <f t="shared" ca="1" si="112"/>
        <v>#NAME?</v>
      </c>
      <c r="V239" s="532">
        <f>V419+V607+V1028</f>
        <v>11730</v>
      </c>
      <c r="W239" s="532">
        <f>W419+W607+W1028</f>
        <v>11730</v>
      </c>
      <c r="X239" s="534">
        <f>X419+X607+X1028</f>
        <v>17300</v>
      </c>
      <c r="Y239" s="535">
        <f>Y419+Y607+Y1028</f>
        <v>21350.2</v>
      </c>
      <c r="Z239" s="535"/>
      <c r="AA239" s="535" t="e">
        <f ca="1">AA419+AA607+AA1028</f>
        <v>#NAME?</v>
      </c>
      <c r="AB239" s="535">
        <f>AB419+AB607+AB1028</f>
        <v>0</v>
      </c>
      <c r="AC239" s="529">
        <f>AC419+AC607+AC1028</f>
        <v>17500</v>
      </c>
      <c r="AD239" s="529">
        <f>AD419+AD607+AD1028</f>
        <v>17500</v>
      </c>
      <c r="AE239" s="529">
        <f t="shared" si="172"/>
        <v>50.385065377544066</v>
      </c>
      <c r="AF239" s="529">
        <f t="shared" si="173"/>
        <v>315.30735665620455</v>
      </c>
      <c r="AG239" s="529">
        <f t="shared" si="173"/>
        <v>70.121951219512198</v>
      </c>
      <c r="AH239" s="529">
        <f t="shared" si="174"/>
        <v>152.17391304347828</v>
      </c>
      <c r="AI239" s="535"/>
      <c r="AJ239" s="535">
        <v>21350.2</v>
      </c>
      <c r="AK239" s="507">
        <f t="shared" si="138"/>
        <v>296.43669446550416</v>
      </c>
      <c r="AL239" s="507">
        <f t="shared" si="139"/>
        <v>147.4850809889173</v>
      </c>
      <c r="AM239" s="507">
        <f t="shared" si="139"/>
        <v>123.41156069364163</v>
      </c>
      <c r="AN239" s="556"/>
      <c r="AO239" s="510"/>
      <c r="AP239" s="510" t="e">
        <f t="shared" ca="1" si="113"/>
        <v>#NAME?</v>
      </c>
      <c r="AQ239" s="532">
        <f t="shared" ref="AQ239:BH239" si="181">AQ419+AQ607+AQ1028</f>
        <v>9590.82</v>
      </c>
      <c r="AR239" s="532">
        <f t="shared" si="181"/>
        <v>265.35253980288098</v>
      </c>
      <c r="AS239" s="532">
        <f t="shared" si="181"/>
        <v>200</v>
      </c>
      <c r="AT239" s="532">
        <f t="shared" si="181"/>
        <v>265.35253980288098</v>
      </c>
      <c r="AU239" s="532">
        <f t="shared" si="181"/>
        <v>91.341142857142856</v>
      </c>
      <c r="AV239" s="532">
        <f t="shared" si="181"/>
        <v>242.37604245640637</v>
      </c>
      <c r="AW239" s="612">
        <f t="shared" si="181"/>
        <v>9590.82</v>
      </c>
      <c r="AX239" s="612">
        <f t="shared" si="181"/>
        <v>0</v>
      </c>
      <c r="AY239" s="612">
        <f t="shared" si="181"/>
        <v>0</v>
      </c>
      <c r="AZ239" s="612">
        <f t="shared" si="181"/>
        <v>0</v>
      </c>
      <c r="BA239" s="612">
        <f t="shared" si="181"/>
        <v>0</v>
      </c>
      <c r="BB239" s="612">
        <f t="shared" si="181"/>
        <v>0</v>
      </c>
      <c r="BC239" s="612">
        <f t="shared" si="181"/>
        <v>0</v>
      </c>
      <c r="BD239" s="612">
        <f t="shared" si="181"/>
        <v>0</v>
      </c>
      <c r="BE239" s="612">
        <f t="shared" si="181"/>
        <v>0</v>
      </c>
      <c r="BF239" s="612">
        <f t="shared" si="181"/>
        <v>0</v>
      </c>
      <c r="BG239" s="612">
        <f t="shared" si="181"/>
        <v>0</v>
      </c>
      <c r="BH239" s="612">
        <f t="shared" si="181"/>
        <v>9590.82</v>
      </c>
      <c r="BI239" s="612">
        <f t="shared" si="142"/>
        <v>9590.82</v>
      </c>
      <c r="BJ239" s="201">
        <f t="shared" si="115"/>
        <v>0</v>
      </c>
    </row>
    <row r="240" spans="1:62" ht="12" customHeight="1">
      <c r="A240" s="52"/>
      <c r="B240" s="52"/>
      <c r="C240" s="52"/>
      <c r="D240" s="52"/>
      <c r="E240" s="52"/>
      <c r="F240" s="52"/>
      <c r="G240" s="52"/>
      <c r="H240" s="63">
        <v>3234</v>
      </c>
      <c r="I240" s="116"/>
      <c r="J240" s="117"/>
      <c r="K240" s="19" t="s">
        <v>246</v>
      </c>
      <c r="L240" s="129">
        <f t="shared" ref="L240:S240" si="182">L400+L623+L722+L1029+L1100+L1163</f>
        <v>645212</v>
      </c>
      <c r="M240" s="129">
        <f t="shared" si="182"/>
        <v>85634.348662817705</v>
      </c>
      <c r="N240" s="130">
        <f t="shared" si="182"/>
        <v>312045</v>
      </c>
      <c r="O240" s="130">
        <f t="shared" si="182"/>
        <v>41415.488751741985</v>
      </c>
      <c r="P240" s="131">
        <f t="shared" si="182"/>
        <v>97000</v>
      </c>
      <c r="Q240" s="131">
        <f t="shared" si="182"/>
        <v>97700</v>
      </c>
      <c r="R240" s="153">
        <f t="shared" si="182"/>
        <v>43301</v>
      </c>
      <c r="S240" s="158" t="e">
        <f t="shared" ca="1" si="182"/>
        <v>#NAME?</v>
      </c>
      <c r="T240" s="158"/>
      <c r="U240" s="89" t="e">
        <f t="shared" ca="1" si="112"/>
        <v>#NAME?</v>
      </c>
      <c r="V240" s="532">
        <f>V400+V623+V722+V1029+V1100+V1163</f>
        <v>99720</v>
      </c>
      <c r="W240" s="532">
        <f>W400+W623+W722+W1029+W1100+W1163</f>
        <v>99720</v>
      </c>
      <c r="X240" s="534">
        <f>X400+X623+X722+X1029+X1100+X1163</f>
        <v>109400</v>
      </c>
      <c r="Y240" s="535">
        <f>Y400+Y623+Y722+Y1029+Y1100+Y1163</f>
        <v>132000.20000000001</v>
      </c>
      <c r="Z240" s="535"/>
      <c r="AA240" s="535" t="e">
        <f ca="1">AA400+AA623+AA722+AA1029+AA1100+AA1163</f>
        <v>#NAME?</v>
      </c>
      <c r="AB240" s="535">
        <f>AB400+AB623+AB722+AB1029+AB1100+AB1163</f>
        <v>0</v>
      </c>
      <c r="AC240" s="529">
        <f>AC400+AC623+AC722+AC1029+AC1100+AC1163</f>
        <v>101100</v>
      </c>
      <c r="AD240" s="529">
        <f>AD400+AD623+AD722+AD1029+AD1100+AD1163</f>
        <v>101100</v>
      </c>
      <c r="AE240" s="529">
        <f t="shared" si="172"/>
        <v>48.363173654550749</v>
      </c>
      <c r="AF240" s="529">
        <f t="shared" si="173"/>
        <v>234.21189251550257</v>
      </c>
      <c r="AG240" s="529">
        <f t="shared" si="173"/>
        <v>100.72164948453607</v>
      </c>
      <c r="AH240" s="529">
        <f t="shared" si="174"/>
        <v>103.48004094165815</v>
      </c>
      <c r="AI240" s="535"/>
      <c r="AJ240" s="535">
        <v>132000.20000000001</v>
      </c>
      <c r="AK240" s="507">
        <f t="shared" si="138"/>
        <v>230.29491235768228</v>
      </c>
      <c r="AL240" s="507">
        <f t="shared" si="139"/>
        <v>109.70718010429201</v>
      </c>
      <c r="AM240" s="507">
        <f t="shared" si="139"/>
        <v>120.6583180987203</v>
      </c>
      <c r="AN240" s="556"/>
      <c r="AO240" s="510"/>
      <c r="AP240" s="510" t="e">
        <f t="shared" ca="1" si="113"/>
        <v>#NAME?</v>
      </c>
      <c r="AQ240" s="532">
        <f t="shared" ref="AQ240:BH240" si="183">AQ400+AQ623+AQ722+AQ1029+AQ1100+AQ1163</f>
        <v>82856.539999999994</v>
      </c>
      <c r="AR240" s="532">
        <f t="shared" si="183"/>
        <v>1558.9089531793491</v>
      </c>
      <c r="AS240" s="532">
        <f t="shared" si="183"/>
        <v>900</v>
      </c>
      <c r="AT240" s="532">
        <f t="shared" si="183"/>
        <v>1558.9089531793491</v>
      </c>
      <c r="AU240" s="532">
        <f t="shared" si="183"/>
        <v>845.46275876999107</v>
      </c>
      <c r="AV240" s="532">
        <f t="shared" si="183"/>
        <v>963.09962311763081</v>
      </c>
      <c r="AW240" s="612">
        <f t="shared" si="183"/>
        <v>19191.739999999998</v>
      </c>
      <c r="AX240" s="612">
        <f t="shared" si="183"/>
        <v>0</v>
      </c>
      <c r="AY240" s="612">
        <f t="shared" si="183"/>
        <v>0</v>
      </c>
      <c r="AZ240" s="612">
        <f t="shared" si="183"/>
        <v>1700</v>
      </c>
      <c r="BA240" s="612">
        <f t="shared" si="183"/>
        <v>0</v>
      </c>
      <c r="BB240" s="612">
        <f t="shared" si="183"/>
        <v>0</v>
      </c>
      <c r="BC240" s="612">
        <f t="shared" si="183"/>
        <v>0</v>
      </c>
      <c r="BD240" s="612">
        <f t="shared" si="183"/>
        <v>0</v>
      </c>
      <c r="BE240" s="612">
        <f t="shared" si="183"/>
        <v>61964.800000000003</v>
      </c>
      <c r="BF240" s="612">
        <f t="shared" si="183"/>
        <v>0</v>
      </c>
      <c r="BG240" s="612">
        <f t="shared" si="183"/>
        <v>0</v>
      </c>
      <c r="BH240" s="612">
        <f t="shared" si="183"/>
        <v>82856.539999999994</v>
      </c>
      <c r="BI240" s="612">
        <f t="shared" si="142"/>
        <v>82856.540000000008</v>
      </c>
      <c r="BJ240" s="201">
        <f t="shared" si="115"/>
        <v>0</v>
      </c>
    </row>
    <row r="241" spans="1:62" ht="12" customHeight="1">
      <c r="A241" s="52"/>
      <c r="B241" s="52"/>
      <c r="C241" s="52"/>
      <c r="D241" s="52"/>
      <c r="E241" s="52"/>
      <c r="F241" s="52"/>
      <c r="G241" s="52"/>
      <c r="H241" s="63">
        <v>3235</v>
      </c>
      <c r="I241" s="116"/>
      <c r="J241" s="117"/>
      <c r="K241" s="19" t="s">
        <v>247</v>
      </c>
      <c r="L241" s="129">
        <f t="shared" ref="L241:S241" si="184">L420+L421+L832</f>
        <v>63720</v>
      </c>
      <c r="M241" s="129">
        <f t="shared" si="184"/>
        <v>8457.0973521799715</v>
      </c>
      <c r="N241" s="130">
        <f t="shared" si="184"/>
        <v>17000</v>
      </c>
      <c r="O241" s="130">
        <f t="shared" si="184"/>
        <v>2256.2877430486428</v>
      </c>
      <c r="P241" s="131">
        <f t="shared" si="184"/>
        <v>5800</v>
      </c>
      <c r="Q241" s="131">
        <f t="shared" si="184"/>
        <v>6600</v>
      </c>
      <c r="R241" s="153">
        <f t="shared" si="184"/>
        <v>3450</v>
      </c>
      <c r="S241" s="158" t="e">
        <f t="shared" ca="1" si="184"/>
        <v>#NAME?</v>
      </c>
      <c r="T241" s="158"/>
      <c r="U241" s="89" t="e">
        <f t="shared" ca="1" si="112"/>
        <v>#NAME?</v>
      </c>
      <c r="V241" s="532">
        <f>V420+V421+V832</f>
        <v>2800</v>
      </c>
      <c r="W241" s="532">
        <f>W420+W421+W832</f>
        <v>6176</v>
      </c>
      <c r="X241" s="534">
        <f>X420+X421+X832</f>
        <v>500</v>
      </c>
      <c r="Y241" s="535">
        <f>Y420+Y421+Y832</f>
        <v>1000</v>
      </c>
      <c r="Z241" s="535"/>
      <c r="AA241" s="535" t="e">
        <f ca="1">AA420+AA421+AA832</f>
        <v>#NAME?</v>
      </c>
      <c r="AB241" s="535">
        <f>AB420+AB421+AB832</f>
        <v>0</v>
      </c>
      <c r="AC241" s="529">
        <f>AC420+AC421+AC832</f>
        <v>1000</v>
      </c>
      <c r="AD241" s="529">
        <f>AD420+AD421+AD832</f>
        <v>1000</v>
      </c>
      <c r="AE241" s="529">
        <f t="shared" si="172"/>
        <v>26.679221594475834</v>
      </c>
      <c r="AF241" s="529">
        <f t="shared" si="173"/>
        <v>257.05941176470589</v>
      </c>
      <c r="AG241" s="529">
        <f t="shared" si="173"/>
        <v>113.79310344827587</v>
      </c>
      <c r="AH241" s="529">
        <f t="shared" si="174"/>
        <v>15.151515151515152</v>
      </c>
      <c r="AI241" s="535"/>
      <c r="AJ241" s="535">
        <v>1000</v>
      </c>
      <c r="AK241" s="507">
        <f t="shared" si="138"/>
        <v>179.01449275362319</v>
      </c>
      <c r="AL241" s="507">
        <f t="shared" si="139"/>
        <v>8.0958549222797931</v>
      </c>
      <c r="AM241" s="507">
        <f t="shared" si="139"/>
        <v>200</v>
      </c>
      <c r="AN241" s="556"/>
      <c r="AO241" s="510"/>
      <c r="AP241" s="510" t="e">
        <f t="shared" ca="1" si="113"/>
        <v>#NAME?</v>
      </c>
      <c r="AQ241" s="532">
        <f t="shared" ref="AQ241:BH241" si="185">AQ420+AQ421+AQ832</f>
        <v>5276.21</v>
      </c>
      <c r="AR241" s="532">
        <f t="shared" si="185"/>
        <v>433.87340422380856</v>
      </c>
      <c r="AS241" s="532">
        <f t="shared" si="185"/>
        <v>387.55555555555554</v>
      </c>
      <c r="AT241" s="532">
        <f t="shared" si="185"/>
        <v>539.87026450638314</v>
      </c>
      <c r="AU241" s="532">
        <f t="shared" si="185"/>
        <v>110.004057187017</v>
      </c>
      <c r="AV241" s="532">
        <f t="shared" si="185"/>
        <v>200.25421640354256</v>
      </c>
      <c r="AW241" s="612">
        <f t="shared" si="185"/>
        <v>5276.21</v>
      </c>
      <c r="AX241" s="612">
        <f t="shared" si="185"/>
        <v>0</v>
      </c>
      <c r="AY241" s="612">
        <f t="shared" si="185"/>
        <v>0</v>
      </c>
      <c r="AZ241" s="612">
        <f t="shared" si="185"/>
        <v>0</v>
      </c>
      <c r="BA241" s="612">
        <f t="shared" si="185"/>
        <v>0</v>
      </c>
      <c r="BB241" s="612">
        <f t="shared" si="185"/>
        <v>0</v>
      </c>
      <c r="BC241" s="612">
        <f t="shared" si="185"/>
        <v>0</v>
      </c>
      <c r="BD241" s="612">
        <f t="shared" si="185"/>
        <v>0</v>
      </c>
      <c r="BE241" s="612">
        <f t="shared" si="185"/>
        <v>0</v>
      </c>
      <c r="BF241" s="612">
        <f t="shared" si="185"/>
        <v>0</v>
      </c>
      <c r="BG241" s="612">
        <f t="shared" si="185"/>
        <v>0</v>
      </c>
      <c r="BH241" s="612">
        <f t="shared" si="185"/>
        <v>5276.21</v>
      </c>
      <c r="BI241" s="612">
        <f t="shared" si="142"/>
        <v>5276.21</v>
      </c>
      <c r="BJ241" s="201">
        <f t="shared" si="115"/>
        <v>0</v>
      </c>
    </row>
    <row r="242" spans="1:62" ht="12" customHeight="1">
      <c r="A242" s="52"/>
      <c r="B242" s="52"/>
      <c r="C242" s="52"/>
      <c r="D242" s="52"/>
      <c r="E242" s="52"/>
      <c r="F242" s="52"/>
      <c r="G242" s="52"/>
      <c r="H242" s="63">
        <v>3236</v>
      </c>
      <c r="I242" s="116"/>
      <c r="J242" s="117"/>
      <c r="K242" s="19" t="s">
        <v>248</v>
      </c>
      <c r="L242" s="129">
        <f t="shared" ref="L242:S242" si="186">L401+L629+L1030</f>
        <v>54297</v>
      </c>
      <c r="M242" s="129">
        <f t="shared" si="186"/>
        <v>7206.4503284889506</v>
      </c>
      <c r="N242" s="130">
        <f t="shared" si="186"/>
        <v>69262</v>
      </c>
      <c r="O242" s="130">
        <f t="shared" si="186"/>
        <v>9192.6471564138301</v>
      </c>
      <c r="P242" s="131">
        <f t="shared" si="186"/>
        <v>10000</v>
      </c>
      <c r="Q242" s="131">
        <f t="shared" si="186"/>
        <v>10000</v>
      </c>
      <c r="R242" s="153">
        <f t="shared" si="186"/>
        <v>10736</v>
      </c>
      <c r="S242" s="158" t="e">
        <f t="shared" ca="1" si="186"/>
        <v>#NAME?</v>
      </c>
      <c r="T242" s="158"/>
      <c r="U242" s="89" t="e">
        <f t="shared" ca="1" si="112"/>
        <v>#NAME?</v>
      </c>
      <c r="V242" s="532">
        <f>V401+V629+V1030</f>
        <v>10900</v>
      </c>
      <c r="W242" s="532">
        <f>W401+W629+W1030</f>
        <v>10900</v>
      </c>
      <c r="X242" s="534">
        <f>X401+X629+X1030</f>
        <v>12560</v>
      </c>
      <c r="Y242" s="535">
        <f>Y401+Y629+Y1030</f>
        <v>13200.1</v>
      </c>
      <c r="Z242" s="535"/>
      <c r="AA242" s="535" t="e">
        <f ca="1">AA401+AA629+AA1030</f>
        <v>#NAME?</v>
      </c>
      <c r="AB242" s="535">
        <f>AB401+AB629+AB1030</f>
        <v>0</v>
      </c>
      <c r="AC242" s="529">
        <f>AC401+AC629+AC1030</f>
        <v>10000</v>
      </c>
      <c r="AD242" s="529">
        <f>AD401+AD629+AD1030</f>
        <v>10000</v>
      </c>
      <c r="AE242" s="529">
        <f t="shared" si="172"/>
        <v>127.56137539827247</v>
      </c>
      <c r="AF242" s="529">
        <f t="shared" si="173"/>
        <v>108.78259362998467</v>
      </c>
      <c r="AG242" s="529">
        <f t="shared" si="173"/>
        <v>100</v>
      </c>
      <c r="AH242" s="529">
        <f t="shared" si="174"/>
        <v>100</v>
      </c>
      <c r="AI242" s="535"/>
      <c r="AJ242" s="535">
        <v>13200.1</v>
      </c>
      <c r="AK242" s="507">
        <f t="shared" si="138"/>
        <v>101.52757078986588</v>
      </c>
      <c r="AL242" s="507">
        <f t="shared" si="139"/>
        <v>115.22935779816514</v>
      </c>
      <c r="AM242" s="507">
        <f t="shared" si="139"/>
        <v>105.09633757961782</v>
      </c>
      <c r="AN242" s="556"/>
      <c r="AO242" s="510"/>
      <c r="AP242" s="510" t="e">
        <f t="shared" ca="1" si="113"/>
        <v>#NAME?</v>
      </c>
      <c r="AQ242" s="532">
        <f t="shared" ref="AQ242:BH242" si="187">AQ401+AQ629+AQ1030</f>
        <v>10010.35</v>
      </c>
      <c r="AR242" s="532">
        <f t="shared" si="187"/>
        <v>200.01987689289595</v>
      </c>
      <c r="AS242" s="532">
        <f t="shared" si="187"/>
        <v>200</v>
      </c>
      <c r="AT242" s="532">
        <f t="shared" si="187"/>
        <v>200.01987689289595</v>
      </c>
      <c r="AU242" s="532">
        <f t="shared" si="187"/>
        <v>183.61076086956524</v>
      </c>
      <c r="AV242" s="532">
        <f t="shared" si="187"/>
        <v>183.64859921918381</v>
      </c>
      <c r="AW242" s="612">
        <f t="shared" si="187"/>
        <v>10010.35</v>
      </c>
      <c r="AX242" s="612">
        <f t="shared" si="187"/>
        <v>0</v>
      </c>
      <c r="AY242" s="612">
        <f t="shared" si="187"/>
        <v>0</v>
      </c>
      <c r="AZ242" s="612">
        <f t="shared" si="187"/>
        <v>0</v>
      </c>
      <c r="BA242" s="612">
        <f t="shared" si="187"/>
        <v>0</v>
      </c>
      <c r="BB242" s="612">
        <f t="shared" si="187"/>
        <v>0</v>
      </c>
      <c r="BC242" s="612">
        <f t="shared" si="187"/>
        <v>0</v>
      </c>
      <c r="BD242" s="612">
        <f t="shared" si="187"/>
        <v>0</v>
      </c>
      <c r="BE242" s="612">
        <f t="shared" si="187"/>
        <v>0</v>
      </c>
      <c r="BF242" s="612">
        <f t="shared" si="187"/>
        <v>0</v>
      </c>
      <c r="BG242" s="612">
        <f t="shared" si="187"/>
        <v>0</v>
      </c>
      <c r="BH242" s="612">
        <f t="shared" si="187"/>
        <v>10010.35</v>
      </c>
      <c r="BI242" s="612">
        <f t="shared" si="142"/>
        <v>10010.35</v>
      </c>
      <c r="BJ242" s="201">
        <f t="shared" si="115"/>
        <v>0</v>
      </c>
    </row>
    <row r="243" spans="1:62" ht="12" customHeight="1">
      <c r="A243" s="52"/>
      <c r="B243" s="52"/>
      <c r="C243" s="52"/>
      <c r="D243" s="52"/>
      <c r="E243" s="52"/>
      <c r="F243" s="52"/>
      <c r="G243" s="52"/>
      <c r="H243" s="63">
        <v>3237</v>
      </c>
      <c r="I243" s="116"/>
      <c r="J243" s="117"/>
      <c r="K243" s="19" t="s">
        <v>249</v>
      </c>
      <c r="L243" s="129">
        <f t="shared" ref="L243:S243" si="188">L402+L422+L423+L562+L570+L664+L1101+L1164+L1201+L1031+L1195</f>
        <v>633786</v>
      </c>
      <c r="M243" s="129">
        <f t="shared" si="188"/>
        <v>84117.857853872178</v>
      </c>
      <c r="N243" s="130">
        <f t="shared" si="188"/>
        <v>504853</v>
      </c>
      <c r="O243" s="130">
        <f t="shared" si="188"/>
        <v>67005.50799654919</v>
      </c>
      <c r="P243" s="131">
        <f t="shared" si="188"/>
        <v>104400</v>
      </c>
      <c r="Q243" s="131">
        <f t="shared" si="188"/>
        <v>103100</v>
      </c>
      <c r="R243" s="153">
        <f t="shared" si="188"/>
        <v>88239</v>
      </c>
      <c r="S243" s="158" t="e">
        <f t="shared" ca="1" si="188"/>
        <v>#NAME?</v>
      </c>
      <c r="T243" s="158"/>
      <c r="U243" s="89" t="e">
        <f t="shared" ca="1" si="112"/>
        <v>#NAME?</v>
      </c>
      <c r="V243" s="532">
        <f>V402+V422+V423+V562+V570+V664+V1101+V1164+V1201+V1031+V1195</f>
        <v>132000</v>
      </c>
      <c r="W243" s="532">
        <f>W402+W422+W423+W562+W570+W664+W1101+W1164+W1201+W1031+W1195</f>
        <v>131229</v>
      </c>
      <c r="X243" s="534">
        <f>X402+X422+X423+X562+X570+X664+X1101+X1164+X1201+X1031+X1195</f>
        <v>146200</v>
      </c>
      <c r="Y243" s="535">
        <f>Y402+Y422+Y423+Y562+Y570+Y664+Y1101+Y1164+Y1201+Y1031+Y1195</f>
        <v>161200</v>
      </c>
      <c r="Z243" s="535"/>
      <c r="AA243" s="535" t="e">
        <f ca="1">AA402+AA422+AA423+AA562+AA570+AA664+AA1101+AA1164+AA1201+AA1031+AA1195</f>
        <v>#NAME?</v>
      </c>
      <c r="AB243" s="535">
        <f>AB402+AB422+AB423+AB562+AB570+AB664+AB1101+AB1164+AB1201+AB1031+AB1195</f>
        <v>0</v>
      </c>
      <c r="AC243" s="529">
        <f>AC402+AC422+AC423+AC562+AC570+AC664+AC1101+AC1164+AC1201+AC1031+AC1195</f>
        <v>101600</v>
      </c>
      <c r="AD243" s="529">
        <f>AD402+AD422+AD423+AD562+AD570+AD664+AD1101+AD1164+AD1201+AD1031+AD1195</f>
        <v>101600</v>
      </c>
      <c r="AE243" s="529">
        <f t="shared" si="172"/>
        <v>79.656698002164759</v>
      </c>
      <c r="AF243" s="529">
        <f t="shared" si="173"/>
        <v>155.80808671038901</v>
      </c>
      <c r="AG243" s="529">
        <f t="shared" si="173"/>
        <v>98.754789272030649</v>
      </c>
      <c r="AH243" s="529">
        <f t="shared" si="174"/>
        <v>98.545101842870992</v>
      </c>
      <c r="AI243" s="535"/>
      <c r="AJ243" s="535">
        <v>161200</v>
      </c>
      <c r="AK243" s="507">
        <f t="shared" si="138"/>
        <v>148.71995376194201</v>
      </c>
      <c r="AL243" s="507">
        <f t="shared" si="139"/>
        <v>111.40830151871918</v>
      </c>
      <c r="AM243" s="507">
        <f t="shared" si="139"/>
        <v>110.25991792065663</v>
      </c>
      <c r="AN243" s="556"/>
      <c r="AO243" s="510"/>
      <c r="AP243" s="510" t="e">
        <f t="shared" ca="1" si="113"/>
        <v>#NAME?</v>
      </c>
      <c r="AQ243" s="532">
        <f t="shared" ref="AQ243:BH243" si="189">AQ402+AQ422+AQ423+AQ562+AQ570+AQ664+AQ1101+AQ1164+AQ1201+AQ1031+AQ1195</f>
        <v>131896.99</v>
      </c>
      <c r="AR243" s="532">
        <f t="shared" si="189"/>
        <v>1071.5398289928326</v>
      </c>
      <c r="AS243" s="532">
        <f t="shared" si="189"/>
        <v>597.85833333333335</v>
      </c>
      <c r="AT243" s="532">
        <f t="shared" si="189"/>
        <v>1069.5087971443565</v>
      </c>
      <c r="AU243" s="532">
        <f t="shared" si="189"/>
        <v>1216.1071120050242</v>
      </c>
      <c r="AV243" s="532">
        <f t="shared" si="189"/>
        <v>1745.2277301758782</v>
      </c>
      <c r="AW243" s="612">
        <f t="shared" si="189"/>
        <v>130646.99</v>
      </c>
      <c r="AX243" s="612">
        <f t="shared" si="189"/>
        <v>0</v>
      </c>
      <c r="AY243" s="612">
        <f t="shared" si="189"/>
        <v>0</v>
      </c>
      <c r="AZ243" s="612">
        <f t="shared" si="189"/>
        <v>0</v>
      </c>
      <c r="BA243" s="612">
        <f t="shared" si="189"/>
        <v>0</v>
      </c>
      <c r="BB243" s="612">
        <f t="shared" si="189"/>
        <v>0</v>
      </c>
      <c r="BC243" s="612">
        <f t="shared" si="189"/>
        <v>0</v>
      </c>
      <c r="BD243" s="612">
        <f t="shared" si="189"/>
        <v>0</v>
      </c>
      <c r="BE243" s="612">
        <f t="shared" si="189"/>
        <v>0</v>
      </c>
      <c r="BF243" s="612">
        <f t="shared" si="189"/>
        <v>0</v>
      </c>
      <c r="BG243" s="612">
        <f t="shared" si="189"/>
        <v>1250</v>
      </c>
      <c r="BH243" s="612">
        <f t="shared" si="189"/>
        <v>131896.99</v>
      </c>
      <c r="BI243" s="612">
        <f t="shared" si="142"/>
        <v>131896.99</v>
      </c>
      <c r="BJ243" s="201">
        <f t="shared" si="115"/>
        <v>0</v>
      </c>
    </row>
    <row r="244" spans="1:62" ht="12" customHeight="1">
      <c r="A244" s="52"/>
      <c r="B244" s="52"/>
      <c r="C244" s="52"/>
      <c r="D244" s="52"/>
      <c r="E244" s="52"/>
      <c r="F244" s="52"/>
      <c r="G244" s="52"/>
      <c r="H244" s="63">
        <v>3238</v>
      </c>
      <c r="I244" s="116"/>
      <c r="J244" s="117"/>
      <c r="K244" s="19" t="s">
        <v>250</v>
      </c>
      <c r="L244" s="129">
        <f t="shared" ref="L244:S244" si="190">L403+L1032+L1102+L1165</f>
        <v>197513</v>
      </c>
      <c r="M244" s="129">
        <f t="shared" si="190"/>
        <v>26214.480058398036</v>
      </c>
      <c r="N244" s="130">
        <f t="shared" si="190"/>
        <v>223576</v>
      </c>
      <c r="O244" s="130">
        <f t="shared" si="190"/>
        <v>29673.634614108432</v>
      </c>
      <c r="P244" s="131">
        <f t="shared" si="190"/>
        <v>33500</v>
      </c>
      <c r="Q244" s="131">
        <f t="shared" si="190"/>
        <v>41000</v>
      </c>
      <c r="R244" s="153">
        <f t="shared" si="190"/>
        <v>43122</v>
      </c>
      <c r="S244" s="158">
        <f t="shared" si="190"/>
        <v>29970</v>
      </c>
      <c r="T244" s="158"/>
      <c r="U244" s="89" t="e">
        <f t="shared" ca="1" si="112"/>
        <v>#NAME?</v>
      </c>
      <c r="V244" s="532">
        <f>V403+V1032+V1102+V1165</f>
        <v>45129.919999999998</v>
      </c>
      <c r="W244" s="532">
        <f>W403+W1032+W1102+W1165</f>
        <v>45129.919999999998</v>
      </c>
      <c r="X244" s="534">
        <f>X403+X1032+X1102+X1165</f>
        <v>48730</v>
      </c>
      <c r="Y244" s="535">
        <f>Y403+Y1032+Y1102+Y1165</f>
        <v>55100</v>
      </c>
      <c r="Z244" s="535"/>
      <c r="AA244" s="535" t="e">
        <f ca="1">AA403+AA1032+AA1102+AA1165</f>
        <v>#NAME?</v>
      </c>
      <c r="AB244" s="535">
        <f>AB403+AB1032+AB1102+AB1165</f>
        <v>0</v>
      </c>
      <c r="AC244" s="529">
        <f>AC403+AC1032+AC1102+AC1165</f>
        <v>34900</v>
      </c>
      <c r="AD244" s="529">
        <f>AD403+AD1032+AD1102+AD1165</f>
        <v>34900</v>
      </c>
      <c r="AE244" s="529">
        <f t="shared" si="172"/>
        <v>113.19558712591069</v>
      </c>
      <c r="AF244" s="529">
        <f t="shared" si="173"/>
        <v>112.89483218234517</v>
      </c>
      <c r="AG244" s="529">
        <f t="shared" si="173"/>
        <v>122.38805970149254</v>
      </c>
      <c r="AH244" s="529">
        <f t="shared" si="174"/>
        <v>85.121951219512198</v>
      </c>
      <c r="AI244" s="535"/>
      <c r="AJ244" s="535">
        <v>55100</v>
      </c>
      <c r="AK244" s="507">
        <f t="shared" si="138"/>
        <v>104.65637029822364</v>
      </c>
      <c r="AL244" s="507">
        <f t="shared" si="139"/>
        <v>107.977146868419</v>
      </c>
      <c r="AM244" s="507">
        <f t="shared" si="139"/>
        <v>113.07202955058486</v>
      </c>
      <c r="AN244" s="556"/>
      <c r="AO244" s="510"/>
      <c r="AP244" s="510" t="e">
        <f t="shared" ca="1" si="113"/>
        <v>#NAME?</v>
      </c>
      <c r="AQ244" s="532">
        <f t="shared" ref="AQ244:BH244" si="191">AQ403+AQ1032+AQ1102+AQ1165</f>
        <v>43500.07</v>
      </c>
      <c r="AR244" s="532">
        <f t="shared" si="191"/>
        <v>735.0867815969425</v>
      </c>
      <c r="AS244" s="532">
        <f t="shared" si="191"/>
        <v>400</v>
      </c>
      <c r="AT244" s="532">
        <f t="shared" si="191"/>
        <v>735.0867815969425</v>
      </c>
      <c r="AU244" s="532">
        <f t="shared" si="191"/>
        <v>388.11018695371359</v>
      </c>
      <c r="AV244" s="532">
        <f t="shared" si="191"/>
        <v>664.56204927705983</v>
      </c>
      <c r="AW244" s="612">
        <f t="shared" si="191"/>
        <v>43500.07</v>
      </c>
      <c r="AX244" s="612">
        <f t="shared" si="191"/>
        <v>0</v>
      </c>
      <c r="AY244" s="612">
        <f t="shared" si="191"/>
        <v>0</v>
      </c>
      <c r="AZ244" s="612">
        <f t="shared" si="191"/>
        <v>0</v>
      </c>
      <c r="BA244" s="612">
        <f t="shared" si="191"/>
        <v>0</v>
      </c>
      <c r="BB244" s="612">
        <f t="shared" si="191"/>
        <v>0</v>
      </c>
      <c r="BC244" s="612">
        <f t="shared" si="191"/>
        <v>0</v>
      </c>
      <c r="BD244" s="612">
        <f t="shared" si="191"/>
        <v>0</v>
      </c>
      <c r="BE244" s="612">
        <f t="shared" si="191"/>
        <v>0</v>
      </c>
      <c r="BF244" s="612">
        <f t="shared" si="191"/>
        <v>0</v>
      </c>
      <c r="BG244" s="612">
        <f t="shared" si="191"/>
        <v>0</v>
      </c>
      <c r="BH244" s="612">
        <f t="shared" si="191"/>
        <v>43500.07</v>
      </c>
      <c r="BI244" s="612">
        <f t="shared" si="142"/>
        <v>43500.07</v>
      </c>
      <c r="BJ244" s="201">
        <f t="shared" si="115"/>
        <v>0</v>
      </c>
    </row>
    <row r="245" spans="1:62" ht="12" customHeight="1">
      <c r="A245" s="52"/>
      <c r="B245" s="52"/>
      <c r="C245" s="52"/>
      <c r="D245" s="52"/>
      <c r="E245" s="52"/>
      <c r="F245" s="52"/>
      <c r="G245" s="52"/>
      <c r="H245" s="63">
        <v>3239</v>
      </c>
      <c r="I245" s="116"/>
      <c r="J245" s="117"/>
      <c r="K245" s="19" t="s">
        <v>251</v>
      </c>
      <c r="L245" s="129">
        <f t="shared" ref="L245:S245" si="192">L404+L424+L501+L630+L856+L1033+L1103+L1166+L1184+L1185+L1192+L1193+L1194+L1202</f>
        <v>222848</v>
      </c>
      <c r="M245" s="129">
        <f t="shared" si="192"/>
        <v>29577.012409582585</v>
      </c>
      <c r="N245" s="130">
        <f t="shared" si="192"/>
        <v>105515</v>
      </c>
      <c r="O245" s="130">
        <f t="shared" si="192"/>
        <v>14004.247129869269</v>
      </c>
      <c r="P245" s="131">
        <f t="shared" si="192"/>
        <v>43800</v>
      </c>
      <c r="Q245" s="131">
        <f t="shared" si="192"/>
        <v>37000</v>
      </c>
      <c r="R245" s="153">
        <f t="shared" si="192"/>
        <v>24404</v>
      </c>
      <c r="S245" s="158" t="e">
        <f t="shared" ca="1" si="192"/>
        <v>#NAME?</v>
      </c>
      <c r="T245" s="158"/>
      <c r="U245" s="89" t="e">
        <f t="shared" ca="1" si="112"/>
        <v>#NAME?</v>
      </c>
      <c r="V245" s="532">
        <f>V404+V424+V501+V630+V856+V1033+V1103+V1166+V1184+V1185+V1192+V1193+V1194+V1202</f>
        <v>60540</v>
      </c>
      <c r="W245" s="532">
        <f>W404+W424+W501+W630+W856+W1033+W1103+W1166+W1184+W1185+W1192+W1193+W1194+W1202</f>
        <v>60540</v>
      </c>
      <c r="X245" s="534">
        <f>X404+X424+X501+X630+X856+X1033+X1103+X1166+X1184+X1185+X1192+X1193+X1194+X1202</f>
        <v>78500</v>
      </c>
      <c r="Y245" s="535">
        <f>Y404+Y424+Y501+Y630+Y856+Y1033+Y1103+Y1166+Y1184+Y1185+Y1192+Y1193+Y1194+Y1202</f>
        <v>85400</v>
      </c>
      <c r="Z245" s="535"/>
      <c r="AA245" s="535" t="e">
        <f ca="1">AA404+AA424+AA501+AA630+AA856+AA1033+AA1103+AA1166+AA1184+AA1185+AA1192+AA1193+AA1194+AA1202</f>
        <v>#NAME?</v>
      </c>
      <c r="AB245" s="535">
        <f>AB404+AB424+AB501+AB630+AB856+AB1033+AB1103+AB1166+AB1184+AB1185+AB1192+AB1193+AB1194+AB1202</f>
        <v>0</v>
      </c>
      <c r="AC245" s="529">
        <f>AC404+AC424+AC501+AC630+AC856+AC1033+AC1103+AC1166+AC1184+AC1185+AC1192+AC1193+AC1194+AC1202</f>
        <v>51100</v>
      </c>
      <c r="AD245" s="529">
        <f>AD404+AD424+AD501+AD630+AD856+AD1033+AD1103+AD1166+AD1184+AD1185+AD1192+AD1193+AD1194+AD1202</f>
        <v>51100</v>
      </c>
      <c r="AE245" s="529">
        <f t="shared" si="172"/>
        <v>47.348416858127521</v>
      </c>
      <c r="AF245" s="529">
        <f t="shared" si="173"/>
        <v>312.762261289864</v>
      </c>
      <c r="AG245" s="529">
        <f t="shared" si="173"/>
        <v>84.474885844748854</v>
      </c>
      <c r="AH245" s="529">
        <f t="shared" si="174"/>
        <v>138.10810810810813</v>
      </c>
      <c r="AI245" s="535"/>
      <c r="AJ245" s="535">
        <v>85400</v>
      </c>
      <c r="AK245" s="507">
        <f t="shared" si="138"/>
        <v>248.07408621537454</v>
      </c>
      <c r="AL245" s="507">
        <f t="shared" si="139"/>
        <v>129.66633630657415</v>
      </c>
      <c r="AM245" s="507">
        <f t="shared" si="139"/>
        <v>108.78980891719745</v>
      </c>
      <c r="AN245" s="556"/>
      <c r="AO245" s="510"/>
      <c r="AP245" s="510" t="e">
        <f t="shared" ca="1" si="113"/>
        <v>#NAME?</v>
      </c>
      <c r="AQ245" s="532">
        <f t="shared" ref="AQ245:BH245" si="193">AQ404+AQ424+AQ501+AQ630+AQ856+AQ1033+AQ1103+AQ1166+AQ1184+AQ1185+AQ1192+AQ1193+AQ1194+AQ1202</f>
        <v>55007.09</v>
      </c>
      <c r="AR245" s="532">
        <f t="shared" si="193"/>
        <v>1908.4987571884808</v>
      </c>
      <c r="AS245" s="532">
        <f t="shared" si="193"/>
        <v>600</v>
      </c>
      <c r="AT245" s="532">
        <f t="shared" si="193"/>
        <v>1908.4987571884808</v>
      </c>
      <c r="AU245" s="532">
        <f t="shared" si="193"/>
        <v>820.50635016211208</v>
      </c>
      <c r="AV245" s="532">
        <f t="shared" si="193"/>
        <v>1328.1656547905525</v>
      </c>
      <c r="AW245" s="612">
        <f t="shared" si="193"/>
        <v>55007.09</v>
      </c>
      <c r="AX245" s="612">
        <f t="shared" si="193"/>
        <v>0</v>
      </c>
      <c r="AY245" s="612">
        <f t="shared" si="193"/>
        <v>0</v>
      </c>
      <c r="AZ245" s="612">
        <f t="shared" si="193"/>
        <v>0</v>
      </c>
      <c r="BA245" s="612">
        <f t="shared" si="193"/>
        <v>0</v>
      </c>
      <c r="BB245" s="612">
        <f t="shared" si="193"/>
        <v>0</v>
      </c>
      <c r="BC245" s="612">
        <f t="shared" si="193"/>
        <v>0</v>
      </c>
      <c r="BD245" s="612">
        <f t="shared" si="193"/>
        <v>0</v>
      </c>
      <c r="BE245" s="612">
        <f t="shared" si="193"/>
        <v>0</v>
      </c>
      <c r="BF245" s="612">
        <f t="shared" si="193"/>
        <v>0</v>
      </c>
      <c r="BG245" s="612">
        <f t="shared" si="193"/>
        <v>0</v>
      </c>
      <c r="BH245" s="612">
        <f t="shared" si="193"/>
        <v>55007.09</v>
      </c>
      <c r="BI245" s="612">
        <f t="shared" si="142"/>
        <v>55007.09</v>
      </c>
      <c r="BJ245" s="201">
        <f t="shared" si="115"/>
        <v>0</v>
      </c>
    </row>
    <row r="246" spans="1:62" ht="12" customHeight="1">
      <c r="A246" s="52"/>
      <c r="B246" s="52"/>
      <c r="C246" s="52"/>
      <c r="D246" s="52"/>
      <c r="E246" s="52"/>
      <c r="F246" s="52"/>
      <c r="G246" s="52"/>
      <c r="H246" s="63"/>
      <c r="I246" s="116"/>
      <c r="J246" s="117"/>
      <c r="K246" s="19"/>
      <c r="L246" s="129"/>
      <c r="M246" s="129"/>
      <c r="N246" s="130"/>
      <c r="O246" s="130"/>
      <c r="P246" s="131"/>
      <c r="Q246" s="131"/>
      <c r="R246" s="153"/>
      <c r="S246" s="158"/>
      <c r="T246" s="158"/>
      <c r="U246" s="89" t="e">
        <f t="shared" ca="1" si="112"/>
        <v>#NAME?</v>
      </c>
      <c r="V246" s="532"/>
      <c r="W246" s="532"/>
      <c r="X246" s="534"/>
      <c r="Y246" s="535"/>
      <c r="Z246" s="535"/>
      <c r="AA246" s="535"/>
      <c r="AB246" s="535"/>
      <c r="AC246" s="529"/>
      <c r="AD246" s="529"/>
      <c r="AE246" s="529"/>
      <c r="AF246" s="529"/>
      <c r="AG246" s="529"/>
      <c r="AH246" s="529"/>
      <c r="AI246" s="535"/>
      <c r="AJ246" s="535"/>
      <c r="AK246" s="507"/>
      <c r="AL246" s="507"/>
      <c r="AM246" s="507"/>
      <c r="AN246" s="556"/>
      <c r="AO246" s="510"/>
      <c r="AP246" s="510" t="e">
        <f t="shared" ca="1" si="113"/>
        <v>#NAME?</v>
      </c>
      <c r="AQ246" s="532"/>
      <c r="AR246" s="532"/>
      <c r="AS246" s="532"/>
      <c r="AT246" s="532"/>
      <c r="AU246" s="532"/>
      <c r="AV246" s="532"/>
      <c r="AW246" s="612"/>
      <c r="AX246" s="612"/>
      <c r="AY246" s="612"/>
      <c r="AZ246" s="612"/>
      <c r="BA246" s="612"/>
      <c r="BB246" s="612"/>
      <c r="BC246" s="612"/>
      <c r="BD246" s="612"/>
      <c r="BE246" s="612"/>
      <c r="BF246" s="612"/>
      <c r="BG246" s="612"/>
      <c r="BH246" s="612"/>
      <c r="BI246" s="612">
        <f t="shared" si="142"/>
        <v>0</v>
      </c>
      <c r="BJ246" s="201">
        <f t="shared" si="115"/>
        <v>0</v>
      </c>
    </row>
    <row r="247" spans="1:62" ht="12" customHeight="1">
      <c r="A247" s="61"/>
      <c r="B247" s="61"/>
      <c r="C247" s="61"/>
      <c r="D247" s="61"/>
      <c r="E247" s="61"/>
      <c r="F247" s="61"/>
      <c r="G247" s="61"/>
      <c r="H247" s="62">
        <v>324</v>
      </c>
      <c r="I247" s="127"/>
      <c r="J247" s="128"/>
      <c r="K247" s="20" t="s">
        <v>252</v>
      </c>
      <c r="L247" s="111">
        <f t="shared" ref="L247:AD247" si="194">L248</f>
        <v>0</v>
      </c>
      <c r="M247" s="111">
        <f t="shared" si="194"/>
        <v>0</v>
      </c>
      <c r="N247" s="112">
        <f t="shared" si="194"/>
        <v>0</v>
      </c>
      <c r="O247" s="112">
        <f t="shared" si="194"/>
        <v>0</v>
      </c>
      <c r="P247" s="113">
        <f t="shared" si="194"/>
        <v>0</v>
      </c>
      <c r="Q247" s="113">
        <f t="shared" si="194"/>
        <v>0</v>
      </c>
      <c r="R247" s="87">
        <f t="shared" si="194"/>
        <v>0</v>
      </c>
      <c r="S247" s="89" t="e">
        <f t="shared" ca="1" si="194"/>
        <v>#NAME?</v>
      </c>
      <c r="T247" s="89"/>
      <c r="U247" s="89" t="e">
        <f t="shared" ca="1" si="112"/>
        <v>#NAME?</v>
      </c>
      <c r="V247" s="532">
        <f>V248</f>
        <v>0</v>
      </c>
      <c r="W247" s="532">
        <f t="shared" si="194"/>
        <v>0</v>
      </c>
      <c r="X247" s="506">
        <f t="shared" si="194"/>
        <v>0</v>
      </c>
      <c r="Y247" s="507">
        <f t="shared" si="194"/>
        <v>0</v>
      </c>
      <c r="Z247" s="507"/>
      <c r="AA247" s="507" t="e">
        <f t="shared" ca="1" si="194"/>
        <v>#NAME?</v>
      </c>
      <c r="AB247" s="507">
        <f t="shared" si="194"/>
        <v>0</v>
      </c>
      <c r="AC247" s="508">
        <f t="shared" si="194"/>
        <v>0</v>
      </c>
      <c r="AD247" s="508">
        <f t="shared" si="194"/>
        <v>0</v>
      </c>
      <c r="AE247" s="529"/>
      <c r="AF247" s="529"/>
      <c r="AG247" s="529"/>
      <c r="AH247" s="529"/>
      <c r="AI247" s="507"/>
      <c r="AJ247" s="507">
        <v>0</v>
      </c>
      <c r="AK247" s="507"/>
      <c r="AL247" s="507"/>
      <c r="AM247" s="507"/>
      <c r="AN247" s="509"/>
      <c r="AO247" s="510"/>
      <c r="AP247" s="510" t="e">
        <f t="shared" ca="1" si="113"/>
        <v>#NAME?</v>
      </c>
      <c r="AQ247" s="532">
        <f>AQ248</f>
        <v>0</v>
      </c>
      <c r="AR247" s="532">
        <f t="shared" ref="AR247:BH247" si="195">AR248</f>
        <v>0</v>
      </c>
      <c r="AS247" s="532">
        <f t="shared" si="195"/>
        <v>0</v>
      </c>
      <c r="AT247" s="532">
        <f t="shared" si="195"/>
        <v>0</v>
      </c>
      <c r="AU247" s="532">
        <f t="shared" si="195"/>
        <v>0</v>
      </c>
      <c r="AV247" s="532">
        <f t="shared" si="195"/>
        <v>0</v>
      </c>
      <c r="AW247" s="612">
        <f t="shared" si="195"/>
        <v>0</v>
      </c>
      <c r="AX247" s="612">
        <f t="shared" si="195"/>
        <v>0</v>
      </c>
      <c r="AY247" s="612">
        <f t="shared" si="195"/>
        <v>0</v>
      </c>
      <c r="AZ247" s="612">
        <f t="shared" si="195"/>
        <v>0</v>
      </c>
      <c r="BA247" s="612">
        <f t="shared" si="195"/>
        <v>0</v>
      </c>
      <c r="BB247" s="612">
        <f t="shared" si="195"/>
        <v>0</v>
      </c>
      <c r="BC247" s="612">
        <f t="shared" si="195"/>
        <v>0</v>
      </c>
      <c r="BD247" s="612">
        <f t="shared" si="195"/>
        <v>0</v>
      </c>
      <c r="BE247" s="612">
        <f t="shared" si="195"/>
        <v>0</v>
      </c>
      <c r="BF247" s="612">
        <f t="shared" si="195"/>
        <v>0</v>
      </c>
      <c r="BG247" s="612">
        <f t="shared" si="195"/>
        <v>0</v>
      </c>
      <c r="BH247" s="612">
        <f t="shared" si="195"/>
        <v>0</v>
      </c>
      <c r="BI247" s="612">
        <f t="shared" si="142"/>
        <v>0</v>
      </c>
      <c r="BJ247" s="201">
        <f t="shared" si="115"/>
        <v>0</v>
      </c>
    </row>
    <row r="248" spans="1:62" ht="12" customHeight="1">
      <c r="A248" s="52"/>
      <c r="B248" s="52"/>
      <c r="C248" s="52"/>
      <c r="D248" s="52"/>
      <c r="E248" s="52"/>
      <c r="F248" s="52"/>
      <c r="G248" s="52"/>
      <c r="H248" s="63">
        <v>3241</v>
      </c>
      <c r="I248" s="116"/>
      <c r="J248" s="117"/>
      <c r="K248" s="19" t="s">
        <v>252</v>
      </c>
      <c r="L248" s="129">
        <f t="shared" ref="L248:S248" si="196">L407+L1036</f>
        <v>0</v>
      </c>
      <c r="M248" s="129">
        <f t="shared" si="196"/>
        <v>0</v>
      </c>
      <c r="N248" s="130">
        <f t="shared" si="196"/>
        <v>0</v>
      </c>
      <c r="O248" s="130">
        <f t="shared" si="196"/>
        <v>0</v>
      </c>
      <c r="P248" s="131">
        <f t="shared" si="196"/>
        <v>0</v>
      </c>
      <c r="Q248" s="131">
        <f t="shared" si="196"/>
        <v>0</v>
      </c>
      <c r="R248" s="153">
        <f t="shared" si="196"/>
        <v>0</v>
      </c>
      <c r="S248" s="158" t="e">
        <f t="shared" ca="1" si="196"/>
        <v>#NAME?</v>
      </c>
      <c r="T248" s="158"/>
      <c r="U248" s="89" t="e">
        <f t="shared" ca="1" si="112"/>
        <v>#NAME?</v>
      </c>
      <c r="V248" s="532">
        <f>V407+V1036</f>
        <v>0</v>
      </c>
      <c r="W248" s="532">
        <f>W407+W1036</f>
        <v>0</v>
      </c>
      <c r="X248" s="534">
        <f>X407+X1036</f>
        <v>0</v>
      </c>
      <c r="Y248" s="535">
        <f>Y407+Y1036</f>
        <v>0</v>
      </c>
      <c r="Z248" s="535"/>
      <c r="AA248" s="535" t="e">
        <f ca="1">AA407+AA1036</f>
        <v>#NAME?</v>
      </c>
      <c r="AB248" s="535">
        <f>AB407+AB1036</f>
        <v>0</v>
      </c>
      <c r="AC248" s="529">
        <f>AC407+AC1036</f>
        <v>0</v>
      </c>
      <c r="AD248" s="529">
        <f>AD407+AD1036</f>
        <v>0</v>
      </c>
      <c r="AE248" s="529"/>
      <c r="AF248" s="529"/>
      <c r="AG248" s="529"/>
      <c r="AH248" s="529"/>
      <c r="AI248" s="535"/>
      <c r="AJ248" s="535">
        <v>0</v>
      </c>
      <c r="AK248" s="507"/>
      <c r="AL248" s="507"/>
      <c r="AM248" s="507"/>
      <c r="AN248" s="556"/>
      <c r="AO248" s="510"/>
      <c r="AP248" s="510" t="e">
        <f t="shared" ca="1" si="113"/>
        <v>#NAME?</v>
      </c>
      <c r="AQ248" s="532">
        <f t="shared" ref="AQ248:BH248" si="197">AQ407+AQ1036</f>
        <v>0</v>
      </c>
      <c r="AR248" s="532">
        <f t="shared" si="197"/>
        <v>0</v>
      </c>
      <c r="AS248" s="532">
        <f t="shared" si="197"/>
        <v>0</v>
      </c>
      <c r="AT248" s="532">
        <f t="shared" si="197"/>
        <v>0</v>
      </c>
      <c r="AU248" s="532">
        <f t="shared" si="197"/>
        <v>0</v>
      </c>
      <c r="AV248" s="532">
        <f t="shared" si="197"/>
        <v>0</v>
      </c>
      <c r="AW248" s="612">
        <f t="shared" si="197"/>
        <v>0</v>
      </c>
      <c r="AX248" s="612">
        <f t="shared" si="197"/>
        <v>0</v>
      </c>
      <c r="AY248" s="612">
        <f t="shared" si="197"/>
        <v>0</v>
      </c>
      <c r="AZ248" s="612">
        <f t="shared" si="197"/>
        <v>0</v>
      </c>
      <c r="BA248" s="612">
        <f t="shared" si="197"/>
        <v>0</v>
      </c>
      <c r="BB248" s="612">
        <f t="shared" si="197"/>
        <v>0</v>
      </c>
      <c r="BC248" s="612">
        <f t="shared" si="197"/>
        <v>0</v>
      </c>
      <c r="BD248" s="612">
        <f t="shared" si="197"/>
        <v>0</v>
      </c>
      <c r="BE248" s="612">
        <f t="shared" si="197"/>
        <v>0</v>
      </c>
      <c r="BF248" s="612">
        <f t="shared" si="197"/>
        <v>0</v>
      </c>
      <c r="BG248" s="612">
        <f t="shared" si="197"/>
        <v>0</v>
      </c>
      <c r="BH248" s="612">
        <f t="shared" si="197"/>
        <v>0</v>
      </c>
      <c r="BI248" s="612">
        <f t="shared" si="142"/>
        <v>0</v>
      </c>
      <c r="BJ248" s="201">
        <f t="shared" si="115"/>
        <v>0</v>
      </c>
    </row>
    <row r="249" spans="1:62" ht="12" customHeight="1">
      <c r="A249" s="52"/>
      <c r="B249" s="52"/>
      <c r="C249" s="52"/>
      <c r="D249" s="52"/>
      <c r="E249" s="52"/>
      <c r="F249" s="52"/>
      <c r="G249" s="52"/>
      <c r="H249" s="63"/>
      <c r="I249" s="116"/>
      <c r="J249" s="117"/>
      <c r="K249" s="19"/>
      <c r="L249" s="118"/>
      <c r="M249" s="118"/>
      <c r="N249" s="119"/>
      <c r="O249" s="119"/>
      <c r="P249" s="120"/>
      <c r="Q249" s="120"/>
      <c r="R249" s="151"/>
      <c r="S249" s="152"/>
      <c r="T249" s="152"/>
      <c r="U249" s="89" t="e">
        <f t="shared" ca="1" si="112"/>
        <v>#NAME?</v>
      </c>
      <c r="V249" s="532"/>
      <c r="W249" s="532"/>
      <c r="X249" s="534"/>
      <c r="Y249" s="535"/>
      <c r="Z249" s="535"/>
      <c r="AA249" s="535"/>
      <c r="AB249" s="535"/>
      <c r="AC249" s="529"/>
      <c r="AD249" s="529"/>
      <c r="AE249" s="529"/>
      <c r="AF249" s="529"/>
      <c r="AG249" s="529"/>
      <c r="AH249" s="529"/>
      <c r="AI249" s="535"/>
      <c r="AJ249" s="535"/>
      <c r="AK249" s="507"/>
      <c r="AL249" s="507"/>
      <c r="AM249" s="507"/>
      <c r="AN249" s="556"/>
      <c r="AO249" s="510"/>
      <c r="AP249" s="510" t="e">
        <f t="shared" ca="1" si="113"/>
        <v>#NAME?</v>
      </c>
      <c r="AQ249" s="532"/>
      <c r="AR249" s="532"/>
      <c r="AS249" s="532"/>
      <c r="AT249" s="532"/>
      <c r="AU249" s="532"/>
      <c r="AV249" s="532"/>
      <c r="AW249" s="612"/>
      <c r="AX249" s="612"/>
      <c r="AY249" s="612"/>
      <c r="AZ249" s="612"/>
      <c r="BA249" s="612"/>
      <c r="BB249" s="612"/>
      <c r="BC249" s="612"/>
      <c r="BD249" s="612"/>
      <c r="BE249" s="612"/>
      <c r="BF249" s="612"/>
      <c r="BG249" s="612"/>
      <c r="BH249" s="612"/>
      <c r="BI249" s="612">
        <f t="shared" si="142"/>
        <v>0</v>
      </c>
      <c r="BJ249" s="201">
        <f t="shared" si="115"/>
        <v>0</v>
      </c>
    </row>
    <row r="250" spans="1:62" ht="12" customHeight="1">
      <c r="A250" s="41"/>
      <c r="B250" s="41"/>
      <c r="C250" s="41"/>
      <c r="D250" s="41"/>
      <c r="E250" s="41"/>
      <c r="F250" s="41"/>
      <c r="G250" s="41"/>
      <c r="H250" s="37"/>
      <c r="I250" s="72"/>
      <c r="J250" s="90"/>
      <c r="K250" s="83"/>
      <c r="L250" s="84">
        <v>1</v>
      </c>
      <c r="M250" s="84">
        <v>2</v>
      </c>
      <c r="N250" s="85">
        <v>3</v>
      </c>
      <c r="O250" s="85">
        <v>4</v>
      </c>
      <c r="P250" s="86">
        <v>5</v>
      </c>
      <c r="Q250" s="86">
        <v>6</v>
      </c>
      <c r="R250" s="154"/>
      <c r="S250" s="155"/>
      <c r="T250" s="155"/>
      <c r="U250" s="89" t="e">
        <f t="shared" ca="1" si="112"/>
        <v>#NAME?</v>
      </c>
      <c r="V250" s="532"/>
      <c r="W250" s="532"/>
      <c r="X250" s="536"/>
      <c r="Y250" s="537"/>
      <c r="Z250" s="537"/>
      <c r="AA250" s="537"/>
      <c r="AB250" s="537"/>
      <c r="AC250" s="538">
        <v>7</v>
      </c>
      <c r="AD250" s="538">
        <v>8</v>
      </c>
      <c r="AE250" s="538">
        <v>9</v>
      </c>
      <c r="AF250" s="538">
        <v>10</v>
      </c>
      <c r="AG250" s="538">
        <v>11</v>
      </c>
      <c r="AH250" s="538">
        <v>12</v>
      </c>
      <c r="AI250" s="537"/>
      <c r="AJ250" s="537"/>
      <c r="AK250" s="507"/>
      <c r="AL250" s="507"/>
      <c r="AM250" s="507"/>
      <c r="AN250" s="557"/>
      <c r="AO250" s="510"/>
      <c r="AP250" s="510" t="e">
        <f t="shared" ca="1" si="113"/>
        <v>#NAME?</v>
      </c>
      <c r="AQ250" s="532"/>
      <c r="AR250" s="532"/>
      <c r="AS250" s="532"/>
      <c r="AT250" s="532"/>
      <c r="AU250" s="532"/>
      <c r="AV250" s="532"/>
      <c r="AW250" s="612"/>
      <c r="AX250" s="612"/>
      <c r="AY250" s="612"/>
      <c r="AZ250" s="612"/>
      <c r="BA250" s="612"/>
      <c r="BB250" s="612"/>
      <c r="BC250" s="612"/>
      <c r="BD250" s="612"/>
      <c r="BE250" s="612"/>
      <c r="BF250" s="612"/>
      <c r="BG250" s="612"/>
      <c r="BH250" s="612"/>
      <c r="BI250" s="612">
        <f t="shared" ref="BI250:BI281" si="198">SUM(AW250:BG250)</f>
        <v>0</v>
      </c>
      <c r="BJ250" s="201">
        <f t="shared" si="115"/>
        <v>0</v>
      </c>
    </row>
    <row r="251" spans="1:62" ht="12" customHeight="1">
      <c r="A251" s="61"/>
      <c r="B251" s="61"/>
      <c r="C251" s="61"/>
      <c r="D251" s="61"/>
      <c r="E251" s="61"/>
      <c r="F251" s="61"/>
      <c r="G251" s="61"/>
      <c r="H251" s="62">
        <v>329</v>
      </c>
      <c r="I251" s="127"/>
      <c r="J251" s="128"/>
      <c r="K251" s="20" t="s">
        <v>253</v>
      </c>
      <c r="L251" s="111">
        <f t="shared" ref="L251:S251" si="199">L252+L253+L254+L255+L256+L257+L258</f>
        <v>1308919</v>
      </c>
      <c r="M251" s="111">
        <f t="shared" si="199"/>
        <v>173723.4056672639</v>
      </c>
      <c r="N251" s="112">
        <f t="shared" si="199"/>
        <v>1164960</v>
      </c>
      <c r="O251" s="112">
        <f t="shared" si="199"/>
        <v>154616.76289070275</v>
      </c>
      <c r="P251" s="113">
        <f t="shared" si="199"/>
        <v>215900</v>
      </c>
      <c r="Q251" s="113">
        <f t="shared" si="199"/>
        <v>261300</v>
      </c>
      <c r="R251" s="87">
        <f t="shared" si="199"/>
        <v>233239</v>
      </c>
      <c r="S251" s="89" t="e">
        <f t="shared" ca="1" si="199"/>
        <v>#NAME?</v>
      </c>
      <c r="T251" s="89"/>
      <c r="U251" s="89" t="e">
        <f t="shared" ca="1" si="112"/>
        <v>#NAME?</v>
      </c>
      <c r="V251" s="532">
        <f>V252+V253+V254+V255+V256+V257+V258</f>
        <v>336070.25</v>
      </c>
      <c r="W251" s="532">
        <f>W252+W253+W254+W255+W256+W257+W258</f>
        <v>336070.25</v>
      </c>
      <c r="X251" s="506">
        <f>X252+X253+X254+X255+X256+X257+X258</f>
        <v>475450</v>
      </c>
      <c r="Y251" s="507">
        <f>Y252+Y253+Y254+Y255+Y256+Y257+Y258</f>
        <v>464400.3</v>
      </c>
      <c r="Z251" s="507"/>
      <c r="AA251" s="507" t="e">
        <f ca="1">AA252+AA253+AA254+AA255+AA256+AA257+AA258</f>
        <v>#NAME?</v>
      </c>
      <c r="AB251" s="507">
        <f>AB252+AB253+AB254+AB255+AB256+AB257+AB258</f>
        <v>0</v>
      </c>
      <c r="AC251" s="508">
        <f>AC252+AC253+AC254+AC255+AC256+AC257+AC258</f>
        <v>261700</v>
      </c>
      <c r="AD251" s="508">
        <f>AD252+AD253+AD254+AD255+AD256+AD257+AD258</f>
        <v>261700</v>
      </c>
      <c r="AE251" s="529">
        <f>O251/M251*100</f>
        <v>89.001687652177111</v>
      </c>
      <c r="AF251" s="529">
        <f t="shared" ref="AF251:AG255" si="200">P251/O251*100</f>
        <v>139.63557117840958</v>
      </c>
      <c r="AG251" s="529">
        <f t="shared" si="200"/>
        <v>121.02825382121351</v>
      </c>
      <c r="AH251" s="529">
        <f t="shared" ref="AH251:AH258" si="201">AC251/Q251*100</f>
        <v>100.15308075009568</v>
      </c>
      <c r="AI251" s="507"/>
      <c r="AJ251" s="507">
        <v>464400.3</v>
      </c>
      <c r="AK251" s="507">
        <f t="shared" si="138"/>
        <v>144.08836000840338</v>
      </c>
      <c r="AL251" s="507">
        <f t="shared" si="139"/>
        <v>141.47339730309363</v>
      </c>
      <c r="AM251" s="507">
        <f t="shared" si="139"/>
        <v>97.675949100851824</v>
      </c>
      <c r="AN251" s="509"/>
      <c r="AO251" s="510"/>
      <c r="AP251" s="510" t="e">
        <f t="shared" ca="1" si="113"/>
        <v>#NAME?</v>
      </c>
      <c r="AQ251" s="532">
        <f>AQ252+AQ253+AQ254+AQ255+AQ256+AQ257+AQ258</f>
        <v>305069.39</v>
      </c>
      <c r="AR251" s="532">
        <f t="shared" ref="AR251:BH251" si="202">AR252+AR253+AR254+AR255+AR256+AR257+AR258</f>
        <v>9561.709386402832</v>
      </c>
      <c r="AS251" s="532">
        <f t="shared" si="202"/>
        <v>2900</v>
      </c>
      <c r="AT251" s="532">
        <f t="shared" si="202"/>
        <v>9561.709386402832</v>
      </c>
      <c r="AU251" s="532">
        <f t="shared" si="202"/>
        <v>2056.7579755581378</v>
      </c>
      <c r="AV251" s="532">
        <f t="shared" si="202"/>
        <v>5920.3616629958415</v>
      </c>
      <c r="AW251" s="612">
        <f t="shared" si="202"/>
        <v>136484.35</v>
      </c>
      <c r="AX251" s="612">
        <f t="shared" si="202"/>
        <v>0</v>
      </c>
      <c r="AY251" s="612">
        <f t="shared" si="202"/>
        <v>0</v>
      </c>
      <c r="AZ251" s="612">
        <f t="shared" si="202"/>
        <v>0</v>
      </c>
      <c r="BA251" s="612">
        <f t="shared" si="202"/>
        <v>0</v>
      </c>
      <c r="BB251" s="612">
        <f t="shared" si="202"/>
        <v>98054</v>
      </c>
      <c r="BC251" s="612">
        <f t="shared" si="202"/>
        <v>30543</v>
      </c>
      <c r="BD251" s="612">
        <f t="shared" si="202"/>
        <v>3778</v>
      </c>
      <c r="BE251" s="612">
        <f t="shared" si="202"/>
        <v>34296.04</v>
      </c>
      <c r="BF251" s="612">
        <f t="shared" si="202"/>
        <v>1914</v>
      </c>
      <c r="BG251" s="612">
        <f t="shared" si="202"/>
        <v>0</v>
      </c>
      <c r="BH251" s="612">
        <f t="shared" si="202"/>
        <v>305069.39</v>
      </c>
      <c r="BI251" s="612">
        <f t="shared" si="198"/>
        <v>305069.38999999996</v>
      </c>
      <c r="BJ251" s="201">
        <f t="shared" si="115"/>
        <v>0</v>
      </c>
    </row>
    <row r="252" spans="1:62" ht="12" customHeight="1">
      <c r="A252" s="52"/>
      <c r="B252" s="52"/>
      <c r="C252" s="52"/>
      <c r="D252" s="52"/>
      <c r="E252" s="52"/>
      <c r="F252" s="52"/>
      <c r="G252" s="52"/>
      <c r="H252" s="63">
        <v>3291</v>
      </c>
      <c r="I252" s="116"/>
      <c r="J252" s="117"/>
      <c r="K252" s="19" t="s">
        <v>254</v>
      </c>
      <c r="L252" s="129">
        <f t="shared" ref="L252:S252" si="203">L427</f>
        <v>100854</v>
      </c>
      <c r="M252" s="129">
        <f t="shared" si="203"/>
        <v>13385.626119848695</v>
      </c>
      <c r="N252" s="130">
        <f t="shared" si="203"/>
        <v>51825</v>
      </c>
      <c r="O252" s="130">
        <f t="shared" si="203"/>
        <v>6878.3595460879951</v>
      </c>
      <c r="P252" s="131">
        <f t="shared" si="203"/>
        <v>13000</v>
      </c>
      <c r="Q252" s="131">
        <f t="shared" si="203"/>
        <v>13000</v>
      </c>
      <c r="R252" s="153">
        <f t="shared" si="203"/>
        <v>12655</v>
      </c>
      <c r="S252" s="158">
        <f t="shared" si="203"/>
        <v>1149.75</v>
      </c>
      <c r="T252" s="158"/>
      <c r="U252" s="89" t="e">
        <f t="shared" ca="1" si="112"/>
        <v>#NAME?</v>
      </c>
      <c r="V252" s="532">
        <f>V427</f>
        <v>10000</v>
      </c>
      <c r="W252" s="532">
        <f>W427</f>
        <v>10000</v>
      </c>
      <c r="X252" s="534">
        <f>X427</f>
        <v>12000</v>
      </c>
      <c r="Y252" s="535">
        <f>Y427</f>
        <v>13000</v>
      </c>
      <c r="Z252" s="535"/>
      <c r="AA252" s="535" t="e">
        <f ca="1">AA427</f>
        <v>#NAME?</v>
      </c>
      <c r="AB252" s="535">
        <f>AB427</f>
        <v>0</v>
      </c>
      <c r="AC252" s="529">
        <f>AC427</f>
        <v>13000</v>
      </c>
      <c r="AD252" s="529">
        <f>AD427</f>
        <v>13000</v>
      </c>
      <c r="AE252" s="529">
        <f>O252/M252*100</f>
        <v>51.386162175025284</v>
      </c>
      <c r="AF252" s="529">
        <f t="shared" si="200"/>
        <v>188.99855282199712</v>
      </c>
      <c r="AG252" s="529">
        <f t="shared" si="200"/>
        <v>100</v>
      </c>
      <c r="AH252" s="529">
        <f t="shared" si="201"/>
        <v>100</v>
      </c>
      <c r="AI252" s="535"/>
      <c r="AJ252" s="535">
        <v>13000</v>
      </c>
      <c r="AK252" s="507">
        <f t="shared" si="138"/>
        <v>79.02015013828526</v>
      </c>
      <c r="AL252" s="507">
        <f t="shared" si="139"/>
        <v>120</v>
      </c>
      <c r="AM252" s="507">
        <f t="shared" si="139"/>
        <v>108.33333333333333</v>
      </c>
      <c r="AN252" s="556"/>
      <c r="AO252" s="510"/>
      <c r="AP252" s="510" t="e">
        <f t="shared" ca="1" si="113"/>
        <v>#NAME?</v>
      </c>
      <c r="AQ252" s="532">
        <f t="shared" ref="AQ252:BH252" si="204">AQ427</f>
        <v>12042.89</v>
      </c>
      <c r="AR252" s="532">
        <f t="shared" si="204"/>
        <v>79.02015013828526</v>
      </c>
      <c r="AS252" s="532">
        <f t="shared" si="204"/>
        <v>100</v>
      </c>
      <c r="AT252" s="532">
        <f t="shared" si="204"/>
        <v>79.02015013828526</v>
      </c>
      <c r="AU252" s="532">
        <f t="shared" si="204"/>
        <v>120.4289</v>
      </c>
      <c r="AV252" s="532">
        <f t="shared" si="204"/>
        <v>95.16309758988541</v>
      </c>
      <c r="AW252" s="612">
        <f t="shared" si="204"/>
        <v>12042.89</v>
      </c>
      <c r="AX252" s="612">
        <f t="shared" si="204"/>
        <v>0</v>
      </c>
      <c r="AY252" s="612">
        <f t="shared" si="204"/>
        <v>0</v>
      </c>
      <c r="AZ252" s="612">
        <f t="shared" si="204"/>
        <v>0</v>
      </c>
      <c r="BA252" s="612">
        <f t="shared" si="204"/>
        <v>0</v>
      </c>
      <c r="BB252" s="612">
        <f t="shared" si="204"/>
        <v>0</v>
      </c>
      <c r="BC252" s="612">
        <f t="shared" si="204"/>
        <v>0</v>
      </c>
      <c r="BD252" s="612">
        <f t="shared" si="204"/>
        <v>0</v>
      </c>
      <c r="BE252" s="612">
        <f t="shared" si="204"/>
        <v>0</v>
      </c>
      <c r="BF252" s="612">
        <f t="shared" si="204"/>
        <v>0</v>
      </c>
      <c r="BG252" s="612">
        <f t="shared" si="204"/>
        <v>0</v>
      </c>
      <c r="BH252" s="612">
        <f t="shared" si="204"/>
        <v>12042.89</v>
      </c>
      <c r="BI252" s="612">
        <f t="shared" si="198"/>
        <v>12042.89</v>
      </c>
      <c r="BJ252" s="201">
        <f t="shared" si="115"/>
        <v>0</v>
      </c>
    </row>
    <row r="253" spans="1:62" ht="12" customHeight="1">
      <c r="A253" s="52"/>
      <c r="B253" s="52"/>
      <c r="C253" s="52"/>
      <c r="D253" s="52"/>
      <c r="E253" s="52"/>
      <c r="F253" s="52"/>
      <c r="G253" s="52"/>
      <c r="H253" s="63">
        <v>3292</v>
      </c>
      <c r="I253" s="116"/>
      <c r="J253" s="117"/>
      <c r="K253" s="19" t="s">
        <v>255</v>
      </c>
      <c r="L253" s="129">
        <f t="shared" ref="L253:S253" si="205">L428+L1040+L1169</f>
        <v>52468</v>
      </c>
      <c r="M253" s="129">
        <f t="shared" si="205"/>
        <v>6963.7003118986004</v>
      </c>
      <c r="N253" s="130">
        <f t="shared" si="205"/>
        <v>47776</v>
      </c>
      <c r="O253" s="130">
        <f t="shared" si="205"/>
        <v>6340.9648948171744</v>
      </c>
      <c r="P253" s="131">
        <f t="shared" si="205"/>
        <v>9500</v>
      </c>
      <c r="Q253" s="131">
        <f t="shared" si="205"/>
        <v>8700</v>
      </c>
      <c r="R253" s="153">
        <f t="shared" si="205"/>
        <v>4516</v>
      </c>
      <c r="S253" s="158">
        <f t="shared" si="205"/>
        <v>4509</v>
      </c>
      <c r="T253" s="158"/>
      <c r="U253" s="89" t="e">
        <f t="shared" ca="1" si="112"/>
        <v>#NAME?</v>
      </c>
      <c r="V253" s="532">
        <f>V428+V1040+V1169</f>
        <v>9620</v>
      </c>
      <c r="W253" s="532">
        <f>W428+W1040+W1169</f>
        <v>9620</v>
      </c>
      <c r="X253" s="534">
        <f>X428+X1040+X1169</f>
        <v>10600</v>
      </c>
      <c r="Y253" s="535">
        <f>Y428+Y1040+Y1169</f>
        <v>11800</v>
      </c>
      <c r="Z253" s="535"/>
      <c r="AA253" s="535" t="e">
        <f ca="1">AA428+AA1040+AA1169</f>
        <v>#NAME?</v>
      </c>
      <c r="AB253" s="535">
        <f>AB428+AB1040+AB1169</f>
        <v>0</v>
      </c>
      <c r="AC253" s="529">
        <f>AC428+AC1040+AC1169</f>
        <v>9600</v>
      </c>
      <c r="AD253" s="529">
        <f>AD428+AD1040+AD1169</f>
        <v>9600</v>
      </c>
      <c r="AE253" s="529">
        <f>O253/M253*100</f>
        <v>91.057406419150709</v>
      </c>
      <c r="AF253" s="529">
        <f t="shared" si="200"/>
        <v>149.81947002679169</v>
      </c>
      <c r="AG253" s="529">
        <f t="shared" si="200"/>
        <v>91.578947368421055</v>
      </c>
      <c r="AH253" s="529">
        <f t="shared" si="201"/>
        <v>110.34482758620689</v>
      </c>
      <c r="AI253" s="535"/>
      <c r="AJ253" s="535">
        <v>11800</v>
      </c>
      <c r="AK253" s="507">
        <f t="shared" si="138"/>
        <v>213.02037201062888</v>
      </c>
      <c r="AL253" s="507">
        <f t="shared" si="139"/>
        <v>110.18711018711018</v>
      </c>
      <c r="AM253" s="507">
        <f t="shared" si="139"/>
        <v>111.32075471698113</v>
      </c>
      <c r="AN253" s="556"/>
      <c r="AO253" s="510"/>
      <c r="AP253" s="510" t="e">
        <f t="shared" ca="1" si="113"/>
        <v>#NAME?</v>
      </c>
      <c r="AQ253" s="532">
        <f t="shared" ref="AQ253:BH253" si="206">AQ428+AQ1040+AQ1169</f>
        <v>7778.49</v>
      </c>
      <c r="AR253" s="532">
        <f t="shared" si="206"/>
        <v>639.802778019573</v>
      </c>
      <c r="AS253" s="532">
        <f t="shared" si="206"/>
        <v>300</v>
      </c>
      <c r="AT253" s="532">
        <f t="shared" si="206"/>
        <v>639.802778019573</v>
      </c>
      <c r="AU253" s="532">
        <f t="shared" si="206"/>
        <v>258.45032400932399</v>
      </c>
      <c r="AV253" s="532">
        <f t="shared" si="206"/>
        <v>550.86264596924889</v>
      </c>
      <c r="AW253" s="612">
        <f t="shared" si="206"/>
        <v>7778.49</v>
      </c>
      <c r="AX253" s="612">
        <f t="shared" si="206"/>
        <v>0</v>
      </c>
      <c r="AY253" s="612">
        <f t="shared" si="206"/>
        <v>0</v>
      </c>
      <c r="AZ253" s="612">
        <f t="shared" si="206"/>
        <v>0</v>
      </c>
      <c r="BA253" s="612">
        <f t="shared" si="206"/>
        <v>0</v>
      </c>
      <c r="BB253" s="612">
        <f t="shared" si="206"/>
        <v>0</v>
      </c>
      <c r="BC253" s="612">
        <f t="shared" si="206"/>
        <v>0</v>
      </c>
      <c r="BD253" s="612">
        <f t="shared" si="206"/>
        <v>0</v>
      </c>
      <c r="BE253" s="612">
        <f t="shared" si="206"/>
        <v>0</v>
      </c>
      <c r="BF253" s="612">
        <f t="shared" si="206"/>
        <v>0</v>
      </c>
      <c r="BG253" s="612">
        <f t="shared" si="206"/>
        <v>0</v>
      </c>
      <c r="BH253" s="612">
        <f t="shared" si="206"/>
        <v>7778.49</v>
      </c>
      <c r="BI253" s="612">
        <f t="shared" si="198"/>
        <v>7778.49</v>
      </c>
      <c r="BJ253" s="201">
        <f t="shared" si="115"/>
        <v>0</v>
      </c>
    </row>
    <row r="254" spans="1:62" ht="12" customHeight="1">
      <c r="A254" s="52"/>
      <c r="B254" s="52"/>
      <c r="C254" s="52"/>
      <c r="D254" s="52"/>
      <c r="E254" s="52"/>
      <c r="F254" s="52"/>
      <c r="G254" s="52"/>
      <c r="H254" s="63">
        <v>3293</v>
      </c>
      <c r="I254" s="116"/>
      <c r="J254" s="117"/>
      <c r="K254" s="19" t="s">
        <v>256</v>
      </c>
      <c r="L254" s="129">
        <f t="shared" ref="L254:S254" si="207">L410+L1041+L1170</f>
        <v>63203</v>
      </c>
      <c r="M254" s="129">
        <f t="shared" si="207"/>
        <v>8388.4796602296101</v>
      </c>
      <c r="N254" s="130">
        <f t="shared" si="207"/>
        <v>54485</v>
      </c>
      <c r="O254" s="130">
        <f t="shared" si="207"/>
        <v>7231.4022164709004</v>
      </c>
      <c r="P254" s="131">
        <f t="shared" si="207"/>
        <v>12400</v>
      </c>
      <c r="Q254" s="131">
        <f t="shared" si="207"/>
        <v>13900</v>
      </c>
      <c r="R254" s="153">
        <f t="shared" si="207"/>
        <v>11962</v>
      </c>
      <c r="S254" s="158">
        <f t="shared" si="207"/>
        <v>3811</v>
      </c>
      <c r="T254" s="158"/>
      <c r="U254" s="89" t="e">
        <f t="shared" ca="1" si="112"/>
        <v>#NAME?</v>
      </c>
      <c r="V254" s="532">
        <f>V410+V1041+V1170</f>
        <v>16100</v>
      </c>
      <c r="W254" s="532">
        <f>W410+W1041+W1170</f>
        <v>16100</v>
      </c>
      <c r="X254" s="534">
        <f>X410+X1041+X1170</f>
        <v>18400</v>
      </c>
      <c r="Y254" s="535">
        <f>Y410+Y1041+Y1170</f>
        <v>20400</v>
      </c>
      <c r="Z254" s="535"/>
      <c r="AA254" s="535" t="e">
        <f ca="1">AA410+AA1041+AA1170</f>
        <v>#NAME?</v>
      </c>
      <c r="AB254" s="535">
        <f>AB410+AB1041+AB1170</f>
        <v>0</v>
      </c>
      <c r="AC254" s="529">
        <f>AC410+AC1041+AC1170</f>
        <v>12900</v>
      </c>
      <c r="AD254" s="529">
        <f>AD410+AD1041+AD1170</f>
        <v>12900</v>
      </c>
      <c r="AE254" s="529">
        <f>O254/M254*100</f>
        <v>86.206350964352964</v>
      </c>
      <c r="AF254" s="529">
        <f t="shared" si="200"/>
        <v>171.47435073873544</v>
      </c>
      <c r="AG254" s="529">
        <f t="shared" si="200"/>
        <v>112.09677419354837</v>
      </c>
      <c r="AH254" s="529">
        <f t="shared" si="201"/>
        <v>92.805755395683448</v>
      </c>
      <c r="AI254" s="535"/>
      <c r="AJ254" s="535">
        <v>20400</v>
      </c>
      <c r="AK254" s="507">
        <f t="shared" si="138"/>
        <v>134.59287744524326</v>
      </c>
      <c r="AL254" s="507">
        <f t="shared" si="139"/>
        <v>114.28571428571428</v>
      </c>
      <c r="AM254" s="507">
        <f t="shared" si="139"/>
        <v>110.86956521739131</v>
      </c>
      <c r="AN254" s="556"/>
      <c r="AO254" s="510"/>
      <c r="AP254" s="510" t="e">
        <f t="shared" ca="1" si="113"/>
        <v>#NAME?</v>
      </c>
      <c r="AQ254" s="532">
        <f t="shared" ref="AQ254:BH254" si="208">AQ410+AQ1041+AQ1170</f>
        <v>6705.1799999999994</v>
      </c>
      <c r="AR254" s="532">
        <f t="shared" si="208"/>
        <v>378.26655742222772</v>
      </c>
      <c r="AS254" s="532">
        <f t="shared" si="208"/>
        <v>300</v>
      </c>
      <c r="AT254" s="532">
        <f t="shared" si="208"/>
        <v>378.26655742222772</v>
      </c>
      <c r="AU254" s="532">
        <f t="shared" si="208"/>
        <v>188.16421739130436</v>
      </c>
      <c r="AV254" s="532">
        <f t="shared" si="208"/>
        <v>218.00849462089167</v>
      </c>
      <c r="AW254" s="612">
        <f t="shared" si="208"/>
        <v>6705.1799999999994</v>
      </c>
      <c r="AX254" s="612">
        <f t="shared" si="208"/>
        <v>0</v>
      </c>
      <c r="AY254" s="612">
        <f t="shared" si="208"/>
        <v>0</v>
      </c>
      <c r="AZ254" s="612">
        <f t="shared" si="208"/>
        <v>0</v>
      </c>
      <c r="BA254" s="612">
        <f t="shared" si="208"/>
        <v>0</v>
      </c>
      <c r="BB254" s="612">
        <f t="shared" si="208"/>
        <v>0</v>
      </c>
      <c r="BC254" s="612">
        <f t="shared" si="208"/>
        <v>0</v>
      </c>
      <c r="BD254" s="612">
        <f t="shared" si="208"/>
        <v>0</v>
      </c>
      <c r="BE254" s="612">
        <f t="shared" si="208"/>
        <v>0</v>
      </c>
      <c r="BF254" s="612">
        <f t="shared" si="208"/>
        <v>0</v>
      </c>
      <c r="BG254" s="612">
        <f t="shared" si="208"/>
        <v>0</v>
      </c>
      <c r="BH254" s="612">
        <f t="shared" si="208"/>
        <v>6705.1799999999994</v>
      </c>
      <c r="BI254" s="612">
        <f t="shared" si="198"/>
        <v>6705.1799999999994</v>
      </c>
      <c r="BJ254" s="201">
        <f t="shared" si="115"/>
        <v>0</v>
      </c>
    </row>
    <row r="255" spans="1:62" ht="12" customHeight="1">
      <c r="A255" s="52"/>
      <c r="B255" s="52"/>
      <c r="C255" s="52"/>
      <c r="D255" s="52"/>
      <c r="E255" s="52"/>
      <c r="F255" s="52"/>
      <c r="G255" s="52"/>
      <c r="H255" s="63">
        <v>3294</v>
      </c>
      <c r="I255" s="116"/>
      <c r="J255" s="117"/>
      <c r="K255" s="19" t="s">
        <v>257</v>
      </c>
      <c r="L255" s="129">
        <f t="shared" ref="L255:S255" si="209">L429+L430+L1042</f>
        <v>33838</v>
      </c>
      <c r="M255" s="129">
        <f t="shared" si="209"/>
        <v>4491.074391134116</v>
      </c>
      <c r="N255" s="130">
        <f t="shared" si="209"/>
        <v>54285</v>
      </c>
      <c r="O255" s="130">
        <f t="shared" si="209"/>
        <v>7204.8576547879748</v>
      </c>
      <c r="P255" s="131">
        <f t="shared" si="209"/>
        <v>6500</v>
      </c>
      <c r="Q255" s="131">
        <f t="shared" si="209"/>
        <v>15700</v>
      </c>
      <c r="R255" s="153">
        <f t="shared" si="209"/>
        <v>14047</v>
      </c>
      <c r="S255" s="158" t="e">
        <f t="shared" ca="1" si="209"/>
        <v>#NAME?</v>
      </c>
      <c r="T255" s="158"/>
      <c r="U255" s="89" t="e">
        <f t="shared" ca="1" si="112"/>
        <v>#NAME?</v>
      </c>
      <c r="V255" s="532">
        <f>V429+V430+V1042</f>
        <v>15800</v>
      </c>
      <c r="W255" s="532">
        <f>W429+W430+W1042</f>
        <v>15800</v>
      </c>
      <c r="X255" s="534">
        <f>X429+X430+X1042</f>
        <v>15800</v>
      </c>
      <c r="Y255" s="535">
        <f>Y429+Y430+Y1042</f>
        <v>17300</v>
      </c>
      <c r="Z255" s="535"/>
      <c r="AA255" s="535" t="e">
        <f ca="1">AA429+AA430+AA1042</f>
        <v>#NAME?</v>
      </c>
      <c r="AB255" s="535">
        <f>AB429+AB430+AB1042</f>
        <v>0</v>
      </c>
      <c r="AC255" s="529">
        <f>AC429+AC430+AC1042</f>
        <v>6500</v>
      </c>
      <c r="AD255" s="529">
        <f>AD429+AD430+AD1042</f>
        <v>6500</v>
      </c>
      <c r="AE255" s="529">
        <f>O255/M255*100</f>
        <v>160.42614811750104</v>
      </c>
      <c r="AF255" s="529">
        <f t="shared" si="200"/>
        <v>90.216910748825654</v>
      </c>
      <c r="AG255" s="529">
        <f t="shared" si="200"/>
        <v>241.53846153846152</v>
      </c>
      <c r="AH255" s="529">
        <f t="shared" si="201"/>
        <v>41.401273885350321</v>
      </c>
      <c r="AI255" s="535"/>
      <c r="AJ255" s="535">
        <v>17300</v>
      </c>
      <c r="AK255" s="507">
        <f t="shared" si="138"/>
        <v>112.47953299636933</v>
      </c>
      <c r="AL255" s="507">
        <f t="shared" si="139"/>
        <v>100</v>
      </c>
      <c r="AM255" s="507">
        <f t="shared" si="139"/>
        <v>109.49367088607596</v>
      </c>
      <c r="AN255" s="556"/>
      <c r="AO255" s="510"/>
      <c r="AP255" s="510" t="e">
        <f t="shared" ca="1" si="113"/>
        <v>#NAME?</v>
      </c>
      <c r="AQ255" s="532">
        <f t="shared" ref="AQ255:BH255" si="210">AQ429+AQ430+AQ1042</f>
        <v>8329.24</v>
      </c>
      <c r="AR255" s="532">
        <f t="shared" si="210"/>
        <v>3588.343529755618</v>
      </c>
      <c r="AS255" s="532">
        <f t="shared" si="210"/>
        <v>300</v>
      </c>
      <c r="AT255" s="532">
        <f t="shared" si="210"/>
        <v>3588.343529755618</v>
      </c>
      <c r="AU255" s="532">
        <f t="shared" si="210"/>
        <v>138.49695238095237</v>
      </c>
      <c r="AV255" s="532">
        <f t="shared" si="210"/>
        <v>3136.6046511627906</v>
      </c>
      <c r="AW255" s="612">
        <f t="shared" si="210"/>
        <v>8329.24</v>
      </c>
      <c r="AX255" s="612">
        <f t="shared" si="210"/>
        <v>0</v>
      </c>
      <c r="AY255" s="612">
        <f t="shared" si="210"/>
        <v>0</v>
      </c>
      <c r="AZ255" s="612">
        <f t="shared" si="210"/>
        <v>0</v>
      </c>
      <c r="BA255" s="612">
        <f t="shared" si="210"/>
        <v>0</v>
      </c>
      <c r="BB255" s="612">
        <f t="shared" si="210"/>
        <v>0</v>
      </c>
      <c r="BC255" s="612">
        <f t="shared" si="210"/>
        <v>0</v>
      </c>
      <c r="BD255" s="612">
        <f t="shared" si="210"/>
        <v>0</v>
      </c>
      <c r="BE255" s="612">
        <f t="shared" si="210"/>
        <v>0</v>
      </c>
      <c r="BF255" s="612">
        <f t="shared" si="210"/>
        <v>0</v>
      </c>
      <c r="BG255" s="612">
        <f t="shared" si="210"/>
        <v>0</v>
      </c>
      <c r="BH255" s="612">
        <f t="shared" si="210"/>
        <v>8329.24</v>
      </c>
      <c r="BI255" s="612">
        <f t="shared" si="198"/>
        <v>8329.24</v>
      </c>
      <c r="BJ255" s="201">
        <f t="shared" si="115"/>
        <v>0</v>
      </c>
    </row>
    <row r="256" spans="1:62" ht="12" customHeight="1">
      <c r="A256" s="52"/>
      <c r="B256" s="52"/>
      <c r="C256" s="52"/>
      <c r="D256" s="52"/>
      <c r="E256" s="52"/>
      <c r="F256" s="52"/>
      <c r="G256" s="52"/>
      <c r="H256" s="63">
        <v>3295</v>
      </c>
      <c r="I256" s="116"/>
      <c r="J256" s="117"/>
      <c r="K256" s="19" t="s">
        <v>258</v>
      </c>
      <c r="L256" s="129">
        <f t="shared" ref="L256:S256" si="211">L431+L1043</f>
        <v>2400</v>
      </c>
      <c r="M256" s="129">
        <f t="shared" si="211"/>
        <v>318.53474019510253</v>
      </c>
      <c r="N256" s="130">
        <f t="shared" si="211"/>
        <v>1200</v>
      </c>
      <c r="O256" s="130">
        <f t="shared" si="211"/>
        <v>159.26737009755126</v>
      </c>
      <c r="P256" s="131">
        <f t="shared" si="211"/>
        <v>4000</v>
      </c>
      <c r="Q256" s="131">
        <f t="shared" si="211"/>
        <v>1000</v>
      </c>
      <c r="R256" s="153">
        <f t="shared" si="211"/>
        <v>2254</v>
      </c>
      <c r="S256" s="158" t="e">
        <f t="shared" ca="1" si="211"/>
        <v>#NAME?</v>
      </c>
      <c r="T256" s="158"/>
      <c r="U256" s="89" t="e">
        <f t="shared" ca="1" si="112"/>
        <v>#NAME?</v>
      </c>
      <c r="V256" s="532">
        <f>V431+V1043</f>
        <v>1000</v>
      </c>
      <c r="W256" s="532">
        <f>W431+W1043</f>
        <v>1000</v>
      </c>
      <c r="X256" s="534">
        <f>X431+X1043</f>
        <v>1000</v>
      </c>
      <c r="Y256" s="535">
        <f>Y431+Y1043</f>
        <v>1500</v>
      </c>
      <c r="Z256" s="535"/>
      <c r="AA256" s="535" t="e">
        <f ca="1">AA431+AA1043</f>
        <v>#NAME?</v>
      </c>
      <c r="AB256" s="535">
        <f>AB431+AB1043</f>
        <v>0</v>
      </c>
      <c r="AC256" s="529">
        <f>AC431+AC1043</f>
        <v>4000</v>
      </c>
      <c r="AD256" s="529">
        <f>AD431+AD1043</f>
        <v>4000</v>
      </c>
      <c r="AE256" s="529"/>
      <c r="AF256" s="529"/>
      <c r="AG256" s="529">
        <f>Q256/P256*100</f>
        <v>25</v>
      </c>
      <c r="AH256" s="529">
        <f t="shared" si="201"/>
        <v>400</v>
      </c>
      <c r="AI256" s="535"/>
      <c r="AJ256" s="535">
        <v>1500</v>
      </c>
      <c r="AK256" s="507">
        <f t="shared" si="138"/>
        <v>44.365572315882872</v>
      </c>
      <c r="AL256" s="507">
        <f t="shared" si="139"/>
        <v>100</v>
      </c>
      <c r="AM256" s="507">
        <f t="shared" si="139"/>
        <v>150</v>
      </c>
      <c r="AN256" s="556"/>
      <c r="AO256" s="510"/>
      <c r="AP256" s="510" t="e">
        <f t="shared" ca="1" si="113"/>
        <v>#NAME?</v>
      </c>
      <c r="AQ256" s="532">
        <f t="shared" ref="AQ256:BH256" si="212">AQ431+AQ1043</f>
        <v>434.65</v>
      </c>
      <c r="AR256" s="532">
        <f t="shared" si="212"/>
        <v>44.365572315882872</v>
      </c>
      <c r="AS256" s="532">
        <f t="shared" si="212"/>
        <v>100</v>
      </c>
      <c r="AT256" s="532">
        <f t="shared" si="212"/>
        <v>44.365572315882872</v>
      </c>
      <c r="AU256" s="532">
        <f t="shared" si="212"/>
        <v>43.464999999999996</v>
      </c>
      <c r="AV256" s="532">
        <f t="shared" si="212"/>
        <v>19.283496007098492</v>
      </c>
      <c r="AW256" s="612">
        <f t="shared" si="212"/>
        <v>434.65</v>
      </c>
      <c r="AX256" s="612">
        <f t="shared" si="212"/>
        <v>0</v>
      </c>
      <c r="AY256" s="612">
        <f t="shared" si="212"/>
        <v>0</v>
      </c>
      <c r="AZ256" s="612">
        <f t="shared" si="212"/>
        <v>0</v>
      </c>
      <c r="BA256" s="612">
        <f t="shared" si="212"/>
        <v>0</v>
      </c>
      <c r="BB256" s="612">
        <f t="shared" si="212"/>
        <v>0</v>
      </c>
      <c r="BC256" s="612">
        <f t="shared" si="212"/>
        <v>0</v>
      </c>
      <c r="BD256" s="612">
        <f t="shared" si="212"/>
        <v>0</v>
      </c>
      <c r="BE256" s="612">
        <f t="shared" si="212"/>
        <v>0</v>
      </c>
      <c r="BF256" s="612">
        <f t="shared" si="212"/>
        <v>0</v>
      </c>
      <c r="BG256" s="612">
        <f t="shared" si="212"/>
        <v>0</v>
      </c>
      <c r="BH256" s="612">
        <f t="shared" si="212"/>
        <v>434.65</v>
      </c>
      <c r="BI256" s="612">
        <f t="shared" si="198"/>
        <v>434.65</v>
      </c>
      <c r="BJ256" s="201">
        <f t="shared" si="115"/>
        <v>0</v>
      </c>
    </row>
    <row r="257" spans="1:62" ht="12" customHeight="1">
      <c r="A257" s="52"/>
      <c r="B257" s="52"/>
      <c r="C257" s="52"/>
      <c r="D257" s="52"/>
      <c r="E257" s="52"/>
      <c r="F257" s="52"/>
      <c r="G257" s="52"/>
      <c r="H257" s="63">
        <v>3296</v>
      </c>
      <c r="I257" s="116"/>
      <c r="J257" s="117"/>
      <c r="K257" s="19" t="s">
        <v>259</v>
      </c>
      <c r="L257" s="129">
        <f t="shared" ref="L257:S257" si="213">L432</f>
        <v>29746</v>
      </c>
      <c r="M257" s="129">
        <f t="shared" si="213"/>
        <v>3947.9726591014664</v>
      </c>
      <c r="N257" s="130">
        <f t="shared" si="213"/>
        <v>26461</v>
      </c>
      <c r="O257" s="130">
        <f t="shared" si="213"/>
        <v>3511.9782334594197</v>
      </c>
      <c r="P257" s="131">
        <f t="shared" si="213"/>
        <v>4000</v>
      </c>
      <c r="Q257" s="131">
        <f t="shared" si="213"/>
        <v>1000</v>
      </c>
      <c r="R257" s="153">
        <f t="shared" si="213"/>
        <v>298</v>
      </c>
      <c r="S257" s="158" t="e">
        <f t="shared" ca="1" si="213"/>
        <v>#NAME?</v>
      </c>
      <c r="T257" s="158"/>
      <c r="U257" s="89" t="e">
        <f t="shared" ca="1" si="112"/>
        <v>#NAME?</v>
      </c>
      <c r="V257" s="532">
        <f>V432</f>
        <v>4000</v>
      </c>
      <c r="W257" s="532">
        <f>W432</f>
        <v>4000</v>
      </c>
      <c r="X257" s="534">
        <f>X432</f>
        <v>4000</v>
      </c>
      <c r="Y257" s="535">
        <f>Y432</f>
        <v>5000</v>
      </c>
      <c r="Z257" s="535"/>
      <c r="AA257" s="535" t="e">
        <f ca="1">AA432</f>
        <v>#NAME?</v>
      </c>
      <c r="AB257" s="535">
        <f>AB432</f>
        <v>0</v>
      </c>
      <c r="AC257" s="535">
        <f>AC432</f>
        <v>4000</v>
      </c>
      <c r="AD257" s="535">
        <f>AD432</f>
        <v>4000</v>
      </c>
      <c r="AE257" s="529">
        <f>O257/M257*100</f>
        <v>88.956498352719692</v>
      </c>
      <c r="AF257" s="529">
        <f>P257/O257*100</f>
        <v>113.8959223007445</v>
      </c>
      <c r="AG257" s="529">
        <f>Q257/P257*100</f>
        <v>25</v>
      </c>
      <c r="AH257" s="529">
        <f t="shared" si="201"/>
        <v>400</v>
      </c>
      <c r="AI257" s="535"/>
      <c r="AJ257" s="535">
        <v>5000</v>
      </c>
      <c r="AK257" s="507">
        <f t="shared" si="138"/>
        <v>1342.2818791946308</v>
      </c>
      <c r="AL257" s="507">
        <f t="shared" si="139"/>
        <v>100</v>
      </c>
      <c r="AM257" s="507">
        <f t="shared" si="139"/>
        <v>125</v>
      </c>
      <c r="AN257" s="556"/>
      <c r="AO257" s="510"/>
      <c r="AP257" s="510" t="e">
        <f t="shared" ca="1" si="113"/>
        <v>#NAME?</v>
      </c>
      <c r="AQ257" s="532">
        <f t="shared" ref="AQ257:BH257" si="214">AQ432</f>
        <v>33.18</v>
      </c>
      <c r="AR257" s="532">
        <f t="shared" si="214"/>
        <v>1342.2818791946308</v>
      </c>
      <c r="AS257" s="532">
        <f t="shared" si="214"/>
        <v>100</v>
      </c>
      <c r="AT257" s="532">
        <f t="shared" si="214"/>
        <v>1342.2818791946308</v>
      </c>
      <c r="AU257" s="532">
        <f t="shared" si="214"/>
        <v>0.82950000000000002</v>
      </c>
      <c r="AV257" s="532">
        <f t="shared" si="214"/>
        <v>11.134228187919463</v>
      </c>
      <c r="AW257" s="612">
        <f t="shared" si="214"/>
        <v>33.18</v>
      </c>
      <c r="AX257" s="612">
        <f t="shared" si="214"/>
        <v>0</v>
      </c>
      <c r="AY257" s="612">
        <f t="shared" si="214"/>
        <v>0</v>
      </c>
      <c r="AZ257" s="612">
        <f t="shared" si="214"/>
        <v>0</v>
      </c>
      <c r="BA257" s="612">
        <f t="shared" si="214"/>
        <v>0</v>
      </c>
      <c r="BB257" s="612">
        <f t="shared" si="214"/>
        <v>0</v>
      </c>
      <c r="BC257" s="612">
        <f t="shared" si="214"/>
        <v>0</v>
      </c>
      <c r="BD257" s="612">
        <f t="shared" si="214"/>
        <v>0</v>
      </c>
      <c r="BE257" s="612">
        <f t="shared" si="214"/>
        <v>0</v>
      </c>
      <c r="BF257" s="612">
        <f t="shared" si="214"/>
        <v>0</v>
      </c>
      <c r="BG257" s="612">
        <f t="shared" si="214"/>
        <v>0</v>
      </c>
      <c r="BH257" s="612">
        <f t="shared" si="214"/>
        <v>33.18</v>
      </c>
      <c r="BI257" s="612">
        <f t="shared" si="198"/>
        <v>33.18</v>
      </c>
      <c r="BJ257" s="201">
        <f t="shared" si="115"/>
        <v>0</v>
      </c>
    </row>
    <row r="258" spans="1:62" ht="12" customHeight="1">
      <c r="A258" s="52"/>
      <c r="B258" s="52"/>
      <c r="C258" s="52"/>
      <c r="D258" s="52"/>
      <c r="E258" s="52"/>
      <c r="F258" s="52"/>
      <c r="G258" s="52"/>
      <c r="H258" s="63">
        <v>3299</v>
      </c>
      <c r="I258" s="116"/>
      <c r="J258" s="117"/>
      <c r="K258" s="19" t="s">
        <v>253</v>
      </c>
      <c r="L258" s="129">
        <f t="shared" ref="L258:S258" si="215">L433+L434+L435+L436+L437+L438+L439+L440+L441+L442+L444+L445+L509+L510+L778+L839+L840+L841+L842+L1044+L1106+L1171+L1205+L1107</f>
        <v>1026410</v>
      </c>
      <c r="M258" s="129">
        <f t="shared" si="215"/>
        <v>136228.01778485632</v>
      </c>
      <c r="N258" s="130">
        <f t="shared" si="215"/>
        <v>928928</v>
      </c>
      <c r="O258" s="130">
        <f t="shared" si="215"/>
        <v>123289.93297498173</v>
      </c>
      <c r="P258" s="131">
        <f t="shared" si="215"/>
        <v>166500</v>
      </c>
      <c r="Q258" s="131">
        <f t="shared" si="215"/>
        <v>208000</v>
      </c>
      <c r="R258" s="153">
        <f t="shared" si="215"/>
        <v>187507</v>
      </c>
      <c r="S258" s="158" t="e">
        <f t="shared" ca="1" si="215"/>
        <v>#NAME?</v>
      </c>
      <c r="T258" s="158"/>
      <c r="U258" s="89" t="e">
        <f t="shared" ca="1" si="112"/>
        <v>#NAME?</v>
      </c>
      <c r="V258" s="532">
        <f>V433+V434+V435+V436+V437+V438+V439+V440+V441+V442+V444+V445+V509+V510+V778+V839+V840+V841+V842+V1044+V1106+V1171+V1205+V1107</f>
        <v>279550.25</v>
      </c>
      <c r="W258" s="532">
        <f>W433+W434+W435+W436+W437+W438+W439+W440+W441+W442+W444+W445+W509+W510+W778+W839+W840+W841+W842+W1044+W1106+W1171+W1205+W1107</f>
        <v>279550.25</v>
      </c>
      <c r="X258" s="534">
        <f>X433+X434+X435+X436+X437+X438+X439+X440+X441+X442+X444+X445+X509+X510+X778+X839+X840+X841+X842+X1044+X1106+X1171+X1205+X1107</f>
        <v>413650</v>
      </c>
      <c r="Y258" s="535">
        <f>Y433+Y434+Y435+Y436+Y437+Y438+Y439+Y440+Y441+Y442+Y444+Y445+Y509+Y510+Y778+Y839+Y840+Y841+Y842+Y1044+Y1106+Y1171+Y1205+Y1107</f>
        <v>395400.3</v>
      </c>
      <c r="Z258" s="535"/>
      <c r="AA258" s="535" t="e">
        <f ca="1">AA433+AA434+AA435+AA436+AA437+AA438+AA439+AA440+AA441+AA442+AA444+AA445+AA509+AA510+AA778+AA839+AA840+AA841+AA842+AA1044+AA1106+AA1171+AA1205+AA1107</f>
        <v>#NAME?</v>
      </c>
      <c r="AB258" s="535">
        <f>AB433+AB434+AB435+AB436+AB437+AB438+AB439+AB440+AB441+AB442+AB444+AB445+AB509+AB510+AB778+AB839+AB840+AB841+AB842+AB1044+AB1106+AB1171+AB1205+AB1107</f>
        <v>0</v>
      </c>
      <c r="AC258" s="535">
        <f>AC433+AC434+AC435+AC436+AC437+AC438+AC439+AC440+AC441+AC442+AC444+AC445+AC509+AC510+AC778+AC839+AC840+AC841+AC842+AC1044+AC1106+AC1171+AC1205+AC1107</f>
        <v>211700</v>
      </c>
      <c r="AD258" s="535">
        <f>AD433+AD434+AD435+AD436+AD437+AD438+AD439+AD440+AD441+AD442+AD444+AD445+AD509+AD510+AD778+AD839+AD840+AD841+AD842+AD1044+AD1106+AD1171+AD1205+AD1107</f>
        <v>211700</v>
      </c>
      <c r="AE258" s="529">
        <f>O258/M258*100</f>
        <v>90.502625656414097</v>
      </c>
      <c r="AF258" s="529">
        <f>P258/O258*100</f>
        <v>135.0475225205829</v>
      </c>
      <c r="AG258" s="529">
        <f>Q258/P258*100</f>
        <v>124.92492492492492</v>
      </c>
      <c r="AH258" s="529">
        <f t="shared" si="201"/>
        <v>101.77884615384616</v>
      </c>
      <c r="AI258" s="535"/>
      <c r="AJ258" s="535">
        <v>395400.3</v>
      </c>
      <c r="AK258" s="507">
        <f t="shared" si="138"/>
        <v>149.08790071837319</v>
      </c>
      <c r="AL258" s="507">
        <f t="shared" si="139"/>
        <v>147.9698193795212</v>
      </c>
      <c r="AM258" s="507">
        <f t="shared" si="139"/>
        <v>95.588130061646311</v>
      </c>
      <c r="AN258" s="556"/>
      <c r="AO258" s="510"/>
      <c r="AP258" s="510" t="e">
        <f t="shared" ca="1" si="113"/>
        <v>#NAME?</v>
      </c>
      <c r="AQ258" s="532">
        <f t="shared" ref="AQ258:BH258" si="216">AQ433+AQ434+AQ435+AQ436+AQ437+AQ438+AQ439+AQ440+AQ441+AQ442+AQ444+AQ445+AQ509+AQ510+AQ778+AQ839+AQ840+AQ841+AQ842+AQ1044+AQ1106+AQ1171+AQ1205+AQ1107</f>
        <v>269745.76</v>
      </c>
      <c r="AR258" s="532">
        <f t="shared" si="216"/>
        <v>3489.6289195566151</v>
      </c>
      <c r="AS258" s="532">
        <f t="shared" si="216"/>
        <v>1700</v>
      </c>
      <c r="AT258" s="532">
        <f t="shared" si="216"/>
        <v>3489.6289195566151</v>
      </c>
      <c r="AU258" s="532">
        <f t="shared" si="216"/>
        <v>1306.923081776557</v>
      </c>
      <c r="AV258" s="532">
        <f t="shared" si="216"/>
        <v>1889.305049458007</v>
      </c>
      <c r="AW258" s="612">
        <f t="shared" si="216"/>
        <v>101160.72</v>
      </c>
      <c r="AX258" s="612">
        <f t="shared" si="216"/>
        <v>0</v>
      </c>
      <c r="AY258" s="612">
        <f t="shared" si="216"/>
        <v>0</v>
      </c>
      <c r="AZ258" s="612">
        <f t="shared" si="216"/>
        <v>0</v>
      </c>
      <c r="BA258" s="612">
        <f t="shared" si="216"/>
        <v>0</v>
      </c>
      <c r="BB258" s="612">
        <f t="shared" si="216"/>
        <v>98054</v>
      </c>
      <c r="BC258" s="612">
        <f t="shared" si="216"/>
        <v>30543</v>
      </c>
      <c r="BD258" s="612">
        <f t="shared" si="216"/>
        <v>3778</v>
      </c>
      <c r="BE258" s="612">
        <f t="shared" si="216"/>
        <v>34296.04</v>
      </c>
      <c r="BF258" s="612">
        <f t="shared" si="216"/>
        <v>1914</v>
      </c>
      <c r="BG258" s="612">
        <f t="shared" si="216"/>
        <v>0</v>
      </c>
      <c r="BH258" s="612">
        <f t="shared" si="216"/>
        <v>269745.76</v>
      </c>
      <c r="BI258" s="612">
        <f t="shared" si="198"/>
        <v>269745.76</v>
      </c>
      <c r="BJ258" s="201">
        <f t="shared" si="115"/>
        <v>0</v>
      </c>
    </row>
    <row r="259" spans="1:62" ht="12" customHeight="1">
      <c r="A259" s="52"/>
      <c r="B259" s="52"/>
      <c r="C259" s="52"/>
      <c r="D259" s="52"/>
      <c r="E259" s="52"/>
      <c r="F259" s="52"/>
      <c r="G259" s="52"/>
      <c r="H259" s="63"/>
      <c r="I259" s="116"/>
      <c r="J259" s="117"/>
      <c r="K259" s="19"/>
      <c r="L259" s="118"/>
      <c r="M259" s="118"/>
      <c r="N259" s="119"/>
      <c r="O259" s="119"/>
      <c r="P259" s="120"/>
      <c r="Q259" s="120"/>
      <c r="R259" s="151"/>
      <c r="S259" s="152"/>
      <c r="T259" s="152"/>
      <c r="U259" s="89" t="e">
        <f t="shared" ca="1" si="112"/>
        <v>#NAME?</v>
      </c>
      <c r="V259" s="532"/>
      <c r="W259" s="532"/>
      <c r="X259" s="534"/>
      <c r="Y259" s="535"/>
      <c r="Z259" s="535"/>
      <c r="AA259" s="535"/>
      <c r="AB259" s="535"/>
      <c r="AC259" s="529"/>
      <c r="AD259" s="529"/>
      <c r="AE259" s="529"/>
      <c r="AF259" s="529"/>
      <c r="AG259" s="529"/>
      <c r="AH259" s="529"/>
      <c r="AI259" s="535"/>
      <c r="AJ259" s="535"/>
      <c r="AK259" s="507"/>
      <c r="AL259" s="507"/>
      <c r="AM259" s="507"/>
      <c r="AN259" s="556"/>
      <c r="AO259" s="510"/>
      <c r="AP259" s="510" t="e">
        <f t="shared" ca="1" si="113"/>
        <v>#NAME?</v>
      </c>
      <c r="AQ259" s="532"/>
      <c r="AR259" s="532"/>
      <c r="AS259" s="532"/>
      <c r="AT259" s="532"/>
      <c r="AU259" s="532"/>
      <c r="AV259" s="532"/>
      <c r="AW259" s="612"/>
      <c r="AX259" s="612"/>
      <c r="AY259" s="612"/>
      <c r="AZ259" s="612"/>
      <c r="BA259" s="612"/>
      <c r="BB259" s="612"/>
      <c r="BC259" s="612"/>
      <c r="BD259" s="612"/>
      <c r="BE259" s="612"/>
      <c r="BF259" s="612"/>
      <c r="BG259" s="612"/>
      <c r="BH259" s="612"/>
      <c r="BI259" s="612">
        <f t="shared" si="198"/>
        <v>0</v>
      </c>
      <c r="BJ259" s="201">
        <f t="shared" si="115"/>
        <v>0</v>
      </c>
    </row>
    <row r="260" spans="1:62" ht="12" customHeight="1">
      <c r="A260" s="58"/>
      <c r="B260" s="58"/>
      <c r="C260" s="58"/>
      <c r="D260" s="58"/>
      <c r="E260" s="58"/>
      <c r="F260" s="58"/>
      <c r="G260" s="58"/>
      <c r="H260" s="59">
        <v>34</v>
      </c>
      <c r="I260" s="124"/>
      <c r="J260" s="125"/>
      <c r="K260" s="126" t="s">
        <v>260</v>
      </c>
      <c r="L260" s="111">
        <f t="shared" ref="L260:S260" si="217">L262+L265</f>
        <v>210754</v>
      </c>
      <c r="M260" s="111">
        <f t="shared" si="217"/>
        <v>27971.862764616097</v>
      </c>
      <c r="N260" s="112">
        <f t="shared" si="217"/>
        <v>189957</v>
      </c>
      <c r="O260" s="112">
        <f t="shared" si="217"/>
        <v>25211.626518017118</v>
      </c>
      <c r="P260" s="113">
        <f t="shared" si="217"/>
        <v>30600</v>
      </c>
      <c r="Q260" s="113">
        <f t="shared" si="217"/>
        <v>69200</v>
      </c>
      <c r="R260" s="87">
        <f t="shared" si="217"/>
        <v>64032</v>
      </c>
      <c r="S260" s="89" t="e">
        <f t="shared" ca="1" si="217"/>
        <v>#NAME?</v>
      </c>
      <c r="T260" s="89"/>
      <c r="U260" s="89" t="e">
        <f t="shared" ca="1" si="112"/>
        <v>#NAME?</v>
      </c>
      <c r="V260" s="532">
        <f>V262+V265</f>
        <v>81930</v>
      </c>
      <c r="W260" s="532">
        <f>W262+W265</f>
        <v>81930</v>
      </c>
      <c r="X260" s="506">
        <f>X262+X265</f>
        <v>100750</v>
      </c>
      <c r="Y260" s="507">
        <f>Y262+Y265</f>
        <v>118950</v>
      </c>
      <c r="Z260" s="507"/>
      <c r="AA260" s="507" t="e">
        <f ca="1">AA262+AA265</f>
        <v>#NAME?</v>
      </c>
      <c r="AB260" s="507">
        <f>AB262+AB265</f>
        <v>0</v>
      </c>
      <c r="AC260" s="508">
        <f>AC262+AC265</f>
        <v>31600</v>
      </c>
      <c r="AD260" s="508">
        <f>AD262+AD265</f>
        <v>31600</v>
      </c>
      <c r="AE260" s="529">
        <f>O260/M260*100</f>
        <v>90.132097136946385</v>
      </c>
      <c r="AF260" s="529">
        <f>P260/O260*100</f>
        <v>121.37257379301633</v>
      </c>
      <c r="AG260" s="529">
        <f>Q260/P260*100</f>
        <v>226.14379084967319</v>
      </c>
      <c r="AH260" s="529">
        <f>AC260/Q260*100</f>
        <v>45.664739884393065</v>
      </c>
      <c r="AI260" s="507"/>
      <c r="AJ260" s="507">
        <v>118950</v>
      </c>
      <c r="AK260" s="507">
        <f t="shared" si="138"/>
        <v>127.95164917541229</v>
      </c>
      <c r="AL260" s="507">
        <f t="shared" si="139"/>
        <v>122.97082875625533</v>
      </c>
      <c r="AM260" s="507">
        <f t="shared" si="139"/>
        <v>118.06451612903226</v>
      </c>
      <c r="AN260" s="509"/>
      <c r="AO260" s="510"/>
      <c r="AP260" s="510" t="e">
        <f t="shared" ca="1" si="113"/>
        <v>#NAME?</v>
      </c>
      <c r="AQ260" s="532">
        <f>AQ262+AQ265</f>
        <v>35961.33</v>
      </c>
      <c r="AR260" s="532">
        <f t="shared" ref="AR260:BH260" si="218">AR262+AR265</f>
        <v>1820.5175624266378</v>
      </c>
      <c r="AS260" s="532">
        <f t="shared" si="218"/>
        <v>800</v>
      </c>
      <c r="AT260" s="532">
        <f t="shared" si="218"/>
        <v>1820.5175624266378</v>
      </c>
      <c r="AU260" s="532">
        <f t="shared" si="218"/>
        <v>477.81778613980697</v>
      </c>
      <c r="AV260" s="532">
        <f t="shared" si="218"/>
        <v>779.87947543480641</v>
      </c>
      <c r="AW260" s="612">
        <f t="shared" si="218"/>
        <v>35961.33</v>
      </c>
      <c r="AX260" s="612">
        <f t="shared" si="218"/>
        <v>0</v>
      </c>
      <c r="AY260" s="612">
        <f t="shared" si="218"/>
        <v>0</v>
      </c>
      <c r="AZ260" s="612">
        <f t="shared" si="218"/>
        <v>0</v>
      </c>
      <c r="BA260" s="612">
        <f t="shared" si="218"/>
        <v>0</v>
      </c>
      <c r="BB260" s="612">
        <f t="shared" si="218"/>
        <v>0</v>
      </c>
      <c r="BC260" s="612">
        <f t="shared" si="218"/>
        <v>0</v>
      </c>
      <c r="BD260" s="612">
        <f t="shared" si="218"/>
        <v>0</v>
      </c>
      <c r="BE260" s="612">
        <f t="shared" si="218"/>
        <v>0</v>
      </c>
      <c r="BF260" s="612">
        <f t="shared" si="218"/>
        <v>0</v>
      </c>
      <c r="BG260" s="612">
        <f t="shared" si="218"/>
        <v>0</v>
      </c>
      <c r="BH260" s="612">
        <f t="shared" si="218"/>
        <v>35961.33</v>
      </c>
      <c r="BI260" s="612">
        <f t="shared" si="198"/>
        <v>35961.33</v>
      </c>
      <c r="BJ260" s="201">
        <f t="shared" si="115"/>
        <v>0</v>
      </c>
    </row>
    <row r="261" spans="1:62" ht="12" customHeight="1">
      <c r="A261" s="164"/>
      <c r="B261" s="164"/>
      <c r="C261" s="164"/>
      <c r="D261" s="164"/>
      <c r="E261" s="164"/>
      <c r="F261" s="164"/>
      <c r="G261" s="164"/>
      <c r="H261" s="165"/>
      <c r="I261" s="170"/>
      <c r="J261" s="171"/>
      <c r="K261" s="172"/>
      <c r="L261" s="111"/>
      <c r="M261" s="111"/>
      <c r="N261" s="112"/>
      <c r="O261" s="112"/>
      <c r="P261" s="113"/>
      <c r="Q261" s="113"/>
      <c r="R261" s="87"/>
      <c r="S261" s="89"/>
      <c r="T261" s="89"/>
      <c r="U261" s="89" t="e">
        <f t="shared" ca="1" si="112"/>
        <v>#NAME?</v>
      </c>
      <c r="V261" s="532"/>
      <c r="W261" s="532"/>
      <c r="X261" s="506"/>
      <c r="Y261" s="507"/>
      <c r="Z261" s="507"/>
      <c r="AA261" s="507"/>
      <c r="AB261" s="507"/>
      <c r="AC261" s="508"/>
      <c r="AD261" s="508"/>
      <c r="AE261" s="529"/>
      <c r="AF261" s="529"/>
      <c r="AG261" s="529"/>
      <c r="AH261" s="529"/>
      <c r="AI261" s="507"/>
      <c r="AJ261" s="507"/>
      <c r="AK261" s="507"/>
      <c r="AL261" s="507"/>
      <c r="AM261" s="507"/>
      <c r="AN261" s="509"/>
      <c r="AO261" s="510"/>
      <c r="AP261" s="510" t="e">
        <f t="shared" ca="1" si="113"/>
        <v>#NAME?</v>
      </c>
      <c r="AQ261" s="532"/>
      <c r="AR261" s="532"/>
      <c r="AS261" s="532"/>
      <c r="AT261" s="532"/>
      <c r="AU261" s="532"/>
      <c r="AV261" s="532"/>
      <c r="AW261" s="612"/>
      <c r="AX261" s="612"/>
      <c r="AY261" s="612"/>
      <c r="AZ261" s="612"/>
      <c r="BA261" s="612"/>
      <c r="BB261" s="612"/>
      <c r="BC261" s="612"/>
      <c r="BD261" s="612"/>
      <c r="BE261" s="612"/>
      <c r="BF261" s="612"/>
      <c r="BG261" s="612"/>
      <c r="BH261" s="612"/>
      <c r="BI261" s="612">
        <f t="shared" si="198"/>
        <v>0</v>
      </c>
      <c r="BJ261" s="201">
        <f t="shared" si="115"/>
        <v>0</v>
      </c>
    </row>
    <row r="262" spans="1:62" ht="12" customHeight="1">
      <c r="A262" s="202"/>
      <c r="B262" s="202"/>
      <c r="C262" s="202"/>
      <c r="D262" s="202"/>
      <c r="E262" s="202"/>
      <c r="F262" s="202"/>
      <c r="G262" s="202"/>
      <c r="H262" s="62">
        <v>342</v>
      </c>
      <c r="I262" s="127"/>
      <c r="J262" s="128"/>
      <c r="K262" s="20" t="s">
        <v>261</v>
      </c>
      <c r="L262" s="111">
        <f t="shared" ref="L262:AD262" si="219">L263</f>
        <v>14909</v>
      </c>
      <c r="M262" s="111">
        <f t="shared" si="219"/>
        <v>1978.7643506536597</v>
      </c>
      <c r="N262" s="112">
        <f t="shared" si="219"/>
        <v>14777</v>
      </c>
      <c r="O262" s="112">
        <f t="shared" si="219"/>
        <v>1961.244939942929</v>
      </c>
      <c r="P262" s="113">
        <f t="shared" si="219"/>
        <v>2700</v>
      </c>
      <c r="Q262" s="113">
        <f t="shared" si="219"/>
        <v>2700</v>
      </c>
      <c r="R262" s="87">
        <f t="shared" si="219"/>
        <v>382</v>
      </c>
      <c r="S262" s="89" t="e">
        <f t="shared" ca="1" si="219"/>
        <v>#NAME?</v>
      </c>
      <c r="T262" s="89"/>
      <c r="U262" s="89" t="e">
        <f t="shared" ca="1" si="112"/>
        <v>#NAME?</v>
      </c>
      <c r="V262" s="532">
        <f>V263</f>
        <v>600</v>
      </c>
      <c r="W262" s="532">
        <f t="shared" si="219"/>
        <v>600</v>
      </c>
      <c r="X262" s="506">
        <f t="shared" si="219"/>
        <v>1000</v>
      </c>
      <c r="Y262" s="507">
        <f t="shared" si="219"/>
        <v>1000</v>
      </c>
      <c r="Z262" s="507"/>
      <c r="AA262" s="507" t="e">
        <f t="shared" ca="1" si="219"/>
        <v>#NAME?</v>
      </c>
      <c r="AB262" s="507">
        <f t="shared" si="219"/>
        <v>0</v>
      </c>
      <c r="AC262" s="508">
        <f t="shared" si="219"/>
        <v>2700</v>
      </c>
      <c r="AD262" s="508">
        <f t="shared" si="219"/>
        <v>2700</v>
      </c>
      <c r="AE262" s="529">
        <f>O262/M262*100</f>
        <v>99.114628747736262</v>
      </c>
      <c r="AF262" s="529">
        <f>P262/O262*100</f>
        <v>137.66765920010829</v>
      </c>
      <c r="AG262" s="529">
        <f>Q262/P262*100</f>
        <v>100</v>
      </c>
      <c r="AH262" s="529">
        <f>AC262/Q262*100</f>
        <v>100</v>
      </c>
      <c r="AI262" s="507"/>
      <c r="AJ262" s="507">
        <v>1000</v>
      </c>
      <c r="AK262" s="507">
        <f t="shared" si="138"/>
        <v>157.06806282722513</v>
      </c>
      <c r="AL262" s="507">
        <f t="shared" si="139"/>
        <v>166.66666666666669</v>
      </c>
      <c r="AM262" s="507">
        <f t="shared" si="139"/>
        <v>100</v>
      </c>
      <c r="AN262" s="509"/>
      <c r="AO262" s="510"/>
      <c r="AP262" s="510" t="e">
        <f t="shared" ca="1" si="113"/>
        <v>#NAME?</v>
      </c>
      <c r="AQ262" s="532">
        <f>AQ263</f>
        <v>466.87</v>
      </c>
      <c r="AR262" s="532">
        <f t="shared" ref="AR262:BH262" si="220">AR263</f>
        <v>157.06806282722513</v>
      </c>
      <c r="AS262" s="532">
        <f t="shared" si="220"/>
        <v>100</v>
      </c>
      <c r="AT262" s="532">
        <f t="shared" si="220"/>
        <v>157.06806282722513</v>
      </c>
      <c r="AU262" s="532">
        <f t="shared" si="220"/>
        <v>77.811666666666667</v>
      </c>
      <c r="AV262" s="532">
        <f t="shared" si="220"/>
        <v>122.217277486911</v>
      </c>
      <c r="AW262" s="612">
        <f t="shared" si="220"/>
        <v>466.87</v>
      </c>
      <c r="AX262" s="612">
        <f t="shared" si="220"/>
        <v>0</v>
      </c>
      <c r="AY262" s="612">
        <f t="shared" si="220"/>
        <v>0</v>
      </c>
      <c r="AZ262" s="612">
        <f t="shared" si="220"/>
        <v>0</v>
      </c>
      <c r="BA262" s="612">
        <f t="shared" si="220"/>
        <v>0</v>
      </c>
      <c r="BB262" s="612">
        <f t="shared" si="220"/>
        <v>0</v>
      </c>
      <c r="BC262" s="612">
        <f t="shared" si="220"/>
        <v>0</v>
      </c>
      <c r="BD262" s="612">
        <f t="shared" si="220"/>
        <v>0</v>
      </c>
      <c r="BE262" s="612">
        <f t="shared" si="220"/>
        <v>0</v>
      </c>
      <c r="BF262" s="612">
        <f t="shared" si="220"/>
        <v>0</v>
      </c>
      <c r="BG262" s="612">
        <f t="shared" si="220"/>
        <v>0</v>
      </c>
      <c r="BH262" s="612">
        <f t="shared" si="220"/>
        <v>466.87</v>
      </c>
      <c r="BI262" s="612">
        <f t="shared" si="198"/>
        <v>466.87</v>
      </c>
      <c r="BJ262" s="201">
        <f t="shared" si="115"/>
        <v>0</v>
      </c>
    </row>
    <row r="263" spans="1:62" ht="12" customHeight="1">
      <c r="A263" s="164"/>
      <c r="B263" s="164"/>
      <c r="C263" s="164"/>
      <c r="D263" s="164"/>
      <c r="E263" s="164"/>
      <c r="F263" s="164"/>
      <c r="G263" s="164"/>
      <c r="H263" s="203">
        <v>3423</v>
      </c>
      <c r="I263" s="205"/>
      <c r="J263" s="206"/>
      <c r="K263" s="19" t="s">
        <v>262</v>
      </c>
      <c r="L263" s="129">
        <f t="shared" ref="L263:S263" si="221">L486</f>
        <v>14909</v>
      </c>
      <c r="M263" s="129">
        <f t="shared" si="221"/>
        <v>1978.7643506536597</v>
      </c>
      <c r="N263" s="130">
        <f t="shared" si="221"/>
        <v>14777</v>
      </c>
      <c r="O263" s="130">
        <f t="shared" si="221"/>
        <v>1961.244939942929</v>
      </c>
      <c r="P263" s="131">
        <f t="shared" si="221"/>
        <v>2700</v>
      </c>
      <c r="Q263" s="131">
        <f t="shared" si="221"/>
        <v>2700</v>
      </c>
      <c r="R263" s="153">
        <f t="shared" si="221"/>
        <v>382</v>
      </c>
      <c r="S263" s="158" t="e">
        <f t="shared" ca="1" si="221"/>
        <v>#NAME?</v>
      </c>
      <c r="T263" s="158"/>
      <c r="U263" s="89" t="e">
        <f t="shared" ca="1" si="112"/>
        <v>#NAME?</v>
      </c>
      <c r="V263" s="532">
        <f>V486</f>
        <v>600</v>
      </c>
      <c r="W263" s="532">
        <f>W486</f>
        <v>600</v>
      </c>
      <c r="X263" s="534">
        <f>X486</f>
        <v>1000</v>
      </c>
      <c r="Y263" s="535">
        <f>Y486</f>
        <v>1000</v>
      </c>
      <c r="Z263" s="535"/>
      <c r="AA263" s="535" t="e">
        <f ca="1">AA486</f>
        <v>#NAME?</v>
      </c>
      <c r="AB263" s="535">
        <f>AB486</f>
        <v>0</v>
      </c>
      <c r="AC263" s="529">
        <f>AC486</f>
        <v>2700</v>
      </c>
      <c r="AD263" s="529">
        <f>AD486</f>
        <v>2700</v>
      </c>
      <c r="AE263" s="529">
        <f>O263/M263*100</f>
        <v>99.114628747736262</v>
      </c>
      <c r="AF263" s="529">
        <f>P263/O263*100</f>
        <v>137.66765920010829</v>
      </c>
      <c r="AG263" s="529">
        <f>Q263/P263*100</f>
        <v>100</v>
      </c>
      <c r="AH263" s="529">
        <f>AC263/Q263*100</f>
        <v>100</v>
      </c>
      <c r="AI263" s="535"/>
      <c r="AJ263" s="535">
        <v>1000</v>
      </c>
      <c r="AK263" s="507">
        <f t="shared" si="138"/>
        <v>157.06806282722513</v>
      </c>
      <c r="AL263" s="507">
        <f t="shared" si="139"/>
        <v>166.66666666666669</v>
      </c>
      <c r="AM263" s="507">
        <f t="shared" si="139"/>
        <v>100</v>
      </c>
      <c r="AN263" s="556"/>
      <c r="AO263" s="510"/>
      <c r="AP263" s="510" t="e">
        <f t="shared" ca="1" si="113"/>
        <v>#NAME?</v>
      </c>
      <c r="AQ263" s="532">
        <f t="shared" ref="AQ263:BH263" si="222">AQ486</f>
        <v>466.87</v>
      </c>
      <c r="AR263" s="532">
        <f t="shared" si="222"/>
        <v>157.06806282722513</v>
      </c>
      <c r="AS263" s="532">
        <f t="shared" si="222"/>
        <v>100</v>
      </c>
      <c r="AT263" s="532">
        <f t="shared" si="222"/>
        <v>157.06806282722513</v>
      </c>
      <c r="AU263" s="532">
        <f t="shared" si="222"/>
        <v>77.811666666666667</v>
      </c>
      <c r="AV263" s="532">
        <f t="shared" si="222"/>
        <v>122.217277486911</v>
      </c>
      <c r="AW263" s="612">
        <f t="shared" si="222"/>
        <v>466.87</v>
      </c>
      <c r="AX263" s="612">
        <f t="shared" si="222"/>
        <v>0</v>
      </c>
      <c r="AY263" s="612">
        <f t="shared" si="222"/>
        <v>0</v>
      </c>
      <c r="AZ263" s="612">
        <f t="shared" si="222"/>
        <v>0</v>
      </c>
      <c r="BA263" s="612">
        <f t="shared" si="222"/>
        <v>0</v>
      </c>
      <c r="BB263" s="612">
        <f t="shared" si="222"/>
        <v>0</v>
      </c>
      <c r="BC263" s="612">
        <f t="shared" si="222"/>
        <v>0</v>
      </c>
      <c r="BD263" s="612">
        <f t="shared" si="222"/>
        <v>0</v>
      </c>
      <c r="BE263" s="612">
        <f t="shared" si="222"/>
        <v>0</v>
      </c>
      <c r="BF263" s="612">
        <f t="shared" si="222"/>
        <v>0</v>
      </c>
      <c r="BG263" s="612">
        <f t="shared" si="222"/>
        <v>0</v>
      </c>
      <c r="BH263" s="612">
        <f t="shared" si="222"/>
        <v>466.87</v>
      </c>
      <c r="BI263" s="612">
        <f t="shared" si="198"/>
        <v>466.87</v>
      </c>
      <c r="BJ263" s="201">
        <f t="shared" si="115"/>
        <v>0</v>
      </c>
    </row>
    <row r="264" spans="1:62" ht="12" customHeight="1">
      <c r="A264" s="52"/>
      <c r="B264" s="52"/>
      <c r="C264" s="52"/>
      <c r="D264" s="52"/>
      <c r="E264" s="52"/>
      <c r="F264" s="52"/>
      <c r="G264" s="52"/>
      <c r="H264" s="63"/>
      <c r="I264" s="116"/>
      <c r="J264" s="117"/>
      <c r="K264" s="19"/>
      <c r="L264" s="118"/>
      <c r="M264" s="118"/>
      <c r="N264" s="119"/>
      <c r="O264" s="119"/>
      <c r="P264" s="120"/>
      <c r="Q264" s="120"/>
      <c r="R264" s="151"/>
      <c r="S264" s="152"/>
      <c r="T264" s="152"/>
      <c r="U264" s="89" t="e">
        <f t="shared" ca="1" si="112"/>
        <v>#NAME?</v>
      </c>
      <c r="V264" s="532"/>
      <c r="W264" s="532"/>
      <c r="X264" s="534"/>
      <c r="Y264" s="535"/>
      <c r="Z264" s="535"/>
      <c r="AA264" s="535"/>
      <c r="AB264" s="535"/>
      <c r="AC264" s="529"/>
      <c r="AD264" s="529"/>
      <c r="AE264" s="529"/>
      <c r="AF264" s="529"/>
      <c r="AG264" s="529"/>
      <c r="AH264" s="529"/>
      <c r="AI264" s="535"/>
      <c r="AJ264" s="535"/>
      <c r="AK264" s="507"/>
      <c r="AL264" s="507"/>
      <c r="AM264" s="507"/>
      <c r="AN264" s="556"/>
      <c r="AO264" s="510"/>
      <c r="AP264" s="510" t="e">
        <f t="shared" ca="1" si="113"/>
        <v>#NAME?</v>
      </c>
      <c r="AQ264" s="532"/>
      <c r="AR264" s="532"/>
      <c r="AS264" s="532"/>
      <c r="AT264" s="532"/>
      <c r="AU264" s="532"/>
      <c r="AV264" s="532"/>
      <c r="AW264" s="612"/>
      <c r="AX264" s="612"/>
      <c r="AY264" s="612"/>
      <c r="AZ264" s="612"/>
      <c r="BA264" s="612"/>
      <c r="BB264" s="612"/>
      <c r="BC264" s="612"/>
      <c r="BD264" s="612"/>
      <c r="BE264" s="612"/>
      <c r="BF264" s="612"/>
      <c r="BG264" s="612"/>
      <c r="BH264" s="612"/>
      <c r="BI264" s="612">
        <f t="shared" si="198"/>
        <v>0</v>
      </c>
      <c r="BJ264" s="201">
        <f t="shared" si="115"/>
        <v>0</v>
      </c>
    </row>
    <row r="265" spans="1:62" ht="12" customHeight="1">
      <c r="A265" s="61"/>
      <c r="B265" s="61"/>
      <c r="C265" s="61"/>
      <c r="D265" s="61"/>
      <c r="E265" s="61"/>
      <c r="F265" s="61"/>
      <c r="G265" s="61"/>
      <c r="H265" s="62">
        <v>343</v>
      </c>
      <c r="I265" s="127"/>
      <c r="J265" s="128"/>
      <c r="K265" s="20" t="s">
        <v>263</v>
      </c>
      <c r="L265" s="111">
        <f t="shared" ref="L265:S265" si="223">L266+L267+L268+L269</f>
        <v>195845</v>
      </c>
      <c r="M265" s="111">
        <f t="shared" si="223"/>
        <v>25993.098413962438</v>
      </c>
      <c r="N265" s="112">
        <f t="shared" si="223"/>
        <v>175180</v>
      </c>
      <c r="O265" s="112">
        <f t="shared" si="223"/>
        <v>23250.38157807419</v>
      </c>
      <c r="P265" s="113">
        <f t="shared" si="223"/>
        <v>27900</v>
      </c>
      <c r="Q265" s="113">
        <f t="shared" si="223"/>
        <v>66500</v>
      </c>
      <c r="R265" s="87">
        <f t="shared" si="223"/>
        <v>63650</v>
      </c>
      <c r="S265" s="89" t="e">
        <f t="shared" ca="1" si="223"/>
        <v>#NAME?</v>
      </c>
      <c r="T265" s="89"/>
      <c r="U265" s="89" t="e">
        <f t="shared" ref="U265:U314" ca="1" si="224">__xlfn.ISFORMULA(S265)</f>
        <v>#NAME?</v>
      </c>
      <c r="V265" s="532">
        <f>V266+V267+V268+V269</f>
        <v>81330</v>
      </c>
      <c r="W265" s="532">
        <f>W266+W267+W268+W269</f>
        <v>81330</v>
      </c>
      <c r="X265" s="506">
        <f>X266+X267+X268+X269</f>
        <v>99750</v>
      </c>
      <c r="Y265" s="507">
        <f>Y266+Y267+Y268+Y269</f>
        <v>117950</v>
      </c>
      <c r="Z265" s="507"/>
      <c r="AA265" s="507" t="e">
        <f ca="1">AA266+AA267+AA268+AA269</f>
        <v>#NAME?</v>
      </c>
      <c r="AB265" s="507">
        <f>AB266+AB267+AB268+AB269</f>
        <v>0</v>
      </c>
      <c r="AC265" s="508">
        <f>AC266+AC267+AC268+AC269</f>
        <v>28900</v>
      </c>
      <c r="AD265" s="508">
        <f>AD266+AD267+AD268+AD269</f>
        <v>28900</v>
      </c>
      <c r="AE265" s="529">
        <f>O265/M265*100</f>
        <v>89.448288187086717</v>
      </c>
      <c r="AF265" s="529">
        <f>P265/O265*100</f>
        <v>119.99803059710015</v>
      </c>
      <c r="AG265" s="529">
        <f>Q265/P265*100</f>
        <v>238.35125448028674</v>
      </c>
      <c r="AH265" s="529">
        <f>AC265/Q265*100</f>
        <v>43.458646616541351</v>
      </c>
      <c r="AI265" s="507"/>
      <c r="AJ265" s="507">
        <v>117950</v>
      </c>
      <c r="AK265" s="507">
        <f t="shared" si="138"/>
        <v>127.77690494893952</v>
      </c>
      <c r="AL265" s="507">
        <f t="shared" si="139"/>
        <v>122.64846919955737</v>
      </c>
      <c r="AM265" s="507">
        <f t="shared" si="139"/>
        <v>118.24561403508771</v>
      </c>
      <c r="AN265" s="509"/>
      <c r="AO265" s="510"/>
      <c r="AP265" s="510" t="e">
        <f t="shared" ref="AP265:AP328" ca="1" si="225">__xlfn.ISFORMULA(X265)</f>
        <v>#NAME?</v>
      </c>
      <c r="AQ265" s="532">
        <f>AQ266+AQ267+AQ268+AQ269</f>
        <v>35494.46</v>
      </c>
      <c r="AR265" s="532">
        <f t="shared" ref="AR265:BH265" si="226">AR266+AR267+AR268+AR269</f>
        <v>1663.4494995994128</v>
      </c>
      <c r="AS265" s="532">
        <f t="shared" si="226"/>
        <v>700</v>
      </c>
      <c r="AT265" s="532">
        <f t="shared" si="226"/>
        <v>1663.4494995994128</v>
      </c>
      <c r="AU265" s="532">
        <f t="shared" si="226"/>
        <v>400.0061194731403</v>
      </c>
      <c r="AV265" s="532">
        <f t="shared" si="226"/>
        <v>657.66219794789538</v>
      </c>
      <c r="AW265" s="612">
        <f t="shared" si="226"/>
        <v>35494.46</v>
      </c>
      <c r="AX265" s="612">
        <f t="shared" si="226"/>
        <v>0</v>
      </c>
      <c r="AY265" s="612">
        <f t="shared" si="226"/>
        <v>0</v>
      </c>
      <c r="AZ265" s="612">
        <f t="shared" si="226"/>
        <v>0</v>
      </c>
      <c r="BA265" s="612">
        <f t="shared" si="226"/>
        <v>0</v>
      </c>
      <c r="BB265" s="612">
        <f t="shared" si="226"/>
        <v>0</v>
      </c>
      <c r="BC265" s="612">
        <f t="shared" si="226"/>
        <v>0</v>
      </c>
      <c r="BD265" s="612">
        <f t="shared" si="226"/>
        <v>0</v>
      </c>
      <c r="BE265" s="612">
        <f t="shared" si="226"/>
        <v>0</v>
      </c>
      <c r="BF265" s="612">
        <f t="shared" si="226"/>
        <v>0</v>
      </c>
      <c r="BG265" s="612">
        <f t="shared" si="226"/>
        <v>0</v>
      </c>
      <c r="BH265" s="612">
        <f t="shared" si="226"/>
        <v>35494.46</v>
      </c>
      <c r="BI265" s="612">
        <f t="shared" si="198"/>
        <v>35494.46</v>
      </c>
      <c r="BJ265" s="201">
        <f t="shared" si="115"/>
        <v>0</v>
      </c>
    </row>
    <row r="266" spans="1:62" ht="12" customHeight="1">
      <c r="A266" s="52"/>
      <c r="B266" s="52"/>
      <c r="C266" s="52"/>
      <c r="D266" s="52"/>
      <c r="E266" s="52"/>
      <c r="F266" s="52"/>
      <c r="G266" s="52"/>
      <c r="H266" s="63">
        <v>3431</v>
      </c>
      <c r="I266" s="116"/>
      <c r="J266" s="117"/>
      <c r="K266" s="19" t="s">
        <v>264</v>
      </c>
      <c r="L266" s="129">
        <f t="shared" ref="L266:S266" si="227">L489+L1048+L1111+L1175</f>
        <v>59738</v>
      </c>
      <c r="M266" s="129">
        <f t="shared" si="227"/>
        <v>7928.5951290729308</v>
      </c>
      <c r="N266" s="130">
        <f t="shared" si="227"/>
        <v>53441</v>
      </c>
      <c r="O266" s="130">
        <f t="shared" si="227"/>
        <v>7092.8396044860301</v>
      </c>
      <c r="P266" s="131">
        <f t="shared" si="227"/>
        <v>8100</v>
      </c>
      <c r="Q266" s="131">
        <f t="shared" si="227"/>
        <v>9500</v>
      </c>
      <c r="R266" s="153">
        <f t="shared" si="227"/>
        <v>9668</v>
      </c>
      <c r="S266" s="158">
        <f t="shared" si="227"/>
        <v>7326</v>
      </c>
      <c r="T266" s="158"/>
      <c r="U266" s="89" t="e">
        <f t="shared" ca="1" si="224"/>
        <v>#NAME?</v>
      </c>
      <c r="V266" s="532">
        <f>V489+V1048+V1111+V1175</f>
        <v>12330</v>
      </c>
      <c r="W266" s="532">
        <f>W489+W1048+W1111+W1175</f>
        <v>12330</v>
      </c>
      <c r="X266" s="534">
        <f>X489+X1048+X1111+X1175</f>
        <v>12750</v>
      </c>
      <c r="Y266" s="535">
        <f>Y489+Y1048+Y1111+Y1175</f>
        <v>13950</v>
      </c>
      <c r="Z266" s="535"/>
      <c r="AA266" s="535" t="e">
        <f ca="1">AA489+AA1048+AA1111+AA1175</f>
        <v>#NAME?</v>
      </c>
      <c r="AB266" s="535">
        <f>AB489+AB1048+AB1111+AB1175</f>
        <v>0</v>
      </c>
      <c r="AC266" s="529">
        <f>AC489+AC1048+AC1111+AC1175</f>
        <v>8200</v>
      </c>
      <c r="AD266" s="529">
        <f>AD489+AD1048+AD1111+AD1175</f>
        <v>8200</v>
      </c>
      <c r="AE266" s="529">
        <f>O266/M266*100</f>
        <v>89.458970839331741</v>
      </c>
      <c r="AF266" s="529">
        <f>P266/O266*100</f>
        <v>114.19967814973523</v>
      </c>
      <c r="AG266" s="529">
        <f>Q266/P266*100</f>
        <v>117.28395061728396</v>
      </c>
      <c r="AH266" s="529">
        <f>AC266/Q266*100</f>
        <v>86.31578947368422</v>
      </c>
      <c r="AI266" s="535"/>
      <c r="AJ266" s="535">
        <v>13950</v>
      </c>
      <c r="AK266" s="507">
        <f t="shared" si="138"/>
        <v>127.53413322300374</v>
      </c>
      <c r="AL266" s="507">
        <f t="shared" si="139"/>
        <v>103.40632603406326</v>
      </c>
      <c r="AM266" s="507">
        <f t="shared" si="139"/>
        <v>109.41176470588236</v>
      </c>
      <c r="AN266" s="556"/>
      <c r="AO266" s="510"/>
      <c r="AP266" s="510" t="e">
        <f t="shared" ca="1" si="225"/>
        <v>#NAME?</v>
      </c>
      <c r="AQ266" s="532">
        <f t="shared" ref="AQ266:BH266" si="228">AQ489+AQ1048+AQ1111+AQ1175</f>
        <v>11442.28</v>
      </c>
      <c r="AR266" s="532">
        <f t="shared" si="228"/>
        <v>673.12338040792429</v>
      </c>
      <c r="AS266" s="532">
        <f t="shared" si="228"/>
        <v>400</v>
      </c>
      <c r="AT266" s="532">
        <f t="shared" si="228"/>
        <v>673.12338040792429</v>
      </c>
      <c r="AU266" s="532">
        <f t="shared" si="228"/>
        <v>283.68409359322311</v>
      </c>
      <c r="AV266" s="532">
        <f t="shared" si="228"/>
        <v>422.5059530534229</v>
      </c>
      <c r="AW266" s="612">
        <f t="shared" si="228"/>
        <v>11442.28</v>
      </c>
      <c r="AX266" s="612">
        <f t="shared" si="228"/>
        <v>0</v>
      </c>
      <c r="AY266" s="612">
        <f t="shared" si="228"/>
        <v>0</v>
      </c>
      <c r="AZ266" s="612">
        <f t="shared" si="228"/>
        <v>0</v>
      </c>
      <c r="BA266" s="612">
        <f t="shared" si="228"/>
        <v>0</v>
      </c>
      <c r="BB266" s="612">
        <f t="shared" si="228"/>
        <v>0</v>
      </c>
      <c r="BC266" s="612">
        <f t="shared" si="228"/>
        <v>0</v>
      </c>
      <c r="BD266" s="612">
        <f t="shared" si="228"/>
        <v>0</v>
      </c>
      <c r="BE266" s="612">
        <f t="shared" si="228"/>
        <v>0</v>
      </c>
      <c r="BF266" s="612">
        <f t="shared" si="228"/>
        <v>0</v>
      </c>
      <c r="BG266" s="612">
        <f t="shared" si="228"/>
        <v>0</v>
      </c>
      <c r="BH266" s="612">
        <f t="shared" si="228"/>
        <v>11442.28</v>
      </c>
      <c r="BI266" s="612">
        <f t="shared" si="198"/>
        <v>11442.28</v>
      </c>
      <c r="BJ266" s="201">
        <f t="shared" ref="BJ266:BJ329" si="229">BI266-AQ266</f>
        <v>0</v>
      </c>
    </row>
    <row r="267" spans="1:62" ht="12" customHeight="1">
      <c r="A267" s="52"/>
      <c r="B267" s="52"/>
      <c r="C267" s="52"/>
      <c r="D267" s="52"/>
      <c r="E267" s="52"/>
      <c r="F267" s="52"/>
      <c r="G267" s="52"/>
      <c r="H267" s="63">
        <v>3432</v>
      </c>
      <c r="I267" s="116"/>
      <c r="J267" s="117"/>
      <c r="K267" s="19" t="s">
        <v>265</v>
      </c>
      <c r="L267" s="129"/>
      <c r="M267" s="129"/>
      <c r="N267" s="130"/>
      <c r="O267" s="130"/>
      <c r="P267" s="131"/>
      <c r="Q267" s="131"/>
      <c r="R267" s="153"/>
      <c r="S267" s="158"/>
      <c r="T267" s="158"/>
      <c r="U267" s="89" t="e">
        <f t="shared" ca="1" si="224"/>
        <v>#NAME?</v>
      </c>
      <c r="V267" s="532"/>
      <c r="W267" s="532"/>
      <c r="X267" s="534"/>
      <c r="Y267" s="535"/>
      <c r="Z267" s="535"/>
      <c r="AA267" s="535"/>
      <c r="AB267" s="535"/>
      <c r="AC267" s="529"/>
      <c r="AD267" s="529"/>
      <c r="AE267" s="529"/>
      <c r="AF267" s="529"/>
      <c r="AG267" s="529"/>
      <c r="AH267" s="529"/>
      <c r="AI267" s="535"/>
      <c r="AJ267" s="535"/>
      <c r="AK267" s="507"/>
      <c r="AL267" s="507"/>
      <c r="AM267" s="507"/>
      <c r="AN267" s="556"/>
      <c r="AO267" s="510"/>
      <c r="AP267" s="510" t="e">
        <f t="shared" ca="1" si="225"/>
        <v>#NAME?</v>
      </c>
      <c r="AQ267" s="532"/>
      <c r="AR267" s="532"/>
      <c r="AS267" s="532"/>
      <c r="AT267" s="532"/>
      <c r="AU267" s="532"/>
      <c r="AV267" s="532"/>
      <c r="AW267" s="612"/>
      <c r="AX267" s="612"/>
      <c r="AY267" s="612"/>
      <c r="AZ267" s="612"/>
      <c r="BA267" s="612"/>
      <c r="BB267" s="612"/>
      <c r="BC267" s="612"/>
      <c r="BD267" s="612"/>
      <c r="BE267" s="612"/>
      <c r="BF267" s="612"/>
      <c r="BG267" s="612"/>
      <c r="BH267" s="612"/>
      <c r="BI267" s="612">
        <f t="shared" si="198"/>
        <v>0</v>
      </c>
      <c r="BJ267" s="201">
        <f t="shared" si="229"/>
        <v>0</v>
      </c>
    </row>
    <row r="268" spans="1:62" ht="12" customHeight="1">
      <c r="A268" s="52"/>
      <c r="B268" s="52"/>
      <c r="C268" s="52"/>
      <c r="D268" s="52"/>
      <c r="E268" s="52"/>
      <c r="F268" s="52"/>
      <c r="G268" s="52"/>
      <c r="H268" s="63">
        <v>3433</v>
      </c>
      <c r="I268" s="116"/>
      <c r="J268" s="117"/>
      <c r="K268" s="19" t="s">
        <v>266</v>
      </c>
      <c r="L268" s="129">
        <f t="shared" ref="L268:S268" si="230">L490</f>
        <v>57488</v>
      </c>
      <c r="M268" s="129">
        <f t="shared" si="230"/>
        <v>7629.9688101400225</v>
      </c>
      <c r="N268" s="130">
        <f t="shared" si="230"/>
        <v>2530</v>
      </c>
      <c r="O268" s="130">
        <f t="shared" si="230"/>
        <v>335.78870528900387</v>
      </c>
      <c r="P268" s="131">
        <f t="shared" si="230"/>
        <v>4000</v>
      </c>
      <c r="Q268" s="131">
        <f t="shared" si="230"/>
        <v>4000</v>
      </c>
      <c r="R268" s="153">
        <f t="shared" si="230"/>
        <v>537</v>
      </c>
      <c r="S268" s="158" t="e">
        <f t="shared" ca="1" si="230"/>
        <v>#NAME?</v>
      </c>
      <c r="T268" s="158"/>
      <c r="U268" s="89" t="e">
        <f t="shared" ca="1" si="224"/>
        <v>#NAME?</v>
      </c>
      <c r="V268" s="532">
        <f>V490</f>
        <v>4000</v>
      </c>
      <c r="W268" s="532">
        <f>W490</f>
        <v>4000</v>
      </c>
      <c r="X268" s="534">
        <f>X490</f>
        <v>4000</v>
      </c>
      <c r="Y268" s="535">
        <f>Y490</f>
        <v>4000</v>
      </c>
      <c r="Z268" s="535"/>
      <c r="AA268" s="535" t="e">
        <f ca="1">AA490</f>
        <v>#NAME?</v>
      </c>
      <c r="AB268" s="535">
        <f>AB490</f>
        <v>0</v>
      </c>
      <c r="AC268" s="529">
        <f>AC490</f>
        <v>4000</v>
      </c>
      <c r="AD268" s="529">
        <f>AD490</f>
        <v>4000</v>
      </c>
      <c r="AE268" s="529">
        <f>O268/M268*100</f>
        <v>4.4009184525466178</v>
      </c>
      <c r="AF268" s="529"/>
      <c r="AG268" s="529"/>
      <c r="AH268" s="529"/>
      <c r="AI268" s="535"/>
      <c r="AJ268" s="535">
        <v>4000</v>
      </c>
      <c r="AK268" s="507">
        <f t="shared" si="138"/>
        <v>744.87895716946002</v>
      </c>
      <c r="AL268" s="507">
        <f t="shared" si="139"/>
        <v>100</v>
      </c>
      <c r="AM268" s="507">
        <f t="shared" si="139"/>
        <v>100</v>
      </c>
      <c r="AN268" s="556"/>
      <c r="AO268" s="510"/>
      <c r="AP268" s="510" t="e">
        <f t="shared" ca="1" si="225"/>
        <v>#NAME?</v>
      </c>
      <c r="AQ268" s="532">
        <f t="shared" ref="AQ268:BH268" si="231">AQ490</f>
        <v>571.34</v>
      </c>
      <c r="AR268" s="532">
        <f t="shared" si="231"/>
        <v>744.87895716946002</v>
      </c>
      <c r="AS268" s="532">
        <f t="shared" si="231"/>
        <v>100</v>
      </c>
      <c r="AT268" s="532">
        <f t="shared" si="231"/>
        <v>744.87895716946002</v>
      </c>
      <c r="AU268" s="532">
        <f t="shared" si="231"/>
        <v>14.283500000000002</v>
      </c>
      <c r="AV268" s="532">
        <f t="shared" si="231"/>
        <v>106.39478584729983</v>
      </c>
      <c r="AW268" s="612">
        <f t="shared" si="231"/>
        <v>571.34</v>
      </c>
      <c r="AX268" s="612">
        <f t="shared" si="231"/>
        <v>0</v>
      </c>
      <c r="AY268" s="612">
        <f t="shared" si="231"/>
        <v>0</v>
      </c>
      <c r="AZ268" s="612">
        <f t="shared" si="231"/>
        <v>0</v>
      </c>
      <c r="BA268" s="612">
        <f t="shared" si="231"/>
        <v>0</v>
      </c>
      <c r="BB268" s="612">
        <f t="shared" si="231"/>
        <v>0</v>
      </c>
      <c r="BC268" s="612">
        <f t="shared" si="231"/>
        <v>0</v>
      </c>
      <c r="BD268" s="612">
        <f t="shared" si="231"/>
        <v>0</v>
      </c>
      <c r="BE268" s="612">
        <f t="shared" si="231"/>
        <v>0</v>
      </c>
      <c r="BF268" s="612">
        <f t="shared" si="231"/>
        <v>0</v>
      </c>
      <c r="BG268" s="612">
        <f t="shared" si="231"/>
        <v>0</v>
      </c>
      <c r="BH268" s="612">
        <f t="shared" si="231"/>
        <v>571.34</v>
      </c>
      <c r="BI268" s="612">
        <f t="shared" si="198"/>
        <v>571.34</v>
      </c>
      <c r="BJ268" s="201">
        <f t="shared" si="229"/>
        <v>0</v>
      </c>
    </row>
    <row r="269" spans="1:62" ht="12" customHeight="1">
      <c r="A269" s="52"/>
      <c r="B269" s="52"/>
      <c r="C269" s="52"/>
      <c r="D269" s="52"/>
      <c r="E269" s="52"/>
      <c r="F269" s="52"/>
      <c r="G269" s="52"/>
      <c r="H269" s="63">
        <v>3434</v>
      </c>
      <c r="I269" s="116"/>
      <c r="J269" s="117"/>
      <c r="K269" s="19" t="s">
        <v>267</v>
      </c>
      <c r="L269" s="129">
        <f t="shared" ref="L269:S269" si="232">L491+L492+L493</f>
        <v>78619</v>
      </c>
      <c r="M269" s="129">
        <f t="shared" si="232"/>
        <v>10434.534474749486</v>
      </c>
      <c r="N269" s="130">
        <f t="shared" si="232"/>
        <v>119209</v>
      </c>
      <c r="O269" s="130">
        <f t="shared" si="232"/>
        <v>15821.753268299157</v>
      </c>
      <c r="P269" s="131">
        <f t="shared" si="232"/>
        <v>15800</v>
      </c>
      <c r="Q269" s="131">
        <f t="shared" si="232"/>
        <v>53000</v>
      </c>
      <c r="R269" s="153">
        <f t="shared" si="232"/>
        <v>53445</v>
      </c>
      <c r="S269" s="158" t="e">
        <f t="shared" ca="1" si="232"/>
        <v>#NAME?</v>
      </c>
      <c r="T269" s="158"/>
      <c r="U269" s="89" t="e">
        <f t="shared" ca="1" si="224"/>
        <v>#NAME?</v>
      </c>
      <c r="V269" s="532">
        <f>V491+V492+V493</f>
        <v>65000</v>
      </c>
      <c r="W269" s="532">
        <f>W491+W492+W493</f>
        <v>65000</v>
      </c>
      <c r="X269" s="534">
        <f>X491+X492+X493</f>
        <v>83000</v>
      </c>
      <c r="Y269" s="535">
        <f>Y491+Y492+Y493</f>
        <v>100000</v>
      </c>
      <c r="Z269" s="535"/>
      <c r="AA269" s="535" t="e">
        <f ca="1">AA491+AA492+AA493</f>
        <v>#NAME?</v>
      </c>
      <c r="AB269" s="535">
        <f>AB491+AB492+AB493</f>
        <v>0</v>
      </c>
      <c r="AC269" s="529">
        <f>AC491+AC492+AC493</f>
        <v>16700</v>
      </c>
      <c r="AD269" s="529">
        <f>AD491+AD492+AD493</f>
        <v>16700</v>
      </c>
      <c r="AE269" s="529">
        <f>O269/M269*100</f>
        <v>151.62874114399827</v>
      </c>
      <c r="AF269" s="529">
        <f>P269/O269*100</f>
        <v>99.862510380927617</v>
      </c>
      <c r="AG269" s="529">
        <f>Q269/P269*100</f>
        <v>335.44303797468353</v>
      </c>
      <c r="AH269" s="529">
        <f>AC269/Q269*100</f>
        <v>31.509433962264151</v>
      </c>
      <c r="AI269" s="535"/>
      <c r="AJ269" s="535">
        <v>100000</v>
      </c>
      <c r="AK269" s="507">
        <f t="shared" si="138"/>
        <v>121.62035737674243</v>
      </c>
      <c r="AL269" s="507">
        <f t="shared" si="139"/>
        <v>127.69230769230768</v>
      </c>
      <c r="AM269" s="507">
        <f t="shared" si="139"/>
        <v>120.48192771084338</v>
      </c>
      <c r="AN269" s="556"/>
      <c r="AO269" s="510"/>
      <c r="AP269" s="510" t="e">
        <f t="shared" ca="1" si="225"/>
        <v>#NAME?</v>
      </c>
      <c r="AQ269" s="532">
        <f t="shared" ref="AQ269:BH269" si="233">AQ491+AQ492+AQ493</f>
        <v>23480.84</v>
      </c>
      <c r="AR269" s="532">
        <f t="shared" si="233"/>
        <v>245.44716202202824</v>
      </c>
      <c r="AS269" s="532">
        <f t="shared" si="233"/>
        <v>200</v>
      </c>
      <c r="AT269" s="532">
        <f t="shared" si="233"/>
        <v>245.44716202202824</v>
      </c>
      <c r="AU269" s="532">
        <f t="shared" si="233"/>
        <v>102.03852587991719</v>
      </c>
      <c r="AV269" s="532">
        <f t="shared" si="233"/>
        <v>128.76145904717274</v>
      </c>
      <c r="AW269" s="612">
        <f t="shared" si="233"/>
        <v>23480.84</v>
      </c>
      <c r="AX269" s="612">
        <f t="shared" si="233"/>
        <v>0</v>
      </c>
      <c r="AY269" s="612">
        <f t="shared" si="233"/>
        <v>0</v>
      </c>
      <c r="AZ269" s="612">
        <f t="shared" si="233"/>
        <v>0</v>
      </c>
      <c r="BA269" s="612">
        <f t="shared" si="233"/>
        <v>0</v>
      </c>
      <c r="BB269" s="612">
        <f t="shared" si="233"/>
        <v>0</v>
      </c>
      <c r="BC269" s="612">
        <f t="shared" si="233"/>
        <v>0</v>
      </c>
      <c r="BD269" s="612">
        <f t="shared" si="233"/>
        <v>0</v>
      </c>
      <c r="BE269" s="612">
        <f t="shared" si="233"/>
        <v>0</v>
      </c>
      <c r="BF269" s="612">
        <f t="shared" si="233"/>
        <v>0</v>
      </c>
      <c r="BG269" s="612">
        <f t="shared" si="233"/>
        <v>0</v>
      </c>
      <c r="BH269" s="612">
        <f t="shared" si="233"/>
        <v>23480.84</v>
      </c>
      <c r="BI269" s="612">
        <f t="shared" si="198"/>
        <v>23480.84</v>
      </c>
      <c r="BJ269" s="201">
        <f t="shared" si="229"/>
        <v>0</v>
      </c>
    </row>
    <row r="270" spans="1:62" ht="12" customHeight="1">
      <c r="A270" s="41"/>
      <c r="B270" s="41"/>
      <c r="C270" s="41"/>
      <c r="D270" s="41"/>
      <c r="E270" s="41"/>
      <c r="F270" s="41"/>
      <c r="G270" s="41"/>
      <c r="H270" s="37"/>
      <c r="I270" s="72"/>
      <c r="J270" s="73"/>
      <c r="K270" s="83"/>
      <c r="L270" s="84"/>
      <c r="M270" s="84"/>
      <c r="N270" s="85"/>
      <c r="O270" s="85"/>
      <c r="P270" s="86"/>
      <c r="Q270" s="86"/>
      <c r="R270" s="154"/>
      <c r="S270" s="155"/>
      <c r="T270" s="155"/>
      <c r="U270" s="89" t="e">
        <f t="shared" ca="1" si="224"/>
        <v>#NAME?</v>
      </c>
      <c r="V270" s="532"/>
      <c r="W270" s="532"/>
      <c r="X270" s="536"/>
      <c r="Y270" s="537"/>
      <c r="Z270" s="537"/>
      <c r="AA270" s="537"/>
      <c r="AB270" s="537"/>
      <c r="AC270" s="538"/>
      <c r="AD270" s="538"/>
      <c r="AE270" s="529"/>
      <c r="AF270" s="529"/>
      <c r="AG270" s="529"/>
      <c r="AH270" s="529"/>
      <c r="AI270" s="537"/>
      <c r="AJ270" s="537"/>
      <c r="AK270" s="507"/>
      <c r="AL270" s="507"/>
      <c r="AM270" s="507"/>
      <c r="AN270" s="557"/>
      <c r="AO270" s="510"/>
      <c r="AP270" s="510" t="e">
        <f t="shared" ca="1" si="225"/>
        <v>#NAME?</v>
      </c>
      <c r="AQ270" s="532"/>
      <c r="AR270" s="532"/>
      <c r="AS270" s="532"/>
      <c r="AT270" s="532"/>
      <c r="AU270" s="532"/>
      <c r="AV270" s="532"/>
      <c r="AW270" s="612"/>
      <c r="AX270" s="612"/>
      <c r="AY270" s="612"/>
      <c r="AZ270" s="612"/>
      <c r="BA270" s="612"/>
      <c r="BB270" s="612"/>
      <c r="BC270" s="612"/>
      <c r="BD270" s="612"/>
      <c r="BE270" s="612"/>
      <c r="BF270" s="612"/>
      <c r="BG270" s="612"/>
      <c r="BH270" s="612"/>
      <c r="BI270" s="612">
        <f t="shared" si="198"/>
        <v>0</v>
      </c>
      <c r="BJ270" s="201">
        <f t="shared" si="229"/>
        <v>0</v>
      </c>
    </row>
    <row r="271" spans="1:62" ht="12" customHeight="1">
      <c r="A271" s="58"/>
      <c r="B271" s="58"/>
      <c r="C271" s="58"/>
      <c r="D271" s="58"/>
      <c r="E271" s="58"/>
      <c r="F271" s="58"/>
      <c r="G271" s="58"/>
      <c r="H271" s="59">
        <v>35</v>
      </c>
      <c r="I271" s="124"/>
      <c r="J271" s="125"/>
      <c r="K271" s="126" t="s">
        <v>268</v>
      </c>
      <c r="L271" s="111">
        <f t="shared" ref="L271:S271" si="234">L273</f>
        <v>0</v>
      </c>
      <c r="M271" s="111">
        <f t="shared" si="234"/>
        <v>0</v>
      </c>
      <c r="N271" s="112">
        <f t="shared" si="234"/>
        <v>0</v>
      </c>
      <c r="O271" s="112">
        <f t="shared" si="234"/>
        <v>0</v>
      </c>
      <c r="P271" s="113">
        <f t="shared" si="234"/>
        <v>0</v>
      </c>
      <c r="Q271" s="113">
        <f t="shared" si="234"/>
        <v>0</v>
      </c>
      <c r="R271" s="87">
        <f t="shared" si="234"/>
        <v>0</v>
      </c>
      <c r="S271" s="89" t="e">
        <f t="shared" ca="1" si="234"/>
        <v>#NAME?</v>
      </c>
      <c r="T271" s="89"/>
      <c r="U271" s="89" t="e">
        <f t="shared" ca="1" si="224"/>
        <v>#NAME?</v>
      </c>
      <c r="V271" s="532">
        <f>V273</f>
        <v>0</v>
      </c>
      <c r="W271" s="532">
        <f>W273</f>
        <v>0</v>
      </c>
      <c r="X271" s="506">
        <f>X273</f>
        <v>7000</v>
      </c>
      <c r="Y271" s="507">
        <f>Y273</f>
        <v>7000</v>
      </c>
      <c r="Z271" s="507"/>
      <c r="AA271" s="507" t="e">
        <f ca="1">AA273</f>
        <v>#NAME?</v>
      </c>
      <c r="AB271" s="507">
        <f>AB273</f>
        <v>0</v>
      </c>
      <c r="AC271" s="508">
        <f>AC273</f>
        <v>5000</v>
      </c>
      <c r="AD271" s="508">
        <f>AD273</f>
        <v>5000</v>
      </c>
      <c r="AE271" s="529"/>
      <c r="AF271" s="529"/>
      <c r="AG271" s="529"/>
      <c r="AH271" s="529"/>
      <c r="AI271" s="507"/>
      <c r="AJ271" s="507">
        <v>7000</v>
      </c>
      <c r="AK271" s="507"/>
      <c r="AL271" s="507"/>
      <c r="AM271" s="507">
        <f t="shared" si="139"/>
        <v>100</v>
      </c>
      <c r="AN271" s="509"/>
      <c r="AO271" s="510"/>
      <c r="AP271" s="510" t="e">
        <f t="shared" ca="1" si="225"/>
        <v>#NAME?</v>
      </c>
      <c r="AQ271" s="532">
        <f>AQ273</f>
        <v>0</v>
      </c>
      <c r="AR271" s="532">
        <f t="shared" ref="AR271:BH271" si="235">AR273</f>
        <v>0</v>
      </c>
      <c r="AS271" s="532">
        <f t="shared" si="235"/>
        <v>0</v>
      </c>
      <c r="AT271" s="532">
        <f t="shared" si="235"/>
        <v>0</v>
      </c>
      <c r="AU271" s="532">
        <f t="shared" si="235"/>
        <v>0</v>
      </c>
      <c r="AV271" s="532">
        <f t="shared" si="235"/>
        <v>0</v>
      </c>
      <c r="AW271" s="612">
        <f t="shared" si="235"/>
        <v>0</v>
      </c>
      <c r="AX271" s="612">
        <f t="shared" si="235"/>
        <v>0</v>
      </c>
      <c r="AY271" s="612">
        <f t="shared" si="235"/>
        <v>0</v>
      </c>
      <c r="AZ271" s="612">
        <f t="shared" si="235"/>
        <v>0</v>
      </c>
      <c r="BA271" s="612">
        <f t="shared" si="235"/>
        <v>0</v>
      </c>
      <c r="BB271" s="612">
        <f t="shared" si="235"/>
        <v>0</v>
      </c>
      <c r="BC271" s="612">
        <f t="shared" si="235"/>
        <v>0</v>
      </c>
      <c r="BD271" s="612">
        <f t="shared" si="235"/>
        <v>0</v>
      </c>
      <c r="BE271" s="612">
        <f t="shared" si="235"/>
        <v>0</v>
      </c>
      <c r="BF271" s="612">
        <f t="shared" si="235"/>
        <v>0</v>
      </c>
      <c r="BG271" s="612">
        <f t="shared" si="235"/>
        <v>0</v>
      </c>
      <c r="BH271" s="612">
        <f t="shared" si="235"/>
        <v>0</v>
      </c>
      <c r="BI271" s="612">
        <f t="shared" si="198"/>
        <v>0</v>
      </c>
      <c r="BJ271" s="201">
        <f t="shared" si="229"/>
        <v>0</v>
      </c>
    </row>
    <row r="272" spans="1:62" ht="12" customHeight="1">
      <c r="A272" s="52"/>
      <c r="B272" s="52"/>
      <c r="C272" s="52"/>
      <c r="D272" s="52"/>
      <c r="E272" s="52"/>
      <c r="F272" s="52"/>
      <c r="G272" s="52"/>
      <c r="H272" s="63"/>
      <c r="I272" s="116"/>
      <c r="J272" s="117"/>
      <c r="K272" s="19"/>
      <c r="L272" s="129"/>
      <c r="M272" s="129"/>
      <c r="N272" s="130"/>
      <c r="O272" s="130"/>
      <c r="P272" s="131"/>
      <c r="Q272" s="131"/>
      <c r="R272" s="153"/>
      <c r="S272" s="158"/>
      <c r="T272" s="158"/>
      <c r="U272" s="89" t="e">
        <f t="shared" ca="1" si="224"/>
        <v>#NAME?</v>
      </c>
      <c r="V272" s="532"/>
      <c r="W272" s="532"/>
      <c r="X272" s="534"/>
      <c r="Y272" s="535"/>
      <c r="Z272" s="535"/>
      <c r="AA272" s="535"/>
      <c r="AB272" s="535"/>
      <c r="AC272" s="529"/>
      <c r="AD272" s="529"/>
      <c r="AE272" s="529"/>
      <c r="AF272" s="529"/>
      <c r="AG272" s="529"/>
      <c r="AH272" s="529"/>
      <c r="AI272" s="535"/>
      <c r="AJ272" s="535"/>
      <c r="AK272" s="507"/>
      <c r="AL272" s="507"/>
      <c r="AM272" s="507"/>
      <c r="AN272" s="556"/>
      <c r="AO272" s="510"/>
      <c r="AP272" s="510" t="e">
        <f t="shared" ca="1" si="225"/>
        <v>#NAME?</v>
      </c>
      <c r="AQ272" s="532"/>
      <c r="AR272" s="532"/>
      <c r="AS272" s="532"/>
      <c r="AT272" s="532"/>
      <c r="AU272" s="532"/>
      <c r="AV272" s="532"/>
      <c r="AW272" s="612"/>
      <c r="AX272" s="612"/>
      <c r="AY272" s="612"/>
      <c r="AZ272" s="612"/>
      <c r="BA272" s="612"/>
      <c r="BB272" s="612"/>
      <c r="BC272" s="612"/>
      <c r="BD272" s="612"/>
      <c r="BE272" s="612"/>
      <c r="BF272" s="612"/>
      <c r="BG272" s="612"/>
      <c r="BH272" s="612"/>
      <c r="BI272" s="612">
        <f t="shared" si="198"/>
        <v>0</v>
      </c>
      <c r="BJ272" s="201">
        <f t="shared" si="229"/>
        <v>0</v>
      </c>
    </row>
    <row r="273" spans="1:62" ht="12" customHeight="1">
      <c r="A273" s="61"/>
      <c r="B273" s="61"/>
      <c r="C273" s="61"/>
      <c r="D273" s="61"/>
      <c r="E273" s="61"/>
      <c r="F273" s="61"/>
      <c r="G273" s="61"/>
      <c r="H273" s="62">
        <v>352</v>
      </c>
      <c r="I273" s="127"/>
      <c r="J273" s="128"/>
      <c r="K273" s="20" t="s">
        <v>269</v>
      </c>
      <c r="L273" s="111">
        <f t="shared" ref="L273:AD273" si="236">L274</f>
        <v>0</v>
      </c>
      <c r="M273" s="111">
        <f t="shared" si="236"/>
        <v>0</v>
      </c>
      <c r="N273" s="112">
        <f t="shared" si="236"/>
        <v>0</v>
      </c>
      <c r="O273" s="112">
        <f t="shared" si="236"/>
        <v>0</v>
      </c>
      <c r="P273" s="113">
        <f t="shared" si="236"/>
        <v>0</v>
      </c>
      <c r="Q273" s="113">
        <f t="shared" si="236"/>
        <v>0</v>
      </c>
      <c r="R273" s="87">
        <f t="shared" si="236"/>
        <v>0</v>
      </c>
      <c r="S273" s="89" t="e">
        <f t="shared" ca="1" si="236"/>
        <v>#NAME?</v>
      </c>
      <c r="T273" s="89"/>
      <c r="U273" s="89" t="e">
        <f t="shared" ca="1" si="224"/>
        <v>#NAME?</v>
      </c>
      <c r="V273" s="532">
        <f>V274</f>
        <v>0</v>
      </c>
      <c r="W273" s="532">
        <f t="shared" si="236"/>
        <v>0</v>
      </c>
      <c r="X273" s="506">
        <f t="shared" si="236"/>
        <v>7000</v>
      </c>
      <c r="Y273" s="507">
        <f t="shared" si="236"/>
        <v>7000</v>
      </c>
      <c r="Z273" s="507"/>
      <c r="AA273" s="507" t="e">
        <f t="shared" ca="1" si="236"/>
        <v>#NAME?</v>
      </c>
      <c r="AB273" s="507">
        <f t="shared" si="236"/>
        <v>0</v>
      </c>
      <c r="AC273" s="508">
        <f t="shared" si="236"/>
        <v>5000</v>
      </c>
      <c r="AD273" s="508">
        <f t="shared" si="236"/>
        <v>5000</v>
      </c>
      <c r="AE273" s="529"/>
      <c r="AF273" s="529"/>
      <c r="AG273" s="529"/>
      <c r="AH273" s="529"/>
      <c r="AI273" s="507"/>
      <c r="AJ273" s="507">
        <v>7000</v>
      </c>
      <c r="AK273" s="507"/>
      <c r="AL273" s="507"/>
      <c r="AM273" s="507">
        <f t="shared" si="139"/>
        <v>100</v>
      </c>
      <c r="AN273" s="509"/>
      <c r="AO273" s="510"/>
      <c r="AP273" s="510" t="e">
        <f t="shared" ca="1" si="225"/>
        <v>#NAME?</v>
      </c>
      <c r="AQ273" s="532">
        <f>AQ274</f>
        <v>0</v>
      </c>
      <c r="AR273" s="532">
        <f t="shared" ref="AR273:BH273" si="237">AR274</f>
        <v>0</v>
      </c>
      <c r="AS273" s="532">
        <f t="shared" si="237"/>
        <v>0</v>
      </c>
      <c r="AT273" s="532">
        <f t="shared" si="237"/>
        <v>0</v>
      </c>
      <c r="AU273" s="532">
        <f t="shared" si="237"/>
        <v>0</v>
      </c>
      <c r="AV273" s="532">
        <f t="shared" si="237"/>
        <v>0</v>
      </c>
      <c r="AW273" s="612">
        <f t="shared" si="237"/>
        <v>0</v>
      </c>
      <c r="AX273" s="612">
        <f t="shared" si="237"/>
        <v>0</v>
      </c>
      <c r="AY273" s="612">
        <f t="shared" si="237"/>
        <v>0</v>
      </c>
      <c r="AZ273" s="612">
        <f t="shared" si="237"/>
        <v>0</v>
      </c>
      <c r="BA273" s="612">
        <f t="shared" si="237"/>
        <v>0</v>
      </c>
      <c r="BB273" s="612">
        <f t="shared" si="237"/>
        <v>0</v>
      </c>
      <c r="BC273" s="612">
        <f t="shared" si="237"/>
        <v>0</v>
      </c>
      <c r="BD273" s="612">
        <f t="shared" si="237"/>
        <v>0</v>
      </c>
      <c r="BE273" s="612">
        <f t="shared" si="237"/>
        <v>0</v>
      </c>
      <c r="BF273" s="612">
        <f t="shared" si="237"/>
        <v>0</v>
      </c>
      <c r="BG273" s="612">
        <f t="shared" si="237"/>
        <v>0</v>
      </c>
      <c r="BH273" s="612">
        <f t="shared" si="237"/>
        <v>0</v>
      </c>
      <c r="BI273" s="612">
        <f t="shared" si="198"/>
        <v>0</v>
      </c>
      <c r="BJ273" s="201">
        <f t="shared" si="229"/>
        <v>0</v>
      </c>
    </row>
    <row r="274" spans="1:62" ht="12" customHeight="1">
      <c r="A274" s="52"/>
      <c r="B274" s="52"/>
      <c r="C274" s="52"/>
      <c r="D274" s="52"/>
      <c r="E274" s="52"/>
      <c r="F274" s="52"/>
      <c r="G274" s="52"/>
      <c r="H274" s="63">
        <v>3523</v>
      </c>
      <c r="I274" s="116"/>
      <c r="J274" s="117"/>
      <c r="K274" s="19" t="s">
        <v>270</v>
      </c>
      <c r="L274" s="129">
        <f t="shared" ref="L274:S274" si="238">L533+L534+L535</f>
        <v>0</v>
      </c>
      <c r="M274" s="129">
        <f t="shared" si="238"/>
        <v>0</v>
      </c>
      <c r="N274" s="130">
        <f t="shared" si="238"/>
        <v>0</v>
      </c>
      <c r="O274" s="130">
        <f t="shared" si="238"/>
        <v>0</v>
      </c>
      <c r="P274" s="131">
        <f t="shared" si="238"/>
        <v>0</v>
      </c>
      <c r="Q274" s="131">
        <f t="shared" si="238"/>
        <v>0</v>
      </c>
      <c r="R274" s="153">
        <f t="shared" si="238"/>
        <v>0</v>
      </c>
      <c r="S274" s="158" t="e">
        <f t="shared" ca="1" si="238"/>
        <v>#NAME?</v>
      </c>
      <c r="T274" s="158"/>
      <c r="U274" s="89" t="e">
        <f t="shared" ca="1" si="224"/>
        <v>#NAME?</v>
      </c>
      <c r="V274" s="532">
        <f>V533+V534+V535</f>
        <v>0</v>
      </c>
      <c r="W274" s="532">
        <f>W533+W534+W535</f>
        <v>0</v>
      </c>
      <c r="X274" s="534">
        <f>X533+X534+X535</f>
        <v>7000</v>
      </c>
      <c r="Y274" s="535">
        <f>Y533+Y534+Y535</f>
        <v>7000</v>
      </c>
      <c r="Z274" s="535"/>
      <c r="AA274" s="535" t="e">
        <f ca="1">AA533+AA534+AA535</f>
        <v>#NAME?</v>
      </c>
      <c r="AB274" s="535">
        <f>AB533+AB534+AB535</f>
        <v>0</v>
      </c>
      <c r="AC274" s="529">
        <f>AC533+AC534+AC535</f>
        <v>5000</v>
      </c>
      <c r="AD274" s="529">
        <f>AD533+AD534+AD535</f>
        <v>5000</v>
      </c>
      <c r="AE274" s="529"/>
      <c r="AF274" s="529"/>
      <c r="AG274" s="529"/>
      <c r="AH274" s="529"/>
      <c r="AI274" s="535"/>
      <c r="AJ274" s="535">
        <v>7000</v>
      </c>
      <c r="AK274" s="507"/>
      <c r="AL274" s="507"/>
      <c r="AM274" s="507">
        <f t="shared" si="139"/>
        <v>100</v>
      </c>
      <c r="AN274" s="556"/>
      <c r="AO274" s="510"/>
      <c r="AP274" s="510" t="e">
        <f t="shared" ca="1" si="225"/>
        <v>#NAME?</v>
      </c>
      <c r="AQ274" s="532">
        <f t="shared" ref="AQ274:BH274" si="239">AQ533+AQ534+AQ535</f>
        <v>0</v>
      </c>
      <c r="AR274" s="532">
        <f t="shared" si="239"/>
        <v>0</v>
      </c>
      <c r="AS274" s="532">
        <f t="shared" si="239"/>
        <v>0</v>
      </c>
      <c r="AT274" s="532">
        <f t="shared" si="239"/>
        <v>0</v>
      </c>
      <c r="AU274" s="532">
        <f t="shared" si="239"/>
        <v>0</v>
      </c>
      <c r="AV274" s="532">
        <f t="shared" si="239"/>
        <v>0</v>
      </c>
      <c r="AW274" s="612">
        <f t="shared" si="239"/>
        <v>0</v>
      </c>
      <c r="AX274" s="612">
        <f t="shared" si="239"/>
        <v>0</v>
      </c>
      <c r="AY274" s="612">
        <f t="shared" si="239"/>
        <v>0</v>
      </c>
      <c r="AZ274" s="612">
        <f t="shared" si="239"/>
        <v>0</v>
      </c>
      <c r="BA274" s="612">
        <f t="shared" si="239"/>
        <v>0</v>
      </c>
      <c r="BB274" s="612">
        <f t="shared" si="239"/>
        <v>0</v>
      </c>
      <c r="BC274" s="612">
        <f t="shared" si="239"/>
        <v>0</v>
      </c>
      <c r="BD274" s="612">
        <f t="shared" si="239"/>
        <v>0</v>
      </c>
      <c r="BE274" s="612">
        <f t="shared" si="239"/>
        <v>0</v>
      </c>
      <c r="BF274" s="612">
        <f t="shared" si="239"/>
        <v>0</v>
      </c>
      <c r="BG274" s="612">
        <f t="shared" si="239"/>
        <v>0</v>
      </c>
      <c r="BH274" s="612">
        <f t="shared" si="239"/>
        <v>0</v>
      </c>
      <c r="BI274" s="612">
        <f t="shared" si="198"/>
        <v>0</v>
      </c>
      <c r="BJ274" s="201">
        <f t="shared" si="229"/>
        <v>0</v>
      </c>
    </row>
    <row r="275" spans="1:62" ht="12" customHeight="1">
      <c r="A275" s="52"/>
      <c r="B275" s="52"/>
      <c r="C275" s="52"/>
      <c r="D275" s="52"/>
      <c r="E275" s="52"/>
      <c r="F275" s="52"/>
      <c r="G275" s="52"/>
      <c r="H275" s="63"/>
      <c r="I275" s="116"/>
      <c r="J275" s="117"/>
      <c r="K275" s="19"/>
      <c r="L275" s="129"/>
      <c r="M275" s="129"/>
      <c r="N275" s="130"/>
      <c r="O275" s="130"/>
      <c r="P275" s="131"/>
      <c r="Q275" s="131"/>
      <c r="R275" s="153"/>
      <c r="S275" s="158"/>
      <c r="T275" s="158"/>
      <c r="U275" s="89" t="e">
        <f t="shared" ca="1" si="224"/>
        <v>#NAME?</v>
      </c>
      <c r="V275" s="532"/>
      <c r="W275" s="532"/>
      <c r="X275" s="534"/>
      <c r="Y275" s="535"/>
      <c r="Z275" s="535"/>
      <c r="AA275" s="535"/>
      <c r="AB275" s="535"/>
      <c r="AC275" s="529"/>
      <c r="AD275" s="529"/>
      <c r="AE275" s="529"/>
      <c r="AF275" s="529"/>
      <c r="AG275" s="529"/>
      <c r="AH275" s="529"/>
      <c r="AI275" s="535"/>
      <c r="AJ275" s="535"/>
      <c r="AK275" s="507"/>
      <c r="AL275" s="507"/>
      <c r="AM275" s="507"/>
      <c r="AN275" s="556"/>
      <c r="AO275" s="510"/>
      <c r="AP275" s="510" t="e">
        <f t="shared" ca="1" si="225"/>
        <v>#NAME?</v>
      </c>
      <c r="AQ275" s="532"/>
      <c r="AR275" s="532"/>
      <c r="AS275" s="532"/>
      <c r="AT275" s="532"/>
      <c r="AU275" s="532"/>
      <c r="AV275" s="532"/>
      <c r="AW275" s="612"/>
      <c r="AX275" s="612"/>
      <c r="AY275" s="612"/>
      <c r="AZ275" s="612"/>
      <c r="BA275" s="612"/>
      <c r="BB275" s="612"/>
      <c r="BC275" s="612"/>
      <c r="BD275" s="612"/>
      <c r="BE275" s="612"/>
      <c r="BF275" s="612"/>
      <c r="BG275" s="612"/>
      <c r="BH275" s="612"/>
      <c r="BI275" s="612">
        <f t="shared" si="198"/>
        <v>0</v>
      </c>
      <c r="BJ275" s="201">
        <f t="shared" si="229"/>
        <v>0</v>
      </c>
    </row>
    <row r="276" spans="1:62" ht="12" customHeight="1">
      <c r="A276" s="58"/>
      <c r="B276" s="58"/>
      <c r="C276" s="58"/>
      <c r="D276" s="58"/>
      <c r="E276" s="58"/>
      <c r="F276" s="58"/>
      <c r="G276" s="58"/>
      <c r="H276" s="59">
        <v>36</v>
      </c>
      <c r="I276" s="124"/>
      <c r="J276" s="125"/>
      <c r="K276" s="126" t="s">
        <v>271</v>
      </c>
      <c r="L276" s="111">
        <f t="shared" ref="L276:S276" si="240">L278+L281</f>
        <v>125225</v>
      </c>
      <c r="M276" s="111">
        <f t="shared" si="240"/>
        <v>16620.213683721548</v>
      </c>
      <c r="N276" s="112">
        <f t="shared" si="240"/>
        <v>123588</v>
      </c>
      <c r="O276" s="112">
        <f t="shared" si="240"/>
        <v>16402.946446346803</v>
      </c>
      <c r="P276" s="113">
        <f t="shared" si="240"/>
        <v>25899.508925608865</v>
      </c>
      <c r="Q276" s="113">
        <f t="shared" si="240"/>
        <v>34100</v>
      </c>
      <c r="R276" s="87">
        <f t="shared" si="240"/>
        <v>22250</v>
      </c>
      <c r="S276" s="89" t="e">
        <f t="shared" ca="1" si="240"/>
        <v>#NAME?</v>
      </c>
      <c r="T276" s="89"/>
      <c r="U276" s="89" t="e">
        <f t="shared" ca="1" si="224"/>
        <v>#NAME?</v>
      </c>
      <c r="V276" s="532">
        <f>V278+V281</f>
        <v>39500</v>
      </c>
      <c r="W276" s="532">
        <f>W278+W281</f>
        <v>39500</v>
      </c>
      <c r="X276" s="506">
        <f>X278+X281</f>
        <v>40000</v>
      </c>
      <c r="Y276" s="507">
        <f>Y278+Y281</f>
        <v>42000</v>
      </c>
      <c r="Z276" s="507"/>
      <c r="AA276" s="507" t="e">
        <f ca="1">AA278+AA281</f>
        <v>#NAME?</v>
      </c>
      <c r="AB276" s="507">
        <f>AB278+AB281</f>
        <v>0</v>
      </c>
      <c r="AC276" s="508">
        <f>AC278+AC281</f>
        <v>31500</v>
      </c>
      <c r="AD276" s="508">
        <f>AD278+AD281</f>
        <v>31500</v>
      </c>
      <c r="AE276" s="529">
        <f>O276/M276*100</f>
        <v>98.692753044519861</v>
      </c>
      <c r="AF276" s="529">
        <f>P276/O276*100</f>
        <v>157.89546719746255</v>
      </c>
      <c r="AG276" s="529">
        <f>Q276/P276*100</f>
        <v>131.66272803837865</v>
      </c>
      <c r="AH276" s="529">
        <f>AC276/Q276*100</f>
        <v>92.375366568914956</v>
      </c>
      <c r="AI276" s="507"/>
      <c r="AJ276" s="507">
        <v>42000</v>
      </c>
      <c r="AK276" s="507">
        <f t="shared" si="138"/>
        <v>177.52808988764045</v>
      </c>
      <c r="AL276" s="507">
        <f t="shared" si="139"/>
        <v>101.26582278481013</v>
      </c>
      <c r="AM276" s="507">
        <f t="shared" si="139"/>
        <v>105</v>
      </c>
      <c r="AN276" s="509"/>
      <c r="AO276" s="510"/>
      <c r="AP276" s="510" t="e">
        <f t="shared" ca="1" si="225"/>
        <v>#NAME?</v>
      </c>
      <c r="AQ276" s="532">
        <f>AQ278+AQ281</f>
        <v>34240.369999999995</v>
      </c>
      <c r="AR276" s="532">
        <f t="shared" ref="AR276:BH276" si="241">AR278+AR281</f>
        <v>678.0954700510872</v>
      </c>
      <c r="AS276" s="532">
        <f t="shared" si="241"/>
        <v>300</v>
      </c>
      <c r="AT276" s="532">
        <f t="shared" si="241"/>
        <v>678.0954700510872</v>
      </c>
      <c r="AU276" s="532">
        <f t="shared" si="241"/>
        <v>312.78134057971016</v>
      </c>
      <c r="AV276" s="532">
        <f t="shared" si="241"/>
        <v>619.34972523752003</v>
      </c>
      <c r="AW276" s="612">
        <f t="shared" si="241"/>
        <v>34240.369999999995</v>
      </c>
      <c r="AX276" s="612">
        <f t="shared" si="241"/>
        <v>0</v>
      </c>
      <c r="AY276" s="612">
        <f t="shared" si="241"/>
        <v>0</v>
      </c>
      <c r="AZ276" s="612">
        <f t="shared" si="241"/>
        <v>0</v>
      </c>
      <c r="BA276" s="612">
        <f t="shared" si="241"/>
        <v>0</v>
      </c>
      <c r="BB276" s="612">
        <f t="shared" si="241"/>
        <v>0</v>
      </c>
      <c r="BC276" s="612">
        <f t="shared" si="241"/>
        <v>0</v>
      </c>
      <c r="BD276" s="612">
        <f t="shared" si="241"/>
        <v>0</v>
      </c>
      <c r="BE276" s="612">
        <f t="shared" si="241"/>
        <v>0</v>
      </c>
      <c r="BF276" s="612">
        <f t="shared" si="241"/>
        <v>0</v>
      </c>
      <c r="BG276" s="612">
        <f t="shared" si="241"/>
        <v>0</v>
      </c>
      <c r="BH276" s="612">
        <f t="shared" si="241"/>
        <v>34240.369999999995</v>
      </c>
      <c r="BI276" s="612">
        <f t="shared" si="198"/>
        <v>34240.369999999995</v>
      </c>
      <c r="BJ276" s="201">
        <f t="shared" si="229"/>
        <v>0</v>
      </c>
    </row>
    <row r="277" spans="1:62" ht="12" customHeight="1">
      <c r="A277" s="52"/>
      <c r="B277" s="52"/>
      <c r="C277" s="52"/>
      <c r="D277" s="52"/>
      <c r="E277" s="52"/>
      <c r="F277" s="52"/>
      <c r="G277" s="52"/>
      <c r="H277" s="63"/>
      <c r="I277" s="116"/>
      <c r="J277" s="117"/>
      <c r="K277" s="19"/>
      <c r="L277" s="129"/>
      <c r="M277" s="129"/>
      <c r="N277" s="130"/>
      <c r="O277" s="130"/>
      <c r="P277" s="131"/>
      <c r="Q277" s="131"/>
      <c r="R277" s="153"/>
      <c r="S277" s="158"/>
      <c r="T277" s="158"/>
      <c r="U277" s="89" t="e">
        <f t="shared" ca="1" si="224"/>
        <v>#NAME?</v>
      </c>
      <c r="V277" s="532"/>
      <c r="W277" s="532"/>
      <c r="X277" s="534"/>
      <c r="Y277" s="535"/>
      <c r="Z277" s="535"/>
      <c r="AA277" s="535"/>
      <c r="AB277" s="535"/>
      <c r="AC277" s="529"/>
      <c r="AD277" s="529"/>
      <c r="AE277" s="529"/>
      <c r="AF277" s="529"/>
      <c r="AG277" s="529"/>
      <c r="AH277" s="529"/>
      <c r="AI277" s="535"/>
      <c r="AJ277" s="535"/>
      <c r="AK277" s="507"/>
      <c r="AL277" s="507"/>
      <c r="AM277" s="507"/>
      <c r="AN277" s="556"/>
      <c r="AO277" s="510"/>
      <c r="AP277" s="510" t="e">
        <f t="shared" ca="1" si="225"/>
        <v>#NAME?</v>
      </c>
      <c r="AQ277" s="532"/>
      <c r="AR277" s="532"/>
      <c r="AS277" s="532"/>
      <c r="AT277" s="532"/>
      <c r="AU277" s="532"/>
      <c r="AV277" s="532"/>
      <c r="AW277" s="612"/>
      <c r="AX277" s="612"/>
      <c r="AY277" s="612"/>
      <c r="AZ277" s="612"/>
      <c r="BA277" s="612"/>
      <c r="BB277" s="612"/>
      <c r="BC277" s="612"/>
      <c r="BD277" s="612"/>
      <c r="BE277" s="612"/>
      <c r="BF277" s="612"/>
      <c r="BG277" s="612"/>
      <c r="BH277" s="612"/>
      <c r="BI277" s="612">
        <f t="shared" si="198"/>
        <v>0</v>
      </c>
      <c r="BJ277" s="201">
        <f t="shared" si="229"/>
        <v>0</v>
      </c>
    </row>
    <row r="278" spans="1:62" ht="12" customHeight="1">
      <c r="A278" s="61"/>
      <c r="B278" s="61"/>
      <c r="C278" s="61"/>
      <c r="D278" s="61"/>
      <c r="E278" s="61"/>
      <c r="F278" s="61"/>
      <c r="G278" s="61"/>
      <c r="H278" s="62">
        <v>363</v>
      </c>
      <c r="I278" s="127"/>
      <c r="J278" s="128"/>
      <c r="K278" s="20" t="s">
        <v>272</v>
      </c>
      <c r="L278" s="111">
        <f t="shared" ref="L278:AD278" si="242">L279</f>
        <v>0</v>
      </c>
      <c r="M278" s="111">
        <f t="shared" si="242"/>
        <v>0</v>
      </c>
      <c r="N278" s="112">
        <f t="shared" si="242"/>
        <v>0</v>
      </c>
      <c r="O278" s="112">
        <f t="shared" si="242"/>
        <v>0</v>
      </c>
      <c r="P278" s="113">
        <f t="shared" si="242"/>
        <v>0</v>
      </c>
      <c r="Q278" s="113">
        <f t="shared" si="242"/>
        <v>0</v>
      </c>
      <c r="R278" s="87">
        <f t="shared" si="242"/>
        <v>0</v>
      </c>
      <c r="S278" s="89">
        <f t="shared" si="242"/>
        <v>0</v>
      </c>
      <c r="T278" s="89"/>
      <c r="U278" s="89" t="e">
        <f t="shared" ca="1" si="224"/>
        <v>#NAME?</v>
      </c>
      <c r="V278" s="532">
        <f>V279</f>
        <v>0</v>
      </c>
      <c r="W278" s="532">
        <f t="shared" si="242"/>
        <v>0</v>
      </c>
      <c r="X278" s="506">
        <f t="shared" si="242"/>
        <v>0</v>
      </c>
      <c r="Y278" s="507">
        <f t="shared" si="242"/>
        <v>0</v>
      </c>
      <c r="Z278" s="507"/>
      <c r="AA278" s="507">
        <f t="shared" si="242"/>
        <v>0</v>
      </c>
      <c r="AB278" s="507">
        <f t="shared" si="242"/>
        <v>0</v>
      </c>
      <c r="AC278" s="508">
        <f t="shared" si="242"/>
        <v>0</v>
      </c>
      <c r="AD278" s="508">
        <f t="shared" si="242"/>
        <v>0</v>
      </c>
      <c r="AE278" s="529"/>
      <c r="AF278" s="529"/>
      <c r="AG278" s="529"/>
      <c r="AH278" s="529"/>
      <c r="AI278" s="507"/>
      <c r="AJ278" s="507">
        <v>0</v>
      </c>
      <c r="AK278" s="507"/>
      <c r="AL278" s="507"/>
      <c r="AM278" s="507"/>
      <c r="AN278" s="509"/>
      <c r="AO278" s="510"/>
      <c r="AP278" s="510" t="e">
        <f t="shared" ca="1" si="225"/>
        <v>#NAME?</v>
      </c>
      <c r="AQ278" s="532">
        <f>AQ279</f>
        <v>0</v>
      </c>
      <c r="AR278" s="532">
        <f t="shared" ref="AR278:BH278" si="243">AR279</f>
        <v>0</v>
      </c>
      <c r="AS278" s="532">
        <f t="shared" si="243"/>
        <v>0</v>
      </c>
      <c r="AT278" s="532">
        <f t="shared" si="243"/>
        <v>0</v>
      </c>
      <c r="AU278" s="532">
        <f t="shared" si="243"/>
        <v>0</v>
      </c>
      <c r="AV278" s="532">
        <f t="shared" si="243"/>
        <v>0</v>
      </c>
      <c r="AW278" s="612">
        <f t="shared" si="243"/>
        <v>0</v>
      </c>
      <c r="AX278" s="612">
        <f t="shared" si="243"/>
        <v>0</v>
      </c>
      <c r="AY278" s="612">
        <f t="shared" si="243"/>
        <v>0</v>
      </c>
      <c r="AZ278" s="612">
        <f t="shared" si="243"/>
        <v>0</v>
      </c>
      <c r="BA278" s="612">
        <f t="shared" si="243"/>
        <v>0</v>
      </c>
      <c r="BB278" s="612">
        <f t="shared" si="243"/>
        <v>0</v>
      </c>
      <c r="BC278" s="612">
        <f t="shared" si="243"/>
        <v>0</v>
      </c>
      <c r="BD278" s="612">
        <f t="shared" si="243"/>
        <v>0</v>
      </c>
      <c r="BE278" s="612">
        <f t="shared" si="243"/>
        <v>0</v>
      </c>
      <c r="BF278" s="612">
        <f t="shared" si="243"/>
        <v>0</v>
      </c>
      <c r="BG278" s="612">
        <f t="shared" si="243"/>
        <v>0</v>
      </c>
      <c r="BH278" s="612">
        <f t="shared" si="243"/>
        <v>0</v>
      </c>
      <c r="BI278" s="612">
        <f t="shared" si="198"/>
        <v>0</v>
      </c>
      <c r="BJ278" s="201">
        <f t="shared" si="229"/>
        <v>0</v>
      </c>
    </row>
    <row r="279" spans="1:62" ht="12" customHeight="1">
      <c r="A279" s="52"/>
      <c r="B279" s="52"/>
      <c r="C279" s="52"/>
      <c r="D279" s="52"/>
      <c r="E279" s="52"/>
      <c r="F279" s="52"/>
      <c r="G279" s="52"/>
      <c r="H279" s="63">
        <v>3631</v>
      </c>
      <c r="I279" s="116"/>
      <c r="J279" s="117"/>
      <c r="K279" s="19" t="s">
        <v>273</v>
      </c>
      <c r="L279" s="129"/>
      <c r="M279" s="129"/>
      <c r="N279" s="130"/>
      <c r="O279" s="130"/>
      <c r="P279" s="131"/>
      <c r="Q279" s="131"/>
      <c r="R279" s="153"/>
      <c r="S279" s="158"/>
      <c r="T279" s="158"/>
      <c r="U279" s="89" t="e">
        <f t="shared" ca="1" si="224"/>
        <v>#NAME?</v>
      </c>
      <c r="V279" s="532"/>
      <c r="W279" s="532"/>
      <c r="X279" s="534"/>
      <c r="Y279" s="535"/>
      <c r="Z279" s="535"/>
      <c r="AA279" s="535"/>
      <c r="AB279" s="535"/>
      <c r="AC279" s="529"/>
      <c r="AD279" s="529"/>
      <c r="AE279" s="529"/>
      <c r="AF279" s="529"/>
      <c r="AG279" s="529"/>
      <c r="AH279" s="529"/>
      <c r="AI279" s="535"/>
      <c r="AJ279" s="535"/>
      <c r="AK279" s="507"/>
      <c r="AL279" s="507"/>
      <c r="AM279" s="507"/>
      <c r="AN279" s="556"/>
      <c r="AO279" s="510"/>
      <c r="AP279" s="510" t="e">
        <f t="shared" ca="1" si="225"/>
        <v>#NAME?</v>
      </c>
      <c r="AQ279" s="532"/>
      <c r="AR279" s="532"/>
      <c r="AS279" s="532"/>
      <c r="AT279" s="532"/>
      <c r="AU279" s="532"/>
      <c r="AV279" s="532"/>
      <c r="AW279" s="612"/>
      <c r="AX279" s="612"/>
      <c r="AY279" s="612"/>
      <c r="AZ279" s="612"/>
      <c r="BA279" s="612"/>
      <c r="BB279" s="612"/>
      <c r="BC279" s="612"/>
      <c r="BD279" s="612"/>
      <c r="BE279" s="612"/>
      <c r="BF279" s="612"/>
      <c r="BG279" s="612"/>
      <c r="BH279" s="612"/>
      <c r="BI279" s="612">
        <f t="shared" si="198"/>
        <v>0</v>
      </c>
      <c r="BJ279" s="201">
        <f t="shared" si="229"/>
        <v>0</v>
      </c>
    </row>
    <row r="280" spans="1:62" ht="12" customHeight="1">
      <c r="A280" s="52"/>
      <c r="B280" s="52"/>
      <c r="C280" s="52"/>
      <c r="D280" s="52"/>
      <c r="E280" s="52"/>
      <c r="F280" s="52"/>
      <c r="G280" s="52"/>
      <c r="H280" s="204"/>
      <c r="I280" s="207"/>
      <c r="J280" s="208"/>
      <c r="K280" s="209"/>
      <c r="L280" s="129"/>
      <c r="M280" s="129"/>
      <c r="N280" s="130"/>
      <c r="O280" s="130"/>
      <c r="P280" s="131"/>
      <c r="Q280" s="131"/>
      <c r="R280" s="153"/>
      <c r="S280" s="158"/>
      <c r="T280" s="158"/>
      <c r="U280" s="89" t="e">
        <f t="shared" ca="1" si="224"/>
        <v>#NAME?</v>
      </c>
      <c r="V280" s="532"/>
      <c r="W280" s="532"/>
      <c r="X280" s="534"/>
      <c r="Y280" s="535"/>
      <c r="Z280" s="535"/>
      <c r="AA280" s="535"/>
      <c r="AB280" s="535"/>
      <c r="AC280" s="529"/>
      <c r="AD280" s="529"/>
      <c r="AE280" s="529"/>
      <c r="AF280" s="529"/>
      <c r="AG280" s="529"/>
      <c r="AH280" s="529"/>
      <c r="AI280" s="535"/>
      <c r="AJ280" s="535"/>
      <c r="AK280" s="507"/>
      <c r="AL280" s="507"/>
      <c r="AM280" s="507"/>
      <c r="AN280" s="556"/>
      <c r="AO280" s="510"/>
      <c r="AP280" s="510" t="e">
        <f t="shared" ca="1" si="225"/>
        <v>#NAME?</v>
      </c>
      <c r="AQ280" s="532"/>
      <c r="AR280" s="532"/>
      <c r="AS280" s="532"/>
      <c r="AT280" s="532"/>
      <c r="AU280" s="532"/>
      <c r="AV280" s="532"/>
      <c r="AW280" s="612"/>
      <c r="AX280" s="612"/>
      <c r="AY280" s="612"/>
      <c r="AZ280" s="612"/>
      <c r="BA280" s="612"/>
      <c r="BB280" s="612"/>
      <c r="BC280" s="612"/>
      <c r="BD280" s="612"/>
      <c r="BE280" s="612"/>
      <c r="BF280" s="612"/>
      <c r="BG280" s="612"/>
      <c r="BH280" s="612"/>
      <c r="BI280" s="612">
        <f t="shared" si="198"/>
        <v>0</v>
      </c>
      <c r="BJ280" s="201">
        <f t="shared" si="229"/>
        <v>0</v>
      </c>
    </row>
    <row r="281" spans="1:62" ht="12" customHeight="1">
      <c r="A281" s="61"/>
      <c r="B281" s="61"/>
      <c r="C281" s="61"/>
      <c r="D281" s="61"/>
      <c r="E281" s="61"/>
      <c r="F281" s="61"/>
      <c r="G281" s="61"/>
      <c r="H281" s="62">
        <v>366</v>
      </c>
      <c r="I281" s="127"/>
      <c r="J281" s="128"/>
      <c r="K281" s="20" t="s">
        <v>274</v>
      </c>
      <c r="L281" s="111">
        <f t="shared" ref="L281:S281" si="244">L282+L283</f>
        <v>125225</v>
      </c>
      <c r="M281" s="111">
        <f t="shared" si="244"/>
        <v>16620.213683721548</v>
      </c>
      <c r="N281" s="112">
        <f t="shared" si="244"/>
        <v>123588</v>
      </c>
      <c r="O281" s="112">
        <f t="shared" si="244"/>
        <v>16402.946446346803</v>
      </c>
      <c r="P281" s="113">
        <f t="shared" si="244"/>
        <v>25899.508925608865</v>
      </c>
      <c r="Q281" s="113">
        <f t="shared" si="244"/>
        <v>34100</v>
      </c>
      <c r="R281" s="87">
        <f t="shared" si="244"/>
        <v>22250</v>
      </c>
      <c r="S281" s="89" t="e">
        <f t="shared" ca="1" si="244"/>
        <v>#NAME?</v>
      </c>
      <c r="T281" s="89"/>
      <c r="U281" s="89" t="e">
        <f t="shared" ca="1" si="224"/>
        <v>#NAME?</v>
      </c>
      <c r="V281" s="532">
        <f>V282+V283</f>
        <v>39500</v>
      </c>
      <c r="W281" s="532">
        <f>W282+W283</f>
        <v>39500</v>
      </c>
      <c r="X281" s="506">
        <f>X282+X283</f>
        <v>40000</v>
      </c>
      <c r="Y281" s="507">
        <f>Y282+Y283</f>
        <v>42000</v>
      </c>
      <c r="Z281" s="507"/>
      <c r="AA281" s="507" t="e">
        <f ca="1">AA282+AA283</f>
        <v>#NAME?</v>
      </c>
      <c r="AB281" s="507">
        <f>AB282+AB283</f>
        <v>0</v>
      </c>
      <c r="AC281" s="508">
        <f>AC282+AC283</f>
        <v>31500</v>
      </c>
      <c r="AD281" s="508">
        <f>AD282+AD283</f>
        <v>31500</v>
      </c>
      <c r="AE281" s="529">
        <f>O281/M281*100</f>
        <v>98.692753044519861</v>
      </c>
      <c r="AF281" s="529">
        <f>P281/O281*100</f>
        <v>157.89546719746255</v>
      </c>
      <c r="AG281" s="529">
        <f>Q281/P281*100</f>
        <v>131.66272803837865</v>
      </c>
      <c r="AH281" s="529">
        <f>AC281/Q281*100</f>
        <v>92.375366568914956</v>
      </c>
      <c r="AI281" s="507"/>
      <c r="AJ281" s="507">
        <v>42000</v>
      </c>
      <c r="AK281" s="507">
        <f>W281/R281*100</f>
        <v>177.52808988764045</v>
      </c>
      <c r="AL281" s="507">
        <f t="shared" ref="AL281:AM338" si="245">X281/W281*100</f>
        <v>101.26582278481013</v>
      </c>
      <c r="AM281" s="507">
        <f t="shared" si="245"/>
        <v>105</v>
      </c>
      <c r="AN281" s="509"/>
      <c r="AO281" s="510"/>
      <c r="AP281" s="510" t="e">
        <f t="shared" ca="1" si="225"/>
        <v>#NAME?</v>
      </c>
      <c r="AQ281" s="532">
        <f>AQ282+AQ283</f>
        <v>34240.369999999995</v>
      </c>
      <c r="AR281" s="532">
        <f t="shared" ref="AR281:BH281" si="246">AR282+AR283</f>
        <v>678.0954700510872</v>
      </c>
      <c r="AS281" s="532">
        <f t="shared" si="246"/>
        <v>300</v>
      </c>
      <c r="AT281" s="532">
        <f t="shared" si="246"/>
        <v>678.0954700510872</v>
      </c>
      <c r="AU281" s="532">
        <f t="shared" si="246"/>
        <v>312.78134057971016</v>
      </c>
      <c r="AV281" s="532">
        <f t="shared" si="246"/>
        <v>619.34972523752003</v>
      </c>
      <c r="AW281" s="612">
        <f t="shared" si="246"/>
        <v>34240.369999999995</v>
      </c>
      <c r="AX281" s="612">
        <f t="shared" si="246"/>
        <v>0</v>
      </c>
      <c r="AY281" s="612">
        <f t="shared" si="246"/>
        <v>0</v>
      </c>
      <c r="AZ281" s="612">
        <f t="shared" si="246"/>
        <v>0</v>
      </c>
      <c r="BA281" s="612">
        <f t="shared" si="246"/>
        <v>0</v>
      </c>
      <c r="BB281" s="612">
        <f t="shared" si="246"/>
        <v>0</v>
      </c>
      <c r="BC281" s="612">
        <f t="shared" si="246"/>
        <v>0</v>
      </c>
      <c r="BD281" s="612">
        <f t="shared" si="246"/>
        <v>0</v>
      </c>
      <c r="BE281" s="612">
        <f t="shared" si="246"/>
        <v>0</v>
      </c>
      <c r="BF281" s="612">
        <f t="shared" si="246"/>
        <v>0</v>
      </c>
      <c r="BG281" s="612">
        <f t="shared" si="246"/>
        <v>0</v>
      </c>
      <c r="BH281" s="612">
        <f t="shared" si="246"/>
        <v>34240.369999999995</v>
      </c>
      <c r="BI281" s="612">
        <f t="shared" si="198"/>
        <v>34240.369999999995</v>
      </c>
      <c r="BJ281" s="201">
        <f t="shared" si="229"/>
        <v>0</v>
      </c>
    </row>
    <row r="282" spans="1:62" ht="12" customHeight="1">
      <c r="A282" s="52"/>
      <c r="B282" s="52"/>
      <c r="C282" s="52"/>
      <c r="D282" s="52"/>
      <c r="E282" s="52"/>
      <c r="F282" s="52"/>
      <c r="G282" s="52"/>
      <c r="H282" s="63">
        <v>3661</v>
      </c>
      <c r="I282" s="116"/>
      <c r="J282" s="117"/>
      <c r="K282" s="19" t="s">
        <v>275</v>
      </c>
      <c r="L282" s="129">
        <f t="shared" ref="L282:S282" si="247">L846+L915</f>
        <v>125225</v>
      </c>
      <c r="M282" s="129">
        <f t="shared" si="247"/>
        <v>16620.213683721548</v>
      </c>
      <c r="N282" s="130">
        <f t="shared" si="247"/>
        <v>123588</v>
      </c>
      <c r="O282" s="130">
        <f t="shared" si="247"/>
        <v>16402.946446346803</v>
      </c>
      <c r="P282" s="131">
        <f t="shared" si="247"/>
        <v>25899.508925608865</v>
      </c>
      <c r="Q282" s="131">
        <f t="shared" si="247"/>
        <v>34100</v>
      </c>
      <c r="R282" s="153">
        <f t="shared" si="247"/>
        <v>22250</v>
      </c>
      <c r="S282" s="158" t="e">
        <f t="shared" ca="1" si="247"/>
        <v>#NAME?</v>
      </c>
      <c r="T282" s="158"/>
      <c r="U282" s="89" t="e">
        <f t="shared" ca="1" si="224"/>
        <v>#NAME?</v>
      </c>
      <c r="V282" s="532">
        <f>V846+V915</f>
        <v>39500</v>
      </c>
      <c r="W282" s="532">
        <f>W846+W915</f>
        <v>39500</v>
      </c>
      <c r="X282" s="534">
        <f>X846+X915</f>
        <v>40000</v>
      </c>
      <c r="Y282" s="535">
        <f>Y846+Y915</f>
        <v>42000</v>
      </c>
      <c r="Z282" s="535"/>
      <c r="AA282" s="535" t="e">
        <f ca="1">AA846+AA915</f>
        <v>#NAME?</v>
      </c>
      <c r="AB282" s="535">
        <f>AB846+AB915</f>
        <v>0</v>
      </c>
      <c r="AC282" s="529">
        <f>AC846+AC915</f>
        <v>26500</v>
      </c>
      <c r="AD282" s="529">
        <f>AD846+AD915</f>
        <v>26500</v>
      </c>
      <c r="AE282" s="529">
        <f>O282/M282*100</f>
        <v>98.692753044519861</v>
      </c>
      <c r="AF282" s="529">
        <f>P282/O282*100</f>
        <v>157.89546719746255</v>
      </c>
      <c r="AG282" s="529">
        <f>Q282/P282*100</f>
        <v>131.66272803837865</v>
      </c>
      <c r="AH282" s="529">
        <f>AC282/Q282*100</f>
        <v>77.712609970674478</v>
      </c>
      <c r="AI282" s="535"/>
      <c r="AJ282" s="535">
        <v>42000</v>
      </c>
      <c r="AK282" s="507">
        <f>W282/R282*100</f>
        <v>177.52808988764045</v>
      </c>
      <c r="AL282" s="507">
        <f t="shared" si="245"/>
        <v>101.26582278481013</v>
      </c>
      <c r="AM282" s="507">
        <f t="shared" si="245"/>
        <v>105</v>
      </c>
      <c r="AN282" s="556"/>
      <c r="AO282" s="510"/>
      <c r="AP282" s="510" t="e">
        <f t="shared" ca="1" si="225"/>
        <v>#NAME?</v>
      </c>
      <c r="AQ282" s="532">
        <f t="shared" ref="AQ282:BH282" si="248">AQ846+AQ915</f>
        <v>34240.369999999995</v>
      </c>
      <c r="AR282" s="532">
        <f t="shared" si="248"/>
        <v>678.0954700510872</v>
      </c>
      <c r="AS282" s="532">
        <f t="shared" si="248"/>
        <v>300</v>
      </c>
      <c r="AT282" s="532">
        <f t="shared" si="248"/>
        <v>678.0954700510872</v>
      </c>
      <c r="AU282" s="532">
        <f t="shared" si="248"/>
        <v>312.78134057971016</v>
      </c>
      <c r="AV282" s="532">
        <f t="shared" si="248"/>
        <v>619.34972523752003</v>
      </c>
      <c r="AW282" s="612">
        <f t="shared" si="248"/>
        <v>34240.369999999995</v>
      </c>
      <c r="AX282" s="612">
        <f t="shared" si="248"/>
        <v>0</v>
      </c>
      <c r="AY282" s="612">
        <f t="shared" si="248"/>
        <v>0</v>
      </c>
      <c r="AZ282" s="612">
        <f t="shared" si="248"/>
        <v>0</v>
      </c>
      <c r="BA282" s="612">
        <f t="shared" si="248"/>
        <v>0</v>
      </c>
      <c r="BB282" s="612">
        <f t="shared" si="248"/>
        <v>0</v>
      </c>
      <c r="BC282" s="612">
        <f t="shared" si="248"/>
        <v>0</v>
      </c>
      <c r="BD282" s="612">
        <f t="shared" si="248"/>
        <v>0</v>
      </c>
      <c r="BE282" s="612">
        <f t="shared" si="248"/>
        <v>0</v>
      </c>
      <c r="BF282" s="612">
        <f t="shared" si="248"/>
        <v>0</v>
      </c>
      <c r="BG282" s="612">
        <f t="shared" si="248"/>
        <v>0</v>
      </c>
      <c r="BH282" s="612">
        <f t="shared" si="248"/>
        <v>34240.369999999995</v>
      </c>
      <c r="BI282" s="612">
        <f t="shared" ref="BI282:BI313" si="249">SUM(AW282:BG282)</f>
        <v>34240.369999999995</v>
      </c>
      <c r="BJ282" s="201">
        <f t="shared" si="229"/>
        <v>0</v>
      </c>
    </row>
    <row r="283" spans="1:62" ht="12" customHeight="1">
      <c r="A283" s="52"/>
      <c r="B283" s="52"/>
      <c r="C283" s="52"/>
      <c r="D283" s="52"/>
      <c r="E283" s="52"/>
      <c r="F283" s="52"/>
      <c r="G283" s="52"/>
      <c r="H283" s="63">
        <v>3662</v>
      </c>
      <c r="I283" s="116"/>
      <c r="J283" s="117"/>
      <c r="K283" s="19" t="s">
        <v>276</v>
      </c>
      <c r="L283" s="129">
        <f t="shared" ref="L283:S283" si="250">L931</f>
        <v>0</v>
      </c>
      <c r="M283" s="129">
        <f t="shared" si="250"/>
        <v>0</v>
      </c>
      <c r="N283" s="130">
        <f t="shared" si="250"/>
        <v>0</v>
      </c>
      <c r="O283" s="130">
        <f t="shared" si="250"/>
        <v>0</v>
      </c>
      <c r="P283" s="131">
        <f t="shared" si="250"/>
        <v>0</v>
      </c>
      <c r="Q283" s="131">
        <f t="shared" si="250"/>
        <v>0</v>
      </c>
      <c r="R283" s="153">
        <f t="shared" si="250"/>
        <v>0</v>
      </c>
      <c r="S283" s="158" t="e">
        <f t="shared" ca="1" si="250"/>
        <v>#NAME?</v>
      </c>
      <c r="T283" s="158"/>
      <c r="U283" s="89" t="e">
        <f t="shared" ca="1" si="224"/>
        <v>#NAME?</v>
      </c>
      <c r="V283" s="532">
        <f>V931</f>
        <v>0</v>
      </c>
      <c r="W283" s="532">
        <f>W931</f>
        <v>0</v>
      </c>
      <c r="X283" s="534">
        <f>X931</f>
        <v>0</v>
      </c>
      <c r="Y283" s="535">
        <f>Y931</f>
        <v>0</v>
      </c>
      <c r="Z283" s="535"/>
      <c r="AA283" s="535" t="e">
        <f ca="1">AA931</f>
        <v>#NAME?</v>
      </c>
      <c r="AB283" s="535">
        <f>AB931</f>
        <v>0</v>
      </c>
      <c r="AC283" s="529">
        <f>AC931</f>
        <v>5000</v>
      </c>
      <c r="AD283" s="529">
        <f>AD931</f>
        <v>5000</v>
      </c>
      <c r="AE283" s="529"/>
      <c r="AF283" s="529"/>
      <c r="AG283" s="529"/>
      <c r="AH283" s="529"/>
      <c r="AI283" s="535"/>
      <c r="AJ283" s="535">
        <v>0</v>
      </c>
      <c r="AK283" s="507"/>
      <c r="AL283" s="507"/>
      <c r="AM283" s="507"/>
      <c r="AN283" s="556"/>
      <c r="AO283" s="510"/>
      <c r="AP283" s="510" t="e">
        <f t="shared" ca="1" si="225"/>
        <v>#NAME?</v>
      </c>
      <c r="AQ283" s="532">
        <f t="shared" ref="AQ283:BH283" si="251">AQ931</f>
        <v>0</v>
      </c>
      <c r="AR283" s="532">
        <f t="shared" si="251"/>
        <v>0</v>
      </c>
      <c r="AS283" s="532">
        <f t="shared" si="251"/>
        <v>0</v>
      </c>
      <c r="AT283" s="532">
        <f t="shared" si="251"/>
        <v>0</v>
      </c>
      <c r="AU283" s="532">
        <f t="shared" si="251"/>
        <v>0</v>
      </c>
      <c r="AV283" s="532">
        <f t="shared" si="251"/>
        <v>0</v>
      </c>
      <c r="AW283" s="612">
        <f t="shared" si="251"/>
        <v>0</v>
      </c>
      <c r="AX283" s="612">
        <f t="shared" si="251"/>
        <v>0</v>
      </c>
      <c r="AY283" s="612">
        <f t="shared" si="251"/>
        <v>0</v>
      </c>
      <c r="AZ283" s="612">
        <f t="shared" si="251"/>
        <v>0</v>
      </c>
      <c r="BA283" s="612">
        <f t="shared" si="251"/>
        <v>0</v>
      </c>
      <c r="BB283" s="612">
        <f t="shared" si="251"/>
        <v>0</v>
      </c>
      <c r="BC283" s="612">
        <f t="shared" si="251"/>
        <v>0</v>
      </c>
      <c r="BD283" s="612">
        <f t="shared" si="251"/>
        <v>0</v>
      </c>
      <c r="BE283" s="612">
        <f t="shared" si="251"/>
        <v>0</v>
      </c>
      <c r="BF283" s="612">
        <f t="shared" si="251"/>
        <v>0</v>
      </c>
      <c r="BG283" s="612">
        <f t="shared" si="251"/>
        <v>0</v>
      </c>
      <c r="BH283" s="612">
        <f t="shared" si="251"/>
        <v>0</v>
      </c>
      <c r="BI283" s="612">
        <f t="shared" si="249"/>
        <v>0</v>
      </c>
      <c r="BJ283" s="201">
        <f t="shared" si="229"/>
        <v>0</v>
      </c>
    </row>
    <row r="284" spans="1:62" ht="12" customHeight="1">
      <c r="A284" s="41"/>
      <c r="B284" s="41"/>
      <c r="C284" s="41"/>
      <c r="D284" s="41"/>
      <c r="E284" s="41"/>
      <c r="F284" s="41"/>
      <c r="G284" s="41"/>
      <c r="H284" s="37"/>
      <c r="I284" s="72"/>
      <c r="J284" s="74"/>
      <c r="K284" s="83"/>
      <c r="L284" s="84"/>
      <c r="M284" s="84"/>
      <c r="N284" s="85"/>
      <c r="O284" s="85"/>
      <c r="P284" s="86"/>
      <c r="Q284" s="86"/>
      <c r="R284" s="154"/>
      <c r="S284" s="155"/>
      <c r="T284" s="155"/>
      <c r="U284" s="89" t="e">
        <f t="shared" ca="1" si="224"/>
        <v>#NAME?</v>
      </c>
      <c r="V284" s="532"/>
      <c r="W284" s="532"/>
      <c r="X284" s="536"/>
      <c r="Y284" s="537"/>
      <c r="Z284" s="537"/>
      <c r="AA284" s="537"/>
      <c r="AB284" s="537"/>
      <c r="AC284" s="538"/>
      <c r="AD284" s="538"/>
      <c r="AE284" s="529"/>
      <c r="AF284" s="529"/>
      <c r="AG284" s="529"/>
      <c r="AH284" s="529"/>
      <c r="AI284" s="537"/>
      <c r="AJ284" s="537"/>
      <c r="AK284" s="507"/>
      <c r="AL284" s="507"/>
      <c r="AM284" s="507"/>
      <c r="AN284" s="557"/>
      <c r="AO284" s="510"/>
      <c r="AP284" s="510" t="e">
        <f t="shared" ca="1" si="225"/>
        <v>#NAME?</v>
      </c>
      <c r="AQ284" s="532"/>
      <c r="AR284" s="532"/>
      <c r="AS284" s="532"/>
      <c r="AT284" s="532"/>
      <c r="AU284" s="532"/>
      <c r="AV284" s="532"/>
      <c r="AW284" s="612"/>
      <c r="AX284" s="612"/>
      <c r="AY284" s="612"/>
      <c r="AZ284" s="612"/>
      <c r="BA284" s="612"/>
      <c r="BB284" s="612"/>
      <c r="BC284" s="612"/>
      <c r="BD284" s="612"/>
      <c r="BE284" s="612"/>
      <c r="BF284" s="612"/>
      <c r="BG284" s="612"/>
      <c r="BH284" s="612"/>
      <c r="BI284" s="612">
        <f t="shared" si="249"/>
        <v>0</v>
      </c>
      <c r="BJ284" s="201">
        <f t="shared" si="229"/>
        <v>0</v>
      </c>
    </row>
    <row r="285" spans="1:62" ht="12" customHeight="1">
      <c r="A285" s="58"/>
      <c r="B285" s="58"/>
      <c r="C285" s="58"/>
      <c r="D285" s="58"/>
      <c r="E285" s="58"/>
      <c r="F285" s="58"/>
      <c r="G285" s="58"/>
      <c r="H285" s="59">
        <v>37</v>
      </c>
      <c r="I285" s="124"/>
      <c r="J285" s="125"/>
      <c r="K285" s="210" t="s">
        <v>277</v>
      </c>
      <c r="L285" s="111">
        <f t="shared" ref="L285:S285" si="252">L288</f>
        <v>731840</v>
      </c>
      <c r="M285" s="111">
        <f t="shared" si="252"/>
        <v>97131.86011015992</v>
      </c>
      <c r="N285" s="112">
        <f t="shared" si="252"/>
        <v>988301</v>
      </c>
      <c r="O285" s="112">
        <f t="shared" si="252"/>
        <v>131170.08427898333</v>
      </c>
      <c r="P285" s="113">
        <f t="shared" si="252"/>
        <v>146700</v>
      </c>
      <c r="Q285" s="113">
        <f t="shared" si="252"/>
        <v>158000</v>
      </c>
      <c r="R285" s="87">
        <f t="shared" si="252"/>
        <v>153896</v>
      </c>
      <c r="S285" s="89" t="e">
        <f t="shared" ca="1" si="252"/>
        <v>#NAME?</v>
      </c>
      <c r="T285" s="89"/>
      <c r="U285" s="89" t="e">
        <f t="shared" ca="1" si="224"/>
        <v>#NAME?</v>
      </c>
      <c r="V285" s="532">
        <f>V288</f>
        <v>183500</v>
      </c>
      <c r="W285" s="532">
        <f>W288</f>
        <v>183500</v>
      </c>
      <c r="X285" s="506">
        <f>X288</f>
        <v>234000</v>
      </c>
      <c r="Y285" s="507">
        <f>Y288</f>
        <v>273000</v>
      </c>
      <c r="Z285" s="507"/>
      <c r="AA285" s="507" t="e">
        <f ca="1">AA288</f>
        <v>#NAME?</v>
      </c>
      <c r="AB285" s="507">
        <f>AB288</f>
        <v>0</v>
      </c>
      <c r="AC285" s="508">
        <f>AC288</f>
        <v>152000</v>
      </c>
      <c r="AD285" s="508">
        <f>AD288</f>
        <v>152000</v>
      </c>
      <c r="AE285" s="529">
        <f>O285/M285*100</f>
        <v>135.04331547879318</v>
      </c>
      <c r="AF285" s="529">
        <f>P285/O285*100</f>
        <v>111.83952561011272</v>
      </c>
      <c r="AG285" s="529">
        <f>Q285/P285*100</f>
        <v>107.70279481935923</v>
      </c>
      <c r="AH285" s="529">
        <f>AC285/Q285*100</f>
        <v>96.202531645569621</v>
      </c>
      <c r="AI285" s="507"/>
      <c r="AJ285" s="507">
        <v>273000</v>
      </c>
      <c r="AK285" s="507">
        <f>W285/R285*100</f>
        <v>119.23636741695691</v>
      </c>
      <c r="AL285" s="507">
        <f t="shared" si="245"/>
        <v>127.52043596730245</v>
      </c>
      <c r="AM285" s="507">
        <f t="shared" si="245"/>
        <v>116.66666666666667</v>
      </c>
      <c r="AN285" s="509"/>
      <c r="AO285" s="510"/>
      <c r="AP285" s="510" t="e">
        <f t="shared" ca="1" si="225"/>
        <v>#NAME?</v>
      </c>
      <c r="AQ285" s="532">
        <f>AQ288</f>
        <v>154738.14000000001</v>
      </c>
      <c r="AR285" s="532">
        <f t="shared" ref="AR285:BH285" si="253">AR288</f>
        <v>480.83180345737554</v>
      </c>
      <c r="AS285" s="532">
        <f t="shared" si="253"/>
        <v>600</v>
      </c>
      <c r="AT285" s="532">
        <f t="shared" si="253"/>
        <v>480.83180345737554</v>
      </c>
      <c r="AU285" s="532">
        <f t="shared" si="253"/>
        <v>424.01664698564593</v>
      </c>
      <c r="AV285" s="532">
        <f t="shared" si="253"/>
        <v>402.30246847010733</v>
      </c>
      <c r="AW285" s="612">
        <f t="shared" si="253"/>
        <v>154738.14000000001</v>
      </c>
      <c r="AX285" s="612">
        <f t="shared" si="253"/>
        <v>0</v>
      </c>
      <c r="AY285" s="612">
        <f t="shared" si="253"/>
        <v>0</v>
      </c>
      <c r="AZ285" s="612">
        <f t="shared" si="253"/>
        <v>0</v>
      </c>
      <c r="BA285" s="612">
        <f t="shared" si="253"/>
        <v>0</v>
      </c>
      <c r="BB285" s="612">
        <f t="shared" si="253"/>
        <v>0</v>
      </c>
      <c r="BC285" s="612">
        <f t="shared" si="253"/>
        <v>0</v>
      </c>
      <c r="BD285" s="612">
        <f t="shared" si="253"/>
        <v>0</v>
      </c>
      <c r="BE285" s="612">
        <f t="shared" si="253"/>
        <v>0</v>
      </c>
      <c r="BF285" s="612">
        <f t="shared" si="253"/>
        <v>0</v>
      </c>
      <c r="BG285" s="612">
        <f t="shared" si="253"/>
        <v>0</v>
      </c>
      <c r="BH285" s="612">
        <f t="shared" si="253"/>
        <v>154738.14000000001</v>
      </c>
      <c r="BI285" s="612">
        <f t="shared" si="249"/>
        <v>154738.14000000001</v>
      </c>
      <c r="BJ285" s="201">
        <f t="shared" si="229"/>
        <v>0</v>
      </c>
    </row>
    <row r="286" spans="1:62" ht="12" customHeight="1">
      <c r="A286" s="41"/>
      <c r="B286" s="41"/>
      <c r="C286" s="41"/>
      <c r="D286" s="41"/>
      <c r="E286" s="41"/>
      <c r="F286" s="41"/>
      <c r="G286" s="41"/>
      <c r="H286" s="42"/>
      <c r="I286" s="93"/>
      <c r="J286" s="90"/>
      <c r="K286" s="187"/>
      <c r="L286" s="84"/>
      <c r="M286" s="84"/>
      <c r="N286" s="85"/>
      <c r="O286" s="85"/>
      <c r="P286" s="86"/>
      <c r="Q286" s="86"/>
      <c r="R286" s="154"/>
      <c r="S286" s="155"/>
      <c r="T286" s="155"/>
      <c r="U286" s="89" t="e">
        <f t="shared" ca="1" si="224"/>
        <v>#NAME?</v>
      </c>
      <c r="V286" s="532"/>
      <c r="W286" s="532"/>
      <c r="X286" s="536"/>
      <c r="Y286" s="537"/>
      <c r="Z286" s="537"/>
      <c r="AA286" s="537"/>
      <c r="AB286" s="537"/>
      <c r="AC286" s="538"/>
      <c r="AD286" s="538"/>
      <c r="AE286" s="529"/>
      <c r="AF286" s="529"/>
      <c r="AG286" s="529"/>
      <c r="AH286" s="529"/>
      <c r="AI286" s="537"/>
      <c r="AJ286" s="537"/>
      <c r="AK286" s="507"/>
      <c r="AL286" s="507"/>
      <c r="AM286" s="507"/>
      <c r="AN286" s="557"/>
      <c r="AO286" s="510"/>
      <c r="AP286" s="510" t="e">
        <f t="shared" ca="1" si="225"/>
        <v>#NAME?</v>
      </c>
      <c r="AQ286" s="532"/>
      <c r="AR286" s="532"/>
      <c r="AS286" s="532"/>
      <c r="AT286" s="532"/>
      <c r="AU286" s="532"/>
      <c r="AV286" s="532"/>
      <c r="AW286" s="612"/>
      <c r="AX286" s="612"/>
      <c r="AY286" s="612"/>
      <c r="AZ286" s="612"/>
      <c r="BA286" s="612"/>
      <c r="BB286" s="612"/>
      <c r="BC286" s="612"/>
      <c r="BD286" s="612"/>
      <c r="BE286" s="612"/>
      <c r="BF286" s="612"/>
      <c r="BG286" s="612"/>
      <c r="BH286" s="612"/>
      <c r="BI286" s="612">
        <f t="shared" si="249"/>
        <v>0</v>
      </c>
      <c r="BJ286" s="201">
        <f t="shared" si="229"/>
        <v>0</v>
      </c>
    </row>
    <row r="287" spans="1:62" ht="12" customHeight="1">
      <c r="A287" s="41"/>
      <c r="B287" s="41"/>
      <c r="C287" s="41"/>
      <c r="D287" s="41"/>
      <c r="E287" s="41"/>
      <c r="F287" s="41"/>
      <c r="G287" s="41"/>
      <c r="H287" s="37"/>
      <c r="I287" s="72"/>
      <c r="J287" s="90"/>
      <c r="K287" s="83"/>
      <c r="L287" s="84">
        <v>1</v>
      </c>
      <c r="M287" s="84">
        <v>2</v>
      </c>
      <c r="N287" s="85">
        <v>3</v>
      </c>
      <c r="O287" s="85">
        <v>4</v>
      </c>
      <c r="P287" s="86">
        <v>5</v>
      </c>
      <c r="Q287" s="86">
        <v>6</v>
      </c>
      <c r="R287" s="154"/>
      <c r="S287" s="155"/>
      <c r="T287" s="155"/>
      <c r="U287" s="89" t="e">
        <f t="shared" ca="1" si="224"/>
        <v>#NAME?</v>
      </c>
      <c r="V287" s="532"/>
      <c r="W287" s="532"/>
      <c r="X287" s="536"/>
      <c r="Y287" s="537"/>
      <c r="Z287" s="537"/>
      <c r="AA287" s="537"/>
      <c r="AB287" s="537"/>
      <c r="AC287" s="538">
        <v>7</v>
      </c>
      <c r="AD287" s="538">
        <v>8</v>
      </c>
      <c r="AE287" s="538">
        <v>9</v>
      </c>
      <c r="AF287" s="538">
        <v>10</v>
      </c>
      <c r="AG287" s="538">
        <v>11</v>
      </c>
      <c r="AH287" s="538">
        <v>12</v>
      </c>
      <c r="AI287" s="537"/>
      <c r="AJ287" s="537"/>
      <c r="AK287" s="507"/>
      <c r="AL287" s="507"/>
      <c r="AM287" s="507"/>
      <c r="AN287" s="557"/>
      <c r="AO287" s="510"/>
      <c r="AP287" s="510" t="e">
        <f t="shared" ca="1" si="225"/>
        <v>#NAME?</v>
      </c>
      <c r="AQ287" s="532"/>
      <c r="AR287" s="532"/>
      <c r="AS287" s="532"/>
      <c r="AT287" s="532"/>
      <c r="AU287" s="532"/>
      <c r="AV287" s="532"/>
      <c r="AW287" s="612"/>
      <c r="AX287" s="612"/>
      <c r="AY287" s="612"/>
      <c r="AZ287" s="612"/>
      <c r="BA287" s="612"/>
      <c r="BB287" s="612"/>
      <c r="BC287" s="612"/>
      <c r="BD287" s="612"/>
      <c r="BE287" s="612"/>
      <c r="BF287" s="612"/>
      <c r="BG287" s="612"/>
      <c r="BH287" s="612"/>
      <c r="BI287" s="612">
        <f t="shared" si="249"/>
        <v>0</v>
      </c>
      <c r="BJ287" s="201">
        <f t="shared" si="229"/>
        <v>0</v>
      </c>
    </row>
    <row r="288" spans="1:62" ht="12" customHeight="1">
      <c r="A288" s="61"/>
      <c r="B288" s="61"/>
      <c r="C288" s="61"/>
      <c r="D288" s="61"/>
      <c r="E288" s="61"/>
      <c r="F288" s="61"/>
      <c r="G288" s="61"/>
      <c r="H288" s="62">
        <v>372</v>
      </c>
      <c r="I288" s="127"/>
      <c r="J288" s="128"/>
      <c r="K288" s="139" t="s">
        <v>278</v>
      </c>
      <c r="L288" s="111">
        <f t="shared" ref="L288:S288" si="254">L289+L290</f>
        <v>731840</v>
      </c>
      <c r="M288" s="111">
        <f t="shared" si="254"/>
        <v>97131.86011015992</v>
      </c>
      <c r="N288" s="112">
        <f t="shared" si="254"/>
        <v>988301</v>
      </c>
      <c r="O288" s="112">
        <f t="shared" si="254"/>
        <v>131170.08427898333</v>
      </c>
      <c r="P288" s="113">
        <f t="shared" si="254"/>
        <v>146700</v>
      </c>
      <c r="Q288" s="113">
        <f t="shared" si="254"/>
        <v>158000</v>
      </c>
      <c r="R288" s="87">
        <f t="shared" si="254"/>
        <v>153896</v>
      </c>
      <c r="S288" s="89" t="e">
        <f t="shared" ca="1" si="254"/>
        <v>#NAME?</v>
      </c>
      <c r="T288" s="89"/>
      <c r="U288" s="89" t="e">
        <f t="shared" ca="1" si="224"/>
        <v>#NAME?</v>
      </c>
      <c r="V288" s="532">
        <f>V289+V290</f>
        <v>183500</v>
      </c>
      <c r="W288" s="532">
        <f>W289+W290</f>
        <v>183500</v>
      </c>
      <c r="X288" s="506">
        <f>X289+X290</f>
        <v>234000</v>
      </c>
      <c r="Y288" s="507">
        <f>Y289+Y290</f>
        <v>273000</v>
      </c>
      <c r="Z288" s="507"/>
      <c r="AA288" s="507" t="e">
        <f ca="1">AA289+AA290</f>
        <v>#NAME?</v>
      </c>
      <c r="AB288" s="507">
        <f>AB289+AB290</f>
        <v>0</v>
      </c>
      <c r="AC288" s="508">
        <f>AC289+AC290</f>
        <v>152000</v>
      </c>
      <c r="AD288" s="508">
        <f>AD289+AD290</f>
        <v>152000</v>
      </c>
      <c r="AE288" s="529">
        <f>O288/M288*100</f>
        <v>135.04331547879318</v>
      </c>
      <c r="AF288" s="529">
        <f t="shared" ref="AF288:AG290" si="255">P288/O288*100</f>
        <v>111.83952561011272</v>
      </c>
      <c r="AG288" s="529">
        <f t="shared" si="255"/>
        <v>107.70279481935923</v>
      </c>
      <c r="AH288" s="529">
        <f>AC288/Q288*100</f>
        <v>96.202531645569621</v>
      </c>
      <c r="AI288" s="507"/>
      <c r="AJ288" s="507">
        <v>273000</v>
      </c>
      <c r="AK288" s="507">
        <f>W288/R288*100</f>
        <v>119.23636741695691</v>
      </c>
      <c r="AL288" s="507">
        <f t="shared" si="245"/>
        <v>127.52043596730245</v>
      </c>
      <c r="AM288" s="507">
        <f t="shared" si="245"/>
        <v>116.66666666666667</v>
      </c>
      <c r="AN288" s="509"/>
      <c r="AO288" s="510"/>
      <c r="AP288" s="510" t="e">
        <f t="shared" ca="1" si="225"/>
        <v>#NAME?</v>
      </c>
      <c r="AQ288" s="532">
        <f>AQ289+AQ290</f>
        <v>154738.14000000001</v>
      </c>
      <c r="AR288" s="532">
        <f t="shared" ref="AR288:BH288" si="256">AR289+AR290</f>
        <v>480.83180345737554</v>
      </c>
      <c r="AS288" s="532">
        <f t="shared" si="256"/>
        <v>600</v>
      </c>
      <c r="AT288" s="532">
        <f t="shared" si="256"/>
        <v>480.83180345737554</v>
      </c>
      <c r="AU288" s="532">
        <f t="shared" si="256"/>
        <v>424.01664698564593</v>
      </c>
      <c r="AV288" s="532">
        <f t="shared" si="256"/>
        <v>402.30246847010733</v>
      </c>
      <c r="AW288" s="612">
        <f t="shared" si="256"/>
        <v>154738.14000000001</v>
      </c>
      <c r="AX288" s="612">
        <f t="shared" si="256"/>
        <v>0</v>
      </c>
      <c r="AY288" s="612">
        <f t="shared" si="256"/>
        <v>0</v>
      </c>
      <c r="AZ288" s="612">
        <f t="shared" si="256"/>
        <v>0</v>
      </c>
      <c r="BA288" s="612">
        <f t="shared" si="256"/>
        <v>0</v>
      </c>
      <c r="BB288" s="612">
        <f t="shared" si="256"/>
        <v>0</v>
      </c>
      <c r="BC288" s="612">
        <f t="shared" si="256"/>
        <v>0</v>
      </c>
      <c r="BD288" s="612">
        <f t="shared" si="256"/>
        <v>0</v>
      </c>
      <c r="BE288" s="612">
        <f t="shared" si="256"/>
        <v>0</v>
      </c>
      <c r="BF288" s="612">
        <f t="shared" si="256"/>
        <v>0</v>
      </c>
      <c r="BG288" s="612">
        <f t="shared" si="256"/>
        <v>0</v>
      </c>
      <c r="BH288" s="612">
        <f t="shared" si="256"/>
        <v>154738.14000000001</v>
      </c>
      <c r="BI288" s="612">
        <f t="shared" si="249"/>
        <v>154738.14000000001</v>
      </c>
      <c r="BJ288" s="201">
        <f t="shared" si="229"/>
        <v>0</v>
      </c>
    </row>
    <row r="289" spans="1:62" ht="12" customHeight="1">
      <c r="A289" s="52"/>
      <c r="B289" s="52"/>
      <c r="C289" s="52"/>
      <c r="D289" s="52"/>
      <c r="E289" s="52"/>
      <c r="F289" s="52"/>
      <c r="G289" s="52"/>
      <c r="H289" s="63">
        <v>3721</v>
      </c>
      <c r="I289" s="116"/>
      <c r="J289" s="117"/>
      <c r="K289" s="132" t="s">
        <v>279</v>
      </c>
      <c r="L289" s="129">
        <f t="shared" ref="L289:S289" si="257">L941</f>
        <v>526750</v>
      </c>
      <c r="M289" s="129">
        <f t="shared" si="257"/>
        <v>69911.739332404264</v>
      </c>
      <c r="N289" s="130">
        <f t="shared" si="257"/>
        <v>592585</v>
      </c>
      <c r="O289" s="130">
        <f t="shared" si="257"/>
        <v>78649.545424381169</v>
      </c>
      <c r="P289" s="131">
        <f t="shared" si="257"/>
        <v>96700</v>
      </c>
      <c r="Q289" s="131">
        <f t="shared" si="257"/>
        <v>98000</v>
      </c>
      <c r="R289" s="153">
        <f t="shared" si="257"/>
        <v>100320</v>
      </c>
      <c r="S289" s="158" t="e">
        <f t="shared" ca="1" si="257"/>
        <v>#NAME?</v>
      </c>
      <c r="T289" s="158"/>
      <c r="U289" s="89" t="e">
        <f t="shared" ca="1" si="224"/>
        <v>#NAME?</v>
      </c>
      <c r="V289" s="532">
        <f>V941</f>
        <v>114500</v>
      </c>
      <c r="W289" s="532">
        <f>W941</f>
        <v>114500</v>
      </c>
      <c r="X289" s="534">
        <f>X941</f>
        <v>154000</v>
      </c>
      <c r="Y289" s="535">
        <f>Y941</f>
        <v>173000</v>
      </c>
      <c r="Z289" s="535"/>
      <c r="AA289" s="535" t="e">
        <f ca="1">AA941</f>
        <v>#NAME?</v>
      </c>
      <c r="AB289" s="535">
        <f>AB941</f>
        <v>0</v>
      </c>
      <c r="AC289" s="529">
        <f>AC941</f>
        <v>100000</v>
      </c>
      <c r="AD289" s="529">
        <f>AD941</f>
        <v>100000</v>
      </c>
      <c r="AE289" s="529">
        <f>O289/M289*100</f>
        <v>112.49833887043191</v>
      </c>
      <c r="AF289" s="529">
        <f t="shared" si="255"/>
        <v>122.95048811562901</v>
      </c>
      <c r="AG289" s="529">
        <f t="shared" si="255"/>
        <v>101.34436401240951</v>
      </c>
      <c r="AH289" s="529">
        <f>AC289/Q289*100</f>
        <v>102.04081632653062</v>
      </c>
      <c r="AI289" s="535"/>
      <c r="AJ289" s="535">
        <v>173000</v>
      </c>
      <c r="AK289" s="507">
        <f>W289/R289*100</f>
        <v>114.1347687400319</v>
      </c>
      <c r="AL289" s="507">
        <f t="shared" si="245"/>
        <v>134.49781659388645</v>
      </c>
      <c r="AM289" s="507">
        <f t="shared" si="245"/>
        <v>112.33766233766234</v>
      </c>
      <c r="AN289" s="556"/>
      <c r="AO289" s="510"/>
      <c r="AP289" s="510" t="e">
        <f t="shared" ca="1" si="225"/>
        <v>#NAME?</v>
      </c>
      <c r="AQ289" s="532">
        <f t="shared" ref="AQ289:BH289" si="258">AQ941</f>
        <v>113267.61</v>
      </c>
      <c r="AR289" s="532">
        <f t="shared" si="258"/>
        <v>191.13153968840169</v>
      </c>
      <c r="AS289" s="532">
        <f t="shared" si="258"/>
        <v>400</v>
      </c>
      <c r="AT289" s="532">
        <f t="shared" si="258"/>
        <v>191.13153968840169</v>
      </c>
      <c r="AU289" s="532">
        <f t="shared" si="258"/>
        <v>290.17534909090909</v>
      </c>
      <c r="AV289" s="532">
        <f t="shared" si="258"/>
        <v>200.14264104375735</v>
      </c>
      <c r="AW289" s="612">
        <f t="shared" si="258"/>
        <v>113267.61</v>
      </c>
      <c r="AX289" s="612">
        <f t="shared" si="258"/>
        <v>0</v>
      </c>
      <c r="AY289" s="612">
        <f t="shared" si="258"/>
        <v>0</v>
      </c>
      <c r="AZ289" s="612">
        <f t="shared" si="258"/>
        <v>0</v>
      </c>
      <c r="BA289" s="612">
        <f t="shared" si="258"/>
        <v>0</v>
      </c>
      <c r="BB289" s="612">
        <f t="shared" si="258"/>
        <v>0</v>
      </c>
      <c r="BC289" s="612">
        <f t="shared" si="258"/>
        <v>0</v>
      </c>
      <c r="BD289" s="612">
        <f t="shared" si="258"/>
        <v>0</v>
      </c>
      <c r="BE289" s="612">
        <f t="shared" si="258"/>
        <v>0</v>
      </c>
      <c r="BF289" s="612">
        <f t="shared" si="258"/>
        <v>0</v>
      </c>
      <c r="BG289" s="612">
        <f t="shared" si="258"/>
        <v>0</v>
      </c>
      <c r="BH289" s="612">
        <f t="shared" si="258"/>
        <v>113267.61</v>
      </c>
      <c r="BI289" s="612">
        <f t="shared" si="249"/>
        <v>113267.61</v>
      </c>
      <c r="BJ289" s="201">
        <f t="shared" si="229"/>
        <v>0</v>
      </c>
    </row>
    <row r="290" spans="1:62" ht="12" customHeight="1">
      <c r="A290" s="52"/>
      <c r="B290" s="52"/>
      <c r="C290" s="52"/>
      <c r="D290" s="52"/>
      <c r="E290" s="52"/>
      <c r="F290" s="52"/>
      <c r="G290" s="52"/>
      <c r="H290" s="63">
        <v>3722</v>
      </c>
      <c r="I290" s="116"/>
      <c r="J290" s="117"/>
      <c r="K290" s="132" t="s">
        <v>280</v>
      </c>
      <c r="L290" s="129">
        <f t="shared" ref="L290:S290" si="259">L947</f>
        <v>205090</v>
      </c>
      <c r="M290" s="129">
        <f t="shared" si="259"/>
        <v>27220.120777755656</v>
      </c>
      <c r="N290" s="130">
        <f t="shared" si="259"/>
        <v>395716</v>
      </c>
      <c r="O290" s="130">
        <f t="shared" si="259"/>
        <v>52520.538854602157</v>
      </c>
      <c r="P290" s="131">
        <f t="shared" si="259"/>
        <v>50000</v>
      </c>
      <c r="Q290" s="131">
        <f t="shared" si="259"/>
        <v>60000</v>
      </c>
      <c r="R290" s="153">
        <f t="shared" si="259"/>
        <v>53576</v>
      </c>
      <c r="S290" s="158" t="e">
        <f t="shared" ca="1" si="259"/>
        <v>#NAME?</v>
      </c>
      <c r="T290" s="158"/>
      <c r="U290" s="89" t="e">
        <f t="shared" ca="1" si="224"/>
        <v>#NAME?</v>
      </c>
      <c r="V290" s="532">
        <f>V947</f>
        <v>69000</v>
      </c>
      <c r="W290" s="532">
        <f>W947</f>
        <v>69000</v>
      </c>
      <c r="X290" s="534">
        <f>X947</f>
        <v>80000</v>
      </c>
      <c r="Y290" s="535">
        <f>Y947</f>
        <v>100000</v>
      </c>
      <c r="Z290" s="535"/>
      <c r="AA290" s="535" t="e">
        <f ca="1">AA947</f>
        <v>#NAME?</v>
      </c>
      <c r="AB290" s="535">
        <f>AB947</f>
        <v>0</v>
      </c>
      <c r="AC290" s="529">
        <f>AC947</f>
        <v>52000</v>
      </c>
      <c r="AD290" s="529">
        <f>AD947</f>
        <v>52000</v>
      </c>
      <c r="AE290" s="529">
        <f>O290/M290*100</f>
        <v>192.94748646935491</v>
      </c>
      <c r="AF290" s="529">
        <f t="shared" si="255"/>
        <v>95.20085111544644</v>
      </c>
      <c r="AG290" s="529">
        <f t="shared" si="255"/>
        <v>120</v>
      </c>
      <c r="AH290" s="529">
        <f>AC290/Q290*100</f>
        <v>86.666666666666671</v>
      </c>
      <c r="AI290" s="535"/>
      <c r="AJ290" s="535">
        <v>100000</v>
      </c>
      <c r="AK290" s="507">
        <f>W290/R290*100</f>
        <v>128.78901000447962</v>
      </c>
      <c r="AL290" s="507">
        <f t="shared" si="245"/>
        <v>115.94202898550725</v>
      </c>
      <c r="AM290" s="507">
        <f t="shared" si="245"/>
        <v>125</v>
      </c>
      <c r="AN290" s="556"/>
      <c r="AO290" s="510"/>
      <c r="AP290" s="510" t="e">
        <f t="shared" ca="1" si="225"/>
        <v>#NAME?</v>
      </c>
      <c r="AQ290" s="532">
        <f t="shared" ref="AQ290:BH290" si="260">AQ947</f>
        <v>41470.53</v>
      </c>
      <c r="AR290" s="532">
        <f t="shared" si="260"/>
        <v>289.70026376897385</v>
      </c>
      <c r="AS290" s="532">
        <f t="shared" si="260"/>
        <v>200</v>
      </c>
      <c r="AT290" s="532">
        <f t="shared" si="260"/>
        <v>289.70026376897385</v>
      </c>
      <c r="AU290" s="532">
        <f t="shared" si="260"/>
        <v>133.84129789473684</v>
      </c>
      <c r="AV290" s="532">
        <f t="shared" si="260"/>
        <v>202.15982742634995</v>
      </c>
      <c r="AW290" s="612">
        <f t="shared" si="260"/>
        <v>41470.53</v>
      </c>
      <c r="AX290" s="612">
        <f t="shared" si="260"/>
        <v>0</v>
      </c>
      <c r="AY290" s="612">
        <f t="shared" si="260"/>
        <v>0</v>
      </c>
      <c r="AZ290" s="612">
        <f t="shared" si="260"/>
        <v>0</v>
      </c>
      <c r="BA290" s="612">
        <f t="shared" si="260"/>
        <v>0</v>
      </c>
      <c r="BB290" s="612">
        <f t="shared" si="260"/>
        <v>0</v>
      </c>
      <c r="BC290" s="612">
        <f t="shared" si="260"/>
        <v>0</v>
      </c>
      <c r="BD290" s="612">
        <f t="shared" si="260"/>
        <v>0</v>
      </c>
      <c r="BE290" s="612">
        <f t="shared" si="260"/>
        <v>0</v>
      </c>
      <c r="BF290" s="612">
        <f t="shared" si="260"/>
        <v>0</v>
      </c>
      <c r="BG290" s="612">
        <f t="shared" si="260"/>
        <v>0</v>
      </c>
      <c r="BH290" s="612">
        <f t="shared" si="260"/>
        <v>41470.53</v>
      </c>
      <c r="BI290" s="612">
        <f t="shared" si="249"/>
        <v>41470.53</v>
      </c>
      <c r="BJ290" s="201">
        <f t="shared" si="229"/>
        <v>0</v>
      </c>
    </row>
    <row r="291" spans="1:62" ht="12" customHeight="1">
      <c r="A291" s="41"/>
      <c r="B291" s="41"/>
      <c r="C291" s="41"/>
      <c r="D291" s="41"/>
      <c r="E291" s="41"/>
      <c r="F291" s="41"/>
      <c r="G291" s="41"/>
      <c r="H291" s="42"/>
      <c r="I291" s="93"/>
      <c r="J291" s="90"/>
      <c r="K291" s="211"/>
      <c r="L291" s="84"/>
      <c r="M291" s="84"/>
      <c r="N291" s="85"/>
      <c r="O291" s="85"/>
      <c r="P291" s="86"/>
      <c r="Q291" s="86"/>
      <c r="R291" s="154"/>
      <c r="S291" s="155"/>
      <c r="T291" s="155"/>
      <c r="U291" s="89" t="e">
        <f t="shared" ca="1" si="224"/>
        <v>#NAME?</v>
      </c>
      <c r="V291" s="532"/>
      <c r="W291" s="532"/>
      <c r="X291" s="536"/>
      <c r="Y291" s="537"/>
      <c r="Z291" s="537"/>
      <c r="AA291" s="537"/>
      <c r="AB291" s="537"/>
      <c r="AC291" s="538"/>
      <c r="AD291" s="538"/>
      <c r="AE291" s="529"/>
      <c r="AF291" s="529"/>
      <c r="AG291" s="529"/>
      <c r="AH291" s="529"/>
      <c r="AI291" s="537"/>
      <c r="AJ291" s="537"/>
      <c r="AK291" s="507"/>
      <c r="AL291" s="507"/>
      <c r="AM291" s="507"/>
      <c r="AN291" s="557"/>
      <c r="AO291" s="510"/>
      <c r="AP291" s="510" t="e">
        <f t="shared" ca="1" si="225"/>
        <v>#NAME?</v>
      </c>
      <c r="AQ291" s="532"/>
      <c r="AR291" s="532"/>
      <c r="AS291" s="532"/>
      <c r="AT291" s="532"/>
      <c r="AU291" s="532"/>
      <c r="AV291" s="532"/>
      <c r="AW291" s="612"/>
      <c r="AX291" s="612"/>
      <c r="AY291" s="612"/>
      <c r="AZ291" s="612"/>
      <c r="BA291" s="612"/>
      <c r="BB291" s="612"/>
      <c r="BC291" s="612"/>
      <c r="BD291" s="612"/>
      <c r="BE291" s="612"/>
      <c r="BF291" s="612"/>
      <c r="BG291" s="612"/>
      <c r="BH291" s="612"/>
      <c r="BI291" s="612">
        <f t="shared" si="249"/>
        <v>0</v>
      </c>
      <c r="BJ291" s="201">
        <f t="shared" si="229"/>
        <v>0</v>
      </c>
    </row>
    <row r="292" spans="1:62" ht="12" customHeight="1">
      <c r="A292" s="58"/>
      <c r="B292" s="58"/>
      <c r="C292" s="58"/>
      <c r="D292" s="58"/>
      <c r="E292" s="58"/>
      <c r="F292" s="58"/>
      <c r="G292" s="58"/>
      <c r="H292" s="59">
        <v>38</v>
      </c>
      <c r="I292" s="124"/>
      <c r="J292" s="125"/>
      <c r="K292" s="126" t="s">
        <v>281</v>
      </c>
      <c r="L292" s="111">
        <f t="shared" ref="L292:S292" si="261">L294+L298+L302+L305+L308</f>
        <v>6822410</v>
      </c>
      <c r="M292" s="111">
        <f t="shared" si="261"/>
        <v>905489.41535602883</v>
      </c>
      <c r="N292" s="112">
        <f t="shared" si="261"/>
        <v>8618019</v>
      </c>
      <c r="O292" s="112">
        <f t="shared" si="261"/>
        <v>1143807.6846506069</v>
      </c>
      <c r="P292" s="113">
        <f t="shared" si="261"/>
        <v>1356560</v>
      </c>
      <c r="Q292" s="113">
        <f t="shared" si="261"/>
        <v>1484060</v>
      </c>
      <c r="R292" s="87">
        <f t="shared" si="261"/>
        <v>1292143</v>
      </c>
      <c r="S292" s="89" t="e">
        <f t="shared" ca="1" si="261"/>
        <v>#NAME?</v>
      </c>
      <c r="T292" s="89"/>
      <c r="U292" s="89" t="e">
        <f t="shared" ca="1" si="224"/>
        <v>#NAME?</v>
      </c>
      <c r="V292" s="532">
        <f>V294+V298+V302+V305+V308</f>
        <v>1498870</v>
      </c>
      <c r="W292" s="532">
        <f>W294+W298+W302+W305+W308</f>
        <v>1469926</v>
      </c>
      <c r="X292" s="506">
        <f>X294+X298+X302+X305+X308</f>
        <v>2309660</v>
      </c>
      <c r="Y292" s="507" t="e">
        <f ca="1">Y294+Y298+Y302+Y305+Y308</f>
        <v>#NAME?</v>
      </c>
      <c r="Z292" s="507"/>
      <c r="AA292" s="507" t="e">
        <f ca="1">AA294+AA298+AA302+AA305+AA308</f>
        <v>#NAME?</v>
      </c>
      <c r="AB292" s="507">
        <f>AB294+AB298+AB302+AB305+AB308</f>
        <v>0</v>
      </c>
      <c r="AC292" s="508">
        <f>AC294+AC298+AC302+AC305+AC308</f>
        <v>1335450</v>
      </c>
      <c r="AD292" s="508">
        <f>AD294+AD298+AD302+AD305+AD308</f>
        <v>1335450</v>
      </c>
      <c r="AE292" s="529">
        <f>O292/M292*100</f>
        <v>126.31927720556224</v>
      </c>
      <c r="AF292" s="529">
        <f>P292/O292*100</f>
        <v>118.60035722826791</v>
      </c>
      <c r="AG292" s="529">
        <f>Q292/P292*100</f>
        <v>109.39877336793064</v>
      </c>
      <c r="AH292" s="529">
        <f>AC292/Q292*100</f>
        <v>89.986253925043457</v>
      </c>
      <c r="AI292" s="507"/>
      <c r="AJ292" s="507">
        <v>2335248</v>
      </c>
      <c r="AK292" s="507">
        <f>W292/R292*100</f>
        <v>113.75877128150678</v>
      </c>
      <c r="AL292" s="507">
        <f t="shared" si="245"/>
        <v>157.12763771781709</v>
      </c>
      <c r="AM292" s="507" t="e">
        <f t="shared" ca="1" si="245"/>
        <v>#NAME?</v>
      </c>
      <c r="AN292" s="509"/>
      <c r="AO292" s="510"/>
      <c r="AP292" s="510" t="e">
        <f t="shared" ca="1" si="225"/>
        <v>#NAME?</v>
      </c>
      <c r="AQ292" s="532">
        <f>AQ294+AQ298+AQ302+AQ305+AQ308</f>
        <v>1283651.8799999999</v>
      </c>
      <c r="AR292" s="532">
        <f t="shared" ref="AR292:BG292" si="262">AR294+AR298+AR302+AR305+AR308</f>
        <v>3879.2193224050757</v>
      </c>
      <c r="AS292" s="532">
        <f t="shared" si="262"/>
        <v>2129.269766867279</v>
      </c>
      <c r="AT292" s="532">
        <f t="shared" si="262"/>
        <v>3928.2919985002636</v>
      </c>
      <c r="AU292" s="532">
        <f t="shared" si="262"/>
        <v>1686.8860621401004</v>
      </c>
      <c r="AV292" s="532">
        <f t="shared" si="262"/>
        <v>4002.7419909642435</v>
      </c>
      <c r="AW292" s="612">
        <f t="shared" si="262"/>
        <v>533625.88</v>
      </c>
      <c r="AX292" s="612">
        <f t="shared" si="262"/>
        <v>0</v>
      </c>
      <c r="AY292" s="612">
        <f t="shared" si="262"/>
        <v>394789.96</v>
      </c>
      <c r="AZ292" s="612">
        <f t="shared" si="262"/>
        <v>30000</v>
      </c>
      <c r="BA292" s="612">
        <f t="shared" si="262"/>
        <v>0</v>
      </c>
      <c r="BB292" s="612">
        <f t="shared" si="262"/>
        <v>0</v>
      </c>
      <c r="BC292" s="612">
        <f t="shared" si="262"/>
        <v>0</v>
      </c>
      <c r="BD292" s="612">
        <f t="shared" si="262"/>
        <v>10496</v>
      </c>
      <c r="BE292" s="612">
        <f t="shared" si="262"/>
        <v>311856.04000000004</v>
      </c>
      <c r="BF292" s="612">
        <f t="shared" si="262"/>
        <v>0</v>
      </c>
      <c r="BG292" s="612">
        <f t="shared" si="262"/>
        <v>2884</v>
      </c>
      <c r="BH292" s="612">
        <f>BH294+BH298+BH302+BH305+BH308</f>
        <v>1283651.8799999999</v>
      </c>
      <c r="BI292" s="612">
        <f t="shared" si="249"/>
        <v>1283651.8800000001</v>
      </c>
      <c r="BJ292" s="201">
        <f t="shared" si="229"/>
        <v>0</v>
      </c>
    </row>
    <row r="293" spans="1:62" ht="12" customHeight="1">
      <c r="A293" s="52"/>
      <c r="B293" s="52"/>
      <c r="C293" s="52"/>
      <c r="D293" s="52"/>
      <c r="E293" s="52"/>
      <c r="F293" s="52"/>
      <c r="G293" s="52"/>
      <c r="H293" s="63"/>
      <c r="I293" s="116"/>
      <c r="J293" s="117"/>
      <c r="K293" s="19"/>
      <c r="L293" s="118"/>
      <c r="M293" s="118"/>
      <c r="N293" s="119"/>
      <c r="O293" s="119"/>
      <c r="P293" s="120"/>
      <c r="Q293" s="120"/>
      <c r="R293" s="151"/>
      <c r="S293" s="152"/>
      <c r="T293" s="152"/>
      <c r="U293" s="89" t="e">
        <f t="shared" ca="1" si="224"/>
        <v>#NAME?</v>
      </c>
      <c r="V293" s="532"/>
      <c r="W293" s="532"/>
      <c r="X293" s="534"/>
      <c r="Y293" s="535"/>
      <c r="Z293" s="535"/>
      <c r="AA293" s="535"/>
      <c r="AB293" s="535"/>
      <c r="AC293" s="529"/>
      <c r="AD293" s="529"/>
      <c r="AE293" s="529"/>
      <c r="AF293" s="529"/>
      <c r="AG293" s="529"/>
      <c r="AH293" s="529"/>
      <c r="AI293" s="535"/>
      <c r="AJ293" s="535"/>
      <c r="AK293" s="507"/>
      <c r="AL293" s="507"/>
      <c r="AM293" s="507"/>
      <c r="AN293" s="556"/>
      <c r="AO293" s="510"/>
      <c r="AP293" s="510" t="e">
        <f t="shared" ca="1" si="225"/>
        <v>#NAME?</v>
      </c>
      <c r="AQ293" s="532"/>
      <c r="AR293" s="532"/>
      <c r="AS293" s="532"/>
      <c r="AT293" s="532"/>
      <c r="AU293" s="532"/>
      <c r="AV293" s="532"/>
      <c r="AW293" s="612"/>
      <c r="AX293" s="612"/>
      <c r="AY293" s="612"/>
      <c r="AZ293" s="612"/>
      <c r="BA293" s="612"/>
      <c r="BB293" s="612"/>
      <c r="BC293" s="612"/>
      <c r="BD293" s="612"/>
      <c r="BE293" s="612"/>
      <c r="BF293" s="612"/>
      <c r="BG293" s="612"/>
      <c r="BH293" s="612"/>
      <c r="BI293" s="612">
        <f t="shared" si="249"/>
        <v>0</v>
      </c>
      <c r="BJ293" s="201">
        <f t="shared" si="229"/>
        <v>0</v>
      </c>
    </row>
    <row r="294" spans="1:62" ht="12" customHeight="1">
      <c r="A294" s="61"/>
      <c r="B294" s="61"/>
      <c r="C294" s="61"/>
      <c r="D294" s="61"/>
      <c r="E294" s="61"/>
      <c r="F294" s="61"/>
      <c r="G294" s="61"/>
      <c r="H294" s="62">
        <v>381</v>
      </c>
      <c r="I294" s="127"/>
      <c r="J294" s="128"/>
      <c r="K294" s="20" t="s">
        <v>195</v>
      </c>
      <c r="L294" s="111">
        <f t="shared" ref="L294:S294" si="263">L295+L296</f>
        <v>1400130</v>
      </c>
      <c r="M294" s="111">
        <f t="shared" si="263"/>
        <v>185829.18574557037</v>
      </c>
      <c r="N294" s="112">
        <f t="shared" si="263"/>
        <v>1903480</v>
      </c>
      <c r="O294" s="112">
        <f t="shared" si="263"/>
        <v>252635.21136107238</v>
      </c>
      <c r="P294" s="113">
        <f t="shared" si="263"/>
        <v>273520</v>
      </c>
      <c r="Q294" s="113">
        <f t="shared" si="263"/>
        <v>338120</v>
      </c>
      <c r="R294" s="87">
        <f t="shared" si="263"/>
        <v>323342</v>
      </c>
      <c r="S294" s="89" t="e">
        <f t="shared" ca="1" si="263"/>
        <v>#NAME?</v>
      </c>
      <c r="T294" s="89"/>
      <c r="U294" s="89" t="e">
        <f t="shared" ca="1" si="224"/>
        <v>#NAME?</v>
      </c>
      <c r="V294" s="532">
        <f>V295+V296</f>
        <v>347980</v>
      </c>
      <c r="W294" s="532">
        <f>W295+W296</f>
        <v>356109</v>
      </c>
      <c r="X294" s="506">
        <f>X295+X296</f>
        <v>325000</v>
      </c>
      <c r="Y294" s="507" t="e">
        <f ca="1">Y295+Y296</f>
        <v>#NAME?</v>
      </c>
      <c r="Z294" s="507"/>
      <c r="AA294" s="507" t="e">
        <f ca="1">AA295+AA296</f>
        <v>#NAME?</v>
      </c>
      <c r="AB294" s="507">
        <f>AB295+AB296</f>
        <v>0</v>
      </c>
      <c r="AC294" s="508">
        <f>AC295+AC296</f>
        <v>277000</v>
      </c>
      <c r="AD294" s="508">
        <f>AD295+AD296</f>
        <v>277000</v>
      </c>
      <c r="AE294" s="529">
        <f>O294/M294*100</f>
        <v>135.95023319263211</v>
      </c>
      <c r="AF294" s="529">
        <f t="shared" ref="AF294:AG296" si="264">P294/O294*100</f>
        <v>108.26677664067918</v>
      </c>
      <c r="AG294" s="529">
        <f t="shared" si="264"/>
        <v>123.61801696402456</v>
      </c>
      <c r="AH294" s="529">
        <f>AC294/Q294*100</f>
        <v>81.92357742813202</v>
      </c>
      <c r="AI294" s="507"/>
      <c r="AJ294" s="507">
        <v>354500</v>
      </c>
      <c r="AK294" s="507">
        <f>W294/R294*100</f>
        <v>110.13385208231531</v>
      </c>
      <c r="AL294" s="507">
        <f t="shared" si="245"/>
        <v>91.264191581790968</v>
      </c>
      <c r="AM294" s="507" t="e">
        <f t="shared" ca="1" si="245"/>
        <v>#NAME?</v>
      </c>
      <c r="AN294" s="509"/>
      <c r="AO294" s="510"/>
      <c r="AP294" s="510" t="e">
        <f t="shared" ca="1" si="225"/>
        <v>#NAME?</v>
      </c>
      <c r="AQ294" s="532">
        <f>AQ295+AQ296</f>
        <v>346176.88</v>
      </c>
      <c r="AR294" s="532">
        <f t="shared" ref="AR294:BH294" si="265">AR295+AR296</f>
        <v>3403.604522426097</v>
      </c>
      <c r="AS294" s="532">
        <f t="shared" si="265"/>
        <v>1239.8620525815647</v>
      </c>
      <c r="AT294" s="532">
        <f t="shared" si="265"/>
        <v>3461.9735700451447</v>
      </c>
      <c r="AU294" s="532">
        <f t="shared" si="265"/>
        <v>1084.5893776391167</v>
      </c>
      <c r="AV294" s="532">
        <f t="shared" si="265"/>
        <v>3635.3895558852746</v>
      </c>
      <c r="AW294" s="612">
        <f t="shared" si="265"/>
        <v>346176.88</v>
      </c>
      <c r="AX294" s="612">
        <f t="shared" si="265"/>
        <v>0</v>
      </c>
      <c r="AY294" s="612">
        <f t="shared" si="265"/>
        <v>0</v>
      </c>
      <c r="AZ294" s="612">
        <f t="shared" si="265"/>
        <v>0</v>
      </c>
      <c r="BA294" s="612">
        <f t="shared" si="265"/>
        <v>0</v>
      </c>
      <c r="BB294" s="612">
        <f t="shared" si="265"/>
        <v>0</v>
      </c>
      <c r="BC294" s="612">
        <f t="shared" si="265"/>
        <v>0</v>
      </c>
      <c r="BD294" s="612">
        <f t="shared" si="265"/>
        <v>0</v>
      </c>
      <c r="BE294" s="612">
        <f t="shared" si="265"/>
        <v>0</v>
      </c>
      <c r="BF294" s="612">
        <f t="shared" si="265"/>
        <v>0</v>
      </c>
      <c r="BG294" s="612">
        <f t="shared" si="265"/>
        <v>0</v>
      </c>
      <c r="BH294" s="612">
        <f t="shared" si="265"/>
        <v>346176.88</v>
      </c>
      <c r="BI294" s="612">
        <f t="shared" si="249"/>
        <v>346176.88</v>
      </c>
      <c r="BJ294" s="201">
        <f t="shared" si="229"/>
        <v>0</v>
      </c>
    </row>
    <row r="295" spans="1:62" ht="12" customHeight="1">
      <c r="A295" s="52"/>
      <c r="B295" s="52"/>
      <c r="C295" s="52"/>
      <c r="D295" s="52"/>
      <c r="E295" s="52"/>
      <c r="F295" s="52"/>
      <c r="G295" s="52"/>
      <c r="H295" s="63">
        <v>3811</v>
      </c>
      <c r="I295" s="116"/>
      <c r="J295" s="117"/>
      <c r="K295" s="19" t="s">
        <v>282</v>
      </c>
      <c r="L295" s="129">
        <f t="shared" ref="L295:S295" si="266">L450+L514+L785+L805+L863+L883+L891+L899+L922+L956+L1055</f>
        <v>1372548</v>
      </c>
      <c r="M295" s="129">
        <f t="shared" si="266"/>
        <v>182168.42524387816</v>
      </c>
      <c r="N295" s="130">
        <f t="shared" si="266"/>
        <v>1880415</v>
      </c>
      <c r="O295" s="130">
        <f t="shared" si="266"/>
        <v>249573.95978498901</v>
      </c>
      <c r="P295" s="131">
        <f t="shared" si="266"/>
        <v>267620</v>
      </c>
      <c r="Q295" s="131">
        <f t="shared" si="266"/>
        <v>332120</v>
      </c>
      <c r="R295" s="153">
        <f t="shared" si="266"/>
        <v>319360</v>
      </c>
      <c r="S295" s="158" t="e">
        <f t="shared" ca="1" si="266"/>
        <v>#NAME?</v>
      </c>
      <c r="T295" s="158"/>
      <c r="U295" s="89" t="e">
        <f t="shared" ca="1" si="224"/>
        <v>#NAME?</v>
      </c>
      <c r="V295" s="532">
        <f>V450+V514+V785+V805+V863+V883+V891+V899+V922+V956+V1055</f>
        <v>339600</v>
      </c>
      <c r="W295" s="532">
        <f>W450+W514+W785+W805+W863+W883+W891+W899+W922+W956+W1055</f>
        <v>347729</v>
      </c>
      <c r="X295" s="534">
        <f>X450+X514+X785+X805+X863+X883+X891+X899+X922+X956+X1055</f>
        <v>315600</v>
      </c>
      <c r="Y295" s="535" t="e">
        <f ca="1">Y450+Y514+Y785+Y805+Y863+Y883+Y891+Y899+Y922+Y956+Y1055</f>
        <v>#NAME?</v>
      </c>
      <c r="Z295" s="535"/>
      <c r="AA295" s="535" t="e">
        <f ca="1">AA450+AA514+AA785+AA805+AA863+AA883+AA891+AA899+AA922+AA956+AA1055</f>
        <v>#NAME?</v>
      </c>
      <c r="AB295" s="535">
        <f>AB450+AB514+AB785+AB805+AB863+AB883+AB891+AB899+AB922+AB956+AB1055</f>
        <v>0</v>
      </c>
      <c r="AC295" s="529">
        <f>AC450+AC514+AC785+AC805+AC863+AC883+AC891+AC899+AC922+AC956+AC1055</f>
        <v>271000</v>
      </c>
      <c r="AD295" s="529">
        <f>AD450+AD514+AD785+AD805+AD863+AD883+AD891+AD899+AD922+AD956+AD1055</f>
        <v>271000</v>
      </c>
      <c r="AE295" s="529">
        <f>O295/M295*100</f>
        <v>137.00176605845479</v>
      </c>
      <c r="AF295" s="529">
        <f t="shared" si="264"/>
        <v>107.23073842742161</v>
      </c>
      <c r="AG295" s="529">
        <f t="shared" si="264"/>
        <v>124.10133771765936</v>
      </c>
      <c r="AH295" s="529">
        <f>AC295/Q295*100</f>
        <v>81.597013127785132</v>
      </c>
      <c r="AI295" s="535"/>
      <c r="AJ295" s="535">
        <v>344000</v>
      </c>
      <c r="AK295" s="507">
        <f>W295/R295*100</f>
        <v>108.88307865731464</v>
      </c>
      <c r="AL295" s="507">
        <f t="shared" si="245"/>
        <v>90.76033347808206</v>
      </c>
      <c r="AM295" s="507" t="e">
        <f t="shared" ca="1" si="245"/>
        <v>#NAME?</v>
      </c>
      <c r="AN295" s="556"/>
      <c r="AO295" s="510"/>
      <c r="AP295" s="510" t="e">
        <f t="shared" ca="1" si="225"/>
        <v>#NAME?</v>
      </c>
      <c r="AQ295" s="532">
        <f t="shared" ref="AQ295:BH295" si="267">AQ450+AQ514+AQ785+AQ805+AQ863+AQ883+AQ891+AQ899+AQ922+AQ956+AQ1055</f>
        <v>324343.94</v>
      </c>
      <c r="AR295" s="532">
        <f t="shared" si="267"/>
        <v>3193.1575108741131</v>
      </c>
      <c r="AS295" s="532">
        <f t="shared" si="267"/>
        <v>1139.8620525815647</v>
      </c>
      <c r="AT295" s="532">
        <f t="shared" si="267"/>
        <v>3251.5265584931608</v>
      </c>
      <c r="AU295" s="532">
        <f t="shared" si="267"/>
        <v>824.0531007894748</v>
      </c>
      <c r="AV295" s="532">
        <f t="shared" si="267"/>
        <v>3087.0987472463999</v>
      </c>
      <c r="AW295" s="612">
        <f t="shared" si="267"/>
        <v>324343.94</v>
      </c>
      <c r="AX295" s="612">
        <f t="shared" si="267"/>
        <v>0</v>
      </c>
      <c r="AY295" s="612">
        <f t="shared" si="267"/>
        <v>0</v>
      </c>
      <c r="AZ295" s="612">
        <f t="shared" si="267"/>
        <v>0</v>
      </c>
      <c r="BA295" s="612">
        <f t="shared" si="267"/>
        <v>0</v>
      </c>
      <c r="BB295" s="612">
        <f t="shared" si="267"/>
        <v>0</v>
      </c>
      <c r="BC295" s="612">
        <f t="shared" si="267"/>
        <v>0</v>
      </c>
      <c r="BD295" s="612">
        <f t="shared" si="267"/>
        <v>0</v>
      </c>
      <c r="BE295" s="612">
        <f t="shared" si="267"/>
        <v>0</v>
      </c>
      <c r="BF295" s="612">
        <f t="shared" si="267"/>
        <v>0</v>
      </c>
      <c r="BG295" s="612">
        <f t="shared" si="267"/>
        <v>0</v>
      </c>
      <c r="BH295" s="612">
        <f t="shared" si="267"/>
        <v>324343.94</v>
      </c>
      <c r="BI295" s="612">
        <f t="shared" si="249"/>
        <v>324343.94</v>
      </c>
      <c r="BJ295" s="201">
        <f t="shared" si="229"/>
        <v>0</v>
      </c>
    </row>
    <row r="296" spans="1:62" ht="12" customHeight="1">
      <c r="A296" s="52"/>
      <c r="B296" s="52"/>
      <c r="C296" s="52"/>
      <c r="D296" s="52"/>
      <c r="E296" s="52"/>
      <c r="F296" s="52"/>
      <c r="G296" s="52"/>
      <c r="H296" s="63">
        <v>3812</v>
      </c>
      <c r="I296" s="116"/>
      <c r="J296" s="117"/>
      <c r="K296" s="19" t="s">
        <v>283</v>
      </c>
      <c r="L296" s="129">
        <f t="shared" ref="L296:Q296" si="268">L1056</f>
        <v>27582</v>
      </c>
      <c r="M296" s="129">
        <f t="shared" si="268"/>
        <v>3660.7605016922157</v>
      </c>
      <c r="N296" s="130">
        <f t="shared" si="268"/>
        <v>23065</v>
      </c>
      <c r="O296" s="130">
        <f t="shared" si="268"/>
        <v>3061.2515760833498</v>
      </c>
      <c r="P296" s="131">
        <f t="shared" si="268"/>
        <v>5900</v>
      </c>
      <c r="Q296" s="131">
        <f t="shared" si="268"/>
        <v>6000</v>
      </c>
      <c r="R296" s="153">
        <v>3982</v>
      </c>
      <c r="S296" s="158">
        <f>S1056</f>
        <v>0</v>
      </c>
      <c r="T296" s="158"/>
      <c r="U296" s="89" t="e">
        <f t="shared" ca="1" si="224"/>
        <v>#NAME?</v>
      </c>
      <c r="V296" s="532">
        <f>V1056</f>
        <v>8380</v>
      </c>
      <c r="W296" s="532">
        <f>W1056</f>
        <v>8380</v>
      </c>
      <c r="X296" s="534">
        <f>X1056</f>
        <v>9400</v>
      </c>
      <c r="Y296" s="535">
        <f>Y1056</f>
        <v>10500</v>
      </c>
      <c r="Z296" s="535"/>
      <c r="AA296" s="535" t="e">
        <f ca="1">AA1056</f>
        <v>#NAME?</v>
      </c>
      <c r="AB296" s="535">
        <f>AB1056</f>
        <v>0</v>
      </c>
      <c r="AC296" s="529">
        <f>AC1056</f>
        <v>6000</v>
      </c>
      <c r="AD296" s="529">
        <f>AD1056</f>
        <v>6000</v>
      </c>
      <c r="AE296" s="529">
        <f>O296/M296*100</f>
        <v>83.62337756507867</v>
      </c>
      <c r="AF296" s="529">
        <f t="shared" si="264"/>
        <v>192.73162800780403</v>
      </c>
      <c r="AG296" s="529">
        <f t="shared" si="264"/>
        <v>101.69491525423729</v>
      </c>
      <c r="AH296" s="529">
        <f>AC296/Q296*100</f>
        <v>100</v>
      </c>
      <c r="AI296" s="535"/>
      <c r="AJ296" s="535">
        <v>10500</v>
      </c>
      <c r="AK296" s="507">
        <f>W296/R296*100</f>
        <v>210.44701155198391</v>
      </c>
      <c r="AL296" s="507">
        <f t="shared" si="245"/>
        <v>112.17183770883055</v>
      </c>
      <c r="AM296" s="507">
        <f t="shared" si="245"/>
        <v>111.70212765957446</v>
      </c>
      <c r="AN296" s="556"/>
      <c r="AO296" s="510"/>
      <c r="AP296" s="510" t="e">
        <f t="shared" ca="1" si="225"/>
        <v>#NAME?</v>
      </c>
      <c r="AQ296" s="532">
        <f t="shared" ref="AQ296:BH296" si="269">AQ1056</f>
        <v>21832.94</v>
      </c>
      <c r="AR296" s="532">
        <f t="shared" si="269"/>
        <v>210.44701155198391</v>
      </c>
      <c r="AS296" s="532">
        <f t="shared" si="269"/>
        <v>100</v>
      </c>
      <c r="AT296" s="532">
        <f t="shared" si="269"/>
        <v>210.44701155198391</v>
      </c>
      <c r="AU296" s="532">
        <f t="shared" si="269"/>
        <v>260.53627684964198</v>
      </c>
      <c r="AV296" s="532">
        <f t="shared" si="269"/>
        <v>548.29080863887486</v>
      </c>
      <c r="AW296" s="612">
        <f t="shared" si="269"/>
        <v>21832.94</v>
      </c>
      <c r="AX296" s="612">
        <f t="shared" si="269"/>
        <v>0</v>
      </c>
      <c r="AY296" s="612">
        <f t="shared" si="269"/>
        <v>0</v>
      </c>
      <c r="AZ296" s="612">
        <f t="shared" si="269"/>
        <v>0</v>
      </c>
      <c r="BA296" s="612">
        <f t="shared" si="269"/>
        <v>0</v>
      </c>
      <c r="BB296" s="612">
        <f t="shared" si="269"/>
        <v>0</v>
      </c>
      <c r="BC296" s="612">
        <f t="shared" si="269"/>
        <v>0</v>
      </c>
      <c r="BD296" s="612">
        <f t="shared" si="269"/>
        <v>0</v>
      </c>
      <c r="BE296" s="612">
        <f t="shared" si="269"/>
        <v>0</v>
      </c>
      <c r="BF296" s="612">
        <f t="shared" si="269"/>
        <v>0</v>
      </c>
      <c r="BG296" s="612">
        <f t="shared" si="269"/>
        <v>0</v>
      </c>
      <c r="BH296" s="612">
        <f t="shared" si="269"/>
        <v>21832.94</v>
      </c>
      <c r="BI296" s="612">
        <f t="shared" si="249"/>
        <v>21832.94</v>
      </c>
      <c r="BJ296" s="201">
        <f t="shared" si="229"/>
        <v>0</v>
      </c>
    </row>
    <row r="297" spans="1:62" ht="12" customHeight="1">
      <c r="A297" s="52"/>
      <c r="B297" s="52"/>
      <c r="C297" s="52"/>
      <c r="D297" s="52"/>
      <c r="E297" s="52"/>
      <c r="F297" s="52"/>
      <c r="G297" s="52"/>
      <c r="H297" s="63"/>
      <c r="I297" s="116"/>
      <c r="J297" s="117"/>
      <c r="K297" s="19"/>
      <c r="L297" s="129"/>
      <c r="M297" s="129"/>
      <c r="N297" s="130"/>
      <c r="O297" s="130"/>
      <c r="P297" s="131"/>
      <c r="Q297" s="131"/>
      <c r="R297" s="153"/>
      <c r="S297" s="158"/>
      <c r="T297" s="158"/>
      <c r="U297" s="89" t="e">
        <f t="shared" ca="1" si="224"/>
        <v>#NAME?</v>
      </c>
      <c r="V297" s="532"/>
      <c r="W297" s="532"/>
      <c r="X297" s="534"/>
      <c r="Y297" s="535"/>
      <c r="Z297" s="535"/>
      <c r="AA297" s="535"/>
      <c r="AB297" s="535"/>
      <c r="AC297" s="529"/>
      <c r="AD297" s="529"/>
      <c r="AE297" s="529"/>
      <c r="AF297" s="529"/>
      <c r="AG297" s="529"/>
      <c r="AH297" s="529"/>
      <c r="AI297" s="535"/>
      <c r="AJ297" s="535"/>
      <c r="AK297" s="507"/>
      <c r="AL297" s="507"/>
      <c r="AM297" s="507"/>
      <c r="AN297" s="556"/>
      <c r="AO297" s="510"/>
      <c r="AP297" s="510" t="e">
        <f t="shared" ca="1" si="225"/>
        <v>#NAME?</v>
      </c>
      <c r="AQ297" s="532"/>
      <c r="AR297" s="532"/>
      <c r="AS297" s="532"/>
      <c r="AT297" s="532"/>
      <c r="AU297" s="532"/>
      <c r="AV297" s="532"/>
      <c r="AW297" s="612"/>
      <c r="AX297" s="612"/>
      <c r="AY297" s="612"/>
      <c r="AZ297" s="612"/>
      <c r="BA297" s="612"/>
      <c r="BB297" s="612"/>
      <c r="BC297" s="612"/>
      <c r="BD297" s="612"/>
      <c r="BE297" s="612"/>
      <c r="BF297" s="612"/>
      <c r="BG297" s="612"/>
      <c r="BH297" s="612"/>
      <c r="BI297" s="612">
        <f t="shared" si="249"/>
        <v>0</v>
      </c>
      <c r="BJ297" s="201">
        <f t="shared" si="229"/>
        <v>0</v>
      </c>
    </row>
    <row r="298" spans="1:62" ht="12" customHeight="1">
      <c r="A298" s="61"/>
      <c r="B298" s="61"/>
      <c r="C298" s="61"/>
      <c r="D298" s="61"/>
      <c r="E298" s="61"/>
      <c r="F298" s="61"/>
      <c r="G298" s="61"/>
      <c r="H298" s="62">
        <v>382</v>
      </c>
      <c r="I298" s="127"/>
      <c r="J298" s="128"/>
      <c r="K298" s="20" t="s">
        <v>196</v>
      </c>
      <c r="L298" s="111">
        <f t="shared" ref="L298:S298" si="270">L299+L300</f>
        <v>0</v>
      </c>
      <c r="M298" s="111">
        <f t="shared" si="270"/>
        <v>0</v>
      </c>
      <c r="N298" s="112">
        <f t="shared" si="270"/>
        <v>0</v>
      </c>
      <c r="O298" s="112">
        <f t="shared" si="270"/>
        <v>0</v>
      </c>
      <c r="P298" s="113">
        <f t="shared" si="270"/>
        <v>4000</v>
      </c>
      <c r="Q298" s="113">
        <f t="shared" si="270"/>
        <v>0</v>
      </c>
      <c r="R298" s="87">
        <f t="shared" si="270"/>
        <v>0</v>
      </c>
      <c r="S298" s="89" t="e">
        <f t="shared" ca="1" si="270"/>
        <v>#NAME?</v>
      </c>
      <c r="T298" s="89"/>
      <c r="U298" s="89" t="e">
        <f t="shared" ca="1" si="224"/>
        <v>#NAME?</v>
      </c>
      <c r="V298" s="532">
        <f>V299+V300</f>
        <v>0</v>
      </c>
      <c r="W298" s="532">
        <f>W299+W300</f>
        <v>0</v>
      </c>
      <c r="X298" s="506">
        <f>X299+X300</f>
        <v>4000</v>
      </c>
      <c r="Y298" s="507">
        <f>Y299+Y300</f>
        <v>4000</v>
      </c>
      <c r="Z298" s="507"/>
      <c r="AA298" s="507" t="e">
        <f ca="1">AA299+AA300</f>
        <v>#NAME?</v>
      </c>
      <c r="AB298" s="507">
        <f>AB299+AB300</f>
        <v>0</v>
      </c>
      <c r="AC298" s="508">
        <f>AC299+AC300</f>
        <v>5000</v>
      </c>
      <c r="AD298" s="508">
        <f>AD299+AD300</f>
        <v>5000</v>
      </c>
      <c r="AE298" s="529"/>
      <c r="AF298" s="529"/>
      <c r="AG298" s="529"/>
      <c r="AH298" s="529"/>
      <c r="AI298" s="507"/>
      <c r="AJ298" s="507">
        <v>4000</v>
      </c>
      <c r="AK298" s="507"/>
      <c r="AL298" s="507"/>
      <c r="AM298" s="507">
        <f t="shared" si="245"/>
        <v>100</v>
      </c>
      <c r="AN298" s="509"/>
      <c r="AO298" s="510"/>
      <c r="AP298" s="510" t="e">
        <f t="shared" ca="1" si="225"/>
        <v>#NAME?</v>
      </c>
      <c r="AQ298" s="532">
        <f>AQ299+AQ300</f>
        <v>0</v>
      </c>
      <c r="AR298" s="532">
        <f t="shared" ref="AR298:BH298" si="271">AR299+AR300</f>
        <v>0</v>
      </c>
      <c r="AS298" s="532">
        <f t="shared" si="271"/>
        <v>0</v>
      </c>
      <c r="AT298" s="532">
        <f t="shared" si="271"/>
        <v>0</v>
      </c>
      <c r="AU298" s="532">
        <f t="shared" si="271"/>
        <v>0</v>
      </c>
      <c r="AV298" s="532">
        <f t="shared" si="271"/>
        <v>0</v>
      </c>
      <c r="AW298" s="612">
        <f t="shared" si="271"/>
        <v>0</v>
      </c>
      <c r="AX298" s="612">
        <f t="shared" si="271"/>
        <v>0</v>
      </c>
      <c r="AY298" s="612">
        <f t="shared" si="271"/>
        <v>0</v>
      </c>
      <c r="AZ298" s="612">
        <f t="shared" si="271"/>
        <v>0</v>
      </c>
      <c r="BA298" s="612">
        <f t="shared" si="271"/>
        <v>0</v>
      </c>
      <c r="BB298" s="612">
        <f t="shared" si="271"/>
        <v>0</v>
      </c>
      <c r="BC298" s="612">
        <f t="shared" si="271"/>
        <v>0</v>
      </c>
      <c r="BD298" s="612">
        <f t="shared" si="271"/>
        <v>0</v>
      </c>
      <c r="BE298" s="612">
        <f t="shared" si="271"/>
        <v>0</v>
      </c>
      <c r="BF298" s="612">
        <f t="shared" si="271"/>
        <v>0</v>
      </c>
      <c r="BG298" s="612">
        <f t="shared" si="271"/>
        <v>0</v>
      </c>
      <c r="BH298" s="612">
        <f t="shared" si="271"/>
        <v>0</v>
      </c>
      <c r="BI298" s="612">
        <f t="shared" si="249"/>
        <v>0</v>
      </c>
      <c r="BJ298" s="201">
        <f t="shared" si="229"/>
        <v>0</v>
      </c>
    </row>
    <row r="299" spans="1:62" ht="12" customHeight="1">
      <c r="A299" s="52"/>
      <c r="B299" s="52"/>
      <c r="C299" s="52"/>
      <c r="D299" s="52"/>
      <c r="E299" s="52"/>
      <c r="F299" s="52"/>
      <c r="G299" s="52"/>
      <c r="H299" s="63">
        <v>3821</v>
      </c>
      <c r="I299" s="116"/>
      <c r="J299" s="117"/>
      <c r="K299" s="19" t="s">
        <v>284</v>
      </c>
      <c r="L299" s="129">
        <f t="shared" ref="L299:S299" si="272">L615</f>
        <v>0</v>
      </c>
      <c r="M299" s="129">
        <f t="shared" si="272"/>
        <v>0</v>
      </c>
      <c r="N299" s="130">
        <f t="shared" si="272"/>
        <v>0</v>
      </c>
      <c r="O299" s="130">
        <f t="shared" si="272"/>
        <v>0</v>
      </c>
      <c r="P299" s="131">
        <f t="shared" si="272"/>
        <v>4000</v>
      </c>
      <c r="Q299" s="131">
        <f t="shared" si="272"/>
        <v>0</v>
      </c>
      <c r="R299" s="153">
        <f t="shared" si="272"/>
        <v>0</v>
      </c>
      <c r="S299" s="158" t="e">
        <f t="shared" ca="1" si="272"/>
        <v>#NAME?</v>
      </c>
      <c r="T299" s="158"/>
      <c r="U299" s="89" t="e">
        <f t="shared" ca="1" si="224"/>
        <v>#NAME?</v>
      </c>
      <c r="V299" s="532">
        <f>V615</f>
        <v>0</v>
      </c>
      <c r="W299" s="532">
        <f>W615</f>
        <v>0</v>
      </c>
      <c r="X299" s="534">
        <f>X615</f>
        <v>4000</v>
      </c>
      <c r="Y299" s="535">
        <f>Y615</f>
        <v>4000</v>
      </c>
      <c r="Z299" s="535"/>
      <c r="AA299" s="535" t="e">
        <f ca="1">AA615</f>
        <v>#NAME?</v>
      </c>
      <c r="AB299" s="535">
        <f>AB615</f>
        <v>0</v>
      </c>
      <c r="AC299" s="529">
        <f>AC615</f>
        <v>5000</v>
      </c>
      <c r="AD299" s="529">
        <f>AD615</f>
        <v>5000</v>
      </c>
      <c r="AE299" s="529"/>
      <c r="AF299" s="529"/>
      <c r="AG299" s="529"/>
      <c r="AH299" s="529"/>
      <c r="AI299" s="535"/>
      <c r="AJ299" s="535">
        <v>4000</v>
      </c>
      <c r="AK299" s="507"/>
      <c r="AL299" s="507"/>
      <c r="AM299" s="507">
        <f t="shared" si="245"/>
        <v>100</v>
      </c>
      <c r="AN299" s="556"/>
      <c r="AO299" s="510"/>
      <c r="AP299" s="510" t="e">
        <f t="shared" ca="1" si="225"/>
        <v>#NAME?</v>
      </c>
      <c r="AQ299" s="532">
        <f t="shared" ref="AQ299:BH299" si="273">AQ615</f>
        <v>0</v>
      </c>
      <c r="AR299" s="532">
        <f t="shared" si="273"/>
        <v>0</v>
      </c>
      <c r="AS299" s="532">
        <f t="shared" si="273"/>
        <v>0</v>
      </c>
      <c r="AT299" s="532">
        <f t="shared" si="273"/>
        <v>0</v>
      </c>
      <c r="AU299" s="532">
        <f t="shared" si="273"/>
        <v>0</v>
      </c>
      <c r="AV299" s="532">
        <f t="shared" si="273"/>
        <v>0</v>
      </c>
      <c r="AW299" s="612">
        <f t="shared" si="273"/>
        <v>0</v>
      </c>
      <c r="AX299" s="612">
        <f t="shared" si="273"/>
        <v>0</v>
      </c>
      <c r="AY299" s="612">
        <f t="shared" si="273"/>
        <v>0</v>
      </c>
      <c r="AZ299" s="612">
        <f t="shared" si="273"/>
        <v>0</v>
      </c>
      <c r="BA299" s="612">
        <f t="shared" si="273"/>
        <v>0</v>
      </c>
      <c r="BB299" s="612">
        <f t="shared" si="273"/>
        <v>0</v>
      </c>
      <c r="BC299" s="612">
        <f t="shared" si="273"/>
        <v>0</v>
      </c>
      <c r="BD299" s="612">
        <f t="shared" si="273"/>
        <v>0</v>
      </c>
      <c r="BE299" s="612">
        <f t="shared" si="273"/>
        <v>0</v>
      </c>
      <c r="BF299" s="612">
        <f t="shared" si="273"/>
        <v>0</v>
      </c>
      <c r="BG299" s="612">
        <f t="shared" si="273"/>
        <v>0</v>
      </c>
      <c r="BH299" s="612">
        <f t="shared" si="273"/>
        <v>0</v>
      </c>
      <c r="BI299" s="612">
        <f t="shared" si="249"/>
        <v>0</v>
      </c>
      <c r="BJ299" s="201">
        <f t="shared" si="229"/>
        <v>0</v>
      </c>
    </row>
    <row r="300" spans="1:62" ht="12" customHeight="1">
      <c r="A300" s="52"/>
      <c r="B300" s="52"/>
      <c r="C300" s="52"/>
      <c r="D300" s="52"/>
      <c r="E300" s="52"/>
      <c r="F300" s="52"/>
      <c r="G300" s="52"/>
      <c r="H300" s="63">
        <v>3822</v>
      </c>
      <c r="I300" s="116"/>
      <c r="J300" s="117"/>
      <c r="K300" s="19" t="s">
        <v>285</v>
      </c>
      <c r="L300" s="129">
        <f t="shared" ref="L300:S300" si="274">L701</f>
        <v>0</v>
      </c>
      <c r="M300" s="129">
        <f t="shared" si="274"/>
        <v>0</v>
      </c>
      <c r="N300" s="130">
        <f t="shared" si="274"/>
        <v>0</v>
      </c>
      <c r="O300" s="130">
        <f t="shared" si="274"/>
        <v>0</v>
      </c>
      <c r="P300" s="131">
        <f t="shared" si="274"/>
        <v>0</v>
      </c>
      <c r="Q300" s="131">
        <f t="shared" si="274"/>
        <v>0</v>
      </c>
      <c r="R300" s="153">
        <f t="shared" si="274"/>
        <v>0</v>
      </c>
      <c r="S300" s="158" t="e">
        <f t="shared" ca="1" si="274"/>
        <v>#NAME?</v>
      </c>
      <c r="T300" s="158"/>
      <c r="U300" s="89" t="e">
        <f t="shared" ca="1" si="224"/>
        <v>#NAME?</v>
      </c>
      <c r="V300" s="532">
        <f>V701</f>
        <v>0</v>
      </c>
      <c r="W300" s="532">
        <f>W701</f>
        <v>0</v>
      </c>
      <c r="X300" s="534">
        <f>X701</f>
        <v>0</v>
      </c>
      <c r="Y300" s="535">
        <f>Y701</f>
        <v>0</v>
      </c>
      <c r="Z300" s="535"/>
      <c r="AA300" s="535" t="e">
        <f ca="1">AA701</f>
        <v>#NAME?</v>
      </c>
      <c r="AB300" s="535">
        <f>AB701</f>
        <v>0</v>
      </c>
      <c r="AC300" s="529">
        <f>AC701</f>
        <v>0</v>
      </c>
      <c r="AD300" s="529">
        <f>AD701</f>
        <v>0</v>
      </c>
      <c r="AE300" s="529"/>
      <c r="AF300" s="529"/>
      <c r="AG300" s="529"/>
      <c r="AH300" s="529"/>
      <c r="AI300" s="535"/>
      <c r="AJ300" s="535">
        <v>0</v>
      </c>
      <c r="AK300" s="507"/>
      <c r="AL300" s="507"/>
      <c r="AM300" s="507"/>
      <c r="AN300" s="556"/>
      <c r="AO300" s="510"/>
      <c r="AP300" s="510" t="e">
        <f t="shared" ca="1" si="225"/>
        <v>#NAME?</v>
      </c>
      <c r="AQ300" s="532">
        <f t="shared" ref="AQ300:BH300" si="275">AQ701</f>
        <v>0</v>
      </c>
      <c r="AR300" s="532">
        <f t="shared" si="275"/>
        <v>0</v>
      </c>
      <c r="AS300" s="532">
        <f t="shared" si="275"/>
        <v>0</v>
      </c>
      <c r="AT300" s="532">
        <f t="shared" si="275"/>
        <v>0</v>
      </c>
      <c r="AU300" s="532">
        <f t="shared" si="275"/>
        <v>0</v>
      </c>
      <c r="AV300" s="532">
        <f t="shared" si="275"/>
        <v>0</v>
      </c>
      <c r="AW300" s="612">
        <f t="shared" si="275"/>
        <v>0</v>
      </c>
      <c r="AX300" s="612">
        <f t="shared" si="275"/>
        <v>0</v>
      </c>
      <c r="AY300" s="612">
        <f t="shared" si="275"/>
        <v>0</v>
      </c>
      <c r="AZ300" s="612">
        <f t="shared" si="275"/>
        <v>0</v>
      </c>
      <c r="BA300" s="612">
        <f t="shared" si="275"/>
        <v>0</v>
      </c>
      <c r="BB300" s="612">
        <f t="shared" si="275"/>
        <v>0</v>
      </c>
      <c r="BC300" s="612">
        <f t="shared" si="275"/>
        <v>0</v>
      </c>
      <c r="BD300" s="612">
        <f t="shared" si="275"/>
        <v>0</v>
      </c>
      <c r="BE300" s="612">
        <f t="shared" si="275"/>
        <v>0</v>
      </c>
      <c r="BF300" s="612">
        <f t="shared" si="275"/>
        <v>0</v>
      </c>
      <c r="BG300" s="612">
        <f t="shared" si="275"/>
        <v>0</v>
      </c>
      <c r="BH300" s="612">
        <f t="shared" si="275"/>
        <v>0</v>
      </c>
      <c r="BI300" s="612">
        <f t="shared" si="249"/>
        <v>0</v>
      </c>
      <c r="BJ300" s="201">
        <f t="shared" si="229"/>
        <v>0</v>
      </c>
    </row>
    <row r="301" spans="1:62" ht="12" customHeight="1">
      <c r="A301" s="52"/>
      <c r="B301" s="52"/>
      <c r="C301" s="52"/>
      <c r="D301" s="52"/>
      <c r="E301" s="52"/>
      <c r="F301" s="52"/>
      <c r="G301" s="52"/>
      <c r="H301" s="63"/>
      <c r="I301" s="116"/>
      <c r="J301" s="117"/>
      <c r="K301" s="19"/>
      <c r="L301" s="129"/>
      <c r="M301" s="129"/>
      <c r="N301" s="130"/>
      <c r="O301" s="130"/>
      <c r="P301" s="131"/>
      <c r="Q301" s="131"/>
      <c r="R301" s="153"/>
      <c r="S301" s="158"/>
      <c r="T301" s="158"/>
      <c r="U301" s="89" t="e">
        <f t="shared" ca="1" si="224"/>
        <v>#NAME?</v>
      </c>
      <c r="V301" s="532"/>
      <c r="W301" s="532"/>
      <c r="X301" s="534"/>
      <c r="Y301" s="535"/>
      <c r="Z301" s="535"/>
      <c r="AA301" s="535"/>
      <c r="AB301" s="535"/>
      <c r="AC301" s="529"/>
      <c r="AD301" s="529"/>
      <c r="AE301" s="529"/>
      <c r="AF301" s="529"/>
      <c r="AG301" s="529"/>
      <c r="AH301" s="529"/>
      <c r="AI301" s="535"/>
      <c r="AJ301" s="535"/>
      <c r="AK301" s="507"/>
      <c r="AL301" s="507"/>
      <c r="AM301" s="507"/>
      <c r="AN301" s="556"/>
      <c r="AO301" s="510"/>
      <c r="AP301" s="510" t="e">
        <f t="shared" ca="1" si="225"/>
        <v>#NAME?</v>
      </c>
      <c r="AQ301" s="532"/>
      <c r="AR301" s="532"/>
      <c r="AS301" s="532"/>
      <c r="AT301" s="532"/>
      <c r="AU301" s="532"/>
      <c r="AV301" s="532"/>
      <c r="AW301" s="612"/>
      <c r="AX301" s="612"/>
      <c r="AY301" s="612"/>
      <c r="AZ301" s="612"/>
      <c r="BA301" s="612"/>
      <c r="BB301" s="612"/>
      <c r="BC301" s="612"/>
      <c r="BD301" s="612"/>
      <c r="BE301" s="612"/>
      <c r="BF301" s="612"/>
      <c r="BG301" s="612"/>
      <c r="BH301" s="612"/>
      <c r="BI301" s="612">
        <f t="shared" si="249"/>
        <v>0</v>
      </c>
      <c r="BJ301" s="201">
        <f t="shared" si="229"/>
        <v>0</v>
      </c>
    </row>
    <row r="302" spans="1:62" ht="12" customHeight="1">
      <c r="A302" s="61"/>
      <c r="B302" s="61"/>
      <c r="C302" s="61"/>
      <c r="D302" s="61"/>
      <c r="E302" s="61"/>
      <c r="F302" s="61"/>
      <c r="G302" s="61"/>
      <c r="H302" s="62">
        <v>383</v>
      </c>
      <c r="I302" s="127"/>
      <c r="J302" s="128"/>
      <c r="K302" s="20" t="s">
        <v>286</v>
      </c>
      <c r="L302" s="111">
        <f t="shared" ref="L302:AD302" si="276">L303</f>
        <v>87280</v>
      </c>
      <c r="M302" s="111">
        <f t="shared" si="276"/>
        <v>11584.046718428561</v>
      </c>
      <c r="N302" s="112">
        <f t="shared" si="276"/>
        <v>7673</v>
      </c>
      <c r="O302" s="112">
        <f t="shared" si="276"/>
        <v>1018.3821089654257</v>
      </c>
      <c r="P302" s="113">
        <f t="shared" si="276"/>
        <v>4000</v>
      </c>
      <c r="Q302" s="113">
        <f t="shared" si="276"/>
        <v>12600</v>
      </c>
      <c r="R302" s="87">
        <f t="shared" si="276"/>
        <v>0</v>
      </c>
      <c r="S302" s="89" t="e">
        <f t="shared" ca="1" si="276"/>
        <v>#NAME?</v>
      </c>
      <c r="T302" s="89"/>
      <c r="U302" s="89" t="e">
        <f t="shared" ca="1" si="224"/>
        <v>#NAME?</v>
      </c>
      <c r="V302" s="532">
        <f>V303</f>
        <v>5000</v>
      </c>
      <c r="W302" s="532">
        <f t="shared" si="276"/>
        <v>5000</v>
      </c>
      <c r="X302" s="506">
        <f t="shared" si="276"/>
        <v>5000</v>
      </c>
      <c r="Y302" s="507">
        <f t="shared" si="276"/>
        <v>5000</v>
      </c>
      <c r="Z302" s="507"/>
      <c r="AA302" s="507" t="e">
        <f t="shared" ca="1" si="276"/>
        <v>#NAME?</v>
      </c>
      <c r="AB302" s="507">
        <f t="shared" si="276"/>
        <v>0</v>
      </c>
      <c r="AC302" s="508">
        <f t="shared" si="276"/>
        <v>4000</v>
      </c>
      <c r="AD302" s="508">
        <f t="shared" si="276"/>
        <v>4000</v>
      </c>
      <c r="AE302" s="529">
        <f>O302/M302*100</f>
        <v>8.7912465627864353</v>
      </c>
      <c r="AF302" s="529"/>
      <c r="AG302" s="529"/>
      <c r="AH302" s="529"/>
      <c r="AI302" s="507"/>
      <c r="AJ302" s="507">
        <v>5000</v>
      </c>
      <c r="AK302" s="507"/>
      <c r="AL302" s="507">
        <f t="shared" si="245"/>
        <v>100</v>
      </c>
      <c r="AM302" s="507">
        <f t="shared" si="245"/>
        <v>100</v>
      </c>
      <c r="AN302" s="509"/>
      <c r="AO302" s="510"/>
      <c r="AP302" s="510" t="e">
        <f t="shared" ca="1" si="225"/>
        <v>#NAME?</v>
      </c>
      <c r="AQ302" s="532">
        <f>AQ303</f>
        <v>1500</v>
      </c>
      <c r="AR302" s="532">
        <f t="shared" ref="AR302:BH302" si="277">AR303</f>
        <v>0</v>
      </c>
      <c r="AS302" s="532">
        <f t="shared" si="277"/>
        <v>100</v>
      </c>
      <c r="AT302" s="532">
        <f t="shared" si="277"/>
        <v>0</v>
      </c>
      <c r="AU302" s="532">
        <f t="shared" si="277"/>
        <v>30</v>
      </c>
      <c r="AV302" s="532">
        <f t="shared" si="277"/>
        <v>0</v>
      </c>
      <c r="AW302" s="612">
        <f t="shared" si="277"/>
        <v>1500</v>
      </c>
      <c r="AX302" s="612">
        <f t="shared" si="277"/>
        <v>0</v>
      </c>
      <c r="AY302" s="612">
        <f t="shared" si="277"/>
        <v>0</v>
      </c>
      <c r="AZ302" s="612">
        <f t="shared" si="277"/>
        <v>0</v>
      </c>
      <c r="BA302" s="612">
        <f t="shared" si="277"/>
        <v>0</v>
      </c>
      <c r="BB302" s="612">
        <f t="shared" si="277"/>
        <v>0</v>
      </c>
      <c r="BC302" s="612">
        <f t="shared" si="277"/>
        <v>0</v>
      </c>
      <c r="BD302" s="612">
        <f t="shared" si="277"/>
        <v>0</v>
      </c>
      <c r="BE302" s="612">
        <f t="shared" si="277"/>
        <v>0</v>
      </c>
      <c r="BF302" s="612">
        <f t="shared" si="277"/>
        <v>0</v>
      </c>
      <c r="BG302" s="612">
        <f t="shared" si="277"/>
        <v>0</v>
      </c>
      <c r="BH302" s="612">
        <f t="shared" si="277"/>
        <v>1500</v>
      </c>
      <c r="BI302" s="612">
        <f t="shared" si="249"/>
        <v>1500</v>
      </c>
      <c r="BJ302" s="201">
        <f t="shared" si="229"/>
        <v>0</v>
      </c>
    </row>
    <row r="303" spans="1:62" ht="12" customHeight="1">
      <c r="A303" s="52"/>
      <c r="B303" s="52"/>
      <c r="C303" s="52"/>
      <c r="D303" s="52"/>
      <c r="E303" s="52"/>
      <c r="F303" s="52"/>
      <c r="G303" s="52"/>
      <c r="H303" s="63">
        <v>3831</v>
      </c>
      <c r="I303" s="116"/>
      <c r="J303" s="117"/>
      <c r="K303" s="19" t="s">
        <v>287</v>
      </c>
      <c r="L303" s="129">
        <f t="shared" ref="L303:S303" si="278">L453</f>
        <v>87280</v>
      </c>
      <c r="M303" s="129">
        <f t="shared" si="278"/>
        <v>11584.046718428561</v>
      </c>
      <c r="N303" s="130">
        <f t="shared" si="278"/>
        <v>7673</v>
      </c>
      <c r="O303" s="130">
        <f t="shared" si="278"/>
        <v>1018.3821089654257</v>
      </c>
      <c r="P303" s="131">
        <f t="shared" si="278"/>
        <v>4000</v>
      </c>
      <c r="Q303" s="131">
        <f t="shared" si="278"/>
        <v>12600</v>
      </c>
      <c r="R303" s="153">
        <f t="shared" si="278"/>
        <v>0</v>
      </c>
      <c r="S303" s="158" t="e">
        <f t="shared" ca="1" si="278"/>
        <v>#NAME?</v>
      </c>
      <c r="T303" s="158"/>
      <c r="U303" s="89" t="e">
        <f t="shared" ca="1" si="224"/>
        <v>#NAME?</v>
      </c>
      <c r="V303" s="532">
        <f>V453</f>
        <v>5000</v>
      </c>
      <c r="W303" s="532">
        <f>W453</f>
        <v>5000</v>
      </c>
      <c r="X303" s="534">
        <f>X453</f>
        <v>5000</v>
      </c>
      <c r="Y303" s="535">
        <f>Y453</f>
        <v>5000</v>
      </c>
      <c r="Z303" s="535"/>
      <c r="AA303" s="535" t="e">
        <f ca="1">AA453</f>
        <v>#NAME?</v>
      </c>
      <c r="AB303" s="535">
        <f>AB453</f>
        <v>0</v>
      </c>
      <c r="AC303" s="529">
        <f>AC453</f>
        <v>4000</v>
      </c>
      <c r="AD303" s="529">
        <f>AD453</f>
        <v>4000</v>
      </c>
      <c r="AE303" s="529">
        <f>O303/M303*100</f>
        <v>8.7912465627864353</v>
      </c>
      <c r="AF303" s="529"/>
      <c r="AG303" s="529"/>
      <c r="AH303" s="529"/>
      <c r="AI303" s="535"/>
      <c r="AJ303" s="535">
        <v>5000</v>
      </c>
      <c r="AK303" s="507"/>
      <c r="AL303" s="507">
        <f t="shared" si="245"/>
        <v>100</v>
      </c>
      <c r="AM303" s="507">
        <f t="shared" si="245"/>
        <v>100</v>
      </c>
      <c r="AN303" s="556"/>
      <c r="AO303" s="510"/>
      <c r="AP303" s="510" t="e">
        <f t="shared" ca="1" si="225"/>
        <v>#NAME?</v>
      </c>
      <c r="AQ303" s="532">
        <f t="shared" ref="AQ303:BH303" si="279">AQ453</f>
        <v>1500</v>
      </c>
      <c r="AR303" s="532">
        <f t="shared" si="279"/>
        <v>0</v>
      </c>
      <c r="AS303" s="532">
        <f t="shared" si="279"/>
        <v>100</v>
      </c>
      <c r="AT303" s="532">
        <f t="shared" si="279"/>
        <v>0</v>
      </c>
      <c r="AU303" s="532">
        <f t="shared" si="279"/>
        <v>30</v>
      </c>
      <c r="AV303" s="532">
        <f t="shared" si="279"/>
        <v>0</v>
      </c>
      <c r="AW303" s="612">
        <f t="shared" si="279"/>
        <v>1500</v>
      </c>
      <c r="AX303" s="612">
        <f t="shared" si="279"/>
        <v>0</v>
      </c>
      <c r="AY303" s="612">
        <f t="shared" si="279"/>
        <v>0</v>
      </c>
      <c r="AZ303" s="612">
        <f t="shared" si="279"/>
        <v>0</v>
      </c>
      <c r="BA303" s="612">
        <f t="shared" si="279"/>
        <v>0</v>
      </c>
      <c r="BB303" s="612">
        <f t="shared" si="279"/>
        <v>0</v>
      </c>
      <c r="BC303" s="612">
        <f t="shared" si="279"/>
        <v>0</v>
      </c>
      <c r="BD303" s="612">
        <f t="shared" si="279"/>
        <v>0</v>
      </c>
      <c r="BE303" s="612">
        <f t="shared" si="279"/>
        <v>0</v>
      </c>
      <c r="BF303" s="612">
        <f t="shared" si="279"/>
        <v>0</v>
      </c>
      <c r="BG303" s="612">
        <f t="shared" si="279"/>
        <v>0</v>
      </c>
      <c r="BH303" s="612">
        <f t="shared" si="279"/>
        <v>1500</v>
      </c>
      <c r="BI303" s="612">
        <f t="shared" si="249"/>
        <v>1500</v>
      </c>
      <c r="BJ303" s="201">
        <f t="shared" si="229"/>
        <v>0</v>
      </c>
    </row>
    <row r="304" spans="1:62" ht="12" customHeight="1">
      <c r="A304" s="41"/>
      <c r="B304" s="41"/>
      <c r="C304" s="41"/>
      <c r="D304" s="41"/>
      <c r="E304" s="41"/>
      <c r="F304" s="41"/>
      <c r="G304" s="41"/>
      <c r="H304" s="37"/>
      <c r="I304" s="72"/>
      <c r="J304" s="90"/>
      <c r="K304" s="83"/>
      <c r="L304" s="84"/>
      <c r="M304" s="84"/>
      <c r="N304" s="85"/>
      <c r="O304" s="85"/>
      <c r="P304" s="86"/>
      <c r="Q304" s="86"/>
      <c r="R304" s="154"/>
      <c r="S304" s="155"/>
      <c r="T304" s="155"/>
      <c r="U304" s="89" t="e">
        <f t="shared" ca="1" si="224"/>
        <v>#NAME?</v>
      </c>
      <c r="V304" s="532"/>
      <c r="W304" s="532"/>
      <c r="X304" s="536"/>
      <c r="Y304" s="537"/>
      <c r="Z304" s="537"/>
      <c r="AA304" s="537"/>
      <c r="AB304" s="537"/>
      <c r="AC304" s="538"/>
      <c r="AD304" s="538"/>
      <c r="AE304" s="529"/>
      <c r="AF304" s="529"/>
      <c r="AG304" s="529"/>
      <c r="AH304" s="529"/>
      <c r="AI304" s="537"/>
      <c r="AJ304" s="537"/>
      <c r="AK304" s="507"/>
      <c r="AL304" s="507"/>
      <c r="AM304" s="507"/>
      <c r="AN304" s="557"/>
      <c r="AO304" s="510"/>
      <c r="AP304" s="510" t="e">
        <f t="shared" ca="1" si="225"/>
        <v>#NAME?</v>
      </c>
      <c r="AQ304" s="532"/>
      <c r="AR304" s="532"/>
      <c r="AS304" s="532"/>
      <c r="AT304" s="532"/>
      <c r="AU304" s="532"/>
      <c r="AV304" s="532"/>
      <c r="AW304" s="612"/>
      <c r="AX304" s="612"/>
      <c r="AY304" s="612"/>
      <c r="AZ304" s="612"/>
      <c r="BA304" s="612"/>
      <c r="BB304" s="612"/>
      <c r="BC304" s="612"/>
      <c r="BD304" s="612"/>
      <c r="BE304" s="612"/>
      <c r="BF304" s="612"/>
      <c r="BG304" s="612"/>
      <c r="BH304" s="612"/>
      <c r="BI304" s="612">
        <f t="shared" si="249"/>
        <v>0</v>
      </c>
      <c r="BJ304" s="201">
        <f t="shared" si="229"/>
        <v>0</v>
      </c>
    </row>
    <row r="305" spans="1:62" ht="12" customHeight="1">
      <c r="A305" s="61"/>
      <c r="B305" s="61"/>
      <c r="C305" s="61"/>
      <c r="D305" s="61"/>
      <c r="E305" s="61"/>
      <c r="F305" s="61"/>
      <c r="G305" s="61"/>
      <c r="H305" s="62">
        <v>385</v>
      </c>
      <c r="I305" s="127"/>
      <c r="J305" s="128"/>
      <c r="K305" s="20" t="s">
        <v>288</v>
      </c>
      <c r="L305" s="111">
        <f t="shared" ref="L305:AD305" si="280">L306</f>
        <v>0</v>
      </c>
      <c r="M305" s="111">
        <f t="shared" si="280"/>
        <v>0</v>
      </c>
      <c r="N305" s="112">
        <f t="shared" si="280"/>
        <v>0</v>
      </c>
      <c r="O305" s="112">
        <f t="shared" si="280"/>
        <v>0</v>
      </c>
      <c r="P305" s="113">
        <f t="shared" si="280"/>
        <v>14040</v>
      </c>
      <c r="Q305" s="113">
        <f t="shared" si="280"/>
        <v>6440</v>
      </c>
      <c r="R305" s="87">
        <f t="shared" si="280"/>
        <v>0</v>
      </c>
      <c r="S305" s="89" t="e">
        <f t="shared" ca="1" si="280"/>
        <v>#NAME?</v>
      </c>
      <c r="T305" s="89"/>
      <c r="U305" s="89" t="e">
        <f t="shared" ca="1" si="224"/>
        <v>#NAME?</v>
      </c>
      <c r="V305" s="532">
        <f>V306</f>
        <v>4390</v>
      </c>
      <c r="W305" s="532">
        <f t="shared" si="280"/>
        <v>4390</v>
      </c>
      <c r="X305" s="506">
        <f t="shared" si="280"/>
        <v>5660</v>
      </c>
      <c r="Y305" s="507">
        <f t="shared" si="280"/>
        <v>1748</v>
      </c>
      <c r="Z305" s="507"/>
      <c r="AA305" s="507" t="e">
        <f t="shared" ca="1" si="280"/>
        <v>#NAME?</v>
      </c>
      <c r="AB305" s="507">
        <f t="shared" si="280"/>
        <v>0</v>
      </c>
      <c r="AC305" s="508">
        <f t="shared" si="280"/>
        <v>14450</v>
      </c>
      <c r="AD305" s="508">
        <f t="shared" si="280"/>
        <v>14450</v>
      </c>
      <c r="AE305" s="529"/>
      <c r="AF305" s="529"/>
      <c r="AG305" s="529"/>
      <c r="AH305" s="529"/>
      <c r="AI305" s="507"/>
      <c r="AJ305" s="507">
        <v>1748</v>
      </c>
      <c r="AK305" s="507"/>
      <c r="AL305" s="507">
        <f t="shared" si="245"/>
        <v>128.92938496583145</v>
      </c>
      <c r="AM305" s="507">
        <f t="shared" si="245"/>
        <v>30.883392226148409</v>
      </c>
      <c r="AN305" s="509"/>
      <c r="AO305" s="510"/>
      <c r="AP305" s="510" t="e">
        <f t="shared" ca="1" si="225"/>
        <v>#NAME?</v>
      </c>
      <c r="AQ305" s="532">
        <f>AQ306</f>
        <v>0</v>
      </c>
      <c r="AR305" s="532">
        <f t="shared" ref="AR305:BH305" si="281">AR306</f>
        <v>0</v>
      </c>
      <c r="AS305" s="532">
        <f t="shared" si="281"/>
        <v>100</v>
      </c>
      <c r="AT305" s="532">
        <f t="shared" si="281"/>
        <v>0</v>
      </c>
      <c r="AU305" s="532">
        <f t="shared" si="281"/>
        <v>0</v>
      </c>
      <c r="AV305" s="532">
        <f t="shared" si="281"/>
        <v>0</v>
      </c>
      <c r="AW305" s="612">
        <f t="shared" si="281"/>
        <v>0</v>
      </c>
      <c r="AX305" s="612">
        <f t="shared" si="281"/>
        <v>0</v>
      </c>
      <c r="AY305" s="612">
        <f t="shared" si="281"/>
        <v>0</v>
      </c>
      <c r="AZ305" s="612">
        <f t="shared" si="281"/>
        <v>0</v>
      </c>
      <c r="BA305" s="612">
        <f t="shared" si="281"/>
        <v>0</v>
      </c>
      <c r="BB305" s="612">
        <f t="shared" si="281"/>
        <v>0</v>
      </c>
      <c r="BC305" s="612">
        <f t="shared" si="281"/>
        <v>0</v>
      </c>
      <c r="BD305" s="612">
        <f t="shared" si="281"/>
        <v>0</v>
      </c>
      <c r="BE305" s="612">
        <f t="shared" si="281"/>
        <v>0</v>
      </c>
      <c r="BF305" s="612">
        <f t="shared" si="281"/>
        <v>0</v>
      </c>
      <c r="BG305" s="612">
        <f t="shared" si="281"/>
        <v>0</v>
      </c>
      <c r="BH305" s="612">
        <f t="shared" si="281"/>
        <v>0</v>
      </c>
      <c r="BI305" s="612">
        <f t="shared" si="249"/>
        <v>0</v>
      </c>
      <c r="BJ305" s="201">
        <f t="shared" si="229"/>
        <v>0</v>
      </c>
    </row>
    <row r="306" spans="1:62" ht="12" customHeight="1">
      <c r="A306" s="52"/>
      <c r="B306" s="52"/>
      <c r="C306" s="52"/>
      <c r="D306" s="52"/>
      <c r="E306" s="52"/>
      <c r="F306" s="52"/>
      <c r="G306" s="52"/>
      <c r="H306" s="63">
        <v>3851</v>
      </c>
      <c r="I306" s="116"/>
      <c r="J306" s="117"/>
      <c r="K306" s="19" t="s">
        <v>289</v>
      </c>
      <c r="L306" s="129">
        <f t="shared" ref="L306:S306" si="282">L456</f>
        <v>0</v>
      </c>
      <c r="M306" s="129">
        <f t="shared" si="282"/>
        <v>0</v>
      </c>
      <c r="N306" s="130">
        <f t="shared" si="282"/>
        <v>0</v>
      </c>
      <c r="O306" s="130">
        <f t="shared" si="282"/>
        <v>0</v>
      </c>
      <c r="P306" s="131">
        <f t="shared" si="282"/>
        <v>14040</v>
      </c>
      <c r="Q306" s="131">
        <f t="shared" si="282"/>
        <v>6440</v>
      </c>
      <c r="R306" s="153">
        <f t="shared" si="282"/>
        <v>0</v>
      </c>
      <c r="S306" s="158" t="e">
        <f t="shared" ca="1" si="282"/>
        <v>#NAME?</v>
      </c>
      <c r="T306" s="158"/>
      <c r="U306" s="89" t="e">
        <f t="shared" ca="1" si="224"/>
        <v>#NAME?</v>
      </c>
      <c r="V306" s="532">
        <f>V456</f>
        <v>4390</v>
      </c>
      <c r="W306" s="532">
        <f>W456</f>
        <v>4390</v>
      </c>
      <c r="X306" s="534">
        <f>X456</f>
        <v>5660</v>
      </c>
      <c r="Y306" s="535">
        <f>Y456</f>
        <v>1748</v>
      </c>
      <c r="Z306" s="535"/>
      <c r="AA306" s="535" t="e">
        <f ca="1">AA456</f>
        <v>#NAME?</v>
      </c>
      <c r="AB306" s="535">
        <f>AB456</f>
        <v>0</v>
      </c>
      <c r="AC306" s="529">
        <f>AC456</f>
        <v>14450</v>
      </c>
      <c r="AD306" s="529">
        <f>AD456</f>
        <v>14450</v>
      </c>
      <c r="AE306" s="529"/>
      <c r="AF306" s="529"/>
      <c r="AG306" s="529"/>
      <c r="AH306" s="529"/>
      <c r="AI306" s="535"/>
      <c r="AJ306" s="535">
        <v>1748</v>
      </c>
      <c r="AK306" s="507"/>
      <c r="AL306" s="507">
        <f t="shared" si="245"/>
        <v>128.92938496583145</v>
      </c>
      <c r="AM306" s="507">
        <f t="shared" si="245"/>
        <v>30.883392226148409</v>
      </c>
      <c r="AN306" s="556"/>
      <c r="AO306" s="510"/>
      <c r="AP306" s="510" t="e">
        <f t="shared" ca="1" si="225"/>
        <v>#NAME?</v>
      </c>
      <c r="AQ306" s="532">
        <f t="shared" ref="AQ306:BH306" si="283">AQ456</f>
        <v>0</v>
      </c>
      <c r="AR306" s="532">
        <f t="shared" si="283"/>
        <v>0</v>
      </c>
      <c r="AS306" s="532">
        <f t="shared" si="283"/>
        <v>100</v>
      </c>
      <c r="AT306" s="532">
        <f t="shared" si="283"/>
        <v>0</v>
      </c>
      <c r="AU306" s="532">
        <f t="shared" si="283"/>
        <v>0</v>
      </c>
      <c r="AV306" s="532">
        <f t="shared" si="283"/>
        <v>0</v>
      </c>
      <c r="AW306" s="612">
        <f t="shared" si="283"/>
        <v>0</v>
      </c>
      <c r="AX306" s="612">
        <f t="shared" si="283"/>
        <v>0</v>
      </c>
      <c r="AY306" s="612">
        <f t="shared" si="283"/>
        <v>0</v>
      </c>
      <c r="AZ306" s="612">
        <f t="shared" si="283"/>
        <v>0</v>
      </c>
      <c r="BA306" s="612">
        <f t="shared" si="283"/>
        <v>0</v>
      </c>
      <c r="BB306" s="612">
        <f t="shared" si="283"/>
        <v>0</v>
      </c>
      <c r="BC306" s="612">
        <f t="shared" si="283"/>
        <v>0</v>
      </c>
      <c r="BD306" s="612">
        <f t="shared" si="283"/>
        <v>0</v>
      </c>
      <c r="BE306" s="612">
        <f t="shared" si="283"/>
        <v>0</v>
      </c>
      <c r="BF306" s="612">
        <f t="shared" si="283"/>
        <v>0</v>
      </c>
      <c r="BG306" s="612">
        <f t="shared" si="283"/>
        <v>0</v>
      </c>
      <c r="BH306" s="612">
        <f t="shared" si="283"/>
        <v>0</v>
      </c>
      <c r="BI306" s="612">
        <f t="shared" si="249"/>
        <v>0</v>
      </c>
      <c r="BJ306" s="201">
        <f t="shared" si="229"/>
        <v>0</v>
      </c>
    </row>
    <row r="307" spans="1:62" ht="12" customHeight="1">
      <c r="A307" s="68"/>
      <c r="B307" s="68"/>
      <c r="C307" s="68"/>
      <c r="D307" s="68"/>
      <c r="E307" s="68"/>
      <c r="F307" s="68"/>
      <c r="G307" s="68"/>
      <c r="H307" s="169"/>
      <c r="I307" s="140"/>
      <c r="J307" s="141"/>
      <c r="K307" s="8"/>
      <c r="L307" s="175"/>
      <c r="M307" s="175"/>
      <c r="N307" s="176"/>
      <c r="O307" s="176"/>
      <c r="P307" s="177"/>
      <c r="Q307" s="177"/>
      <c r="R307" s="212"/>
      <c r="S307" s="180"/>
      <c r="T307" s="180"/>
      <c r="U307" s="89" t="e">
        <f t="shared" ca="1" si="224"/>
        <v>#NAME?</v>
      </c>
      <c r="V307" s="532"/>
      <c r="W307" s="532"/>
      <c r="X307" s="506"/>
      <c r="Y307" s="507"/>
      <c r="Z307" s="507"/>
      <c r="AA307" s="507"/>
      <c r="AB307" s="507"/>
      <c r="AC307" s="508"/>
      <c r="AD307" s="508"/>
      <c r="AE307" s="529"/>
      <c r="AF307" s="529"/>
      <c r="AG307" s="529"/>
      <c r="AH307" s="529"/>
      <c r="AI307" s="507"/>
      <c r="AJ307" s="507"/>
      <c r="AK307" s="507"/>
      <c r="AL307" s="507"/>
      <c r="AM307" s="507"/>
      <c r="AN307" s="509"/>
      <c r="AO307" s="510"/>
      <c r="AP307" s="510" t="e">
        <f t="shared" ca="1" si="225"/>
        <v>#NAME?</v>
      </c>
      <c r="AQ307" s="532"/>
      <c r="AR307" s="532"/>
      <c r="AS307" s="532"/>
      <c r="AT307" s="532"/>
      <c r="AU307" s="532"/>
      <c r="AV307" s="532"/>
      <c r="AW307" s="612"/>
      <c r="AX307" s="612"/>
      <c r="AY307" s="612"/>
      <c r="AZ307" s="612"/>
      <c r="BA307" s="612"/>
      <c r="BB307" s="612"/>
      <c r="BC307" s="612"/>
      <c r="BD307" s="612"/>
      <c r="BE307" s="612"/>
      <c r="BF307" s="612"/>
      <c r="BG307" s="612"/>
      <c r="BH307" s="612"/>
      <c r="BI307" s="612">
        <f t="shared" si="249"/>
        <v>0</v>
      </c>
      <c r="BJ307" s="201">
        <f t="shared" si="229"/>
        <v>0</v>
      </c>
    </row>
    <row r="308" spans="1:62" ht="12" customHeight="1">
      <c r="A308" s="61"/>
      <c r="B308" s="61"/>
      <c r="C308" s="61"/>
      <c r="D308" s="61"/>
      <c r="E308" s="61"/>
      <c r="F308" s="61"/>
      <c r="G308" s="61"/>
      <c r="H308" s="62">
        <v>386</v>
      </c>
      <c r="I308" s="127"/>
      <c r="J308" s="128"/>
      <c r="K308" s="20" t="s">
        <v>290</v>
      </c>
      <c r="L308" s="111">
        <f t="shared" ref="L308:AD308" si="284">L309</f>
        <v>5335000</v>
      </c>
      <c r="M308" s="111">
        <f t="shared" si="284"/>
        <v>708076.18289202987</v>
      </c>
      <c r="N308" s="112">
        <f t="shared" si="284"/>
        <v>6706866</v>
      </c>
      <c r="O308" s="112">
        <f t="shared" si="284"/>
        <v>890154.09118056926</v>
      </c>
      <c r="P308" s="113">
        <f t="shared" si="284"/>
        <v>1061000</v>
      </c>
      <c r="Q308" s="113">
        <f t="shared" si="284"/>
        <v>1126900</v>
      </c>
      <c r="R308" s="87">
        <f t="shared" si="284"/>
        <v>968801</v>
      </c>
      <c r="S308" s="89" t="e">
        <f t="shared" ca="1" si="284"/>
        <v>#NAME?</v>
      </c>
      <c r="T308" s="89"/>
      <c r="U308" s="89" t="e">
        <f t="shared" ca="1" si="224"/>
        <v>#NAME?</v>
      </c>
      <c r="V308" s="532">
        <f>V309</f>
        <v>1141500</v>
      </c>
      <c r="W308" s="532">
        <f t="shared" si="284"/>
        <v>1104427</v>
      </c>
      <c r="X308" s="506">
        <f t="shared" si="284"/>
        <v>1970000</v>
      </c>
      <c r="Y308" s="507">
        <f t="shared" si="284"/>
        <v>1970000</v>
      </c>
      <c r="Z308" s="507"/>
      <c r="AA308" s="507" t="e">
        <f t="shared" ca="1" si="284"/>
        <v>#NAME?</v>
      </c>
      <c r="AB308" s="507">
        <f t="shared" si="284"/>
        <v>0</v>
      </c>
      <c r="AC308" s="508">
        <f t="shared" si="284"/>
        <v>1035000</v>
      </c>
      <c r="AD308" s="508">
        <f t="shared" si="284"/>
        <v>1035000</v>
      </c>
      <c r="AE308" s="529">
        <f>O308/M308*100</f>
        <v>125.71445173383317</v>
      </c>
      <c r="AF308" s="529">
        <f>P308/O308*100</f>
        <v>119.19284655456066</v>
      </c>
      <c r="AG308" s="529">
        <f>Q308/P308*100</f>
        <v>106.21112158341188</v>
      </c>
      <c r="AH308" s="529">
        <f>AC308/Q308*100</f>
        <v>91.844884195580804</v>
      </c>
      <c r="AI308" s="507"/>
      <c r="AJ308" s="507">
        <v>1970000</v>
      </c>
      <c r="AK308" s="507">
        <f>W308/R308*100</f>
        <v>113.99936622691347</v>
      </c>
      <c r="AL308" s="507">
        <f t="shared" si="245"/>
        <v>178.37303868884047</v>
      </c>
      <c r="AM308" s="507">
        <f t="shared" si="245"/>
        <v>100</v>
      </c>
      <c r="AN308" s="509"/>
      <c r="AO308" s="510"/>
      <c r="AP308" s="510" t="e">
        <f t="shared" ca="1" si="225"/>
        <v>#NAME?</v>
      </c>
      <c r="AQ308" s="532">
        <f>AQ309</f>
        <v>935975</v>
      </c>
      <c r="AR308" s="532">
        <f t="shared" ref="AR308:BH308" si="285">AR309</f>
        <v>475.61479997897879</v>
      </c>
      <c r="AS308" s="532">
        <f t="shared" si="285"/>
        <v>689.40771428571429</v>
      </c>
      <c r="AT308" s="532">
        <f t="shared" si="285"/>
        <v>466.31842845511915</v>
      </c>
      <c r="AU308" s="532">
        <f t="shared" si="285"/>
        <v>572.29668450098359</v>
      </c>
      <c r="AV308" s="532">
        <f t="shared" si="285"/>
        <v>367.35243507896888</v>
      </c>
      <c r="AW308" s="612">
        <f t="shared" si="285"/>
        <v>185949</v>
      </c>
      <c r="AX308" s="612">
        <f t="shared" si="285"/>
        <v>0</v>
      </c>
      <c r="AY308" s="612">
        <f t="shared" si="285"/>
        <v>394789.96</v>
      </c>
      <c r="AZ308" s="612">
        <f t="shared" si="285"/>
        <v>30000</v>
      </c>
      <c r="BA308" s="612">
        <f t="shared" si="285"/>
        <v>0</v>
      </c>
      <c r="BB308" s="612">
        <f t="shared" si="285"/>
        <v>0</v>
      </c>
      <c r="BC308" s="612">
        <f t="shared" si="285"/>
        <v>0</v>
      </c>
      <c r="BD308" s="612">
        <f t="shared" si="285"/>
        <v>10496</v>
      </c>
      <c r="BE308" s="612">
        <f t="shared" si="285"/>
        <v>311856.04000000004</v>
      </c>
      <c r="BF308" s="612">
        <f t="shared" si="285"/>
        <v>0</v>
      </c>
      <c r="BG308" s="612">
        <f t="shared" si="285"/>
        <v>2884</v>
      </c>
      <c r="BH308" s="612">
        <f t="shared" si="285"/>
        <v>935975</v>
      </c>
      <c r="BI308" s="612">
        <f t="shared" si="249"/>
        <v>935975</v>
      </c>
      <c r="BJ308" s="201">
        <f t="shared" si="229"/>
        <v>0</v>
      </c>
    </row>
    <row r="309" spans="1:62" ht="12" customHeight="1">
      <c r="A309" s="52"/>
      <c r="B309" s="52"/>
      <c r="C309" s="52"/>
      <c r="D309" s="52"/>
      <c r="E309" s="52"/>
      <c r="F309" s="52"/>
      <c r="G309" s="52"/>
      <c r="H309" s="63">
        <v>3861</v>
      </c>
      <c r="I309" s="116"/>
      <c r="J309" s="117"/>
      <c r="K309" s="19" t="s">
        <v>291</v>
      </c>
      <c r="L309" s="129">
        <f t="shared" ref="L309:S309" si="286">L576+L594+L636+L676+L693+L749+L822</f>
        <v>5335000</v>
      </c>
      <c r="M309" s="129">
        <f t="shared" si="286"/>
        <v>708076.18289202987</v>
      </c>
      <c r="N309" s="130">
        <f t="shared" si="286"/>
        <v>6706866</v>
      </c>
      <c r="O309" s="130">
        <f t="shared" si="286"/>
        <v>890154.09118056926</v>
      </c>
      <c r="P309" s="131">
        <f t="shared" si="286"/>
        <v>1061000</v>
      </c>
      <c r="Q309" s="131">
        <f t="shared" si="286"/>
        <v>1126900</v>
      </c>
      <c r="R309" s="153">
        <f t="shared" si="286"/>
        <v>968801</v>
      </c>
      <c r="S309" s="158" t="e">
        <f t="shared" ca="1" si="286"/>
        <v>#NAME?</v>
      </c>
      <c r="T309" s="158"/>
      <c r="U309" s="89" t="e">
        <f t="shared" ca="1" si="224"/>
        <v>#NAME?</v>
      </c>
      <c r="V309" s="532">
        <f>V576+V594+V636+V676+V693+V749+V822</f>
        <v>1141500</v>
      </c>
      <c r="W309" s="532">
        <f>W576+W594+W636+W676+W693+W749+W822</f>
        <v>1104427</v>
      </c>
      <c r="X309" s="534">
        <f>X576+X594+X636+X676+X693+X749+X822</f>
        <v>1970000</v>
      </c>
      <c r="Y309" s="535">
        <f>Y576+Y594+Y636+Y676+Y693+Y749+Y822</f>
        <v>1970000</v>
      </c>
      <c r="Z309" s="535"/>
      <c r="AA309" s="535" t="e">
        <f ca="1">AA576+AA594+AA636+AA676+AA693+AA749+AA822</f>
        <v>#NAME?</v>
      </c>
      <c r="AB309" s="535">
        <f>AB576+AB594+AB636+AB676+AB693+AB749+AB822</f>
        <v>0</v>
      </c>
      <c r="AC309" s="529">
        <f>AC576+AC594+AC636+AC676+AC693+AC749+AC822</f>
        <v>1035000</v>
      </c>
      <c r="AD309" s="529">
        <f>AD576+AD594+AD636+AD676+AD693+AD749+AD822</f>
        <v>1035000</v>
      </c>
      <c r="AE309" s="529">
        <f>O309/M309*100</f>
        <v>125.71445173383317</v>
      </c>
      <c r="AF309" s="529">
        <f>P309/O309*100</f>
        <v>119.19284655456066</v>
      </c>
      <c r="AG309" s="529">
        <f>Q309/P309*100</f>
        <v>106.21112158341188</v>
      </c>
      <c r="AH309" s="529">
        <f>AC309/Q309*100</f>
        <v>91.844884195580804</v>
      </c>
      <c r="AI309" s="535"/>
      <c r="AJ309" s="535">
        <v>1970000</v>
      </c>
      <c r="AK309" s="507">
        <f>W309/R309*100</f>
        <v>113.99936622691347</v>
      </c>
      <c r="AL309" s="507">
        <f t="shared" si="245"/>
        <v>178.37303868884047</v>
      </c>
      <c r="AM309" s="507">
        <f t="shared" si="245"/>
        <v>100</v>
      </c>
      <c r="AN309" s="556"/>
      <c r="AO309" s="510"/>
      <c r="AP309" s="510" t="e">
        <f t="shared" ca="1" si="225"/>
        <v>#NAME?</v>
      </c>
      <c r="AQ309" s="532">
        <f t="shared" ref="AQ309:BH309" si="287">AQ576+AQ594+AQ636+AQ676+AQ693+AQ749+AQ822</f>
        <v>935975</v>
      </c>
      <c r="AR309" s="532">
        <f t="shared" si="287"/>
        <v>475.61479997897879</v>
      </c>
      <c r="AS309" s="532">
        <f t="shared" si="287"/>
        <v>689.40771428571429</v>
      </c>
      <c r="AT309" s="532">
        <f t="shared" si="287"/>
        <v>466.31842845511915</v>
      </c>
      <c r="AU309" s="532">
        <f t="shared" si="287"/>
        <v>572.29668450098359</v>
      </c>
      <c r="AV309" s="532">
        <f t="shared" si="287"/>
        <v>367.35243507896888</v>
      </c>
      <c r="AW309" s="612">
        <f t="shared" si="287"/>
        <v>185949</v>
      </c>
      <c r="AX309" s="612">
        <f t="shared" si="287"/>
        <v>0</v>
      </c>
      <c r="AY309" s="612">
        <f t="shared" si="287"/>
        <v>394789.96</v>
      </c>
      <c r="AZ309" s="612">
        <f t="shared" si="287"/>
        <v>30000</v>
      </c>
      <c r="BA309" s="612">
        <f t="shared" si="287"/>
        <v>0</v>
      </c>
      <c r="BB309" s="612">
        <f t="shared" si="287"/>
        <v>0</v>
      </c>
      <c r="BC309" s="612">
        <f t="shared" si="287"/>
        <v>0</v>
      </c>
      <c r="BD309" s="612">
        <f t="shared" si="287"/>
        <v>10496</v>
      </c>
      <c r="BE309" s="612">
        <f t="shared" si="287"/>
        <v>311856.04000000004</v>
      </c>
      <c r="BF309" s="612">
        <f t="shared" si="287"/>
        <v>0</v>
      </c>
      <c r="BG309" s="612">
        <f t="shared" si="287"/>
        <v>2884</v>
      </c>
      <c r="BH309" s="612">
        <f t="shared" si="287"/>
        <v>935975</v>
      </c>
      <c r="BI309" s="612">
        <f t="shared" si="249"/>
        <v>935975</v>
      </c>
      <c r="BJ309" s="201">
        <f t="shared" si="229"/>
        <v>0</v>
      </c>
    </row>
    <row r="310" spans="1:62" ht="12" customHeight="1">
      <c r="A310" s="41"/>
      <c r="B310" s="41"/>
      <c r="C310" s="41"/>
      <c r="D310" s="41"/>
      <c r="E310" s="41"/>
      <c r="F310" s="41"/>
      <c r="G310" s="41"/>
      <c r="H310" s="37"/>
      <c r="I310" s="72"/>
      <c r="J310" s="73"/>
      <c r="K310" s="83"/>
      <c r="L310" s="84"/>
      <c r="M310" s="84"/>
      <c r="N310" s="85"/>
      <c r="O310" s="85"/>
      <c r="P310" s="86"/>
      <c r="Q310" s="86"/>
      <c r="R310" s="154"/>
      <c r="S310" s="155"/>
      <c r="T310" s="155"/>
      <c r="U310" s="89" t="e">
        <f t="shared" ca="1" si="224"/>
        <v>#NAME?</v>
      </c>
      <c r="V310" s="532"/>
      <c r="W310" s="532"/>
      <c r="X310" s="536"/>
      <c r="Y310" s="537"/>
      <c r="Z310" s="537"/>
      <c r="AA310" s="537"/>
      <c r="AB310" s="537"/>
      <c r="AC310" s="538"/>
      <c r="AD310" s="538"/>
      <c r="AE310" s="529"/>
      <c r="AF310" s="529"/>
      <c r="AG310" s="529"/>
      <c r="AH310" s="529"/>
      <c r="AI310" s="537"/>
      <c r="AJ310" s="537"/>
      <c r="AK310" s="507"/>
      <c r="AL310" s="507"/>
      <c r="AM310" s="507"/>
      <c r="AN310" s="557"/>
      <c r="AO310" s="510"/>
      <c r="AP310" s="510" t="e">
        <f t="shared" ca="1" si="225"/>
        <v>#NAME?</v>
      </c>
      <c r="AQ310" s="532"/>
      <c r="AR310" s="532"/>
      <c r="AS310" s="532"/>
      <c r="AT310" s="532"/>
      <c r="AU310" s="532"/>
      <c r="AV310" s="532"/>
      <c r="AW310" s="612"/>
      <c r="AX310" s="612"/>
      <c r="AY310" s="612"/>
      <c r="AZ310" s="612"/>
      <c r="BA310" s="612"/>
      <c r="BB310" s="612"/>
      <c r="BC310" s="612"/>
      <c r="BD310" s="612"/>
      <c r="BE310" s="612"/>
      <c r="BF310" s="612"/>
      <c r="BG310" s="612"/>
      <c r="BH310" s="612"/>
      <c r="BI310" s="612">
        <f t="shared" si="249"/>
        <v>0</v>
      </c>
      <c r="BJ310" s="201">
        <f t="shared" si="229"/>
        <v>0</v>
      </c>
    </row>
    <row r="311" spans="1:62" ht="12" customHeight="1">
      <c r="A311" s="55"/>
      <c r="B311" s="55"/>
      <c r="C311" s="55"/>
      <c r="D311" s="55"/>
      <c r="E311" s="55"/>
      <c r="F311" s="55"/>
      <c r="G311" s="55"/>
      <c r="H311" s="56">
        <v>4</v>
      </c>
      <c r="I311" s="121"/>
      <c r="J311" s="122"/>
      <c r="K311" s="123" t="s">
        <v>292</v>
      </c>
      <c r="L311" s="111">
        <f t="shared" ref="L311:S311" si="288">L313+L318+L340</f>
        <v>4478424</v>
      </c>
      <c r="M311" s="111">
        <f t="shared" si="288"/>
        <v>594389.01055146323</v>
      </c>
      <c r="N311" s="112">
        <f t="shared" si="288"/>
        <v>2004477</v>
      </c>
      <c r="O311" s="112">
        <f t="shared" si="288"/>
        <v>266039.81684252433</v>
      </c>
      <c r="P311" s="113">
        <f t="shared" si="288"/>
        <v>1536700</v>
      </c>
      <c r="Q311" s="113">
        <f t="shared" si="288"/>
        <v>662060</v>
      </c>
      <c r="R311" s="87">
        <f t="shared" si="288"/>
        <v>728804</v>
      </c>
      <c r="S311" s="89" t="e">
        <f t="shared" ca="1" si="288"/>
        <v>#NAME?</v>
      </c>
      <c r="T311" s="89"/>
      <c r="U311" s="89" t="e">
        <f t="shared" ca="1" si="224"/>
        <v>#NAME?</v>
      </c>
      <c r="V311" s="532">
        <f>V313+V318+V340</f>
        <v>730000</v>
      </c>
      <c r="W311" s="532">
        <f>W313+W318+W340</f>
        <v>730771</v>
      </c>
      <c r="X311" s="506">
        <f>X313+X318+X340</f>
        <v>1104500</v>
      </c>
      <c r="Y311" s="507">
        <f>Y313+Y318+Y340</f>
        <v>911500.3</v>
      </c>
      <c r="Z311" s="507"/>
      <c r="AA311" s="507" t="e">
        <f ca="1">AA313+AA318+AA340</f>
        <v>#NAME?</v>
      </c>
      <c r="AB311" s="507">
        <f>AB313+AB318+AB340</f>
        <v>4</v>
      </c>
      <c r="AC311" s="508">
        <f>AC313+AC318+AC340</f>
        <v>495100</v>
      </c>
      <c r="AD311" s="508">
        <f>AD313+AD318+AD340</f>
        <v>495100</v>
      </c>
      <c r="AE311" s="529">
        <f>O311/M311*100</f>
        <v>44.75853559198503</v>
      </c>
      <c r="AF311" s="529">
        <f>P311/O311*100</f>
        <v>577.62030444849211</v>
      </c>
      <c r="AG311" s="529">
        <f>Q311/P311*100</f>
        <v>43.083230298692001</v>
      </c>
      <c r="AH311" s="529">
        <f>AC311/Q311*100</f>
        <v>74.781741836087363</v>
      </c>
      <c r="AI311" s="507"/>
      <c r="AJ311" s="507">
        <v>911500.3</v>
      </c>
      <c r="AK311" s="507">
        <f>W311/R311*100</f>
        <v>100.26989423768255</v>
      </c>
      <c r="AL311" s="507">
        <f t="shared" si="245"/>
        <v>151.14173934105213</v>
      </c>
      <c r="AM311" s="507">
        <f t="shared" si="245"/>
        <v>82.526057039384341</v>
      </c>
      <c r="AN311" s="509"/>
      <c r="AO311" s="510"/>
      <c r="AP311" s="510" t="e">
        <f t="shared" ca="1" si="225"/>
        <v>#NAME?</v>
      </c>
      <c r="AQ311" s="532">
        <f>AQ313+AQ318+AQ340</f>
        <v>648786.97999999986</v>
      </c>
      <c r="AR311" s="532">
        <f t="shared" ref="AR311:BH311" si="289">AR313+AR318+AR340</f>
        <v>3960.8230151503226</v>
      </c>
      <c r="AS311" s="532">
        <f t="shared" si="289"/>
        <v>1400</v>
      </c>
      <c r="AT311" s="532">
        <f t="shared" si="289"/>
        <v>3960.9711078090754</v>
      </c>
      <c r="AU311" s="532">
        <f t="shared" si="289"/>
        <v>1063.8924860939435</v>
      </c>
      <c r="AV311" s="532">
        <f t="shared" si="289"/>
        <v>3485.5398242318583</v>
      </c>
      <c r="AW311" s="612">
        <f t="shared" si="289"/>
        <v>343199.23</v>
      </c>
      <c r="AX311" s="612">
        <f t="shared" si="289"/>
        <v>0</v>
      </c>
      <c r="AY311" s="612">
        <f t="shared" si="289"/>
        <v>0</v>
      </c>
      <c r="AZ311" s="612">
        <f t="shared" si="289"/>
        <v>0</v>
      </c>
      <c r="BA311" s="612">
        <f t="shared" si="289"/>
        <v>0</v>
      </c>
      <c r="BB311" s="612">
        <f t="shared" si="289"/>
        <v>0</v>
      </c>
      <c r="BC311" s="612">
        <f t="shared" si="289"/>
        <v>0</v>
      </c>
      <c r="BD311" s="612">
        <f t="shared" si="289"/>
        <v>0</v>
      </c>
      <c r="BE311" s="612">
        <f t="shared" si="289"/>
        <v>302326.5</v>
      </c>
      <c r="BF311" s="612">
        <f t="shared" si="289"/>
        <v>2423.75</v>
      </c>
      <c r="BG311" s="612">
        <f t="shared" si="289"/>
        <v>837.5</v>
      </c>
      <c r="BH311" s="612">
        <f t="shared" si="289"/>
        <v>648786.97999999986</v>
      </c>
      <c r="BI311" s="612">
        <f t="shared" si="249"/>
        <v>648786.98</v>
      </c>
      <c r="BJ311" s="201">
        <f t="shared" si="229"/>
        <v>0</v>
      </c>
    </row>
    <row r="312" spans="1:62" ht="12" customHeight="1">
      <c r="A312" s="52"/>
      <c r="B312" s="52"/>
      <c r="C312" s="52"/>
      <c r="D312" s="52"/>
      <c r="E312" s="52"/>
      <c r="F312" s="52"/>
      <c r="G312" s="52"/>
      <c r="H312" s="63"/>
      <c r="I312" s="116"/>
      <c r="J312" s="117"/>
      <c r="K312" s="19"/>
      <c r="L312" s="118"/>
      <c r="M312" s="118"/>
      <c r="N312" s="119"/>
      <c r="O312" s="119"/>
      <c r="P312" s="120"/>
      <c r="Q312" s="120"/>
      <c r="R312" s="151"/>
      <c r="S312" s="152"/>
      <c r="T312" s="152"/>
      <c r="U312" s="89" t="e">
        <f t="shared" ca="1" si="224"/>
        <v>#NAME?</v>
      </c>
      <c r="V312" s="532"/>
      <c r="W312" s="532"/>
      <c r="X312" s="534"/>
      <c r="Y312" s="535"/>
      <c r="Z312" s="535"/>
      <c r="AA312" s="535"/>
      <c r="AB312" s="535"/>
      <c r="AC312" s="529"/>
      <c r="AD312" s="529"/>
      <c r="AE312" s="529"/>
      <c r="AF312" s="529"/>
      <c r="AG312" s="529"/>
      <c r="AH312" s="529"/>
      <c r="AI312" s="535"/>
      <c r="AJ312" s="535"/>
      <c r="AK312" s="507"/>
      <c r="AL312" s="507"/>
      <c r="AM312" s="507"/>
      <c r="AN312" s="556"/>
      <c r="AO312" s="510"/>
      <c r="AP312" s="510" t="e">
        <f t="shared" ca="1" si="225"/>
        <v>#NAME?</v>
      </c>
      <c r="AQ312" s="532"/>
      <c r="AR312" s="532"/>
      <c r="AS312" s="532"/>
      <c r="AT312" s="532"/>
      <c r="AU312" s="532"/>
      <c r="AV312" s="532"/>
      <c r="AW312" s="612"/>
      <c r="AX312" s="612"/>
      <c r="AY312" s="612"/>
      <c r="AZ312" s="612"/>
      <c r="BA312" s="612"/>
      <c r="BB312" s="612"/>
      <c r="BC312" s="612"/>
      <c r="BD312" s="612"/>
      <c r="BE312" s="612"/>
      <c r="BF312" s="612"/>
      <c r="BG312" s="612"/>
      <c r="BH312" s="612"/>
      <c r="BI312" s="612">
        <f t="shared" si="249"/>
        <v>0</v>
      </c>
      <c r="BJ312" s="201">
        <f t="shared" si="229"/>
        <v>0</v>
      </c>
    </row>
    <row r="313" spans="1:62" ht="12" customHeight="1">
      <c r="A313" s="58"/>
      <c r="B313" s="58"/>
      <c r="C313" s="58"/>
      <c r="D313" s="58"/>
      <c r="E313" s="58"/>
      <c r="F313" s="58"/>
      <c r="G313" s="58"/>
      <c r="H313" s="59">
        <v>41</v>
      </c>
      <c r="I313" s="124"/>
      <c r="J313" s="125"/>
      <c r="K313" s="126" t="s">
        <v>293</v>
      </c>
      <c r="L313" s="111">
        <f t="shared" ref="L313:S313" si="290">L315</f>
        <v>0</v>
      </c>
      <c r="M313" s="111">
        <f t="shared" si="290"/>
        <v>0</v>
      </c>
      <c r="N313" s="112">
        <f t="shared" si="290"/>
        <v>0</v>
      </c>
      <c r="O313" s="112">
        <f t="shared" si="290"/>
        <v>0</v>
      </c>
      <c r="P313" s="113">
        <f t="shared" si="290"/>
        <v>0</v>
      </c>
      <c r="Q313" s="113">
        <f t="shared" si="290"/>
        <v>0</v>
      </c>
      <c r="R313" s="87">
        <f t="shared" si="290"/>
        <v>0</v>
      </c>
      <c r="S313" s="89" t="e">
        <f t="shared" ca="1" si="290"/>
        <v>#NAME?</v>
      </c>
      <c r="T313" s="89"/>
      <c r="U313" s="89" t="e">
        <f t="shared" ca="1" si="224"/>
        <v>#NAME?</v>
      </c>
      <c r="V313" s="532">
        <f>V315</f>
        <v>0</v>
      </c>
      <c r="W313" s="532">
        <f>W315</f>
        <v>0</v>
      </c>
      <c r="X313" s="506">
        <f>X315</f>
        <v>0</v>
      </c>
      <c r="Y313" s="507">
        <f>Y315</f>
        <v>0</v>
      </c>
      <c r="Z313" s="507"/>
      <c r="AA313" s="507">
        <f>AA315</f>
        <v>3</v>
      </c>
      <c r="AB313" s="507">
        <f>AB315</f>
        <v>4</v>
      </c>
      <c r="AC313" s="508">
        <f>AC315</f>
        <v>0</v>
      </c>
      <c r="AD313" s="508">
        <f>AD315</f>
        <v>0</v>
      </c>
      <c r="AE313" s="529"/>
      <c r="AF313" s="529"/>
      <c r="AG313" s="529"/>
      <c r="AH313" s="529"/>
      <c r="AI313" s="507"/>
      <c r="AJ313" s="507">
        <v>0</v>
      </c>
      <c r="AK313" s="507"/>
      <c r="AL313" s="507"/>
      <c r="AM313" s="507"/>
      <c r="AN313" s="509"/>
      <c r="AO313" s="510"/>
      <c r="AP313" s="510" t="e">
        <f t="shared" ca="1" si="225"/>
        <v>#NAME?</v>
      </c>
      <c r="AQ313" s="532">
        <f>AQ315</f>
        <v>0</v>
      </c>
      <c r="AR313" s="532">
        <f t="shared" ref="AR313:BH313" si="291">AR315</f>
        <v>0</v>
      </c>
      <c r="AS313" s="532">
        <f t="shared" si="291"/>
        <v>0</v>
      </c>
      <c r="AT313" s="532">
        <f t="shared" si="291"/>
        <v>0</v>
      </c>
      <c r="AU313" s="532">
        <f t="shared" si="291"/>
        <v>0</v>
      </c>
      <c r="AV313" s="532">
        <f t="shared" si="291"/>
        <v>0</v>
      </c>
      <c r="AW313" s="612">
        <f t="shared" si="291"/>
        <v>0</v>
      </c>
      <c r="AX313" s="612">
        <f t="shared" si="291"/>
        <v>0</v>
      </c>
      <c r="AY313" s="612">
        <f t="shared" si="291"/>
        <v>0</v>
      </c>
      <c r="AZ313" s="612">
        <f t="shared" si="291"/>
        <v>0</v>
      </c>
      <c r="BA313" s="612">
        <f t="shared" si="291"/>
        <v>0</v>
      </c>
      <c r="BB313" s="612">
        <f t="shared" si="291"/>
        <v>0</v>
      </c>
      <c r="BC313" s="612">
        <f t="shared" si="291"/>
        <v>0</v>
      </c>
      <c r="BD313" s="612">
        <f t="shared" si="291"/>
        <v>0</v>
      </c>
      <c r="BE313" s="612">
        <f t="shared" si="291"/>
        <v>0</v>
      </c>
      <c r="BF313" s="612">
        <f t="shared" si="291"/>
        <v>0</v>
      </c>
      <c r="BG313" s="612">
        <f t="shared" si="291"/>
        <v>0</v>
      </c>
      <c r="BH313" s="612">
        <f t="shared" si="291"/>
        <v>0</v>
      </c>
      <c r="BI313" s="612">
        <f t="shared" si="249"/>
        <v>0</v>
      </c>
      <c r="BJ313" s="201">
        <f t="shared" si="229"/>
        <v>0</v>
      </c>
    </row>
    <row r="314" spans="1:62" ht="12" customHeight="1">
      <c r="A314" s="41"/>
      <c r="B314" s="41"/>
      <c r="C314" s="41"/>
      <c r="D314" s="41"/>
      <c r="E314" s="41"/>
      <c r="F314" s="41"/>
      <c r="G314" s="41"/>
      <c r="H314" s="37"/>
      <c r="I314" s="72"/>
      <c r="J314" s="73"/>
      <c r="K314" s="83"/>
      <c r="L314" s="84"/>
      <c r="M314" s="84"/>
      <c r="N314" s="85"/>
      <c r="O314" s="85"/>
      <c r="P314" s="86"/>
      <c r="Q314" s="86"/>
      <c r="R314" s="154"/>
      <c r="S314" s="155"/>
      <c r="T314" s="155"/>
      <c r="U314" s="89" t="e">
        <f t="shared" ca="1" si="224"/>
        <v>#NAME?</v>
      </c>
      <c r="V314" s="532"/>
      <c r="W314" s="532"/>
      <c r="X314" s="536"/>
      <c r="Y314" s="537"/>
      <c r="Z314" s="537"/>
      <c r="AA314" s="537"/>
      <c r="AB314" s="537"/>
      <c r="AC314" s="538"/>
      <c r="AD314" s="538"/>
      <c r="AE314" s="529"/>
      <c r="AF314" s="529"/>
      <c r="AG314" s="529"/>
      <c r="AH314" s="529"/>
      <c r="AI314" s="537"/>
      <c r="AJ314" s="537"/>
      <c r="AK314" s="507"/>
      <c r="AL314" s="507"/>
      <c r="AM314" s="507"/>
      <c r="AN314" s="557"/>
      <c r="AO314" s="510"/>
      <c r="AP314" s="510" t="e">
        <f t="shared" ca="1" si="225"/>
        <v>#NAME?</v>
      </c>
      <c r="AQ314" s="532"/>
      <c r="AR314" s="532"/>
      <c r="AS314" s="532"/>
      <c r="AT314" s="532"/>
      <c r="AU314" s="532"/>
      <c r="AV314" s="532"/>
      <c r="AW314" s="612"/>
      <c r="AX314" s="612"/>
      <c r="AY314" s="612"/>
      <c r="AZ314" s="612"/>
      <c r="BA314" s="612"/>
      <c r="BB314" s="612"/>
      <c r="BC314" s="612"/>
      <c r="BD314" s="612"/>
      <c r="BE314" s="612"/>
      <c r="BF314" s="612"/>
      <c r="BG314" s="612"/>
      <c r="BH314" s="612"/>
      <c r="BI314" s="612">
        <f t="shared" ref="BI314:BI343" si="292">SUM(AW314:BG314)</f>
        <v>0</v>
      </c>
      <c r="BJ314" s="201">
        <f t="shared" si="229"/>
        <v>0</v>
      </c>
    </row>
    <row r="315" spans="1:62" ht="12" customHeight="1">
      <c r="A315" s="61"/>
      <c r="B315" s="61"/>
      <c r="C315" s="61"/>
      <c r="D315" s="61"/>
      <c r="E315" s="61"/>
      <c r="F315" s="61"/>
      <c r="G315" s="61"/>
      <c r="H315" s="62">
        <v>411</v>
      </c>
      <c r="I315" s="127"/>
      <c r="J315" s="128"/>
      <c r="K315" s="20" t="s">
        <v>294</v>
      </c>
      <c r="L315" s="111">
        <f t="shared" ref="L315:Y315" si="293">L316</f>
        <v>0</v>
      </c>
      <c r="M315" s="111">
        <f t="shared" si="293"/>
        <v>0</v>
      </c>
      <c r="N315" s="112">
        <f t="shared" si="293"/>
        <v>0</v>
      </c>
      <c r="O315" s="112">
        <f t="shared" si="293"/>
        <v>0</v>
      </c>
      <c r="P315" s="113">
        <f t="shared" si="293"/>
        <v>0</v>
      </c>
      <c r="Q315" s="113">
        <f t="shared" si="293"/>
        <v>0</v>
      </c>
      <c r="R315" s="87">
        <f t="shared" si="293"/>
        <v>0</v>
      </c>
      <c r="S315" s="89" t="e">
        <f t="shared" ca="1" si="293"/>
        <v>#NAME?</v>
      </c>
      <c r="T315" s="89">
        <f t="shared" si="293"/>
        <v>0</v>
      </c>
      <c r="U315" s="89">
        <f t="shared" si="293"/>
        <v>0</v>
      </c>
      <c r="V315" s="532">
        <f t="shared" si="293"/>
        <v>0</v>
      </c>
      <c r="W315" s="532">
        <f t="shared" si="293"/>
        <v>0</v>
      </c>
      <c r="X315" s="506">
        <f t="shared" si="293"/>
        <v>0</v>
      </c>
      <c r="Y315" s="507">
        <f t="shared" si="293"/>
        <v>0</v>
      </c>
      <c r="Z315" s="507"/>
      <c r="AA315" s="507">
        <f>AA316</f>
        <v>3</v>
      </c>
      <c r="AB315" s="507">
        <f>AB316</f>
        <v>4</v>
      </c>
      <c r="AC315" s="508">
        <f>AC316</f>
        <v>0</v>
      </c>
      <c r="AD315" s="508">
        <f>AD316</f>
        <v>0</v>
      </c>
      <c r="AE315" s="529"/>
      <c r="AF315" s="529"/>
      <c r="AG315" s="529"/>
      <c r="AH315" s="529"/>
      <c r="AI315" s="507"/>
      <c r="AJ315" s="507">
        <v>0</v>
      </c>
      <c r="AK315" s="507"/>
      <c r="AL315" s="507"/>
      <c r="AM315" s="507"/>
      <c r="AN315" s="509"/>
      <c r="AO315" s="510"/>
      <c r="AP315" s="510" t="e">
        <f t="shared" ca="1" si="225"/>
        <v>#NAME?</v>
      </c>
      <c r="AQ315" s="532">
        <f>AQ316</f>
        <v>0</v>
      </c>
      <c r="AR315" s="532">
        <f t="shared" ref="AR315:BH315" si="294">AR316</f>
        <v>0</v>
      </c>
      <c r="AS315" s="532">
        <f t="shared" si="294"/>
        <v>0</v>
      </c>
      <c r="AT315" s="532">
        <f t="shared" si="294"/>
        <v>0</v>
      </c>
      <c r="AU315" s="532">
        <f t="shared" si="294"/>
        <v>0</v>
      </c>
      <c r="AV315" s="532">
        <f t="shared" si="294"/>
        <v>0</v>
      </c>
      <c r="AW315" s="612">
        <f t="shared" si="294"/>
        <v>0</v>
      </c>
      <c r="AX315" s="612">
        <f t="shared" si="294"/>
        <v>0</v>
      </c>
      <c r="AY315" s="612">
        <f t="shared" si="294"/>
        <v>0</v>
      </c>
      <c r="AZ315" s="612">
        <f t="shared" si="294"/>
        <v>0</v>
      </c>
      <c r="BA315" s="612">
        <f t="shared" si="294"/>
        <v>0</v>
      </c>
      <c r="BB315" s="612">
        <f t="shared" si="294"/>
        <v>0</v>
      </c>
      <c r="BC315" s="612">
        <f t="shared" si="294"/>
        <v>0</v>
      </c>
      <c r="BD315" s="612">
        <f t="shared" si="294"/>
        <v>0</v>
      </c>
      <c r="BE315" s="612">
        <f t="shared" si="294"/>
        <v>0</v>
      </c>
      <c r="BF315" s="612">
        <f t="shared" si="294"/>
        <v>0</v>
      </c>
      <c r="BG315" s="612">
        <f t="shared" si="294"/>
        <v>0</v>
      </c>
      <c r="BH315" s="612">
        <f t="shared" si="294"/>
        <v>0</v>
      </c>
      <c r="BI315" s="612">
        <f t="shared" si="292"/>
        <v>0</v>
      </c>
      <c r="BJ315" s="201">
        <f t="shared" si="229"/>
        <v>0</v>
      </c>
    </row>
    <row r="316" spans="1:62" ht="12" customHeight="1">
      <c r="A316" s="52"/>
      <c r="B316" s="52"/>
      <c r="C316" s="52"/>
      <c r="D316" s="52"/>
      <c r="E316" s="52"/>
      <c r="F316" s="52"/>
      <c r="G316" s="52"/>
      <c r="H316" s="63">
        <v>4111</v>
      </c>
      <c r="I316" s="116"/>
      <c r="J316" s="117"/>
      <c r="K316" s="19" t="s">
        <v>204</v>
      </c>
      <c r="L316" s="129">
        <v>0</v>
      </c>
      <c r="M316" s="129">
        <v>0</v>
      </c>
      <c r="N316" s="130">
        <v>0</v>
      </c>
      <c r="O316" s="130">
        <v>0</v>
      </c>
      <c r="P316" s="131">
        <v>0</v>
      </c>
      <c r="Q316" s="131">
        <v>0</v>
      </c>
      <c r="R316" s="153">
        <f t="shared" ref="R316:Y316" si="295">R477</f>
        <v>0</v>
      </c>
      <c r="S316" s="158" t="e">
        <f t="shared" ca="1" si="295"/>
        <v>#NAME?</v>
      </c>
      <c r="T316" s="158">
        <f t="shared" si="295"/>
        <v>0</v>
      </c>
      <c r="U316" s="158">
        <f t="shared" si="295"/>
        <v>0</v>
      </c>
      <c r="V316" s="532">
        <f t="shared" si="295"/>
        <v>0</v>
      </c>
      <c r="W316" s="532">
        <f t="shared" si="295"/>
        <v>0</v>
      </c>
      <c r="X316" s="534">
        <f t="shared" si="295"/>
        <v>0</v>
      </c>
      <c r="Y316" s="535">
        <f t="shared" si="295"/>
        <v>0</v>
      </c>
      <c r="Z316" s="535"/>
      <c r="AA316" s="535">
        <v>3</v>
      </c>
      <c r="AB316" s="535">
        <v>4</v>
      </c>
      <c r="AC316" s="529">
        <f>AC477</f>
        <v>0</v>
      </c>
      <c r="AD316" s="529">
        <f>AD477</f>
        <v>0</v>
      </c>
      <c r="AE316" s="529"/>
      <c r="AF316" s="529"/>
      <c r="AG316" s="529"/>
      <c r="AH316" s="529"/>
      <c r="AI316" s="535"/>
      <c r="AJ316" s="535">
        <v>0</v>
      </c>
      <c r="AK316" s="507"/>
      <c r="AL316" s="507"/>
      <c r="AM316" s="507"/>
      <c r="AN316" s="556"/>
      <c r="AO316" s="510"/>
      <c r="AP316" s="510" t="e">
        <f t="shared" ca="1" si="225"/>
        <v>#NAME?</v>
      </c>
      <c r="AQ316" s="532">
        <f t="shared" ref="AQ316:BH316" si="296">AQ477</f>
        <v>0</v>
      </c>
      <c r="AR316" s="532">
        <f t="shared" si="296"/>
        <v>0</v>
      </c>
      <c r="AS316" s="532">
        <f t="shared" si="296"/>
        <v>0</v>
      </c>
      <c r="AT316" s="532">
        <f t="shared" si="296"/>
        <v>0</v>
      </c>
      <c r="AU316" s="532">
        <f t="shared" si="296"/>
        <v>0</v>
      </c>
      <c r="AV316" s="532">
        <f t="shared" si="296"/>
        <v>0</v>
      </c>
      <c r="AW316" s="612">
        <f t="shared" si="296"/>
        <v>0</v>
      </c>
      <c r="AX316" s="612">
        <f t="shared" si="296"/>
        <v>0</v>
      </c>
      <c r="AY316" s="612">
        <f t="shared" si="296"/>
        <v>0</v>
      </c>
      <c r="AZ316" s="612">
        <f t="shared" si="296"/>
        <v>0</v>
      </c>
      <c r="BA316" s="612">
        <f t="shared" si="296"/>
        <v>0</v>
      </c>
      <c r="BB316" s="612">
        <f t="shared" si="296"/>
        <v>0</v>
      </c>
      <c r="BC316" s="612">
        <f t="shared" si="296"/>
        <v>0</v>
      </c>
      <c r="BD316" s="612">
        <f t="shared" si="296"/>
        <v>0</v>
      </c>
      <c r="BE316" s="612">
        <f t="shared" si="296"/>
        <v>0</v>
      </c>
      <c r="BF316" s="612">
        <f t="shared" si="296"/>
        <v>0</v>
      </c>
      <c r="BG316" s="612">
        <f t="shared" si="296"/>
        <v>0</v>
      </c>
      <c r="BH316" s="612">
        <f t="shared" si="296"/>
        <v>0</v>
      </c>
      <c r="BI316" s="612">
        <f t="shared" si="292"/>
        <v>0</v>
      </c>
      <c r="BJ316" s="201">
        <f t="shared" si="229"/>
        <v>0</v>
      </c>
    </row>
    <row r="317" spans="1:62" ht="12" customHeight="1">
      <c r="A317" s="52"/>
      <c r="B317" s="52"/>
      <c r="C317" s="52"/>
      <c r="D317" s="52"/>
      <c r="E317" s="52"/>
      <c r="F317" s="52"/>
      <c r="G317" s="52"/>
      <c r="H317" s="63"/>
      <c r="I317" s="116"/>
      <c r="J317" s="117"/>
      <c r="K317" s="19"/>
      <c r="L317" s="118"/>
      <c r="M317" s="118"/>
      <c r="N317" s="119"/>
      <c r="O317" s="119"/>
      <c r="P317" s="120"/>
      <c r="Q317" s="120"/>
      <c r="R317" s="151"/>
      <c r="S317" s="152"/>
      <c r="T317" s="152"/>
      <c r="U317" s="89" t="e">
        <f t="shared" ref="U317:U343" ca="1" si="297">__xlfn.ISFORMULA(S317)</f>
        <v>#NAME?</v>
      </c>
      <c r="V317" s="532"/>
      <c r="W317" s="532"/>
      <c r="X317" s="534"/>
      <c r="Y317" s="535"/>
      <c r="Z317" s="535"/>
      <c r="AA317" s="535"/>
      <c r="AB317" s="535"/>
      <c r="AC317" s="529"/>
      <c r="AD317" s="529"/>
      <c r="AE317" s="529"/>
      <c r="AF317" s="529"/>
      <c r="AG317" s="529"/>
      <c r="AH317" s="529"/>
      <c r="AI317" s="535"/>
      <c r="AJ317" s="535"/>
      <c r="AK317" s="507"/>
      <c r="AL317" s="507"/>
      <c r="AM317" s="507"/>
      <c r="AN317" s="556"/>
      <c r="AO317" s="510"/>
      <c r="AP317" s="510" t="e">
        <f t="shared" ca="1" si="225"/>
        <v>#NAME?</v>
      </c>
      <c r="AQ317" s="532"/>
      <c r="AR317" s="532"/>
      <c r="AS317" s="532"/>
      <c r="AT317" s="532"/>
      <c r="AU317" s="532"/>
      <c r="AV317" s="532"/>
      <c r="AW317" s="612"/>
      <c r="AX317" s="612"/>
      <c r="AY317" s="612"/>
      <c r="AZ317" s="612"/>
      <c r="BA317" s="612"/>
      <c r="BB317" s="612"/>
      <c r="BC317" s="612"/>
      <c r="BD317" s="612"/>
      <c r="BE317" s="612"/>
      <c r="BF317" s="612"/>
      <c r="BG317" s="612"/>
      <c r="BH317" s="612"/>
      <c r="BI317" s="612">
        <f t="shared" si="292"/>
        <v>0</v>
      </c>
      <c r="BJ317" s="201">
        <f t="shared" si="229"/>
        <v>0</v>
      </c>
    </row>
    <row r="318" spans="1:62" ht="12" customHeight="1">
      <c r="A318" s="58"/>
      <c r="B318" s="58"/>
      <c r="C318" s="58"/>
      <c r="D318" s="58"/>
      <c r="E318" s="58"/>
      <c r="F318" s="58"/>
      <c r="G318" s="58"/>
      <c r="H318" s="59">
        <v>42</v>
      </c>
      <c r="I318" s="124"/>
      <c r="J318" s="125"/>
      <c r="K318" s="126" t="s">
        <v>295</v>
      </c>
      <c r="L318" s="111">
        <f t="shared" ref="L318:S318" si="298">L320+L325+L333+L336</f>
        <v>2001789</v>
      </c>
      <c r="M318" s="111">
        <f t="shared" si="298"/>
        <v>265683.05793350586</v>
      </c>
      <c r="N318" s="112">
        <f t="shared" si="298"/>
        <v>1381514</v>
      </c>
      <c r="O318" s="112">
        <f t="shared" si="298"/>
        <v>183358.41794412368</v>
      </c>
      <c r="P318" s="113">
        <f t="shared" si="298"/>
        <v>1536700</v>
      </c>
      <c r="Q318" s="113">
        <f t="shared" si="298"/>
        <v>638700</v>
      </c>
      <c r="R318" s="87">
        <f t="shared" si="298"/>
        <v>702934</v>
      </c>
      <c r="S318" s="89" t="e">
        <f t="shared" ca="1" si="298"/>
        <v>#NAME?</v>
      </c>
      <c r="T318" s="89"/>
      <c r="U318" s="89" t="e">
        <f t="shared" ca="1" si="297"/>
        <v>#NAME?</v>
      </c>
      <c r="V318" s="532">
        <f>V320+V325+V333+V336</f>
        <v>730000</v>
      </c>
      <c r="W318" s="532">
        <f>W320+W325+W333+W336</f>
        <v>730771</v>
      </c>
      <c r="X318" s="506">
        <f>X320+X325+X333+X336</f>
        <v>954500</v>
      </c>
      <c r="Y318" s="507">
        <f>Y320+Y325+Y333+Y336</f>
        <v>611500.30000000005</v>
      </c>
      <c r="Z318" s="507"/>
      <c r="AA318" s="507" t="e">
        <f ca="1">AA320+AA325+AA333+AA336</f>
        <v>#NAME?</v>
      </c>
      <c r="AB318" s="507">
        <f>AB320+AB325+AB333+AB336</f>
        <v>0</v>
      </c>
      <c r="AC318" s="508">
        <f>AC320+AC325+AC333+AC336</f>
        <v>495100</v>
      </c>
      <c r="AD318" s="508">
        <f>AD320+AD325+AD333+AD336</f>
        <v>495100</v>
      </c>
      <c r="AE318" s="529">
        <f>O318/M318*100</f>
        <v>69.013967006512672</v>
      </c>
      <c r="AF318" s="529">
        <f>P318/O318*100</f>
        <v>838.08532884936403</v>
      </c>
      <c r="AG318" s="529">
        <f>Q318/P318*100</f>
        <v>41.563089737749728</v>
      </c>
      <c r="AH318" s="529">
        <f>AC318/Q318*100</f>
        <v>77.516831063096916</v>
      </c>
      <c r="AI318" s="507"/>
      <c r="AJ318" s="507">
        <v>611500.30000000005</v>
      </c>
      <c r="AK318" s="507">
        <f>W318/R318*100</f>
        <v>103.96011574344107</v>
      </c>
      <c r="AL318" s="507">
        <f t="shared" si="245"/>
        <v>130.61547324674899</v>
      </c>
      <c r="AM318" s="507">
        <f t="shared" si="245"/>
        <v>64.064986904138294</v>
      </c>
      <c r="AN318" s="509"/>
      <c r="AO318" s="510"/>
      <c r="AP318" s="510" t="e">
        <f t="shared" ca="1" si="225"/>
        <v>#NAME?</v>
      </c>
      <c r="AQ318" s="532">
        <f>AQ320+AQ325+AQ333+AQ336</f>
        <v>648786.97999999986</v>
      </c>
      <c r="AR318" s="532">
        <f t="shared" ref="AR318:BH318" si="299">AR320+AR325+AR333+AR336</f>
        <v>3960.8230151503226</v>
      </c>
      <c r="AS318" s="532">
        <f t="shared" si="299"/>
        <v>1400</v>
      </c>
      <c r="AT318" s="532">
        <f t="shared" si="299"/>
        <v>3960.9711078090754</v>
      </c>
      <c r="AU318" s="532">
        <f t="shared" si="299"/>
        <v>1063.8924860939435</v>
      </c>
      <c r="AV318" s="532">
        <f t="shared" si="299"/>
        <v>3485.5398242318583</v>
      </c>
      <c r="AW318" s="612">
        <f t="shared" si="299"/>
        <v>343199.23</v>
      </c>
      <c r="AX318" s="612">
        <f t="shared" si="299"/>
        <v>0</v>
      </c>
      <c r="AY318" s="612">
        <f t="shared" si="299"/>
        <v>0</v>
      </c>
      <c r="AZ318" s="612">
        <f t="shared" si="299"/>
        <v>0</v>
      </c>
      <c r="BA318" s="612">
        <f t="shared" si="299"/>
        <v>0</v>
      </c>
      <c r="BB318" s="612">
        <f t="shared" si="299"/>
        <v>0</v>
      </c>
      <c r="BC318" s="612">
        <f t="shared" si="299"/>
        <v>0</v>
      </c>
      <c r="BD318" s="612">
        <f t="shared" si="299"/>
        <v>0</v>
      </c>
      <c r="BE318" s="612">
        <f t="shared" si="299"/>
        <v>302326.5</v>
      </c>
      <c r="BF318" s="612">
        <f t="shared" si="299"/>
        <v>2423.75</v>
      </c>
      <c r="BG318" s="612">
        <f t="shared" si="299"/>
        <v>837.5</v>
      </c>
      <c r="BH318" s="612">
        <f t="shared" si="299"/>
        <v>648786.97999999986</v>
      </c>
      <c r="BI318" s="612">
        <f t="shared" si="292"/>
        <v>648786.98</v>
      </c>
      <c r="BJ318" s="201">
        <f t="shared" si="229"/>
        <v>0</v>
      </c>
    </row>
    <row r="319" spans="1:62" ht="12" customHeight="1">
      <c r="A319" s="41"/>
      <c r="B319" s="41"/>
      <c r="C319" s="41"/>
      <c r="D319" s="41"/>
      <c r="E319" s="41"/>
      <c r="F319" s="41"/>
      <c r="G319" s="41"/>
      <c r="H319" s="37"/>
      <c r="I319" s="72"/>
      <c r="J319" s="73"/>
      <c r="K319" s="83"/>
      <c r="L319" s="84"/>
      <c r="M319" s="84"/>
      <c r="N319" s="85"/>
      <c r="O319" s="85"/>
      <c r="P319" s="86"/>
      <c r="Q319" s="86"/>
      <c r="R319" s="154"/>
      <c r="S319" s="155"/>
      <c r="T319" s="155"/>
      <c r="U319" s="89" t="e">
        <f t="shared" ca="1" si="297"/>
        <v>#NAME?</v>
      </c>
      <c r="V319" s="532"/>
      <c r="W319" s="532"/>
      <c r="X319" s="536"/>
      <c r="Y319" s="537"/>
      <c r="Z319" s="537"/>
      <c r="AA319" s="537"/>
      <c r="AB319" s="537"/>
      <c r="AC319" s="538"/>
      <c r="AD319" s="538"/>
      <c r="AE319" s="529"/>
      <c r="AF319" s="529"/>
      <c r="AG319" s="529"/>
      <c r="AH319" s="529"/>
      <c r="AI319" s="537"/>
      <c r="AJ319" s="537"/>
      <c r="AK319" s="507"/>
      <c r="AL319" s="507"/>
      <c r="AM319" s="507"/>
      <c r="AN319" s="557"/>
      <c r="AO319" s="510"/>
      <c r="AP319" s="510" t="e">
        <f t="shared" ca="1" si="225"/>
        <v>#NAME?</v>
      </c>
      <c r="AQ319" s="532"/>
      <c r="AR319" s="532"/>
      <c r="AS319" s="532"/>
      <c r="AT319" s="532"/>
      <c r="AU319" s="532"/>
      <c r="AV319" s="532"/>
      <c r="AW319" s="612"/>
      <c r="AX319" s="612"/>
      <c r="AY319" s="612"/>
      <c r="AZ319" s="612"/>
      <c r="BA319" s="612"/>
      <c r="BB319" s="612"/>
      <c r="BC319" s="612"/>
      <c r="BD319" s="612"/>
      <c r="BE319" s="612"/>
      <c r="BF319" s="612"/>
      <c r="BG319" s="612"/>
      <c r="BH319" s="612"/>
      <c r="BI319" s="612">
        <f t="shared" si="292"/>
        <v>0</v>
      </c>
      <c r="BJ319" s="201">
        <f t="shared" si="229"/>
        <v>0</v>
      </c>
    </row>
    <row r="320" spans="1:62" ht="12" customHeight="1">
      <c r="A320" s="61"/>
      <c r="B320" s="61"/>
      <c r="C320" s="61"/>
      <c r="D320" s="61"/>
      <c r="E320" s="61"/>
      <c r="F320" s="61"/>
      <c r="G320" s="61"/>
      <c r="H320" s="62">
        <v>421</v>
      </c>
      <c r="I320" s="127"/>
      <c r="J320" s="128"/>
      <c r="K320" s="20" t="s">
        <v>296</v>
      </c>
      <c r="L320" s="111">
        <f t="shared" ref="L320:S320" si="300">L321+L322+L323</f>
        <v>1627658</v>
      </c>
      <c r="M320" s="111">
        <f t="shared" si="300"/>
        <v>216027.34089853341</v>
      </c>
      <c r="N320" s="112">
        <f t="shared" si="300"/>
        <v>484558</v>
      </c>
      <c r="O320" s="112">
        <f t="shared" si="300"/>
        <v>64311.898599774366</v>
      </c>
      <c r="P320" s="113">
        <f t="shared" si="300"/>
        <v>1420700</v>
      </c>
      <c r="Q320" s="113">
        <f t="shared" si="300"/>
        <v>573600</v>
      </c>
      <c r="R320" s="87">
        <f t="shared" si="300"/>
        <v>635308</v>
      </c>
      <c r="S320" s="89" t="e">
        <f t="shared" ca="1" si="300"/>
        <v>#NAME?</v>
      </c>
      <c r="T320" s="89"/>
      <c r="U320" s="89" t="e">
        <f t="shared" ca="1" si="297"/>
        <v>#NAME?</v>
      </c>
      <c r="V320" s="532">
        <f>V321+V322+V323</f>
        <v>581500</v>
      </c>
      <c r="W320" s="532">
        <f>W321+W322+W323</f>
        <v>582271</v>
      </c>
      <c r="X320" s="506">
        <f>X321+X322+X323</f>
        <v>860000</v>
      </c>
      <c r="Y320" s="507">
        <f>Y321+Y322+Y323</f>
        <v>475000</v>
      </c>
      <c r="Z320" s="507"/>
      <c r="AA320" s="507" t="e">
        <f ca="1">AA321+AA322+AA323</f>
        <v>#NAME?</v>
      </c>
      <c r="AB320" s="507">
        <f>AB321+AB322+AB323</f>
        <v>0</v>
      </c>
      <c r="AC320" s="508">
        <f>AC321+AC322+AC323</f>
        <v>402600</v>
      </c>
      <c r="AD320" s="508">
        <f>AD321+AD322+AD323</f>
        <v>402600</v>
      </c>
      <c r="AE320" s="529">
        <f>O320/M320*100</f>
        <v>29.77025886273406</v>
      </c>
      <c r="AF320" s="529"/>
      <c r="AG320" s="529"/>
      <c r="AH320" s="529"/>
      <c r="AI320" s="507"/>
      <c r="AJ320" s="507">
        <v>475000</v>
      </c>
      <c r="AK320" s="507">
        <f>W320/R320*100</f>
        <v>91.651765757711217</v>
      </c>
      <c r="AL320" s="507">
        <f t="shared" si="245"/>
        <v>147.6975497663459</v>
      </c>
      <c r="AM320" s="507">
        <f t="shared" si="245"/>
        <v>55.232558139534881</v>
      </c>
      <c r="AN320" s="509"/>
      <c r="AO320" s="510"/>
      <c r="AP320" s="510" t="e">
        <f t="shared" ca="1" si="225"/>
        <v>#NAME?</v>
      </c>
      <c r="AQ320" s="532">
        <f>AQ321+AQ322+AQ323</f>
        <v>550856.06999999995</v>
      </c>
      <c r="AR320" s="532">
        <f t="shared" ref="AR320:BH320" si="301">AR321+AR322+AR323</f>
        <v>1559.567228388727</v>
      </c>
      <c r="AS320" s="532">
        <f t="shared" si="301"/>
        <v>500</v>
      </c>
      <c r="AT320" s="532">
        <f t="shared" si="301"/>
        <v>1559.7153210474801</v>
      </c>
      <c r="AU320" s="532">
        <f t="shared" si="301"/>
        <v>491.55016959789066</v>
      </c>
      <c r="AV320" s="532">
        <f t="shared" si="301"/>
        <v>1112.2767649183704</v>
      </c>
      <c r="AW320" s="612">
        <f t="shared" si="301"/>
        <v>260169.16999999998</v>
      </c>
      <c r="AX320" s="612">
        <f t="shared" si="301"/>
        <v>0</v>
      </c>
      <c r="AY320" s="612">
        <f t="shared" si="301"/>
        <v>0</v>
      </c>
      <c r="AZ320" s="612">
        <f t="shared" si="301"/>
        <v>0</v>
      </c>
      <c r="BA320" s="612">
        <f t="shared" si="301"/>
        <v>0</v>
      </c>
      <c r="BB320" s="612">
        <f t="shared" si="301"/>
        <v>0</v>
      </c>
      <c r="BC320" s="612">
        <f t="shared" si="301"/>
        <v>0</v>
      </c>
      <c r="BD320" s="612">
        <f t="shared" si="301"/>
        <v>0</v>
      </c>
      <c r="BE320" s="612">
        <f t="shared" si="301"/>
        <v>289849.40000000002</v>
      </c>
      <c r="BF320" s="612">
        <f t="shared" si="301"/>
        <v>0</v>
      </c>
      <c r="BG320" s="612">
        <f t="shared" si="301"/>
        <v>837.5</v>
      </c>
      <c r="BH320" s="612">
        <f t="shared" si="301"/>
        <v>550856.06999999995</v>
      </c>
      <c r="BI320" s="612">
        <f t="shared" si="292"/>
        <v>550856.07000000007</v>
      </c>
      <c r="BJ320" s="201">
        <f t="shared" si="229"/>
        <v>0</v>
      </c>
    </row>
    <row r="321" spans="1:62" ht="12" customHeight="1">
      <c r="A321" s="52"/>
      <c r="B321" s="52"/>
      <c r="C321" s="52"/>
      <c r="D321" s="52"/>
      <c r="E321" s="52"/>
      <c r="F321" s="52"/>
      <c r="G321" s="52"/>
      <c r="H321" s="63">
        <v>4212</v>
      </c>
      <c r="I321" s="116"/>
      <c r="J321" s="117"/>
      <c r="K321" s="19" t="s">
        <v>213</v>
      </c>
      <c r="L321" s="129">
        <f>L525+L743+L973+L974+L982+L983+L762+L770</f>
        <v>517164</v>
      </c>
      <c r="M321" s="129">
        <f>M525+M743+M973+M974+M982+M983+M762+M770</f>
        <v>68639.458490941659</v>
      </c>
      <c r="N321" s="130">
        <f t="shared" ref="N321:S321" si="302">N525+N743+N973+N974+N982+N983+N762+N763+N770</f>
        <v>454368</v>
      </c>
      <c r="O321" s="130">
        <f t="shared" si="302"/>
        <v>60304.997013736807</v>
      </c>
      <c r="P321" s="131">
        <f t="shared" si="302"/>
        <v>1088300</v>
      </c>
      <c r="Q321" s="131">
        <f t="shared" si="302"/>
        <v>532600</v>
      </c>
      <c r="R321" s="153">
        <f t="shared" si="302"/>
        <v>597664</v>
      </c>
      <c r="S321" s="158" t="e">
        <f t="shared" ca="1" si="302"/>
        <v>#NAME?</v>
      </c>
      <c r="T321" s="158"/>
      <c r="U321" s="89" t="e">
        <f t="shared" ca="1" si="297"/>
        <v>#NAME?</v>
      </c>
      <c r="V321" s="532">
        <f>V525+V743+V973+V974+V982+V983+V762+V763+V770</f>
        <v>515000</v>
      </c>
      <c r="W321" s="532">
        <f>W525+W743+W973+W974+W982+W983+W762+W763+W770</f>
        <v>515771</v>
      </c>
      <c r="X321" s="534">
        <f>X525+X743+X973+X974+X982+X983+X762+X763+X770</f>
        <v>590000</v>
      </c>
      <c r="Y321" s="535">
        <f>Y525+Y743+Y973+Y974+Y982+Y983+Y762+Y763+Y770</f>
        <v>150000</v>
      </c>
      <c r="Z321" s="535"/>
      <c r="AA321" s="535" t="e">
        <f ca="1">AA525+AA743+AA973+AA974+AA982+AA983+AA762+AA763+AA770</f>
        <v>#NAME?</v>
      </c>
      <c r="AB321" s="535">
        <f>AB525+AB743+AB973+AB974+AB982+AB983+AB762+AB763+AB770</f>
        <v>0</v>
      </c>
      <c r="AC321" s="529">
        <f>AC525+AC743+AC973+AC974+AC982+AC983+AC762+AC763+AC770</f>
        <v>172600</v>
      </c>
      <c r="AD321" s="529">
        <f>AD525+AD743+AD973+AD974+AD982+AD983+AD762+AD763+AD770</f>
        <v>172600</v>
      </c>
      <c r="AE321" s="529">
        <f>O321/M321*100</f>
        <v>87.857623500475682</v>
      </c>
      <c r="AF321" s="529"/>
      <c r="AG321" s="529"/>
      <c r="AH321" s="529"/>
      <c r="AI321" s="535"/>
      <c r="AJ321" s="535">
        <v>150000</v>
      </c>
      <c r="AK321" s="507">
        <f>W321/R321*100</f>
        <v>86.297819510628045</v>
      </c>
      <c r="AL321" s="507">
        <f t="shared" si="245"/>
        <v>114.39185219797159</v>
      </c>
      <c r="AM321" s="507">
        <f t="shared" si="245"/>
        <v>25.423728813559322</v>
      </c>
      <c r="AN321" s="556"/>
      <c r="AO321" s="510"/>
      <c r="AP321" s="510" t="e">
        <f t="shared" ca="1" si="225"/>
        <v>#NAME?</v>
      </c>
      <c r="AQ321" s="532">
        <f t="shared" ref="AQ321:BH321" si="303">AQ525+AQ743+AQ973+AQ974+AQ982+AQ983+AQ762+AQ763+AQ770</f>
        <v>484863.20999999996</v>
      </c>
      <c r="AR321" s="532">
        <f t="shared" si="303"/>
        <v>1399.2622298540932</v>
      </c>
      <c r="AS321" s="532">
        <f t="shared" si="303"/>
        <v>200</v>
      </c>
      <c r="AT321" s="532">
        <f t="shared" si="303"/>
        <v>1399.4103225128463</v>
      </c>
      <c r="AU321" s="532">
        <f t="shared" si="303"/>
        <v>249.4678112645573</v>
      </c>
      <c r="AV321" s="532">
        <f t="shared" si="303"/>
        <v>1018.2430883903004</v>
      </c>
      <c r="AW321" s="612">
        <f t="shared" si="303"/>
        <v>241602.13999999998</v>
      </c>
      <c r="AX321" s="612">
        <f t="shared" si="303"/>
        <v>0</v>
      </c>
      <c r="AY321" s="612">
        <f t="shared" si="303"/>
        <v>0</v>
      </c>
      <c r="AZ321" s="612">
        <f t="shared" si="303"/>
        <v>0</v>
      </c>
      <c r="BA321" s="612">
        <f t="shared" si="303"/>
        <v>0</v>
      </c>
      <c r="BB321" s="612">
        <f t="shared" si="303"/>
        <v>0</v>
      </c>
      <c r="BC321" s="612">
        <f t="shared" si="303"/>
        <v>0</v>
      </c>
      <c r="BD321" s="612">
        <f t="shared" si="303"/>
        <v>0</v>
      </c>
      <c r="BE321" s="612">
        <f t="shared" si="303"/>
        <v>243261.07</v>
      </c>
      <c r="BF321" s="612">
        <f t="shared" si="303"/>
        <v>0</v>
      </c>
      <c r="BG321" s="612">
        <f t="shared" si="303"/>
        <v>0</v>
      </c>
      <c r="BH321" s="612">
        <f t="shared" si="303"/>
        <v>484863.20999999996</v>
      </c>
      <c r="BI321" s="612">
        <f t="shared" si="292"/>
        <v>484863.20999999996</v>
      </c>
      <c r="BJ321" s="201">
        <f t="shared" si="229"/>
        <v>0</v>
      </c>
    </row>
    <row r="322" spans="1:62" ht="12" customHeight="1">
      <c r="A322" s="52"/>
      <c r="B322" s="52"/>
      <c r="C322" s="52"/>
      <c r="D322" s="52"/>
      <c r="E322" s="52"/>
      <c r="F322" s="52"/>
      <c r="G322" s="52"/>
      <c r="H322" s="63">
        <v>4213</v>
      </c>
      <c r="I322" s="116"/>
      <c r="J322" s="117"/>
      <c r="K322" s="19" t="s">
        <v>297</v>
      </c>
      <c r="L322" s="129">
        <f t="shared" ref="L322:S322" si="304">L584+L585</f>
        <v>322407</v>
      </c>
      <c r="M322" s="129">
        <f t="shared" si="304"/>
        <v>42790.762492534341</v>
      </c>
      <c r="N322" s="130">
        <f t="shared" si="304"/>
        <v>0</v>
      </c>
      <c r="O322" s="130">
        <f t="shared" si="304"/>
        <v>0</v>
      </c>
      <c r="P322" s="131">
        <f t="shared" si="304"/>
        <v>10000</v>
      </c>
      <c r="Q322" s="131">
        <f t="shared" si="304"/>
        <v>0</v>
      </c>
      <c r="R322" s="153">
        <f t="shared" si="304"/>
        <v>0</v>
      </c>
      <c r="S322" s="158" t="e">
        <f t="shared" ca="1" si="304"/>
        <v>#NAME?</v>
      </c>
      <c r="T322" s="158"/>
      <c r="U322" s="89" t="e">
        <f t="shared" ca="1" si="297"/>
        <v>#NAME?</v>
      </c>
      <c r="V322" s="532">
        <f>V584+V585</f>
        <v>40000</v>
      </c>
      <c r="W322" s="532">
        <f>W584+W585</f>
        <v>40000</v>
      </c>
      <c r="X322" s="534">
        <f>X584+X585</f>
        <v>20000</v>
      </c>
      <c r="Y322" s="535">
        <f>Y584+Y585</f>
        <v>25000</v>
      </c>
      <c r="Z322" s="535"/>
      <c r="AA322" s="535" t="e">
        <f ca="1">AA584+AA585</f>
        <v>#NAME?</v>
      </c>
      <c r="AB322" s="535">
        <f>AB584+AB585</f>
        <v>0</v>
      </c>
      <c r="AC322" s="529">
        <f>AC584+AC585</f>
        <v>10000</v>
      </c>
      <c r="AD322" s="529">
        <f>AD584+AD585</f>
        <v>10000</v>
      </c>
      <c r="AE322" s="529">
        <f>O322/M322*100</f>
        <v>0</v>
      </c>
      <c r="AF322" s="529"/>
      <c r="AG322" s="529">
        <f>Q322/P322*100</f>
        <v>0</v>
      </c>
      <c r="AH322" s="529"/>
      <c r="AI322" s="535"/>
      <c r="AJ322" s="535">
        <v>25000</v>
      </c>
      <c r="AK322" s="507"/>
      <c r="AL322" s="507">
        <f t="shared" si="245"/>
        <v>50</v>
      </c>
      <c r="AM322" s="507">
        <f t="shared" si="245"/>
        <v>125</v>
      </c>
      <c r="AN322" s="556"/>
      <c r="AO322" s="510"/>
      <c r="AP322" s="510" t="e">
        <f t="shared" ca="1" si="225"/>
        <v>#NAME?</v>
      </c>
      <c r="AQ322" s="532">
        <f t="shared" ref="AQ322:BH322" si="305">AQ584+AQ585</f>
        <v>49581.61</v>
      </c>
      <c r="AR322" s="532">
        <f t="shared" si="305"/>
        <v>0</v>
      </c>
      <c r="AS322" s="532">
        <f t="shared" si="305"/>
        <v>100</v>
      </c>
      <c r="AT322" s="532">
        <f t="shared" si="305"/>
        <v>0</v>
      </c>
      <c r="AU322" s="532">
        <f t="shared" si="305"/>
        <v>123.95402500000002</v>
      </c>
      <c r="AV322" s="532">
        <f t="shared" si="305"/>
        <v>0</v>
      </c>
      <c r="AW322" s="612">
        <f t="shared" si="305"/>
        <v>18567.03</v>
      </c>
      <c r="AX322" s="612">
        <f t="shared" si="305"/>
        <v>0</v>
      </c>
      <c r="AY322" s="612">
        <f t="shared" si="305"/>
        <v>0</v>
      </c>
      <c r="AZ322" s="612">
        <f t="shared" si="305"/>
        <v>0</v>
      </c>
      <c r="BA322" s="612">
        <f t="shared" si="305"/>
        <v>0</v>
      </c>
      <c r="BB322" s="612">
        <f t="shared" si="305"/>
        <v>0</v>
      </c>
      <c r="BC322" s="612">
        <f t="shared" si="305"/>
        <v>0</v>
      </c>
      <c r="BD322" s="612">
        <f t="shared" si="305"/>
        <v>0</v>
      </c>
      <c r="BE322" s="612">
        <f t="shared" si="305"/>
        <v>31014.58</v>
      </c>
      <c r="BF322" s="612">
        <f t="shared" si="305"/>
        <v>0</v>
      </c>
      <c r="BG322" s="612">
        <f t="shared" si="305"/>
        <v>0</v>
      </c>
      <c r="BH322" s="612">
        <f t="shared" si="305"/>
        <v>49581.61</v>
      </c>
      <c r="BI322" s="612">
        <f t="shared" si="292"/>
        <v>49581.61</v>
      </c>
      <c r="BJ322" s="201">
        <f t="shared" si="229"/>
        <v>0</v>
      </c>
    </row>
    <row r="323" spans="1:62" ht="12" customHeight="1">
      <c r="A323" s="52"/>
      <c r="B323" s="52"/>
      <c r="C323" s="52"/>
      <c r="D323" s="52"/>
      <c r="E323" s="52"/>
      <c r="F323" s="52"/>
      <c r="G323" s="52"/>
      <c r="H323" s="63">
        <v>4214</v>
      </c>
      <c r="I323" s="116"/>
      <c r="J323" s="117"/>
      <c r="K323" s="19" t="s">
        <v>215</v>
      </c>
      <c r="L323" s="129">
        <f>L586+L587+L588+L600+L645+L646+L755</f>
        <v>788087</v>
      </c>
      <c r="M323" s="129">
        <f>M586+M587+M588+M600+M645+M646+M755</f>
        <v>104597.1199150574</v>
      </c>
      <c r="N323" s="130">
        <f t="shared" ref="N323:S323" si="306">N586+N587+N588+N600+N645+N646+N656+N755</f>
        <v>30190</v>
      </c>
      <c r="O323" s="130">
        <f t="shared" si="306"/>
        <v>4006.9015860375603</v>
      </c>
      <c r="P323" s="131">
        <f t="shared" si="306"/>
        <v>322400</v>
      </c>
      <c r="Q323" s="131">
        <f t="shared" si="306"/>
        <v>41000</v>
      </c>
      <c r="R323" s="153">
        <f t="shared" si="306"/>
        <v>37644</v>
      </c>
      <c r="S323" s="158" t="e">
        <f t="shared" ca="1" si="306"/>
        <v>#NAME?</v>
      </c>
      <c r="T323" s="158"/>
      <c r="U323" s="89" t="e">
        <f t="shared" ca="1" si="297"/>
        <v>#NAME?</v>
      </c>
      <c r="V323" s="532">
        <f>V586+V587+V588+V600+V645+V646+V656+V755</f>
        <v>26500</v>
      </c>
      <c r="W323" s="532">
        <f>W586+W587+W588+W600+W645+W646+W656+W755</f>
        <v>26500</v>
      </c>
      <c r="X323" s="534">
        <f>X586+X587+X588+X600+X645+X646+X656+X755</f>
        <v>250000</v>
      </c>
      <c r="Y323" s="535">
        <f>Y586+Y587+Y588+Y600+Y645+Y646+Y656+Y755</f>
        <v>300000</v>
      </c>
      <c r="Z323" s="535"/>
      <c r="AA323" s="535" t="e">
        <f ca="1">AA586+AA587+AA588+AA600+AA645+AA646+AA656+AA755</f>
        <v>#NAME?</v>
      </c>
      <c r="AB323" s="535">
        <f>AB586+AB587+AB588+AB600+AB645+AB646+AB656+AB755</f>
        <v>0</v>
      </c>
      <c r="AC323" s="529">
        <f>AC586+AC587+AC588+AC600+AC645+AC646+AC755</f>
        <v>220000</v>
      </c>
      <c r="AD323" s="529">
        <f>AD586+AD587+AD588+AD600+AD645+AD646+AD755</f>
        <v>220000</v>
      </c>
      <c r="AE323" s="529">
        <f>O323/M323*100</f>
        <v>3.8307953309723421</v>
      </c>
      <c r="AF323" s="529"/>
      <c r="AG323" s="529"/>
      <c r="AH323" s="529"/>
      <c r="AI323" s="535"/>
      <c r="AJ323" s="535">
        <v>300000</v>
      </c>
      <c r="AK323" s="507">
        <f>W323/R323*100</f>
        <v>70.396344703007117</v>
      </c>
      <c r="AL323" s="507">
        <f t="shared" si="245"/>
        <v>943.39622641509436</v>
      </c>
      <c r="AM323" s="507">
        <f t="shared" si="245"/>
        <v>120</v>
      </c>
      <c r="AN323" s="556"/>
      <c r="AO323" s="510"/>
      <c r="AP323" s="510" t="e">
        <f t="shared" ca="1" si="225"/>
        <v>#NAME?</v>
      </c>
      <c r="AQ323" s="532">
        <f t="shared" ref="AQ323:BH323" si="307">AQ586+AQ587+AQ588+AQ600+AQ645+AQ646+AQ656+AQ755</f>
        <v>16411.25</v>
      </c>
      <c r="AR323" s="532">
        <f t="shared" si="307"/>
        <v>160.30499853463374</v>
      </c>
      <c r="AS323" s="532">
        <f t="shared" si="307"/>
        <v>200</v>
      </c>
      <c r="AT323" s="532">
        <f t="shared" si="307"/>
        <v>160.30499853463374</v>
      </c>
      <c r="AU323" s="532">
        <f t="shared" si="307"/>
        <v>118.12833333333333</v>
      </c>
      <c r="AV323" s="532">
        <f t="shared" si="307"/>
        <v>94.033676528070117</v>
      </c>
      <c r="AW323" s="612">
        <f t="shared" si="307"/>
        <v>0</v>
      </c>
      <c r="AX323" s="612">
        <f t="shared" si="307"/>
        <v>0</v>
      </c>
      <c r="AY323" s="612">
        <f t="shared" si="307"/>
        <v>0</v>
      </c>
      <c r="AZ323" s="612">
        <f t="shared" si="307"/>
        <v>0</v>
      </c>
      <c r="BA323" s="612">
        <f t="shared" si="307"/>
        <v>0</v>
      </c>
      <c r="BB323" s="612">
        <f t="shared" si="307"/>
        <v>0</v>
      </c>
      <c r="BC323" s="612">
        <f t="shared" si="307"/>
        <v>0</v>
      </c>
      <c r="BD323" s="612">
        <f t="shared" si="307"/>
        <v>0</v>
      </c>
      <c r="BE323" s="612">
        <f t="shared" si="307"/>
        <v>15573.75</v>
      </c>
      <c r="BF323" s="612">
        <f t="shared" si="307"/>
        <v>0</v>
      </c>
      <c r="BG323" s="612">
        <f t="shared" si="307"/>
        <v>837.5</v>
      </c>
      <c r="BH323" s="612">
        <f t="shared" si="307"/>
        <v>16411.25</v>
      </c>
      <c r="BI323" s="612">
        <f t="shared" si="292"/>
        <v>16411.25</v>
      </c>
      <c r="BJ323" s="201">
        <f t="shared" si="229"/>
        <v>0</v>
      </c>
    </row>
    <row r="324" spans="1:62" ht="12" customHeight="1">
      <c r="A324" s="52"/>
      <c r="B324" s="52"/>
      <c r="C324" s="52"/>
      <c r="D324" s="52"/>
      <c r="E324" s="52"/>
      <c r="F324" s="52"/>
      <c r="G324" s="52"/>
      <c r="H324" s="63"/>
      <c r="I324" s="116"/>
      <c r="J324" s="117"/>
      <c r="K324" s="19"/>
      <c r="L324" s="118"/>
      <c r="M324" s="118"/>
      <c r="N324" s="119"/>
      <c r="O324" s="119"/>
      <c r="P324" s="120"/>
      <c r="Q324" s="120"/>
      <c r="R324" s="151"/>
      <c r="S324" s="152"/>
      <c r="T324" s="152"/>
      <c r="U324" s="89" t="e">
        <f t="shared" ca="1" si="297"/>
        <v>#NAME?</v>
      </c>
      <c r="V324" s="532"/>
      <c r="W324" s="532"/>
      <c r="X324" s="534"/>
      <c r="Y324" s="535"/>
      <c r="Z324" s="535"/>
      <c r="AA324" s="535"/>
      <c r="AB324" s="535"/>
      <c r="AC324" s="529"/>
      <c r="AD324" s="529"/>
      <c r="AE324" s="529"/>
      <c r="AF324" s="529"/>
      <c r="AG324" s="529"/>
      <c r="AH324" s="529"/>
      <c r="AI324" s="535"/>
      <c r="AJ324" s="535"/>
      <c r="AK324" s="507"/>
      <c r="AL324" s="507"/>
      <c r="AM324" s="507"/>
      <c r="AN324" s="556"/>
      <c r="AO324" s="510"/>
      <c r="AP324" s="510" t="e">
        <f t="shared" ca="1" si="225"/>
        <v>#NAME?</v>
      </c>
      <c r="AQ324" s="532"/>
      <c r="AR324" s="532"/>
      <c r="AS324" s="532"/>
      <c r="AT324" s="532"/>
      <c r="AU324" s="532"/>
      <c r="AV324" s="532"/>
      <c r="AW324" s="612"/>
      <c r="AX324" s="612"/>
      <c r="AY324" s="612"/>
      <c r="AZ324" s="612"/>
      <c r="BA324" s="612"/>
      <c r="BB324" s="612"/>
      <c r="BC324" s="612"/>
      <c r="BD324" s="612"/>
      <c r="BE324" s="612"/>
      <c r="BF324" s="612"/>
      <c r="BG324" s="612"/>
      <c r="BH324" s="612"/>
      <c r="BI324" s="612">
        <f t="shared" si="292"/>
        <v>0</v>
      </c>
      <c r="BJ324" s="201">
        <f t="shared" si="229"/>
        <v>0</v>
      </c>
    </row>
    <row r="325" spans="1:62" ht="12" customHeight="1">
      <c r="A325" s="61"/>
      <c r="B325" s="61"/>
      <c r="C325" s="61"/>
      <c r="D325" s="61"/>
      <c r="E325" s="61"/>
      <c r="F325" s="61"/>
      <c r="G325" s="61"/>
      <c r="H325" s="62">
        <v>422</v>
      </c>
      <c r="I325" s="127"/>
      <c r="J325" s="128"/>
      <c r="K325" s="20" t="s">
        <v>298</v>
      </c>
      <c r="L325" s="111">
        <f t="shared" ref="L325:S325" si="308">L327+L328+L329+L330+L331</f>
        <v>87010</v>
      </c>
      <c r="M325" s="111">
        <f t="shared" si="308"/>
        <v>11548.211560156611</v>
      </c>
      <c r="N325" s="112">
        <f t="shared" si="308"/>
        <v>486231</v>
      </c>
      <c r="O325" s="112">
        <f t="shared" si="308"/>
        <v>64533.943858252045</v>
      </c>
      <c r="P325" s="113">
        <f t="shared" si="308"/>
        <v>36100</v>
      </c>
      <c r="Q325" s="113">
        <f t="shared" si="308"/>
        <v>28700</v>
      </c>
      <c r="R325" s="87">
        <f t="shared" si="308"/>
        <v>37691</v>
      </c>
      <c r="S325" s="89" t="e">
        <f t="shared" ca="1" si="308"/>
        <v>#NAME?</v>
      </c>
      <c r="T325" s="89"/>
      <c r="U325" s="89" t="e">
        <f t="shared" ca="1" si="297"/>
        <v>#NAME?</v>
      </c>
      <c r="V325" s="532">
        <f>V327+V328+V329+V330+V331</f>
        <v>82500</v>
      </c>
      <c r="W325" s="532">
        <f>W327+W328+W329+W330+W331</f>
        <v>82500</v>
      </c>
      <c r="X325" s="506">
        <f>X327+X328+X329+X330+X331</f>
        <v>62500</v>
      </c>
      <c r="Y325" s="507">
        <f>Y327+Y328+Y329+Y330+Y331</f>
        <v>67500.3</v>
      </c>
      <c r="Z325" s="507"/>
      <c r="AA325" s="507" t="e">
        <f ca="1">AA327+AA328+AA329+AA330+AA331</f>
        <v>#NAME?</v>
      </c>
      <c r="AB325" s="507">
        <f>AB327+AB328+AB329+AB330+AB331</f>
        <v>0</v>
      </c>
      <c r="AC325" s="508">
        <f>AC327+AC328+AC329+AC330+AC331</f>
        <v>27500</v>
      </c>
      <c r="AD325" s="508">
        <f>AD327+AD328+AD329+AD330+AD331</f>
        <v>27500</v>
      </c>
      <c r="AE325" s="529">
        <f>O325/M325*100</f>
        <v>558.8219744856915</v>
      </c>
      <c r="AF325" s="529">
        <f>P325/O325*100</f>
        <v>55.939553422138857</v>
      </c>
      <c r="AG325" s="529">
        <f>Q325/P325*100</f>
        <v>79.501385041551245</v>
      </c>
      <c r="AH325" s="529">
        <f>AC325/Q325*100</f>
        <v>95.818815331010455</v>
      </c>
      <c r="AI325" s="507"/>
      <c r="AJ325" s="507">
        <v>67500.3</v>
      </c>
      <c r="AK325" s="507">
        <f>W325/R325*100</f>
        <v>218.88514499482636</v>
      </c>
      <c r="AL325" s="507">
        <f t="shared" si="245"/>
        <v>75.757575757575751</v>
      </c>
      <c r="AM325" s="507">
        <f t="shared" si="245"/>
        <v>108.00048</v>
      </c>
      <c r="AN325" s="509"/>
      <c r="AO325" s="510"/>
      <c r="AP325" s="510" t="e">
        <f t="shared" ca="1" si="225"/>
        <v>#NAME?</v>
      </c>
      <c r="AQ325" s="532">
        <f>AQ327+AQ328+AQ329+AQ330+AQ331</f>
        <v>69840.81</v>
      </c>
      <c r="AR325" s="532">
        <f t="shared" ref="AR325:BH325" si="309">AR327+AR328+AR329+AR330+AR331</f>
        <v>2239.7943587080426</v>
      </c>
      <c r="AS325" s="532">
        <f t="shared" si="309"/>
        <v>500</v>
      </c>
      <c r="AT325" s="532">
        <f t="shared" si="309"/>
        <v>2239.7943587080426</v>
      </c>
      <c r="AU325" s="532">
        <f t="shared" si="309"/>
        <v>417.27978316271964</v>
      </c>
      <c r="AV325" s="532">
        <f t="shared" si="309"/>
        <v>2220.4192022405559</v>
      </c>
      <c r="AW325" s="612">
        <f t="shared" si="309"/>
        <v>67417.06</v>
      </c>
      <c r="AX325" s="612">
        <f t="shared" si="309"/>
        <v>0</v>
      </c>
      <c r="AY325" s="612">
        <f t="shared" si="309"/>
        <v>0</v>
      </c>
      <c r="AZ325" s="612">
        <f t="shared" si="309"/>
        <v>0</v>
      </c>
      <c r="BA325" s="612">
        <f t="shared" si="309"/>
        <v>0</v>
      </c>
      <c r="BB325" s="612">
        <f t="shared" si="309"/>
        <v>0</v>
      </c>
      <c r="BC325" s="612">
        <f t="shared" si="309"/>
        <v>0</v>
      </c>
      <c r="BD325" s="612">
        <f t="shared" si="309"/>
        <v>0</v>
      </c>
      <c r="BE325" s="612">
        <f t="shared" si="309"/>
        <v>0</v>
      </c>
      <c r="BF325" s="612">
        <f t="shared" si="309"/>
        <v>2423.75</v>
      </c>
      <c r="BG325" s="612">
        <f t="shared" si="309"/>
        <v>0</v>
      </c>
      <c r="BH325" s="612">
        <f t="shared" si="309"/>
        <v>69840.81</v>
      </c>
      <c r="BI325" s="612">
        <f t="shared" si="292"/>
        <v>69840.81</v>
      </c>
      <c r="BJ325" s="201">
        <f t="shared" si="229"/>
        <v>0</v>
      </c>
    </row>
    <row r="326" spans="1:62" ht="12" customHeight="1">
      <c r="A326" s="41"/>
      <c r="B326" s="41"/>
      <c r="C326" s="41"/>
      <c r="D326" s="41"/>
      <c r="E326" s="41"/>
      <c r="F326" s="41"/>
      <c r="G326" s="41"/>
      <c r="H326" s="37"/>
      <c r="I326" s="72"/>
      <c r="J326" s="90"/>
      <c r="K326" s="83"/>
      <c r="L326" s="84">
        <v>1</v>
      </c>
      <c r="M326" s="84">
        <v>2</v>
      </c>
      <c r="N326" s="85">
        <v>3</v>
      </c>
      <c r="O326" s="85">
        <v>4</v>
      </c>
      <c r="P326" s="86">
        <v>5</v>
      </c>
      <c r="Q326" s="86">
        <v>6</v>
      </c>
      <c r="R326" s="154"/>
      <c r="S326" s="155"/>
      <c r="T326" s="155"/>
      <c r="U326" s="89" t="e">
        <f t="shared" ca="1" si="297"/>
        <v>#NAME?</v>
      </c>
      <c r="V326" s="532"/>
      <c r="W326" s="532"/>
      <c r="X326" s="536"/>
      <c r="Y326" s="537"/>
      <c r="Z326" s="537"/>
      <c r="AA326" s="537"/>
      <c r="AB326" s="537"/>
      <c r="AC326" s="538">
        <v>7</v>
      </c>
      <c r="AD326" s="538">
        <v>8</v>
      </c>
      <c r="AE326" s="538">
        <v>9</v>
      </c>
      <c r="AF326" s="538">
        <v>10</v>
      </c>
      <c r="AG326" s="538">
        <v>11</v>
      </c>
      <c r="AH326" s="538">
        <v>12</v>
      </c>
      <c r="AI326" s="537"/>
      <c r="AJ326" s="537"/>
      <c r="AK326" s="507"/>
      <c r="AL326" s="507"/>
      <c r="AM326" s="507"/>
      <c r="AN326" s="557"/>
      <c r="AO326" s="510"/>
      <c r="AP326" s="510" t="e">
        <f t="shared" ca="1" si="225"/>
        <v>#NAME?</v>
      </c>
      <c r="AQ326" s="532"/>
      <c r="AR326" s="532"/>
      <c r="AS326" s="532"/>
      <c r="AT326" s="532"/>
      <c r="AU326" s="532"/>
      <c r="AV326" s="532"/>
      <c r="AW326" s="612"/>
      <c r="AX326" s="612"/>
      <c r="AY326" s="612"/>
      <c r="AZ326" s="612"/>
      <c r="BA326" s="612"/>
      <c r="BB326" s="612"/>
      <c r="BC326" s="612"/>
      <c r="BD326" s="612"/>
      <c r="BE326" s="612"/>
      <c r="BF326" s="612"/>
      <c r="BG326" s="612"/>
      <c r="BH326" s="612"/>
      <c r="BI326" s="612">
        <f t="shared" si="292"/>
        <v>0</v>
      </c>
      <c r="BJ326" s="201">
        <f t="shared" si="229"/>
        <v>0</v>
      </c>
    </row>
    <row r="327" spans="1:62" ht="12" customHeight="1">
      <c r="A327" s="52"/>
      <c r="B327" s="52"/>
      <c r="C327" s="52"/>
      <c r="D327" s="52"/>
      <c r="E327" s="52"/>
      <c r="F327" s="52"/>
      <c r="G327" s="52"/>
      <c r="H327" s="63">
        <v>4221</v>
      </c>
      <c r="I327" s="116"/>
      <c r="J327" s="117"/>
      <c r="K327" s="19" t="s">
        <v>299</v>
      </c>
      <c r="L327" s="129">
        <f t="shared" ref="L327:S327" si="310">L463+L1213+L1119+L1063</f>
        <v>37802</v>
      </c>
      <c r="M327" s="129">
        <f t="shared" si="310"/>
        <v>5017.1876036896938</v>
      </c>
      <c r="N327" s="130">
        <f t="shared" si="310"/>
        <v>39710</v>
      </c>
      <c r="O327" s="130">
        <f t="shared" si="310"/>
        <v>5270.4227221448</v>
      </c>
      <c r="P327" s="131">
        <f t="shared" si="310"/>
        <v>9800</v>
      </c>
      <c r="Q327" s="131">
        <f t="shared" si="310"/>
        <v>9800</v>
      </c>
      <c r="R327" s="153">
        <f t="shared" si="310"/>
        <v>9137</v>
      </c>
      <c r="S327" s="158">
        <f t="shared" si="310"/>
        <v>4297</v>
      </c>
      <c r="T327" s="158"/>
      <c r="U327" s="89" t="e">
        <f t="shared" ca="1" si="297"/>
        <v>#NAME?</v>
      </c>
      <c r="V327" s="532">
        <f>V463+V1213+V1119+V1063</f>
        <v>23500</v>
      </c>
      <c r="W327" s="532">
        <f>W463+W1213+W1119+W1063</f>
        <v>23500</v>
      </c>
      <c r="X327" s="534">
        <f>X463+X1213+X1119+X1063</f>
        <v>17000</v>
      </c>
      <c r="Y327" s="535">
        <f>Y463+Y1213+Y1119+Y1063</f>
        <v>19000</v>
      </c>
      <c r="Z327" s="535"/>
      <c r="AA327" s="535" t="e">
        <f ca="1">AA463+AA1213+AA1119+AA1063</f>
        <v>#NAME?</v>
      </c>
      <c r="AB327" s="535">
        <f>AB463+AB1213+AB1119+AB1063</f>
        <v>0</v>
      </c>
      <c r="AC327" s="529">
        <f>AC463+AC1213+AC1119+AC1063</f>
        <v>10000</v>
      </c>
      <c r="AD327" s="529">
        <f>AD463+AD1213+AD1119+AD1063</f>
        <v>10000</v>
      </c>
      <c r="AE327" s="529">
        <f>O327/M327*100</f>
        <v>105.0473519919581</v>
      </c>
      <c r="AF327" s="529">
        <f>P327/O327*100</f>
        <v>185.94333920926721</v>
      </c>
      <c r="AG327" s="529">
        <f>Q327/P327*100</f>
        <v>100</v>
      </c>
      <c r="AH327" s="529">
        <f>AC327/Q327*100</f>
        <v>102.04081632653062</v>
      </c>
      <c r="AI327" s="535"/>
      <c r="AJ327" s="535">
        <v>19000</v>
      </c>
      <c r="AK327" s="507">
        <f>W327/R327*100</f>
        <v>257.19601619787676</v>
      </c>
      <c r="AL327" s="507">
        <f t="shared" si="245"/>
        <v>72.340425531914903</v>
      </c>
      <c r="AM327" s="507">
        <f t="shared" si="245"/>
        <v>111.76470588235294</v>
      </c>
      <c r="AN327" s="556"/>
      <c r="AO327" s="510"/>
      <c r="AP327" s="510" t="e">
        <f t="shared" ca="1" si="225"/>
        <v>#NAME?</v>
      </c>
      <c r="AQ327" s="532">
        <f t="shared" ref="AQ327:BH327" si="311">AQ463+AQ1213+AQ1119+AQ1063</f>
        <v>6524.41</v>
      </c>
      <c r="AR327" s="532">
        <f t="shared" si="311"/>
        <v>91.039146833138247</v>
      </c>
      <c r="AS327" s="532">
        <f t="shared" si="311"/>
        <v>300</v>
      </c>
      <c r="AT327" s="532">
        <f t="shared" si="311"/>
        <v>91.039146833138247</v>
      </c>
      <c r="AU327" s="532">
        <f t="shared" si="311"/>
        <v>70.885954285714291</v>
      </c>
      <c r="AV327" s="532">
        <f t="shared" si="311"/>
        <v>127.69994769021397</v>
      </c>
      <c r="AW327" s="612">
        <f t="shared" si="311"/>
        <v>6524.41</v>
      </c>
      <c r="AX327" s="612">
        <f t="shared" si="311"/>
        <v>0</v>
      </c>
      <c r="AY327" s="612">
        <f t="shared" si="311"/>
        <v>0</v>
      </c>
      <c r="AZ327" s="612">
        <f t="shared" si="311"/>
        <v>0</v>
      </c>
      <c r="BA327" s="612">
        <f t="shared" si="311"/>
        <v>0</v>
      </c>
      <c r="BB327" s="612">
        <f t="shared" si="311"/>
        <v>0</v>
      </c>
      <c r="BC327" s="612">
        <f t="shared" si="311"/>
        <v>0</v>
      </c>
      <c r="BD327" s="612">
        <f t="shared" si="311"/>
        <v>0</v>
      </c>
      <c r="BE327" s="612">
        <f t="shared" si="311"/>
        <v>0</v>
      </c>
      <c r="BF327" s="612">
        <f t="shared" si="311"/>
        <v>0</v>
      </c>
      <c r="BG327" s="612">
        <f t="shared" si="311"/>
        <v>0</v>
      </c>
      <c r="BH327" s="612">
        <f t="shared" si="311"/>
        <v>6524.41</v>
      </c>
      <c r="BI327" s="612">
        <f t="shared" si="292"/>
        <v>6524.41</v>
      </c>
      <c r="BJ327" s="201">
        <f t="shared" si="229"/>
        <v>0</v>
      </c>
    </row>
    <row r="328" spans="1:62" ht="12" customHeight="1">
      <c r="A328" s="52"/>
      <c r="B328" s="52"/>
      <c r="C328" s="52"/>
      <c r="D328" s="52"/>
      <c r="E328" s="52"/>
      <c r="F328" s="52"/>
      <c r="G328" s="52"/>
      <c r="H328" s="63">
        <v>4222</v>
      </c>
      <c r="I328" s="116"/>
      <c r="J328" s="117"/>
      <c r="K328" s="19" t="s">
        <v>300</v>
      </c>
      <c r="L328" s="129">
        <f t="shared" ref="L328:S329" si="312">L464</f>
        <v>0</v>
      </c>
      <c r="M328" s="129">
        <f t="shared" si="312"/>
        <v>0</v>
      </c>
      <c r="N328" s="130">
        <f t="shared" si="312"/>
        <v>0</v>
      </c>
      <c r="O328" s="130">
        <f t="shared" si="312"/>
        <v>0</v>
      </c>
      <c r="P328" s="131">
        <f t="shared" si="312"/>
        <v>0</v>
      </c>
      <c r="Q328" s="131">
        <f t="shared" si="312"/>
        <v>0</v>
      </c>
      <c r="R328" s="153">
        <f t="shared" si="312"/>
        <v>0</v>
      </c>
      <c r="S328" s="158" t="e">
        <f t="shared" ca="1" si="312"/>
        <v>#NAME?</v>
      </c>
      <c r="T328" s="158"/>
      <c r="U328" s="89" t="e">
        <f t="shared" ca="1" si="297"/>
        <v>#NAME?</v>
      </c>
      <c r="V328" s="532">
        <f t="shared" ref="V328:Y329" si="313">V464</f>
        <v>0</v>
      </c>
      <c r="W328" s="532">
        <f t="shared" si="313"/>
        <v>0</v>
      </c>
      <c r="X328" s="534">
        <f t="shared" si="313"/>
        <v>0</v>
      </c>
      <c r="Y328" s="535">
        <f t="shared" si="313"/>
        <v>0</v>
      </c>
      <c r="Z328" s="535"/>
      <c r="AA328" s="535" t="e">
        <f t="shared" ref="AA328:AD329" ca="1" si="314">AA464</f>
        <v>#NAME?</v>
      </c>
      <c r="AB328" s="535">
        <f t="shared" si="314"/>
        <v>0</v>
      </c>
      <c r="AC328" s="529">
        <f t="shared" si="314"/>
        <v>0</v>
      </c>
      <c r="AD328" s="529">
        <f t="shared" si="314"/>
        <v>0</v>
      </c>
      <c r="AE328" s="529"/>
      <c r="AF328" s="529"/>
      <c r="AG328" s="529"/>
      <c r="AH328" s="529"/>
      <c r="AI328" s="535"/>
      <c r="AJ328" s="535">
        <v>0</v>
      </c>
      <c r="AK328" s="507"/>
      <c r="AL328" s="507"/>
      <c r="AM328" s="507"/>
      <c r="AN328" s="556"/>
      <c r="AO328" s="510"/>
      <c r="AP328" s="510" t="e">
        <f t="shared" ca="1" si="225"/>
        <v>#NAME?</v>
      </c>
      <c r="AQ328" s="532">
        <f t="shared" ref="AQ328:BH328" si="315">AQ464</f>
        <v>1226</v>
      </c>
      <c r="AR328" s="532">
        <f t="shared" si="315"/>
        <v>0</v>
      </c>
      <c r="AS328" s="532">
        <f t="shared" si="315"/>
        <v>0</v>
      </c>
      <c r="AT328" s="532">
        <f t="shared" si="315"/>
        <v>0</v>
      </c>
      <c r="AU328" s="532">
        <f t="shared" si="315"/>
        <v>0</v>
      </c>
      <c r="AV328" s="532">
        <f t="shared" si="315"/>
        <v>0</v>
      </c>
      <c r="AW328" s="612">
        <f t="shared" si="315"/>
        <v>1226</v>
      </c>
      <c r="AX328" s="612">
        <f t="shared" si="315"/>
        <v>0</v>
      </c>
      <c r="AY328" s="612">
        <f t="shared" si="315"/>
        <v>0</v>
      </c>
      <c r="AZ328" s="612">
        <f t="shared" si="315"/>
        <v>0</v>
      </c>
      <c r="BA328" s="612">
        <f t="shared" si="315"/>
        <v>0</v>
      </c>
      <c r="BB328" s="612">
        <f t="shared" si="315"/>
        <v>0</v>
      </c>
      <c r="BC328" s="612">
        <f t="shared" si="315"/>
        <v>0</v>
      </c>
      <c r="BD328" s="612">
        <f t="shared" si="315"/>
        <v>0</v>
      </c>
      <c r="BE328" s="612">
        <f t="shared" si="315"/>
        <v>0</v>
      </c>
      <c r="BF328" s="612">
        <f t="shared" si="315"/>
        <v>0</v>
      </c>
      <c r="BG328" s="612">
        <f t="shared" si="315"/>
        <v>0</v>
      </c>
      <c r="BH328" s="612">
        <f t="shared" si="315"/>
        <v>1226</v>
      </c>
      <c r="BI328" s="612">
        <f t="shared" si="292"/>
        <v>1226</v>
      </c>
      <c r="BJ328" s="201">
        <f t="shared" si="229"/>
        <v>0</v>
      </c>
    </row>
    <row r="329" spans="1:62" ht="12" customHeight="1">
      <c r="A329" s="52"/>
      <c r="B329" s="52"/>
      <c r="C329" s="52"/>
      <c r="D329" s="52"/>
      <c r="E329" s="52"/>
      <c r="F329" s="52"/>
      <c r="G329" s="52"/>
      <c r="H329" s="63">
        <v>4223</v>
      </c>
      <c r="I329" s="116"/>
      <c r="J329" s="117"/>
      <c r="K329" s="19" t="s">
        <v>301</v>
      </c>
      <c r="L329" s="129">
        <f t="shared" si="312"/>
        <v>9900</v>
      </c>
      <c r="M329" s="129">
        <f t="shared" si="312"/>
        <v>1313.9558033047979</v>
      </c>
      <c r="N329" s="130">
        <f t="shared" si="312"/>
        <v>5200</v>
      </c>
      <c r="O329" s="130">
        <f t="shared" si="312"/>
        <v>690.15860375605541</v>
      </c>
      <c r="P329" s="131">
        <f t="shared" si="312"/>
        <v>4000</v>
      </c>
      <c r="Q329" s="131">
        <f t="shared" si="312"/>
        <v>0</v>
      </c>
      <c r="R329" s="153">
        <f t="shared" si="312"/>
        <v>0</v>
      </c>
      <c r="S329" s="158">
        <f t="shared" si="312"/>
        <v>17286</v>
      </c>
      <c r="T329" s="158"/>
      <c r="U329" s="89" t="e">
        <f t="shared" ca="1" si="297"/>
        <v>#NAME?</v>
      </c>
      <c r="V329" s="532">
        <f t="shared" si="313"/>
        <v>22000</v>
      </c>
      <c r="W329" s="532">
        <f t="shared" si="313"/>
        <v>22000</v>
      </c>
      <c r="X329" s="534">
        <f t="shared" si="313"/>
        <v>6000</v>
      </c>
      <c r="Y329" s="535">
        <f t="shared" si="313"/>
        <v>5000</v>
      </c>
      <c r="Z329" s="535"/>
      <c r="AA329" s="535" t="e">
        <f t="shared" ca="1" si="314"/>
        <v>#NAME?</v>
      </c>
      <c r="AB329" s="535">
        <f t="shared" si="314"/>
        <v>0</v>
      </c>
      <c r="AC329" s="529">
        <f t="shared" si="314"/>
        <v>0</v>
      </c>
      <c r="AD329" s="529">
        <f t="shared" si="314"/>
        <v>0</v>
      </c>
      <c r="AE329" s="529">
        <f>O329/M329*100</f>
        <v>52.525252525252519</v>
      </c>
      <c r="AF329" s="529"/>
      <c r="AG329" s="529"/>
      <c r="AH329" s="529"/>
      <c r="AI329" s="535"/>
      <c r="AJ329" s="535">
        <v>5000</v>
      </c>
      <c r="AK329" s="507"/>
      <c r="AL329" s="507">
        <f t="shared" si="245"/>
        <v>27.27272727272727</v>
      </c>
      <c r="AM329" s="507">
        <f t="shared" si="245"/>
        <v>83.333333333333343</v>
      </c>
      <c r="AN329" s="556"/>
      <c r="AO329" s="510"/>
      <c r="AP329" s="510" t="e">
        <f t="shared" ref="AP329:AP350" ca="1" si="316">__xlfn.ISFORMULA(X329)</f>
        <v>#NAME?</v>
      </c>
      <c r="AQ329" s="532">
        <f t="shared" ref="AQ329:BH329" si="317">AQ465+AQ1120</f>
        <v>26778.76</v>
      </c>
      <c r="AR329" s="532">
        <f t="shared" si="317"/>
        <v>0</v>
      </c>
      <c r="AS329" s="532">
        <f t="shared" si="317"/>
        <v>0</v>
      </c>
      <c r="AT329" s="532">
        <f t="shared" si="317"/>
        <v>0</v>
      </c>
      <c r="AU329" s="532">
        <f t="shared" si="317"/>
        <v>78.576181818181809</v>
      </c>
      <c r="AV329" s="532">
        <f t="shared" si="317"/>
        <v>0</v>
      </c>
      <c r="AW329" s="612">
        <f t="shared" si="317"/>
        <v>26778.76</v>
      </c>
      <c r="AX329" s="612">
        <f t="shared" si="317"/>
        <v>0</v>
      </c>
      <c r="AY329" s="612">
        <f t="shared" si="317"/>
        <v>0</v>
      </c>
      <c r="AZ329" s="612">
        <f t="shared" si="317"/>
        <v>0</v>
      </c>
      <c r="BA329" s="612">
        <f t="shared" si="317"/>
        <v>0</v>
      </c>
      <c r="BB329" s="612">
        <f t="shared" si="317"/>
        <v>0</v>
      </c>
      <c r="BC329" s="612">
        <f t="shared" si="317"/>
        <v>0</v>
      </c>
      <c r="BD329" s="612">
        <f t="shared" si="317"/>
        <v>0</v>
      </c>
      <c r="BE329" s="612">
        <f t="shared" si="317"/>
        <v>0</v>
      </c>
      <c r="BF329" s="612">
        <f t="shared" si="317"/>
        <v>0</v>
      </c>
      <c r="BG329" s="612">
        <f t="shared" si="317"/>
        <v>0</v>
      </c>
      <c r="BH329" s="612">
        <f t="shared" si="317"/>
        <v>26778.76</v>
      </c>
      <c r="BI329" s="612">
        <f t="shared" si="292"/>
        <v>26778.76</v>
      </c>
      <c r="BJ329" s="201">
        <f t="shared" si="229"/>
        <v>0</v>
      </c>
    </row>
    <row r="330" spans="1:62" ht="12" customHeight="1">
      <c r="A330" s="52"/>
      <c r="B330" s="52"/>
      <c r="C330" s="52"/>
      <c r="D330" s="52"/>
      <c r="E330" s="52"/>
      <c r="F330" s="52"/>
      <c r="G330" s="52"/>
      <c r="H330" s="63">
        <v>4224</v>
      </c>
      <c r="I330" s="116"/>
      <c r="J330" s="117"/>
      <c r="K330" s="19" t="s">
        <v>302</v>
      </c>
      <c r="L330" s="129"/>
      <c r="M330" s="129"/>
      <c r="N330" s="130"/>
      <c r="O330" s="130"/>
      <c r="P330" s="131"/>
      <c r="Q330" s="131"/>
      <c r="R330" s="153"/>
      <c r="S330" s="158"/>
      <c r="T330" s="158"/>
      <c r="U330" s="89" t="e">
        <f t="shared" ca="1" si="297"/>
        <v>#NAME?</v>
      </c>
      <c r="V330" s="532"/>
      <c r="W330" s="532"/>
      <c r="X330" s="534"/>
      <c r="Y330" s="535"/>
      <c r="Z330" s="535"/>
      <c r="AA330" s="535"/>
      <c r="AB330" s="535"/>
      <c r="AC330" s="529"/>
      <c r="AD330" s="529"/>
      <c r="AE330" s="529"/>
      <c r="AF330" s="529"/>
      <c r="AG330" s="529"/>
      <c r="AH330" s="529"/>
      <c r="AI330" s="535"/>
      <c r="AJ330" s="535"/>
      <c r="AK330" s="507"/>
      <c r="AL330" s="507"/>
      <c r="AM330" s="507"/>
      <c r="AN330" s="556"/>
      <c r="AO330" s="510"/>
      <c r="AP330" s="510" t="e">
        <f t="shared" ca="1" si="316"/>
        <v>#NAME?</v>
      </c>
      <c r="AQ330" s="532">
        <f t="shared" ref="AQ330:BH330" si="318">AQ466</f>
        <v>2423.75</v>
      </c>
      <c r="AR330" s="532">
        <f t="shared" si="318"/>
        <v>0</v>
      </c>
      <c r="AS330" s="532">
        <f t="shared" si="318"/>
        <v>0</v>
      </c>
      <c r="AT330" s="532">
        <f t="shared" si="318"/>
        <v>0</v>
      </c>
      <c r="AU330" s="532">
        <f t="shared" si="318"/>
        <v>96.95</v>
      </c>
      <c r="AV330" s="532">
        <f t="shared" si="318"/>
        <v>0</v>
      </c>
      <c r="AW330" s="612">
        <f t="shared" si="318"/>
        <v>0</v>
      </c>
      <c r="AX330" s="612">
        <f t="shared" si="318"/>
        <v>0</v>
      </c>
      <c r="AY330" s="612">
        <f t="shared" si="318"/>
        <v>0</v>
      </c>
      <c r="AZ330" s="612">
        <f t="shared" si="318"/>
        <v>0</v>
      </c>
      <c r="BA330" s="612">
        <f t="shared" si="318"/>
        <v>0</v>
      </c>
      <c r="BB330" s="612">
        <f t="shared" si="318"/>
        <v>0</v>
      </c>
      <c r="BC330" s="612">
        <f t="shared" si="318"/>
        <v>0</v>
      </c>
      <c r="BD330" s="612">
        <f t="shared" si="318"/>
        <v>0</v>
      </c>
      <c r="BE330" s="612">
        <f t="shared" si="318"/>
        <v>0</v>
      </c>
      <c r="BF330" s="612">
        <f t="shared" si="318"/>
        <v>2423.75</v>
      </c>
      <c r="BG330" s="612">
        <f t="shared" si="318"/>
        <v>0</v>
      </c>
      <c r="BH330" s="612">
        <f t="shared" si="318"/>
        <v>2423.75</v>
      </c>
      <c r="BI330" s="612">
        <f t="shared" si="292"/>
        <v>2423.75</v>
      </c>
      <c r="BJ330" s="201">
        <f t="shared" ref="BJ330:BJ338" si="319">BI330-AQ330</f>
        <v>0</v>
      </c>
    </row>
    <row r="331" spans="1:62" ht="12" customHeight="1">
      <c r="A331" s="52"/>
      <c r="B331" s="52"/>
      <c r="C331" s="52"/>
      <c r="D331" s="52"/>
      <c r="E331" s="52"/>
      <c r="F331" s="52"/>
      <c r="G331" s="52"/>
      <c r="H331" s="63">
        <v>4227</v>
      </c>
      <c r="I331" s="116"/>
      <c r="J331" s="117"/>
      <c r="K331" s="19" t="s">
        <v>303</v>
      </c>
      <c r="L331" s="129">
        <f t="shared" ref="L331:S331" si="320">L467+L649+L708+L1064+L1214</f>
        <v>39308</v>
      </c>
      <c r="M331" s="129">
        <f t="shared" si="320"/>
        <v>5217.0681531621203</v>
      </c>
      <c r="N331" s="130">
        <f t="shared" si="320"/>
        <v>441321</v>
      </c>
      <c r="O331" s="130">
        <f t="shared" si="320"/>
        <v>58573.362532351188</v>
      </c>
      <c r="P331" s="131">
        <f t="shared" si="320"/>
        <v>22300</v>
      </c>
      <c r="Q331" s="131">
        <f t="shared" si="320"/>
        <v>18900</v>
      </c>
      <c r="R331" s="153">
        <f t="shared" si="320"/>
        <v>28554</v>
      </c>
      <c r="S331" s="158" t="e">
        <f t="shared" ca="1" si="320"/>
        <v>#NAME?</v>
      </c>
      <c r="T331" s="158"/>
      <c r="U331" s="89" t="e">
        <f t="shared" ca="1" si="297"/>
        <v>#NAME?</v>
      </c>
      <c r="V331" s="532">
        <f>V467+V649+V708+V1064+V1214</f>
        <v>37000</v>
      </c>
      <c r="W331" s="532">
        <f>W467+W649+W708+W1064+W1214</f>
        <v>37000</v>
      </c>
      <c r="X331" s="534">
        <f>X467+X649+X708+X1064+X1214</f>
        <v>39500</v>
      </c>
      <c r="Y331" s="535">
        <f>Y467+Y649+Y708+Y1064+Y1214</f>
        <v>43500.3</v>
      </c>
      <c r="Z331" s="535"/>
      <c r="AA331" s="535" t="e">
        <f ca="1">AA467+AA649+AA708+AA1064+AA1214</f>
        <v>#NAME?</v>
      </c>
      <c r="AB331" s="535">
        <f>AB467+AB649+AB708+AB1064+AB1214</f>
        <v>0</v>
      </c>
      <c r="AC331" s="529">
        <f>AC467+AC649+AC708+AC1064+AC1214</f>
        <v>17500</v>
      </c>
      <c r="AD331" s="529">
        <f>AD467+AD649+AD708+AD1064+AD1214</f>
        <v>17500</v>
      </c>
      <c r="AE331" s="529"/>
      <c r="AF331" s="529">
        <f>P331/O331*100</f>
        <v>38.071913641091179</v>
      </c>
      <c r="AG331" s="529">
        <f>Q331/P331*100</f>
        <v>84.753363228699556</v>
      </c>
      <c r="AH331" s="529">
        <f>AC331/Q331*100</f>
        <v>92.592592592592595</v>
      </c>
      <c r="AI331" s="535"/>
      <c r="AJ331" s="535">
        <v>43500.3</v>
      </c>
      <c r="AK331" s="507">
        <f>W331/R331*100</f>
        <v>129.57904321636198</v>
      </c>
      <c r="AL331" s="507">
        <f t="shared" si="245"/>
        <v>106.75675675675676</v>
      </c>
      <c r="AM331" s="507">
        <f t="shared" si="245"/>
        <v>110.12734177215191</v>
      </c>
      <c r="AN331" s="556"/>
      <c r="AO331" s="510"/>
      <c r="AP331" s="510" t="e">
        <f t="shared" ca="1" si="316"/>
        <v>#NAME?</v>
      </c>
      <c r="AQ331" s="532">
        <f t="shared" ref="AQ331:BH331" si="321">AQ467+AQ649+AQ708+AQ1064+AQ1214+AQ1121</f>
        <v>32887.89</v>
      </c>
      <c r="AR331" s="532">
        <f t="shared" si="321"/>
        <v>2148.7552118749045</v>
      </c>
      <c r="AS331" s="532">
        <f t="shared" si="321"/>
        <v>200</v>
      </c>
      <c r="AT331" s="532">
        <f t="shared" si="321"/>
        <v>2148.7552118749045</v>
      </c>
      <c r="AU331" s="532">
        <f t="shared" si="321"/>
        <v>170.86764705882354</v>
      </c>
      <c r="AV331" s="532">
        <f t="shared" si="321"/>
        <v>2092.7192545503422</v>
      </c>
      <c r="AW331" s="612">
        <f t="shared" si="321"/>
        <v>32887.89</v>
      </c>
      <c r="AX331" s="612">
        <f t="shared" si="321"/>
        <v>0</v>
      </c>
      <c r="AY331" s="612">
        <f t="shared" si="321"/>
        <v>0</v>
      </c>
      <c r="AZ331" s="612">
        <f t="shared" si="321"/>
        <v>0</v>
      </c>
      <c r="BA331" s="612">
        <f t="shared" si="321"/>
        <v>0</v>
      </c>
      <c r="BB331" s="612">
        <f t="shared" si="321"/>
        <v>0</v>
      </c>
      <c r="BC331" s="612">
        <f t="shared" si="321"/>
        <v>0</v>
      </c>
      <c r="BD331" s="612">
        <f t="shared" si="321"/>
        <v>0</v>
      </c>
      <c r="BE331" s="612">
        <f t="shared" si="321"/>
        <v>0</v>
      </c>
      <c r="BF331" s="612">
        <f t="shared" si="321"/>
        <v>0</v>
      </c>
      <c r="BG331" s="612">
        <f t="shared" si="321"/>
        <v>0</v>
      </c>
      <c r="BH331" s="612">
        <f t="shared" si="321"/>
        <v>32887.89</v>
      </c>
      <c r="BI331" s="612">
        <f t="shared" si="292"/>
        <v>32887.89</v>
      </c>
      <c r="BJ331" s="201">
        <f t="shared" si="319"/>
        <v>0</v>
      </c>
    </row>
    <row r="332" spans="1:62" ht="12" customHeight="1">
      <c r="A332" s="41"/>
      <c r="B332" s="41"/>
      <c r="C332" s="41"/>
      <c r="D332" s="41"/>
      <c r="E332" s="41"/>
      <c r="F332" s="41"/>
      <c r="G332" s="41"/>
      <c r="H332" s="37"/>
      <c r="I332" s="72"/>
      <c r="J332" s="90"/>
      <c r="K332" s="83"/>
      <c r="L332" s="84"/>
      <c r="M332" s="84"/>
      <c r="N332" s="85"/>
      <c r="O332" s="85"/>
      <c r="P332" s="86"/>
      <c r="Q332" s="86"/>
      <c r="R332" s="154"/>
      <c r="S332" s="155"/>
      <c r="T332" s="155"/>
      <c r="U332" s="89" t="e">
        <f t="shared" ca="1" si="297"/>
        <v>#NAME?</v>
      </c>
      <c r="V332" s="532"/>
      <c r="W332" s="532"/>
      <c r="X332" s="536"/>
      <c r="Y332" s="537"/>
      <c r="Z332" s="537"/>
      <c r="AA332" s="537"/>
      <c r="AB332" s="537"/>
      <c r="AC332" s="538"/>
      <c r="AD332" s="538"/>
      <c r="AE332" s="529"/>
      <c r="AF332" s="529"/>
      <c r="AG332" s="529"/>
      <c r="AH332" s="529"/>
      <c r="AI332" s="537"/>
      <c r="AJ332" s="537"/>
      <c r="AK332" s="507"/>
      <c r="AL332" s="507"/>
      <c r="AM332" s="507"/>
      <c r="AN332" s="557"/>
      <c r="AO332" s="510"/>
      <c r="AP332" s="510" t="e">
        <f t="shared" ca="1" si="316"/>
        <v>#NAME?</v>
      </c>
      <c r="AQ332" s="532"/>
      <c r="AR332" s="532"/>
      <c r="AS332" s="532"/>
      <c r="AT332" s="532"/>
      <c r="AU332" s="532"/>
      <c r="AV332" s="532"/>
      <c r="AW332" s="612"/>
      <c r="AX332" s="612"/>
      <c r="AY332" s="612"/>
      <c r="AZ332" s="612"/>
      <c r="BA332" s="612"/>
      <c r="BB332" s="612"/>
      <c r="BC332" s="612"/>
      <c r="BD332" s="612"/>
      <c r="BE332" s="612"/>
      <c r="BF332" s="612"/>
      <c r="BG332" s="612"/>
      <c r="BH332" s="612"/>
      <c r="BI332" s="612">
        <f t="shared" si="292"/>
        <v>0</v>
      </c>
      <c r="BJ332" s="201">
        <f t="shared" si="319"/>
        <v>0</v>
      </c>
    </row>
    <row r="333" spans="1:62" ht="12" customHeight="1">
      <c r="A333" s="61"/>
      <c r="B333" s="61"/>
      <c r="C333" s="61"/>
      <c r="D333" s="61"/>
      <c r="E333" s="61"/>
      <c r="F333" s="61"/>
      <c r="G333" s="61"/>
      <c r="H333" s="62">
        <v>424</v>
      </c>
      <c r="I333" s="127"/>
      <c r="J333" s="128"/>
      <c r="K333" s="20" t="s">
        <v>304</v>
      </c>
      <c r="L333" s="111">
        <f t="shared" ref="L333:AD333" si="322">L334</f>
        <v>74189</v>
      </c>
      <c r="M333" s="111">
        <f t="shared" si="322"/>
        <v>9846.572433472691</v>
      </c>
      <c r="N333" s="112">
        <f t="shared" si="322"/>
        <v>71400</v>
      </c>
      <c r="O333" s="112">
        <f t="shared" si="322"/>
        <v>9476.4085208042998</v>
      </c>
      <c r="P333" s="113">
        <f t="shared" si="322"/>
        <v>10700</v>
      </c>
      <c r="Q333" s="113">
        <f t="shared" si="322"/>
        <v>10700</v>
      </c>
      <c r="R333" s="87">
        <f t="shared" si="322"/>
        <v>10215</v>
      </c>
      <c r="S333" s="89">
        <f t="shared" si="322"/>
        <v>0</v>
      </c>
      <c r="T333" s="89"/>
      <c r="U333" s="89" t="e">
        <f t="shared" ca="1" si="297"/>
        <v>#NAME?</v>
      </c>
      <c r="V333" s="532">
        <f>V334</f>
        <v>12000</v>
      </c>
      <c r="W333" s="532">
        <f t="shared" si="322"/>
        <v>12000</v>
      </c>
      <c r="X333" s="506">
        <f t="shared" si="322"/>
        <v>12000</v>
      </c>
      <c r="Y333" s="507">
        <f t="shared" si="322"/>
        <v>13000</v>
      </c>
      <c r="Z333" s="507"/>
      <c r="AA333" s="507" t="e">
        <f t="shared" ca="1" si="322"/>
        <v>#NAME?</v>
      </c>
      <c r="AB333" s="507">
        <f t="shared" si="322"/>
        <v>0</v>
      </c>
      <c r="AC333" s="508">
        <f t="shared" si="322"/>
        <v>11000</v>
      </c>
      <c r="AD333" s="508">
        <f t="shared" si="322"/>
        <v>11000</v>
      </c>
      <c r="AE333" s="529">
        <f>O333/M333*100</f>
        <v>96.24068258097563</v>
      </c>
      <c r="AF333" s="529">
        <f>P333/O333*100</f>
        <v>112.91197478991597</v>
      </c>
      <c r="AG333" s="529">
        <f>Q333/P333*100</f>
        <v>100</v>
      </c>
      <c r="AH333" s="529">
        <f>AC333/Q333*100</f>
        <v>102.803738317757</v>
      </c>
      <c r="AI333" s="507"/>
      <c r="AJ333" s="507">
        <v>13000</v>
      </c>
      <c r="AK333" s="507">
        <f>W333/R333*100</f>
        <v>117.47430249632893</v>
      </c>
      <c r="AL333" s="507">
        <f t="shared" si="245"/>
        <v>100</v>
      </c>
      <c r="AM333" s="507">
        <f t="shared" si="245"/>
        <v>108.33333333333333</v>
      </c>
      <c r="AN333" s="509"/>
      <c r="AO333" s="510"/>
      <c r="AP333" s="510" t="e">
        <f t="shared" ca="1" si="316"/>
        <v>#NAME?</v>
      </c>
      <c r="AQ333" s="532">
        <f>AQ334</f>
        <v>15613</v>
      </c>
      <c r="AR333" s="532">
        <f t="shared" ref="AR333:BH333" si="323">AR334</f>
        <v>117.47430249632893</v>
      </c>
      <c r="AS333" s="532">
        <f t="shared" si="323"/>
        <v>100</v>
      </c>
      <c r="AT333" s="532">
        <f t="shared" si="323"/>
        <v>117.47430249632893</v>
      </c>
      <c r="AU333" s="532">
        <f t="shared" si="323"/>
        <v>130.10833333333335</v>
      </c>
      <c r="AV333" s="532">
        <f t="shared" si="323"/>
        <v>152.84385707293197</v>
      </c>
      <c r="AW333" s="612">
        <f t="shared" si="323"/>
        <v>15613</v>
      </c>
      <c r="AX333" s="612">
        <f t="shared" si="323"/>
        <v>0</v>
      </c>
      <c r="AY333" s="612">
        <f t="shared" si="323"/>
        <v>0</v>
      </c>
      <c r="AZ333" s="612">
        <f t="shared" si="323"/>
        <v>0</v>
      </c>
      <c r="BA333" s="612">
        <f t="shared" si="323"/>
        <v>0</v>
      </c>
      <c r="BB333" s="612">
        <f t="shared" si="323"/>
        <v>0</v>
      </c>
      <c r="BC333" s="612">
        <f t="shared" si="323"/>
        <v>0</v>
      </c>
      <c r="BD333" s="612">
        <f t="shared" si="323"/>
        <v>0</v>
      </c>
      <c r="BE333" s="612">
        <f t="shared" si="323"/>
        <v>0</v>
      </c>
      <c r="BF333" s="612">
        <f t="shared" si="323"/>
        <v>0</v>
      </c>
      <c r="BG333" s="612">
        <f t="shared" si="323"/>
        <v>0</v>
      </c>
      <c r="BH333" s="612">
        <f t="shared" si="323"/>
        <v>15613</v>
      </c>
      <c r="BI333" s="612">
        <f t="shared" si="292"/>
        <v>15613</v>
      </c>
      <c r="BJ333" s="201">
        <f t="shared" si="319"/>
        <v>0</v>
      </c>
    </row>
    <row r="334" spans="1:62" ht="12" customHeight="1">
      <c r="A334" s="52"/>
      <c r="B334" s="52"/>
      <c r="C334" s="52"/>
      <c r="D334" s="52"/>
      <c r="E334" s="52"/>
      <c r="F334" s="52"/>
      <c r="G334" s="52"/>
      <c r="H334" s="63">
        <v>4241</v>
      </c>
      <c r="I334" s="116"/>
      <c r="J334" s="117"/>
      <c r="K334" s="19" t="s">
        <v>305</v>
      </c>
      <c r="L334" s="129">
        <f t="shared" ref="L334:S334" si="324">L1124</f>
        <v>74189</v>
      </c>
      <c r="M334" s="129">
        <f t="shared" si="324"/>
        <v>9846.572433472691</v>
      </c>
      <c r="N334" s="130">
        <f t="shared" si="324"/>
        <v>71400</v>
      </c>
      <c r="O334" s="130">
        <f t="shared" si="324"/>
        <v>9476.4085208042998</v>
      </c>
      <c r="P334" s="131">
        <f t="shared" si="324"/>
        <v>10700</v>
      </c>
      <c r="Q334" s="131">
        <f t="shared" si="324"/>
        <v>10700</v>
      </c>
      <c r="R334" s="153">
        <f t="shared" si="324"/>
        <v>10215</v>
      </c>
      <c r="S334" s="158">
        <f t="shared" si="324"/>
        <v>0</v>
      </c>
      <c r="T334" s="158"/>
      <c r="U334" s="89" t="e">
        <f t="shared" ca="1" si="297"/>
        <v>#NAME?</v>
      </c>
      <c r="V334" s="532">
        <f>V1124</f>
        <v>12000</v>
      </c>
      <c r="W334" s="532">
        <f>W1124</f>
        <v>12000</v>
      </c>
      <c r="X334" s="534">
        <f>X1124</f>
        <v>12000</v>
      </c>
      <c r="Y334" s="535">
        <f>Y1124</f>
        <v>13000</v>
      </c>
      <c r="Z334" s="535"/>
      <c r="AA334" s="535" t="e">
        <f ca="1">AA1124</f>
        <v>#NAME?</v>
      </c>
      <c r="AB334" s="535">
        <f>AB1124</f>
        <v>0</v>
      </c>
      <c r="AC334" s="529">
        <f>AC1124</f>
        <v>11000</v>
      </c>
      <c r="AD334" s="529">
        <f>AD1124</f>
        <v>11000</v>
      </c>
      <c r="AE334" s="529">
        <f>O334/M334*100</f>
        <v>96.24068258097563</v>
      </c>
      <c r="AF334" s="529">
        <f>P334/O334*100</f>
        <v>112.91197478991597</v>
      </c>
      <c r="AG334" s="529">
        <f>Q334/P334*100</f>
        <v>100</v>
      </c>
      <c r="AH334" s="529">
        <f>AC334/Q334*100</f>
        <v>102.803738317757</v>
      </c>
      <c r="AI334" s="535"/>
      <c r="AJ334" s="535">
        <v>13000</v>
      </c>
      <c r="AK334" s="507">
        <f>W334/R334*100</f>
        <v>117.47430249632893</v>
      </c>
      <c r="AL334" s="507">
        <f t="shared" si="245"/>
        <v>100</v>
      </c>
      <c r="AM334" s="507">
        <f t="shared" si="245"/>
        <v>108.33333333333333</v>
      </c>
      <c r="AN334" s="556"/>
      <c r="AO334" s="510"/>
      <c r="AP334" s="510" t="e">
        <f t="shared" ca="1" si="316"/>
        <v>#NAME?</v>
      </c>
      <c r="AQ334" s="532">
        <f t="shared" ref="AQ334:BH334" si="325">AQ1124</f>
        <v>15613</v>
      </c>
      <c r="AR334" s="532">
        <f t="shared" si="325"/>
        <v>117.47430249632893</v>
      </c>
      <c r="AS334" s="532">
        <f t="shared" si="325"/>
        <v>100</v>
      </c>
      <c r="AT334" s="532">
        <f t="shared" si="325"/>
        <v>117.47430249632893</v>
      </c>
      <c r="AU334" s="532">
        <f t="shared" si="325"/>
        <v>130.10833333333335</v>
      </c>
      <c r="AV334" s="532">
        <f t="shared" si="325"/>
        <v>152.84385707293197</v>
      </c>
      <c r="AW334" s="612">
        <f t="shared" si="325"/>
        <v>15613</v>
      </c>
      <c r="AX334" s="612">
        <f t="shared" si="325"/>
        <v>0</v>
      </c>
      <c r="AY334" s="612">
        <f t="shared" si="325"/>
        <v>0</v>
      </c>
      <c r="AZ334" s="612">
        <f t="shared" si="325"/>
        <v>0</v>
      </c>
      <c r="BA334" s="612">
        <f t="shared" si="325"/>
        <v>0</v>
      </c>
      <c r="BB334" s="612">
        <f t="shared" si="325"/>
        <v>0</v>
      </c>
      <c r="BC334" s="612">
        <f t="shared" si="325"/>
        <v>0</v>
      </c>
      <c r="BD334" s="612">
        <f t="shared" si="325"/>
        <v>0</v>
      </c>
      <c r="BE334" s="612">
        <f t="shared" si="325"/>
        <v>0</v>
      </c>
      <c r="BF334" s="612">
        <f t="shared" si="325"/>
        <v>0</v>
      </c>
      <c r="BG334" s="612">
        <f t="shared" si="325"/>
        <v>0</v>
      </c>
      <c r="BH334" s="612">
        <f t="shared" si="325"/>
        <v>15613</v>
      </c>
      <c r="BI334" s="612">
        <f t="shared" si="292"/>
        <v>15613</v>
      </c>
      <c r="BJ334" s="201">
        <f t="shared" si="319"/>
        <v>0</v>
      </c>
    </row>
    <row r="335" spans="1:62" ht="12" customHeight="1">
      <c r="A335" s="41"/>
      <c r="B335" s="41"/>
      <c r="C335" s="41"/>
      <c r="D335" s="41"/>
      <c r="E335" s="41"/>
      <c r="F335" s="41"/>
      <c r="G335" s="41"/>
      <c r="H335" s="37"/>
      <c r="I335" s="72"/>
      <c r="J335" s="90"/>
      <c r="K335" s="83"/>
      <c r="L335" s="84"/>
      <c r="M335" s="84"/>
      <c r="N335" s="85"/>
      <c r="O335" s="85"/>
      <c r="P335" s="86"/>
      <c r="Q335" s="86"/>
      <c r="R335" s="154"/>
      <c r="S335" s="155"/>
      <c r="T335" s="155"/>
      <c r="U335" s="89" t="e">
        <f t="shared" ca="1" si="297"/>
        <v>#NAME?</v>
      </c>
      <c r="V335" s="532"/>
      <c r="W335" s="532"/>
      <c r="X335" s="536"/>
      <c r="Y335" s="537"/>
      <c r="Z335" s="537"/>
      <c r="AA335" s="537"/>
      <c r="AB335" s="537"/>
      <c r="AC335" s="538"/>
      <c r="AD335" s="538"/>
      <c r="AE335" s="529"/>
      <c r="AF335" s="529"/>
      <c r="AG335" s="529"/>
      <c r="AH335" s="529"/>
      <c r="AI335" s="537"/>
      <c r="AJ335" s="537"/>
      <c r="AK335" s="507"/>
      <c r="AL335" s="507"/>
      <c r="AM335" s="507"/>
      <c r="AN335" s="557"/>
      <c r="AO335" s="510"/>
      <c r="AP335" s="510" t="e">
        <f t="shared" ca="1" si="316"/>
        <v>#NAME?</v>
      </c>
      <c r="AQ335" s="532"/>
      <c r="AR335" s="532"/>
      <c r="AS335" s="532"/>
      <c r="AT335" s="532"/>
      <c r="AU335" s="532"/>
      <c r="AV335" s="532"/>
      <c r="AW335" s="612"/>
      <c r="AX335" s="612"/>
      <c r="AY335" s="612"/>
      <c r="AZ335" s="612"/>
      <c r="BA335" s="612"/>
      <c r="BB335" s="612"/>
      <c r="BC335" s="612"/>
      <c r="BD335" s="612"/>
      <c r="BE335" s="612"/>
      <c r="BF335" s="612"/>
      <c r="BG335" s="612"/>
      <c r="BH335" s="612"/>
      <c r="BI335" s="612">
        <f t="shared" si="292"/>
        <v>0</v>
      </c>
      <c r="BJ335" s="201">
        <f t="shared" si="319"/>
        <v>0</v>
      </c>
    </row>
    <row r="336" spans="1:62" ht="12.75" customHeight="1">
      <c r="A336" s="61"/>
      <c r="B336" s="61"/>
      <c r="C336" s="61"/>
      <c r="D336" s="61"/>
      <c r="E336" s="61"/>
      <c r="F336" s="61"/>
      <c r="G336" s="61"/>
      <c r="H336" s="62">
        <v>426</v>
      </c>
      <c r="I336" s="127"/>
      <c r="J336" s="128"/>
      <c r="K336" s="20" t="s">
        <v>306</v>
      </c>
      <c r="L336" s="111">
        <f t="shared" ref="L336:S336" si="326">L337+L338</f>
        <v>212932</v>
      </c>
      <c r="M336" s="111">
        <f t="shared" si="326"/>
        <v>28260.933041343153</v>
      </c>
      <c r="N336" s="112">
        <f t="shared" si="326"/>
        <v>339325</v>
      </c>
      <c r="O336" s="112">
        <f t="shared" si="326"/>
        <v>45036.166965292985</v>
      </c>
      <c r="P336" s="113">
        <f t="shared" si="326"/>
        <v>69200</v>
      </c>
      <c r="Q336" s="113">
        <f t="shared" si="326"/>
        <v>25700</v>
      </c>
      <c r="R336" s="87">
        <f t="shared" si="326"/>
        <v>19720</v>
      </c>
      <c r="S336" s="89" t="e">
        <f t="shared" ca="1" si="326"/>
        <v>#NAME?</v>
      </c>
      <c r="T336" s="89"/>
      <c r="U336" s="89" t="e">
        <f t="shared" ca="1" si="297"/>
        <v>#NAME?</v>
      </c>
      <c r="V336" s="532">
        <f>V337+V338</f>
        <v>54000</v>
      </c>
      <c r="W336" s="532">
        <f>W337+W338</f>
        <v>54000</v>
      </c>
      <c r="X336" s="506">
        <f>X337+X338</f>
        <v>20000</v>
      </c>
      <c r="Y336" s="507">
        <f>Y337+Y338</f>
        <v>56000</v>
      </c>
      <c r="Z336" s="507"/>
      <c r="AA336" s="507" t="e">
        <f ca="1">AA337+AA338</f>
        <v>#NAME?</v>
      </c>
      <c r="AB336" s="507">
        <f>AB337+AB338</f>
        <v>0</v>
      </c>
      <c r="AC336" s="508">
        <f>AC337+AC338</f>
        <v>54000</v>
      </c>
      <c r="AD336" s="508">
        <f>AD337+AD338</f>
        <v>54000</v>
      </c>
      <c r="AE336" s="529">
        <f>O336/M336*100</f>
        <v>159.35838671500761</v>
      </c>
      <c r="AF336" s="529">
        <f>P336/O336*100</f>
        <v>153.65428424077211</v>
      </c>
      <c r="AG336" s="529">
        <f>Q336/P336*100</f>
        <v>37.138728323699425</v>
      </c>
      <c r="AH336" s="529">
        <f>AC336/Q336*100</f>
        <v>210.11673151750975</v>
      </c>
      <c r="AI336" s="507"/>
      <c r="AJ336" s="507">
        <v>56000</v>
      </c>
      <c r="AK336" s="507">
        <f>W336/R336*100</f>
        <v>273.83367139959432</v>
      </c>
      <c r="AL336" s="507">
        <f t="shared" si="245"/>
        <v>37.037037037037038</v>
      </c>
      <c r="AM336" s="507">
        <f t="shared" si="245"/>
        <v>280</v>
      </c>
      <c r="AN336" s="509"/>
      <c r="AO336" s="510"/>
      <c r="AP336" s="510" t="e">
        <f t="shared" ca="1" si="316"/>
        <v>#NAME?</v>
      </c>
      <c r="AQ336" s="532">
        <f>AQ337+AQ338</f>
        <v>12477.1</v>
      </c>
      <c r="AR336" s="532">
        <f t="shared" ref="AR336:BH336" si="327">AR337+AR338</f>
        <v>43.987125557223699</v>
      </c>
      <c r="AS336" s="532">
        <f t="shared" si="327"/>
        <v>300</v>
      </c>
      <c r="AT336" s="532">
        <f t="shared" si="327"/>
        <v>43.987125557223699</v>
      </c>
      <c r="AU336" s="532">
        <f t="shared" si="327"/>
        <v>24.9542</v>
      </c>
      <c r="AV336" s="532">
        <f t="shared" si="327"/>
        <v>0</v>
      </c>
      <c r="AW336" s="612">
        <f t="shared" si="327"/>
        <v>0</v>
      </c>
      <c r="AX336" s="612">
        <f t="shared" si="327"/>
        <v>0</v>
      </c>
      <c r="AY336" s="612">
        <f t="shared" si="327"/>
        <v>0</v>
      </c>
      <c r="AZ336" s="612">
        <f t="shared" si="327"/>
        <v>0</v>
      </c>
      <c r="BA336" s="612">
        <f t="shared" si="327"/>
        <v>0</v>
      </c>
      <c r="BB336" s="612">
        <f t="shared" si="327"/>
        <v>0</v>
      </c>
      <c r="BC336" s="612">
        <f t="shared" si="327"/>
        <v>0</v>
      </c>
      <c r="BD336" s="612">
        <f t="shared" si="327"/>
        <v>0</v>
      </c>
      <c r="BE336" s="612">
        <f t="shared" si="327"/>
        <v>12477.1</v>
      </c>
      <c r="BF336" s="612">
        <f t="shared" si="327"/>
        <v>0</v>
      </c>
      <c r="BG336" s="612">
        <f t="shared" si="327"/>
        <v>0</v>
      </c>
      <c r="BH336" s="612">
        <f t="shared" si="327"/>
        <v>12477.1</v>
      </c>
      <c r="BI336" s="612">
        <f t="shared" si="292"/>
        <v>12477.1</v>
      </c>
      <c r="BJ336" s="201">
        <f t="shared" si="319"/>
        <v>0</v>
      </c>
    </row>
    <row r="337" spans="1:62" ht="12" customHeight="1">
      <c r="A337" s="52"/>
      <c r="B337" s="52"/>
      <c r="C337" s="52"/>
      <c r="D337" s="52"/>
      <c r="E337" s="52"/>
      <c r="F337" s="52"/>
      <c r="G337" s="52"/>
      <c r="H337" s="63">
        <v>4262</v>
      </c>
      <c r="I337" s="116"/>
      <c r="J337" s="117"/>
      <c r="K337" s="19" t="s">
        <v>307</v>
      </c>
      <c r="L337" s="129">
        <f t="shared" ref="L337:S337" si="328">L470+L1216</f>
        <v>56250</v>
      </c>
      <c r="M337" s="129">
        <f t="shared" si="328"/>
        <v>7465.6579733227154</v>
      </c>
      <c r="N337" s="130">
        <f t="shared" si="328"/>
        <v>24325</v>
      </c>
      <c r="O337" s="130">
        <f t="shared" si="328"/>
        <v>3228.4823146857784</v>
      </c>
      <c r="P337" s="131">
        <f t="shared" si="328"/>
        <v>22700</v>
      </c>
      <c r="Q337" s="131">
        <f t="shared" si="328"/>
        <v>20700</v>
      </c>
      <c r="R337" s="153">
        <f t="shared" si="328"/>
        <v>19720</v>
      </c>
      <c r="S337" s="158" t="e">
        <f t="shared" ca="1" si="328"/>
        <v>#NAME?</v>
      </c>
      <c r="T337" s="158"/>
      <c r="U337" s="89" t="e">
        <f t="shared" ca="1" si="297"/>
        <v>#NAME?</v>
      </c>
      <c r="V337" s="532">
        <f>V470+V1216</f>
        <v>4000</v>
      </c>
      <c r="W337" s="532">
        <f>W470+W1216</f>
        <v>4000</v>
      </c>
      <c r="X337" s="534">
        <f>X470+X1216</f>
        <v>6000</v>
      </c>
      <c r="Y337" s="535">
        <f>Y470+Y1216</f>
        <v>6000</v>
      </c>
      <c r="Z337" s="535"/>
      <c r="AA337" s="535" t="e">
        <f ca="1">AA470+AA1216</f>
        <v>#NAME?</v>
      </c>
      <c r="AB337" s="535">
        <f>AB470+AB1216</f>
        <v>0</v>
      </c>
      <c r="AC337" s="529">
        <f>AC470+AC1216</f>
        <v>7000</v>
      </c>
      <c r="AD337" s="529">
        <f>AD470+AD1216</f>
        <v>7000</v>
      </c>
      <c r="AE337" s="529">
        <f>O337/M337*100</f>
        <v>43.24444444444444</v>
      </c>
      <c r="AF337" s="529"/>
      <c r="AG337" s="529"/>
      <c r="AH337" s="529"/>
      <c r="AI337" s="535"/>
      <c r="AJ337" s="535">
        <v>6000</v>
      </c>
      <c r="AK337" s="507">
        <f>W337/R337*100</f>
        <v>20.28397565922921</v>
      </c>
      <c r="AL337" s="507">
        <f t="shared" si="245"/>
        <v>150</v>
      </c>
      <c r="AM337" s="507">
        <f t="shared" si="245"/>
        <v>100</v>
      </c>
      <c r="AN337" s="556"/>
      <c r="AO337" s="510"/>
      <c r="AP337" s="510" t="e">
        <f t="shared" ca="1" si="316"/>
        <v>#NAME?</v>
      </c>
      <c r="AQ337" s="532">
        <f t="shared" ref="AQ337:BH337" si="329">AQ470+AQ1216</f>
        <v>0</v>
      </c>
      <c r="AR337" s="532">
        <f t="shared" si="329"/>
        <v>43.987125557223699</v>
      </c>
      <c r="AS337" s="532">
        <f t="shared" si="329"/>
        <v>200</v>
      </c>
      <c r="AT337" s="532">
        <f t="shared" si="329"/>
        <v>43.987125557223699</v>
      </c>
      <c r="AU337" s="532">
        <f t="shared" si="329"/>
        <v>0</v>
      </c>
      <c r="AV337" s="532">
        <f t="shared" si="329"/>
        <v>0</v>
      </c>
      <c r="AW337" s="612">
        <f t="shared" si="329"/>
        <v>0</v>
      </c>
      <c r="AX337" s="612">
        <f t="shared" si="329"/>
        <v>0</v>
      </c>
      <c r="AY337" s="612">
        <f t="shared" si="329"/>
        <v>0</v>
      </c>
      <c r="AZ337" s="612">
        <f t="shared" si="329"/>
        <v>0</v>
      </c>
      <c r="BA337" s="612">
        <f t="shared" si="329"/>
        <v>0</v>
      </c>
      <c r="BB337" s="612">
        <f t="shared" si="329"/>
        <v>0</v>
      </c>
      <c r="BC337" s="612">
        <f t="shared" si="329"/>
        <v>0</v>
      </c>
      <c r="BD337" s="612">
        <f t="shared" si="329"/>
        <v>0</v>
      </c>
      <c r="BE337" s="612">
        <f t="shared" si="329"/>
        <v>0</v>
      </c>
      <c r="BF337" s="612">
        <f t="shared" si="329"/>
        <v>0</v>
      </c>
      <c r="BG337" s="612">
        <f t="shared" si="329"/>
        <v>0</v>
      </c>
      <c r="BH337" s="612">
        <f t="shared" si="329"/>
        <v>0</v>
      </c>
      <c r="BI337" s="612">
        <f t="shared" si="292"/>
        <v>0</v>
      </c>
      <c r="BJ337" s="201">
        <f t="shared" si="319"/>
        <v>0</v>
      </c>
    </row>
    <row r="338" spans="1:62" ht="12" customHeight="1">
      <c r="A338" s="52"/>
      <c r="B338" s="52"/>
      <c r="C338" s="52"/>
      <c r="D338" s="52"/>
      <c r="E338" s="52"/>
      <c r="F338" s="52"/>
      <c r="G338" s="52"/>
      <c r="H338" s="63">
        <v>4263</v>
      </c>
      <c r="I338" s="116"/>
      <c r="J338" s="117"/>
      <c r="K338" s="19" t="s">
        <v>308</v>
      </c>
      <c r="L338" s="129">
        <f>L656+L670</f>
        <v>156682</v>
      </c>
      <c r="M338" s="129">
        <f>M656+M670</f>
        <v>20795.275068020437</v>
      </c>
      <c r="N338" s="130">
        <f t="shared" ref="N338:S338" si="330">N670</f>
        <v>315000</v>
      </c>
      <c r="O338" s="130">
        <f t="shared" si="330"/>
        <v>41807.684650607203</v>
      </c>
      <c r="P338" s="131">
        <f t="shared" si="330"/>
        <v>46500</v>
      </c>
      <c r="Q338" s="131">
        <f t="shared" si="330"/>
        <v>5000</v>
      </c>
      <c r="R338" s="153">
        <f t="shared" si="330"/>
        <v>0</v>
      </c>
      <c r="S338" s="158" t="e">
        <f t="shared" ca="1" si="330"/>
        <v>#NAME?</v>
      </c>
      <c r="T338" s="158"/>
      <c r="U338" s="89" t="e">
        <f t="shared" ca="1" si="297"/>
        <v>#NAME?</v>
      </c>
      <c r="V338" s="532">
        <f>V670</f>
        <v>50000</v>
      </c>
      <c r="W338" s="532">
        <f>W670</f>
        <v>50000</v>
      </c>
      <c r="X338" s="534">
        <f>X670</f>
        <v>14000</v>
      </c>
      <c r="Y338" s="535">
        <f>Y670</f>
        <v>50000</v>
      </c>
      <c r="Z338" s="535"/>
      <c r="AA338" s="535" t="e">
        <f ca="1">AA670</f>
        <v>#NAME?</v>
      </c>
      <c r="AB338" s="535">
        <f>AB670</f>
        <v>0</v>
      </c>
      <c r="AC338" s="529">
        <f>AC656+AC670</f>
        <v>47000</v>
      </c>
      <c r="AD338" s="529">
        <f>AD656+AD670</f>
        <v>47000</v>
      </c>
      <c r="AE338" s="529">
        <f>O338/M338*100</f>
        <v>201.04415312543878</v>
      </c>
      <c r="AF338" s="529">
        <f>P338/O338*100</f>
        <v>111.22357142857145</v>
      </c>
      <c r="AG338" s="529">
        <f>Q338/P338*100</f>
        <v>10.75268817204301</v>
      </c>
      <c r="AH338" s="529">
        <f>AC338/Q338*100</f>
        <v>940</v>
      </c>
      <c r="AI338" s="535"/>
      <c r="AJ338" s="535">
        <v>50000</v>
      </c>
      <c r="AK338" s="507"/>
      <c r="AL338" s="507">
        <f t="shared" si="245"/>
        <v>28.000000000000004</v>
      </c>
      <c r="AM338" s="507">
        <f t="shared" si="245"/>
        <v>357.14285714285717</v>
      </c>
      <c r="AN338" s="556"/>
      <c r="AO338" s="510"/>
      <c r="AP338" s="510" t="e">
        <f t="shared" ca="1" si="316"/>
        <v>#NAME?</v>
      </c>
      <c r="AQ338" s="532">
        <f t="shared" ref="AQ338:BH338" si="331">AQ670</f>
        <v>12477.1</v>
      </c>
      <c r="AR338" s="532">
        <f t="shared" si="331"/>
        <v>0</v>
      </c>
      <c r="AS338" s="532">
        <f t="shared" si="331"/>
        <v>100</v>
      </c>
      <c r="AT338" s="532">
        <f t="shared" si="331"/>
        <v>0</v>
      </c>
      <c r="AU338" s="532">
        <f t="shared" si="331"/>
        <v>24.9542</v>
      </c>
      <c r="AV338" s="532">
        <f t="shared" si="331"/>
        <v>0</v>
      </c>
      <c r="AW338" s="612">
        <f t="shared" si="331"/>
        <v>0</v>
      </c>
      <c r="AX338" s="612">
        <f t="shared" si="331"/>
        <v>0</v>
      </c>
      <c r="AY338" s="612">
        <f t="shared" si="331"/>
        <v>0</v>
      </c>
      <c r="AZ338" s="612">
        <f t="shared" si="331"/>
        <v>0</v>
      </c>
      <c r="BA338" s="612">
        <f t="shared" si="331"/>
        <v>0</v>
      </c>
      <c r="BB338" s="612">
        <f t="shared" si="331"/>
        <v>0</v>
      </c>
      <c r="BC338" s="612">
        <f t="shared" si="331"/>
        <v>0</v>
      </c>
      <c r="BD338" s="612">
        <f t="shared" si="331"/>
        <v>0</v>
      </c>
      <c r="BE338" s="612">
        <f t="shared" si="331"/>
        <v>12477.1</v>
      </c>
      <c r="BF338" s="612">
        <f t="shared" si="331"/>
        <v>0</v>
      </c>
      <c r="BG338" s="612">
        <f t="shared" si="331"/>
        <v>0</v>
      </c>
      <c r="BH338" s="612">
        <f t="shared" si="331"/>
        <v>12477.1</v>
      </c>
      <c r="BI338" s="612">
        <f t="shared" si="292"/>
        <v>12477.1</v>
      </c>
      <c r="BJ338" s="201">
        <f t="shared" si="319"/>
        <v>0</v>
      </c>
    </row>
    <row r="339" spans="1:62" ht="12" customHeight="1">
      <c r="A339" s="52"/>
      <c r="B339" s="52"/>
      <c r="C339" s="52"/>
      <c r="D339" s="52"/>
      <c r="E339" s="52"/>
      <c r="F339" s="52"/>
      <c r="G339" s="52"/>
      <c r="H339" s="63"/>
      <c r="I339" s="116"/>
      <c r="J339" s="117"/>
      <c r="K339" s="19"/>
      <c r="L339" s="129"/>
      <c r="M339" s="129"/>
      <c r="N339" s="130"/>
      <c r="O339" s="130"/>
      <c r="P339" s="131"/>
      <c r="Q339" s="131"/>
      <c r="R339" s="153"/>
      <c r="S339" s="158"/>
      <c r="T339" s="158"/>
      <c r="U339" s="89" t="e">
        <f t="shared" ca="1" si="297"/>
        <v>#NAME?</v>
      </c>
      <c r="V339" s="532"/>
      <c r="W339" s="532"/>
      <c r="X339" s="534"/>
      <c r="Y339" s="535"/>
      <c r="Z339" s="535"/>
      <c r="AA339" s="535"/>
      <c r="AB339" s="535"/>
      <c r="AC339" s="529"/>
      <c r="AD339" s="529"/>
      <c r="AE339" s="529"/>
      <c r="AF339" s="529"/>
      <c r="AG339" s="529"/>
      <c r="AH339" s="529"/>
      <c r="AI339" s="535"/>
      <c r="AJ339" s="535"/>
      <c r="AK339" s="507"/>
      <c r="AL339" s="507"/>
      <c r="AM339" s="507"/>
      <c r="AN339" s="556"/>
      <c r="AO339" s="510"/>
      <c r="AP339" s="510" t="e">
        <f t="shared" ca="1" si="316"/>
        <v>#NAME?</v>
      </c>
      <c r="AQ339" s="532"/>
      <c r="AR339" s="532"/>
      <c r="AS339" s="532"/>
      <c r="AT339" s="532"/>
      <c r="AU339" s="532"/>
      <c r="AV339" s="532"/>
      <c r="AW339" s="612"/>
      <c r="AX339" s="612"/>
      <c r="AY339" s="612"/>
      <c r="AZ339" s="612"/>
      <c r="BA339" s="612"/>
      <c r="BB339" s="612"/>
      <c r="BC339" s="612"/>
      <c r="BD339" s="612"/>
      <c r="BE339" s="612"/>
      <c r="BF339" s="612"/>
      <c r="BG339" s="612"/>
      <c r="BH339" s="612"/>
      <c r="BI339" s="612">
        <f t="shared" si="292"/>
        <v>0</v>
      </c>
    </row>
    <row r="340" spans="1:62" ht="12" customHeight="1">
      <c r="A340" s="58"/>
      <c r="B340" s="58"/>
      <c r="C340" s="58"/>
      <c r="D340" s="58"/>
      <c r="E340" s="58"/>
      <c r="F340" s="58"/>
      <c r="G340" s="58"/>
      <c r="H340" s="59">
        <v>45</v>
      </c>
      <c r="I340" s="124"/>
      <c r="J340" s="125"/>
      <c r="K340" s="126" t="s">
        <v>309</v>
      </c>
      <c r="L340" s="111">
        <f t="shared" ref="L340:S340" si="332">L342</f>
        <v>2476635</v>
      </c>
      <c r="M340" s="111">
        <f t="shared" si="332"/>
        <v>328705.95261795737</v>
      </c>
      <c r="N340" s="112">
        <f t="shared" si="332"/>
        <v>622963</v>
      </c>
      <c r="O340" s="112">
        <f t="shared" si="332"/>
        <v>82681.398898400686</v>
      </c>
      <c r="P340" s="113">
        <f t="shared" si="332"/>
        <v>0</v>
      </c>
      <c r="Q340" s="113">
        <f t="shared" si="332"/>
        <v>23360</v>
      </c>
      <c r="R340" s="87">
        <f t="shared" si="332"/>
        <v>25870</v>
      </c>
      <c r="S340" s="89">
        <f t="shared" si="332"/>
        <v>0</v>
      </c>
      <c r="T340" s="89"/>
      <c r="U340" s="89" t="e">
        <f t="shared" ca="1" si="297"/>
        <v>#NAME?</v>
      </c>
      <c r="V340" s="532">
        <f>V342</f>
        <v>0</v>
      </c>
      <c r="W340" s="532">
        <f>W342</f>
        <v>0</v>
      </c>
      <c r="X340" s="506">
        <f>X342</f>
        <v>150000</v>
      </c>
      <c r="Y340" s="507">
        <f>Y342</f>
        <v>300000</v>
      </c>
      <c r="Z340" s="507"/>
      <c r="AA340" s="507" t="e">
        <f ca="1">AA342</f>
        <v>#NAME?</v>
      </c>
      <c r="AB340" s="507">
        <f>AB342</f>
        <v>0</v>
      </c>
      <c r="AC340" s="508">
        <f>AC342</f>
        <v>0</v>
      </c>
      <c r="AD340" s="508">
        <f>AD342</f>
        <v>0</v>
      </c>
      <c r="AE340" s="529">
        <f>O340/M340*100</f>
        <v>25.153605597918144</v>
      </c>
      <c r="AF340" s="529">
        <f>P340/O340*100</f>
        <v>0</v>
      </c>
      <c r="AG340" s="529"/>
      <c r="AH340" s="529"/>
      <c r="AI340" s="507"/>
      <c r="AJ340" s="507">
        <v>300000</v>
      </c>
      <c r="AK340" s="507">
        <f>W340/R340*100</f>
        <v>0</v>
      </c>
      <c r="AL340" s="507"/>
      <c r="AM340" s="507">
        <f>Y340/X340*100</f>
        <v>200</v>
      </c>
      <c r="AN340" s="509"/>
      <c r="AO340" s="510"/>
      <c r="AP340" s="510" t="e">
        <f t="shared" ca="1" si="316"/>
        <v>#NAME?</v>
      </c>
      <c r="AQ340" s="532">
        <f>AQ342</f>
        <v>0</v>
      </c>
      <c r="AR340" s="532">
        <f t="shared" ref="AR340:BH340" si="333">AR342</f>
        <v>0</v>
      </c>
      <c r="AS340" s="532">
        <f t="shared" si="333"/>
        <v>0</v>
      </c>
      <c r="AT340" s="532">
        <f t="shared" si="333"/>
        <v>0</v>
      </c>
      <c r="AU340" s="532">
        <f t="shared" si="333"/>
        <v>0</v>
      </c>
      <c r="AV340" s="532">
        <f t="shared" si="333"/>
        <v>0</v>
      </c>
      <c r="AW340" s="612">
        <f t="shared" si="333"/>
        <v>0</v>
      </c>
      <c r="AX340" s="612">
        <f t="shared" si="333"/>
        <v>0</v>
      </c>
      <c r="AY340" s="612">
        <f t="shared" si="333"/>
        <v>0</v>
      </c>
      <c r="AZ340" s="612">
        <f t="shared" si="333"/>
        <v>0</v>
      </c>
      <c r="BA340" s="612">
        <f t="shared" si="333"/>
        <v>0</v>
      </c>
      <c r="BB340" s="612">
        <f t="shared" si="333"/>
        <v>0</v>
      </c>
      <c r="BC340" s="612">
        <f t="shared" si="333"/>
        <v>0</v>
      </c>
      <c r="BD340" s="612">
        <f t="shared" si="333"/>
        <v>0</v>
      </c>
      <c r="BE340" s="612">
        <f t="shared" si="333"/>
        <v>0</v>
      </c>
      <c r="BF340" s="612">
        <f t="shared" si="333"/>
        <v>0</v>
      </c>
      <c r="BG340" s="612">
        <f t="shared" si="333"/>
        <v>0</v>
      </c>
      <c r="BH340" s="612">
        <f t="shared" si="333"/>
        <v>0</v>
      </c>
      <c r="BI340" s="612">
        <f t="shared" si="292"/>
        <v>0</v>
      </c>
    </row>
    <row r="341" spans="1:62" ht="12" customHeight="1">
      <c r="A341" s="52"/>
      <c r="B341" s="52"/>
      <c r="C341" s="52"/>
      <c r="D341" s="52"/>
      <c r="E341" s="52"/>
      <c r="F341" s="52"/>
      <c r="G341" s="52"/>
      <c r="H341" s="63"/>
      <c r="I341" s="116"/>
      <c r="J341" s="117"/>
      <c r="K341" s="19"/>
      <c r="L341" s="129"/>
      <c r="M341" s="129"/>
      <c r="N341" s="130"/>
      <c r="O341" s="130"/>
      <c r="P341" s="131"/>
      <c r="Q341" s="131"/>
      <c r="R341" s="153"/>
      <c r="S341" s="158"/>
      <c r="T341" s="158"/>
      <c r="U341" s="89" t="e">
        <f t="shared" ca="1" si="297"/>
        <v>#NAME?</v>
      </c>
      <c r="V341" s="532"/>
      <c r="W341" s="532"/>
      <c r="X341" s="534"/>
      <c r="Y341" s="535"/>
      <c r="Z341" s="535"/>
      <c r="AA341" s="535"/>
      <c r="AB341" s="535"/>
      <c r="AC341" s="529"/>
      <c r="AD341" s="529"/>
      <c r="AE341" s="529"/>
      <c r="AF341" s="529"/>
      <c r="AG341" s="529"/>
      <c r="AH341" s="529"/>
      <c r="AI341" s="535"/>
      <c r="AJ341" s="535"/>
      <c r="AK341" s="507"/>
      <c r="AL341" s="507"/>
      <c r="AM341" s="507"/>
      <c r="AN341" s="556"/>
      <c r="AO341" s="510"/>
      <c r="AP341" s="510" t="e">
        <f t="shared" ca="1" si="316"/>
        <v>#NAME?</v>
      </c>
      <c r="AQ341" s="532"/>
      <c r="AR341" s="532"/>
      <c r="AS341" s="532"/>
      <c r="AT341" s="532"/>
      <c r="AU341" s="532"/>
      <c r="AV341" s="532"/>
      <c r="AW341" s="612"/>
      <c r="AX341" s="612"/>
      <c r="AY341" s="612"/>
      <c r="AZ341" s="612"/>
      <c r="BA341" s="612"/>
      <c r="BB341" s="612"/>
      <c r="BC341" s="612"/>
      <c r="BD341" s="612"/>
      <c r="BE341" s="612"/>
      <c r="BF341" s="612"/>
      <c r="BG341" s="612"/>
      <c r="BH341" s="612"/>
      <c r="BI341" s="612">
        <f t="shared" si="292"/>
        <v>0</v>
      </c>
    </row>
    <row r="342" spans="1:62" ht="12" customHeight="1">
      <c r="A342" s="61"/>
      <c r="B342" s="61"/>
      <c r="C342" s="61"/>
      <c r="D342" s="61"/>
      <c r="E342" s="61"/>
      <c r="F342" s="61"/>
      <c r="G342" s="61"/>
      <c r="H342" s="62">
        <v>451</v>
      </c>
      <c r="I342" s="127"/>
      <c r="J342" s="128"/>
      <c r="K342" s="237" t="s">
        <v>310</v>
      </c>
      <c r="L342" s="238">
        <f t="shared" ref="L342:AD342" si="334">L343</f>
        <v>2476635</v>
      </c>
      <c r="M342" s="238">
        <f t="shared" si="334"/>
        <v>328705.95261795737</v>
      </c>
      <c r="N342" s="239">
        <f t="shared" si="334"/>
        <v>622963</v>
      </c>
      <c r="O342" s="239">
        <f t="shared" si="334"/>
        <v>82681.398898400686</v>
      </c>
      <c r="P342" s="240">
        <f t="shared" si="334"/>
        <v>0</v>
      </c>
      <c r="Q342" s="240">
        <f t="shared" si="334"/>
        <v>23360</v>
      </c>
      <c r="R342" s="95">
        <f t="shared" si="334"/>
        <v>25870</v>
      </c>
      <c r="S342" s="97">
        <f t="shared" si="334"/>
        <v>0</v>
      </c>
      <c r="T342" s="97"/>
      <c r="U342" s="97" t="e">
        <f t="shared" ca="1" si="297"/>
        <v>#NAME?</v>
      </c>
      <c r="V342" s="532">
        <f>V343</f>
        <v>0</v>
      </c>
      <c r="W342" s="532">
        <f t="shared" si="334"/>
        <v>0</v>
      </c>
      <c r="X342" s="513">
        <f t="shared" si="334"/>
        <v>150000</v>
      </c>
      <c r="Y342" s="514">
        <f t="shared" si="334"/>
        <v>300000</v>
      </c>
      <c r="Z342" s="514"/>
      <c r="AA342" s="514" t="e">
        <f t="shared" ca="1" si="334"/>
        <v>#NAME?</v>
      </c>
      <c r="AB342" s="514">
        <f t="shared" si="334"/>
        <v>0</v>
      </c>
      <c r="AC342" s="515">
        <f t="shared" si="334"/>
        <v>0</v>
      </c>
      <c r="AD342" s="515">
        <f t="shared" si="334"/>
        <v>0</v>
      </c>
      <c r="AE342" s="544">
        <f>O342/M342*100</f>
        <v>25.153605597918144</v>
      </c>
      <c r="AF342" s="544">
        <f>P342/O342*100</f>
        <v>0</v>
      </c>
      <c r="AG342" s="544"/>
      <c r="AH342" s="544"/>
      <c r="AI342" s="514"/>
      <c r="AJ342" s="514">
        <v>300000</v>
      </c>
      <c r="AK342" s="514">
        <f>W342/R342*100</f>
        <v>0</v>
      </c>
      <c r="AL342" s="514"/>
      <c r="AM342" s="514">
        <f>Y342/X342*100</f>
        <v>200</v>
      </c>
      <c r="AN342" s="516"/>
      <c r="AO342" s="510"/>
      <c r="AP342" s="510" t="e">
        <f t="shared" ca="1" si="316"/>
        <v>#NAME?</v>
      </c>
      <c r="AQ342" s="532">
        <f>AQ343</f>
        <v>0</v>
      </c>
      <c r="AR342" s="532">
        <f t="shared" ref="AR342:BH342" si="335">AR343</f>
        <v>0</v>
      </c>
      <c r="AS342" s="532">
        <f t="shared" si="335"/>
        <v>0</v>
      </c>
      <c r="AT342" s="532">
        <f t="shared" si="335"/>
        <v>0</v>
      </c>
      <c r="AU342" s="532">
        <f t="shared" si="335"/>
        <v>0</v>
      </c>
      <c r="AV342" s="532">
        <f t="shared" si="335"/>
        <v>0</v>
      </c>
      <c r="AW342" s="612">
        <f t="shared" si="335"/>
        <v>0</v>
      </c>
      <c r="AX342" s="612">
        <f t="shared" si="335"/>
        <v>0</v>
      </c>
      <c r="AY342" s="612">
        <f t="shared" si="335"/>
        <v>0</v>
      </c>
      <c r="AZ342" s="612">
        <f t="shared" si="335"/>
        <v>0</v>
      </c>
      <c r="BA342" s="612">
        <f t="shared" si="335"/>
        <v>0</v>
      </c>
      <c r="BB342" s="612">
        <f t="shared" si="335"/>
        <v>0</v>
      </c>
      <c r="BC342" s="612">
        <f t="shared" si="335"/>
        <v>0</v>
      </c>
      <c r="BD342" s="612">
        <f t="shared" si="335"/>
        <v>0</v>
      </c>
      <c r="BE342" s="612">
        <f t="shared" si="335"/>
        <v>0</v>
      </c>
      <c r="BF342" s="612">
        <f t="shared" si="335"/>
        <v>0</v>
      </c>
      <c r="BG342" s="612">
        <f t="shared" si="335"/>
        <v>0</v>
      </c>
      <c r="BH342" s="612">
        <f t="shared" si="335"/>
        <v>0</v>
      </c>
      <c r="BI342" s="612">
        <f t="shared" si="292"/>
        <v>0</v>
      </c>
    </row>
    <row r="343" spans="1:62" ht="12" customHeight="1">
      <c r="A343" s="52"/>
      <c r="B343" s="52"/>
      <c r="C343" s="52"/>
      <c r="D343" s="52"/>
      <c r="E343" s="52"/>
      <c r="F343" s="52"/>
      <c r="G343" s="52"/>
      <c r="H343" s="63">
        <v>4511</v>
      </c>
      <c r="I343" s="116"/>
      <c r="J343" s="117"/>
      <c r="K343" s="19" t="s">
        <v>310</v>
      </c>
      <c r="L343" s="129">
        <f t="shared" ref="L343:S343" si="336">L1128+L1223</f>
        <v>2476635</v>
      </c>
      <c r="M343" s="129">
        <f t="shared" si="336"/>
        <v>328705.95261795737</v>
      </c>
      <c r="N343" s="130">
        <f t="shared" si="336"/>
        <v>622963</v>
      </c>
      <c r="O343" s="130">
        <f t="shared" si="336"/>
        <v>82681.398898400686</v>
      </c>
      <c r="P343" s="131">
        <f t="shared" si="336"/>
        <v>0</v>
      </c>
      <c r="Q343" s="131">
        <f t="shared" si="336"/>
        <v>23360</v>
      </c>
      <c r="R343" s="153">
        <f t="shared" si="336"/>
        <v>25870</v>
      </c>
      <c r="S343" s="158">
        <f t="shared" si="336"/>
        <v>0</v>
      </c>
      <c r="T343" s="158"/>
      <c r="U343" s="89" t="e">
        <f t="shared" ca="1" si="297"/>
        <v>#NAME?</v>
      </c>
      <c r="V343" s="532">
        <f>V1128+V1223</f>
        <v>0</v>
      </c>
      <c r="W343" s="532">
        <f>W1128+W1223</f>
        <v>0</v>
      </c>
      <c r="X343" s="534">
        <f>X1128+X1223+X1224+X1225</f>
        <v>150000</v>
      </c>
      <c r="Y343" s="535">
        <f>Y1128+Y1223+Y1224+Y1225</f>
        <v>300000</v>
      </c>
      <c r="Z343" s="535"/>
      <c r="AA343" s="535" t="e">
        <f ca="1">AA1128+AA1223</f>
        <v>#NAME?</v>
      </c>
      <c r="AB343" s="535">
        <f>AB1128+AB1223</f>
        <v>0</v>
      </c>
      <c r="AC343" s="529">
        <f>AC1128+AC1223</f>
        <v>0</v>
      </c>
      <c r="AD343" s="529">
        <f>AD1128+AD1223</f>
        <v>0</v>
      </c>
      <c r="AE343" s="529">
        <f>O343/M343*100</f>
        <v>25.153605597918144</v>
      </c>
      <c r="AF343" s="529">
        <f>P343/O343*100</f>
        <v>0</v>
      </c>
      <c r="AG343" s="529"/>
      <c r="AH343" s="529"/>
      <c r="AI343" s="535"/>
      <c r="AJ343" s="535">
        <v>300000</v>
      </c>
      <c r="AK343" s="507">
        <f>W343/R343*100</f>
        <v>0</v>
      </c>
      <c r="AL343" s="507"/>
      <c r="AM343" s="507">
        <f>Y343/X343*100</f>
        <v>200</v>
      </c>
      <c r="AN343" s="556"/>
      <c r="AO343" s="518"/>
      <c r="AP343" s="518" t="e">
        <f t="shared" ca="1" si="316"/>
        <v>#NAME?</v>
      </c>
      <c r="AQ343" s="532">
        <f t="shared" ref="AQ343:BH343" si="337">AQ1128+AQ1223+AQ1224+AQ1225</f>
        <v>0</v>
      </c>
      <c r="AR343" s="532">
        <f t="shared" si="337"/>
        <v>0</v>
      </c>
      <c r="AS343" s="532">
        <f t="shared" si="337"/>
        <v>0</v>
      </c>
      <c r="AT343" s="532">
        <f t="shared" si="337"/>
        <v>0</v>
      </c>
      <c r="AU343" s="532">
        <f t="shared" si="337"/>
        <v>0</v>
      </c>
      <c r="AV343" s="532">
        <f t="shared" si="337"/>
        <v>0</v>
      </c>
      <c r="AW343" s="612">
        <f t="shared" si="337"/>
        <v>0</v>
      </c>
      <c r="AX343" s="612">
        <f t="shared" si="337"/>
        <v>0</v>
      </c>
      <c r="AY343" s="612">
        <f t="shared" si="337"/>
        <v>0</v>
      </c>
      <c r="AZ343" s="612">
        <f t="shared" si="337"/>
        <v>0</v>
      </c>
      <c r="BA343" s="612">
        <f t="shared" si="337"/>
        <v>0</v>
      </c>
      <c r="BB343" s="612">
        <f t="shared" si="337"/>
        <v>0</v>
      </c>
      <c r="BC343" s="612">
        <f t="shared" si="337"/>
        <v>0</v>
      </c>
      <c r="BD343" s="612">
        <f t="shared" si="337"/>
        <v>0</v>
      </c>
      <c r="BE343" s="612">
        <f t="shared" si="337"/>
        <v>0</v>
      </c>
      <c r="BF343" s="612">
        <f t="shared" si="337"/>
        <v>0</v>
      </c>
      <c r="BG343" s="612">
        <f t="shared" si="337"/>
        <v>0</v>
      </c>
      <c r="BH343" s="612">
        <f t="shared" si="337"/>
        <v>0</v>
      </c>
      <c r="BI343" s="612">
        <f t="shared" si="292"/>
        <v>0</v>
      </c>
    </row>
    <row r="344" spans="1:62" ht="12" customHeight="1">
      <c r="A344" s="213"/>
      <c r="B344" s="213"/>
      <c r="C344" s="213"/>
      <c r="D344" s="213"/>
      <c r="E344" s="213"/>
      <c r="F344" s="213"/>
      <c r="G344" s="213"/>
      <c r="H344" s="214"/>
      <c r="I344" s="241"/>
      <c r="J344" s="214"/>
      <c r="K344" s="101"/>
      <c r="L344" s="242"/>
      <c r="M344" s="242"/>
      <c r="N344" s="242"/>
      <c r="O344" s="242"/>
      <c r="P344" s="242"/>
      <c r="Q344" s="242"/>
      <c r="R344" s="242"/>
      <c r="S344" s="242"/>
      <c r="T344" s="242"/>
      <c r="U344" s="242"/>
      <c r="V344" s="494"/>
      <c r="W344" s="494"/>
      <c r="X344" s="495"/>
      <c r="Y344" s="496"/>
      <c r="Z344" s="496"/>
      <c r="AA344" s="496"/>
      <c r="AB344" s="496"/>
      <c r="AC344" s="497"/>
      <c r="AD344" s="497"/>
      <c r="AE344" s="497"/>
      <c r="AF344" s="497"/>
      <c r="AG344" s="497"/>
      <c r="AH344" s="497"/>
      <c r="AI344" s="496"/>
      <c r="AJ344" s="496"/>
      <c r="AK344" s="519"/>
      <c r="AL344" s="519"/>
      <c r="AM344" s="519"/>
      <c r="AN344" s="494"/>
      <c r="AO344" s="559"/>
      <c r="AP344" s="490" t="e">
        <f t="shared" ca="1" si="316"/>
        <v>#NAME?</v>
      </c>
      <c r="AQ344" s="494"/>
      <c r="AR344" s="491"/>
      <c r="AS344" s="491"/>
      <c r="AT344" s="491"/>
      <c r="AU344" s="491"/>
      <c r="AV344" s="491"/>
      <c r="AW344" s="612"/>
      <c r="AX344" s="612"/>
      <c r="AY344" s="612"/>
      <c r="AZ344" s="612"/>
      <c r="BA344" s="612"/>
      <c r="BB344" s="612"/>
      <c r="BC344" s="612"/>
      <c r="BD344" s="612"/>
      <c r="BE344" s="612"/>
      <c r="BF344" s="612"/>
      <c r="BG344" s="612"/>
      <c r="BH344" s="612"/>
      <c r="BI344" s="612"/>
    </row>
    <row r="345" spans="1:62" ht="12" customHeight="1">
      <c r="A345" s="213"/>
      <c r="B345" s="213"/>
      <c r="C345" s="213"/>
      <c r="D345" s="213"/>
      <c r="E345" s="213"/>
      <c r="F345" s="213"/>
      <c r="G345" s="213"/>
      <c r="H345" s="214"/>
      <c r="I345" s="241"/>
      <c r="J345" s="214"/>
      <c r="K345" s="101"/>
      <c r="L345" s="242"/>
      <c r="M345" s="242"/>
      <c r="N345" s="242"/>
      <c r="O345" s="242"/>
      <c r="P345" s="242"/>
      <c r="Q345" s="242"/>
      <c r="R345" s="242"/>
      <c r="S345" s="242"/>
      <c r="T345" s="242"/>
      <c r="U345" s="242"/>
      <c r="V345" s="494"/>
      <c r="W345" s="494"/>
      <c r="X345" s="495"/>
      <c r="Y345" s="496"/>
      <c r="Z345" s="496"/>
      <c r="AA345" s="496"/>
      <c r="AB345" s="496"/>
      <c r="AC345" s="497"/>
      <c r="AD345" s="497"/>
      <c r="AE345" s="497"/>
      <c r="AF345" s="497"/>
      <c r="AG345" s="497"/>
      <c r="AH345" s="497"/>
      <c r="AI345" s="496"/>
      <c r="AJ345" s="496"/>
      <c r="AK345" s="519"/>
      <c r="AL345" s="519"/>
      <c r="AM345" s="519"/>
      <c r="AN345" s="494"/>
      <c r="AO345" s="559"/>
      <c r="AP345" s="490" t="e">
        <f t="shared" ca="1" si="316"/>
        <v>#NAME?</v>
      </c>
      <c r="AQ345" s="494"/>
      <c r="AR345" s="491"/>
      <c r="AS345" s="491"/>
      <c r="AT345" s="491"/>
      <c r="AU345" s="491"/>
      <c r="AV345" s="491"/>
      <c r="AW345" s="612"/>
      <c r="AX345" s="612"/>
      <c r="AY345" s="612"/>
      <c r="AZ345" s="612"/>
      <c r="BA345" s="612"/>
      <c r="BB345" s="612"/>
      <c r="BC345" s="612"/>
      <c r="BD345" s="612"/>
      <c r="BE345" s="612"/>
      <c r="BF345" s="612"/>
      <c r="BG345" s="612"/>
      <c r="BH345" s="612"/>
      <c r="BI345" s="612"/>
    </row>
    <row r="346" spans="1:62" ht="12" customHeight="1">
      <c r="A346" s="213"/>
      <c r="B346" s="213"/>
      <c r="C346" s="213"/>
      <c r="D346" s="213"/>
      <c r="E346" s="213"/>
      <c r="F346" s="213"/>
      <c r="G346" s="213"/>
      <c r="H346" s="214"/>
      <c r="I346" s="241"/>
      <c r="J346" s="214"/>
      <c r="K346" s="101"/>
      <c r="L346" s="242"/>
      <c r="M346" s="242"/>
      <c r="N346" s="242"/>
      <c r="O346" s="242"/>
      <c r="P346" s="242"/>
      <c r="Q346" s="242"/>
      <c r="R346" s="242"/>
      <c r="S346" s="242"/>
      <c r="T346" s="242"/>
      <c r="U346" s="242"/>
      <c r="V346" s="494"/>
      <c r="W346" s="494"/>
      <c r="X346" s="495"/>
      <c r="Y346" s="496"/>
      <c r="Z346" s="496"/>
      <c r="AA346" s="496"/>
      <c r="AB346" s="496"/>
      <c r="AC346" s="497"/>
      <c r="AD346" s="497"/>
      <c r="AE346" s="497"/>
      <c r="AF346" s="497"/>
      <c r="AG346" s="497"/>
      <c r="AH346" s="497"/>
      <c r="AI346" s="496"/>
      <c r="AJ346" s="496"/>
      <c r="AK346" s="519"/>
      <c r="AL346" s="519"/>
      <c r="AM346" s="519"/>
      <c r="AN346" s="494"/>
      <c r="AO346" s="559"/>
      <c r="AP346" s="490" t="e">
        <f t="shared" ca="1" si="316"/>
        <v>#NAME?</v>
      </c>
      <c r="AQ346" s="494"/>
      <c r="AR346" s="491"/>
      <c r="AS346" s="491"/>
      <c r="AT346" s="491"/>
      <c r="AU346" s="491"/>
      <c r="AV346" s="491"/>
      <c r="AW346" s="612"/>
      <c r="AX346" s="612"/>
      <c r="AY346" s="612"/>
      <c r="AZ346" s="612"/>
      <c r="BA346" s="612"/>
      <c r="BB346" s="612"/>
      <c r="BC346" s="612"/>
      <c r="BD346" s="612"/>
      <c r="BE346" s="612"/>
      <c r="BF346" s="612"/>
      <c r="BG346" s="612"/>
      <c r="BH346" s="612"/>
      <c r="BI346" s="612"/>
      <c r="BJ346" s="201">
        <f>SUM(BI361:BI975)</f>
        <v>5997179.0999999987</v>
      </c>
    </row>
    <row r="347" spans="1:62" ht="12" customHeight="1">
      <c r="A347" s="213"/>
      <c r="B347" s="213"/>
      <c r="C347" s="213"/>
      <c r="D347" s="213"/>
      <c r="E347" s="213"/>
      <c r="F347" s="213"/>
      <c r="G347" s="213"/>
      <c r="H347" s="214"/>
      <c r="I347" s="241"/>
      <c r="J347" s="214"/>
      <c r="K347" s="101"/>
      <c r="L347" s="242"/>
      <c r="M347" s="242"/>
      <c r="N347" s="242"/>
      <c r="O347" s="242"/>
      <c r="P347" s="242"/>
      <c r="Q347" s="242"/>
      <c r="R347" s="242"/>
      <c r="S347" s="242"/>
      <c r="T347" s="242"/>
      <c r="U347" s="242"/>
      <c r="V347" s="494"/>
      <c r="W347" s="494"/>
      <c r="X347" s="495"/>
      <c r="Y347" s="496"/>
      <c r="Z347" s="496"/>
      <c r="AA347" s="496"/>
      <c r="AB347" s="496"/>
      <c r="AC347" s="497"/>
      <c r="AD347" s="497"/>
      <c r="AE347" s="497"/>
      <c r="AF347" s="497"/>
      <c r="AG347" s="497"/>
      <c r="AH347" s="497"/>
      <c r="AI347" s="496"/>
      <c r="AJ347" s="496"/>
      <c r="AK347" s="519"/>
      <c r="AL347" s="519"/>
      <c r="AM347" s="519"/>
      <c r="AN347" s="494"/>
      <c r="AO347" s="559"/>
      <c r="AP347" s="490" t="e">
        <f t="shared" ca="1" si="316"/>
        <v>#NAME?</v>
      </c>
      <c r="AQ347" s="494"/>
      <c r="AR347" s="491"/>
      <c r="AS347" s="491"/>
      <c r="AT347" s="491"/>
      <c r="AU347" s="491"/>
      <c r="AV347" s="491"/>
      <c r="AW347" s="612"/>
      <c r="AX347" s="612"/>
      <c r="AY347" s="612"/>
      <c r="AZ347" s="612"/>
      <c r="BA347" s="612"/>
      <c r="BB347" s="612"/>
      <c r="BC347" s="612"/>
      <c r="BD347" s="612"/>
      <c r="BE347" s="612"/>
      <c r="BF347" s="612"/>
      <c r="BG347" s="612"/>
      <c r="BH347" s="612"/>
      <c r="BI347" s="612"/>
    </row>
    <row r="348" spans="1:62" ht="12" customHeight="1">
      <c r="A348" s="213"/>
      <c r="B348" s="213"/>
      <c r="C348" s="213"/>
      <c r="D348" s="213"/>
      <c r="E348" s="213"/>
      <c r="F348" s="213"/>
      <c r="G348" s="213"/>
      <c r="H348" s="214"/>
      <c r="I348" s="241"/>
      <c r="J348" s="214"/>
      <c r="K348" s="101"/>
      <c r="L348" s="242"/>
      <c r="M348" s="242"/>
      <c r="N348" s="242"/>
      <c r="O348" s="242"/>
      <c r="P348" s="242"/>
      <c r="Q348" s="242"/>
      <c r="R348" s="242"/>
      <c r="S348" s="242"/>
      <c r="T348" s="242"/>
      <c r="U348" s="242"/>
      <c r="V348" s="494"/>
      <c r="W348" s="494"/>
      <c r="X348" s="495"/>
      <c r="Y348" s="496"/>
      <c r="Z348" s="496"/>
      <c r="AA348" s="496"/>
      <c r="AB348" s="496"/>
      <c r="AC348" s="497"/>
      <c r="AD348" s="497"/>
      <c r="AE348" s="497"/>
      <c r="AF348" s="497"/>
      <c r="AG348" s="497"/>
      <c r="AH348" s="497"/>
      <c r="AI348" s="496"/>
      <c r="AJ348" s="496"/>
      <c r="AK348" s="519"/>
      <c r="AL348" s="519"/>
      <c r="AM348" s="519"/>
      <c r="AN348" s="494"/>
      <c r="AO348" s="559"/>
      <c r="AP348" s="490" t="e">
        <f t="shared" ca="1" si="316"/>
        <v>#NAME?</v>
      </c>
      <c r="AQ348" s="494"/>
      <c r="AR348" s="491"/>
      <c r="AS348" s="491"/>
      <c r="AT348" s="491"/>
      <c r="AU348" s="491"/>
      <c r="AV348" s="491"/>
      <c r="AW348" s="612"/>
      <c r="AX348" s="612"/>
      <c r="AY348" s="612"/>
      <c r="AZ348" s="612"/>
      <c r="BA348" s="612"/>
      <c r="BB348" s="612"/>
      <c r="BC348" s="612"/>
      <c r="BD348" s="612"/>
      <c r="BE348" s="612"/>
      <c r="BF348" s="612"/>
      <c r="BG348" s="612"/>
      <c r="BH348" s="612"/>
      <c r="BI348" s="612"/>
    </row>
    <row r="349" spans="1:62" ht="12" customHeight="1">
      <c r="A349" s="33"/>
      <c r="B349" s="33"/>
      <c r="C349" s="33"/>
      <c r="D349" s="33"/>
      <c r="E349" s="33"/>
      <c r="F349" s="33"/>
      <c r="G349" s="33"/>
      <c r="H349" s="34" t="s">
        <v>311</v>
      </c>
      <c r="I349" s="193"/>
      <c r="J349" s="189"/>
      <c r="K349" s="98"/>
      <c r="L349" s="100"/>
      <c r="M349" s="100"/>
      <c r="N349" s="100"/>
      <c r="O349" s="100"/>
      <c r="P349" s="100"/>
      <c r="Q349" s="100"/>
      <c r="R349" s="100"/>
      <c r="S349" s="100"/>
      <c r="T349" s="100"/>
      <c r="U349" s="100"/>
      <c r="V349" s="485"/>
      <c r="W349" s="485"/>
      <c r="X349" s="486"/>
      <c r="Y349" s="487"/>
      <c r="Z349" s="487"/>
      <c r="AA349" s="487"/>
      <c r="AB349" s="487"/>
      <c r="AC349" s="488"/>
      <c r="AD349" s="488"/>
      <c r="AE349" s="488"/>
      <c r="AF349" s="488"/>
      <c r="AG349" s="488"/>
      <c r="AH349" s="488"/>
      <c r="AI349" s="487"/>
      <c r="AJ349" s="487"/>
      <c r="AK349" s="519"/>
      <c r="AL349" s="519"/>
      <c r="AM349" s="519"/>
      <c r="AN349" s="485"/>
      <c r="AO349" s="559"/>
      <c r="AP349" s="490" t="e">
        <f t="shared" ca="1" si="316"/>
        <v>#NAME?</v>
      </c>
      <c r="AQ349" s="485"/>
      <c r="AR349" s="491"/>
      <c r="AS349" s="491"/>
      <c r="AT349" s="491"/>
      <c r="AU349" s="491"/>
      <c r="AV349" s="491"/>
      <c r="AW349" s="612"/>
      <c r="AX349" s="612"/>
      <c r="AY349" s="612"/>
      <c r="AZ349" s="612"/>
      <c r="BA349" s="612"/>
      <c r="BB349" s="612"/>
      <c r="BC349" s="612"/>
      <c r="BD349" s="612"/>
      <c r="BE349" s="612"/>
      <c r="BF349" s="612"/>
      <c r="BG349" s="612"/>
      <c r="BH349" s="612"/>
      <c r="BI349" s="612"/>
    </row>
    <row r="350" spans="1:62" ht="12" customHeight="1">
      <c r="A350" s="35"/>
      <c r="B350" s="36"/>
      <c r="C350" s="36"/>
      <c r="D350" s="36"/>
      <c r="E350" s="36"/>
      <c r="F350" s="36"/>
      <c r="G350" s="36"/>
      <c r="H350" s="37"/>
      <c r="I350" s="72"/>
      <c r="J350" s="73"/>
      <c r="K350" s="74"/>
      <c r="L350" s="75" t="s">
        <v>4</v>
      </c>
      <c r="M350" s="75" t="s">
        <v>4</v>
      </c>
      <c r="N350" s="76" t="s">
        <v>5</v>
      </c>
      <c r="O350" s="76" t="s">
        <v>5</v>
      </c>
      <c r="P350" s="77" t="s">
        <v>6</v>
      </c>
      <c r="Q350" s="77" t="s">
        <v>7</v>
      </c>
      <c r="R350" s="143"/>
      <c r="S350" s="144" t="s">
        <v>8</v>
      </c>
      <c r="T350" s="145"/>
      <c r="U350" s="146"/>
      <c r="V350" s="499" t="s">
        <v>9</v>
      </c>
      <c r="W350" s="499" t="s">
        <v>10</v>
      </c>
      <c r="X350" s="500" t="s">
        <v>11</v>
      </c>
      <c r="Y350" s="500" t="s">
        <v>12</v>
      </c>
      <c r="Z350" s="500" t="s">
        <v>12</v>
      </c>
      <c r="AA350" s="500" t="s">
        <v>12</v>
      </c>
      <c r="AB350" s="500" t="s">
        <v>12</v>
      </c>
      <c r="AC350" s="500" t="s">
        <v>12</v>
      </c>
      <c r="AD350" s="500" t="s">
        <v>12</v>
      </c>
      <c r="AE350" s="500" t="s">
        <v>12</v>
      </c>
      <c r="AF350" s="500" t="s">
        <v>12</v>
      </c>
      <c r="AG350" s="500" t="s">
        <v>12</v>
      </c>
      <c r="AH350" s="500" t="s">
        <v>12</v>
      </c>
      <c r="AI350" s="500" t="s">
        <v>12</v>
      </c>
      <c r="AJ350" s="500" t="s">
        <v>12</v>
      </c>
      <c r="AK350" s="500" t="s">
        <v>49</v>
      </c>
      <c r="AL350" s="500" t="s">
        <v>50</v>
      </c>
      <c r="AM350" s="500" t="s">
        <v>51</v>
      </c>
      <c r="AN350" s="500"/>
      <c r="AO350" s="500"/>
      <c r="AP350" s="500" t="e">
        <f t="shared" ca="1" si="316"/>
        <v>#NAME?</v>
      </c>
      <c r="AQ350" s="499" t="s">
        <v>13</v>
      </c>
      <c r="AR350" s="625" t="s">
        <v>14</v>
      </c>
      <c r="AS350" s="625" t="s">
        <v>15</v>
      </c>
      <c r="AT350" s="625" t="s">
        <v>16</v>
      </c>
      <c r="AU350" s="625" t="s">
        <v>17</v>
      </c>
      <c r="AV350" s="625" t="s">
        <v>18</v>
      </c>
      <c r="AW350" s="617" t="s">
        <v>52</v>
      </c>
      <c r="AX350" s="617" t="s">
        <v>53</v>
      </c>
      <c r="AY350" s="617" t="s">
        <v>909</v>
      </c>
      <c r="AZ350" s="617" t="s">
        <v>910</v>
      </c>
      <c r="BA350" s="617" t="s">
        <v>911</v>
      </c>
      <c r="BB350" s="617" t="s">
        <v>912</v>
      </c>
      <c r="BC350" s="617" t="s">
        <v>913</v>
      </c>
      <c r="BD350" s="617" t="s">
        <v>914</v>
      </c>
      <c r="BE350" s="617" t="s">
        <v>54</v>
      </c>
      <c r="BF350" s="617" t="s">
        <v>55</v>
      </c>
      <c r="BG350" s="617" t="s">
        <v>56</v>
      </c>
      <c r="BH350" s="617"/>
      <c r="BI350" s="612" t="e">
        <f>SUM(#REF!)</f>
        <v>#REF!</v>
      </c>
    </row>
    <row r="351" spans="1:62" ht="12" customHeight="1">
      <c r="A351" s="45"/>
      <c r="B351" s="33"/>
      <c r="C351" s="33"/>
      <c r="D351" s="33"/>
      <c r="E351" s="33"/>
      <c r="F351" s="33"/>
      <c r="G351" s="33"/>
      <c r="H351" s="40"/>
      <c r="I351" s="71"/>
      <c r="J351" s="34"/>
      <c r="K351" s="78"/>
      <c r="L351" s="103"/>
      <c r="M351" s="103"/>
      <c r="N351" s="104"/>
      <c r="O351" s="104"/>
      <c r="P351" s="105"/>
      <c r="Q351" s="105"/>
      <c r="R351" s="147" t="s">
        <v>21</v>
      </c>
      <c r="S351" s="145"/>
      <c r="T351" s="145"/>
      <c r="U351" s="146"/>
      <c r="V351" s="501" t="s">
        <v>24</v>
      </c>
      <c r="W351" s="501" t="s">
        <v>23</v>
      </c>
      <c r="X351" s="500"/>
      <c r="Y351" s="500"/>
      <c r="Z351" s="500"/>
      <c r="AA351" s="500"/>
      <c r="AB351" s="500"/>
      <c r="AC351" s="500"/>
      <c r="AD351" s="500"/>
      <c r="AE351" s="500"/>
      <c r="AF351" s="500"/>
      <c r="AG351" s="500"/>
      <c r="AH351" s="500"/>
      <c r="AI351" s="500"/>
      <c r="AJ351" s="500"/>
      <c r="AK351" s="500"/>
      <c r="AL351" s="500"/>
      <c r="AM351" s="500"/>
      <c r="AN351" s="500"/>
      <c r="AO351" s="500"/>
      <c r="AP351" s="500"/>
      <c r="AQ351" s="501" t="s">
        <v>24</v>
      </c>
      <c r="AR351" s="626"/>
      <c r="AS351" s="626"/>
      <c r="AT351" s="626"/>
      <c r="AU351" s="626"/>
      <c r="AV351" s="626"/>
      <c r="AW351" s="612"/>
      <c r="AX351" s="612"/>
      <c r="AY351" s="612"/>
      <c r="AZ351" s="612"/>
      <c r="BA351" s="612"/>
      <c r="BB351" s="612"/>
      <c r="BC351" s="612"/>
      <c r="BD351" s="612"/>
      <c r="BE351" s="612"/>
      <c r="BF351" s="612"/>
      <c r="BG351" s="612"/>
      <c r="BH351" s="612"/>
      <c r="BI351" s="612" t="e">
        <f>SUM(#REF!)</f>
        <v>#REF!</v>
      </c>
    </row>
    <row r="352" spans="1:62" ht="12" customHeight="1">
      <c r="A352" s="38"/>
      <c r="B352" s="39"/>
      <c r="C352" s="39"/>
      <c r="D352" s="39"/>
      <c r="E352" s="39"/>
      <c r="F352" s="39"/>
      <c r="G352" s="39"/>
      <c r="H352" s="40"/>
      <c r="I352" s="71"/>
      <c r="J352" s="106"/>
      <c r="K352" s="107"/>
      <c r="L352" s="79" t="s">
        <v>19</v>
      </c>
      <c r="M352" s="79" t="s">
        <v>20</v>
      </c>
      <c r="N352" s="80" t="s">
        <v>19</v>
      </c>
      <c r="O352" s="80" t="s">
        <v>20</v>
      </c>
      <c r="P352" s="81" t="s">
        <v>20</v>
      </c>
      <c r="Q352" s="81" t="s">
        <v>20</v>
      </c>
      <c r="R352" s="148"/>
      <c r="S352" s="145" t="s">
        <v>22</v>
      </c>
      <c r="T352" s="145"/>
      <c r="U352" s="146"/>
      <c r="V352" s="502" t="s">
        <v>25</v>
      </c>
      <c r="W352" s="502" t="s">
        <v>26</v>
      </c>
      <c r="X352" s="500"/>
      <c r="Y352" s="500"/>
      <c r="Z352" s="500"/>
      <c r="AA352" s="500"/>
      <c r="AB352" s="500"/>
      <c r="AC352" s="500"/>
      <c r="AD352" s="500"/>
      <c r="AE352" s="500"/>
      <c r="AF352" s="500"/>
      <c r="AG352" s="500"/>
      <c r="AH352" s="500"/>
      <c r="AI352" s="500"/>
      <c r="AJ352" s="500"/>
      <c r="AK352" s="500"/>
      <c r="AL352" s="500"/>
      <c r="AM352" s="500"/>
      <c r="AN352" s="500"/>
      <c r="AO352" s="500"/>
      <c r="AP352" s="500" t="e">
        <f ca="1">__xlfn.ISFORMULA(X352)</f>
        <v>#NAME?</v>
      </c>
      <c r="AQ352" s="502"/>
      <c r="AR352" s="525"/>
      <c r="AS352" s="525"/>
      <c r="AT352" s="525"/>
      <c r="AU352" s="525"/>
      <c r="AV352" s="525"/>
      <c r="AW352" s="612"/>
      <c r="AX352" s="612"/>
      <c r="AY352" s="612"/>
      <c r="AZ352" s="612"/>
      <c r="BA352" s="612"/>
      <c r="BB352" s="612"/>
      <c r="BC352" s="612"/>
      <c r="BD352" s="612"/>
      <c r="BE352" s="612"/>
      <c r="BF352" s="612"/>
      <c r="BG352" s="612"/>
      <c r="BH352" s="612"/>
      <c r="BI352" s="612" t="e">
        <f>SUM(#REF!)</f>
        <v>#REF!</v>
      </c>
    </row>
    <row r="353" spans="1:62" ht="12" customHeight="1">
      <c r="A353" s="39"/>
      <c r="B353" s="39"/>
      <c r="C353" s="39"/>
      <c r="D353" s="39"/>
      <c r="E353" s="39"/>
      <c r="F353" s="39"/>
      <c r="G353" s="39"/>
      <c r="H353" s="40"/>
      <c r="I353" s="71"/>
      <c r="J353" s="106"/>
      <c r="K353" s="82"/>
      <c r="L353" s="79"/>
      <c r="M353" s="79"/>
      <c r="N353" s="80"/>
      <c r="O353" s="80"/>
      <c r="P353" s="81"/>
      <c r="Q353" s="81"/>
      <c r="R353" s="143"/>
      <c r="S353" s="144"/>
      <c r="T353" s="145"/>
      <c r="U353" s="146"/>
      <c r="V353" s="499"/>
      <c r="W353" s="499"/>
      <c r="X353" s="500"/>
      <c r="Y353" s="500"/>
      <c r="Z353" s="500"/>
      <c r="AA353" s="500"/>
      <c r="AB353" s="500"/>
      <c r="AC353" s="500"/>
      <c r="AD353" s="500"/>
      <c r="AE353" s="500"/>
      <c r="AF353" s="500"/>
      <c r="AG353" s="500"/>
      <c r="AH353" s="500"/>
      <c r="AI353" s="500"/>
      <c r="AJ353" s="500"/>
      <c r="AK353" s="500"/>
      <c r="AL353" s="500"/>
      <c r="AM353" s="500"/>
      <c r="AN353" s="500"/>
      <c r="AO353" s="500"/>
      <c r="AP353" s="500"/>
      <c r="AQ353" s="499"/>
      <c r="AR353" s="491"/>
      <c r="AS353" s="491"/>
      <c r="AT353" s="491"/>
      <c r="AU353" s="491"/>
      <c r="AV353" s="491"/>
      <c r="AW353" s="612"/>
      <c r="AX353" s="612"/>
      <c r="AY353" s="612"/>
      <c r="AZ353" s="612"/>
      <c r="BA353" s="612"/>
      <c r="BB353" s="612"/>
      <c r="BC353" s="612"/>
      <c r="BD353" s="612"/>
      <c r="BE353" s="612"/>
      <c r="BF353" s="612"/>
      <c r="BG353" s="612"/>
      <c r="BH353" s="612"/>
      <c r="BI353" s="612"/>
    </row>
    <row r="354" spans="1:62" ht="12" customHeight="1">
      <c r="A354" s="46" t="s">
        <v>61</v>
      </c>
      <c r="B354" s="41" t="s">
        <v>62</v>
      </c>
      <c r="C354" s="41" t="s">
        <v>63</v>
      </c>
      <c r="D354" s="41" t="s">
        <v>64</v>
      </c>
      <c r="E354" s="41" t="s">
        <v>65</v>
      </c>
      <c r="F354" s="41" t="s">
        <v>66</v>
      </c>
      <c r="G354" s="41" t="s">
        <v>67</v>
      </c>
      <c r="H354" s="37" t="s">
        <v>68</v>
      </c>
      <c r="I354" s="72" t="s">
        <v>69</v>
      </c>
      <c r="J354" s="90" t="s">
        <v>70</v>
      </c>
      <c r="K354" s="83" t="s">
        <v>71</v>
      </c>
      <c r="L354" s="84" t="s">
        <v>72</v>
      </c>
      <c r="M354" s="84" t="s">
        <v>73</v>
      </c>
      <c r="N354" s="85" t="s">
        <v>74</v>
      </c>
      <c r="O354" s="85" t="s">
        <v>75</v>
      </c>
      <c r="P354" s="86" t="s">
        <v>76</v>
      </c>
      <c r="Q354" s="86" t="s">
        <v>77</v>
      </c>
      <c r="R354" s="147" t="s">
        <v>78</v>
      </c>
      <c r="S354" s="145" t="s">
        <v>79</v>
      </c>
      <c r="T354" s="145" t="s">
        <v>80</v>
      </c>
      <c r="U354" s="146" t="s">
        <v>81</v>
      </c>
      <c r="V354" s="501" t="s">
        <v>82</v>
      </c>
      <c r="W354" s="501" t="s">
        <v>83</v>
      </c>
      <c r="X354" s="500" t="s">
        <v>84</v>
      </c>
      <c r="Y354" s="500" t="s">
        <v>85</v>
      </c>
      <c r="Z354" s="500" t="s">
        <v>86</v>
      </c>
      <c r="AA354" s="500" t="s">
        <v>87</v>
      </c>
      <c r="AB354" s="500" t="s">
        <v>88</v>
      </c>
      <c r="AC354" s="500" t="s">
        <v>89</v>
      </c>
      <c r="AD354" s="500" t="s">
        <v>90</v>
      </c>
      <c r="AE354" s="500" t="s">
        <v>91</v>
      </c>
      <c r="AF354" s="500" t="s">
        <v>92</v>
      </c>
      <c r="AG354" s="500" t="s">
        <v>93</v>
      </c>
      <c r="AH354" s="500" t="s">
        <v>94</v>
      </c>
      <c r="AI354" s="500" t="s">
        <v>95</v>
      </c>
      <c r="AJ354" s="500" t="s">
        <v>96</v>
      </c>
      <c r="AK354" s="500" t="s">
        <v>97</v>
      </c>
      <c r="AL354" s="500" t="s">
        <v>98</v>
      </c>
      <c r="AM354" s="500" t="s">
        <v>99</v>
      </c>
      <c r="AN354" s="500" t="s">
        <v>100</v>
      </c>
      <c r="AO354" s="500" t="s">
        <v>101</v>
      </c>
      <c r="AP354" s="500" t="e">
        <f ca="1">__xlfn.ISFORMULA(X354)</f>
        <v>#NAME?</v>
      </c>
      <c r="AQ354" s="501"/>
      <c r="AR354" s="491"/>
      <c r="AS354" s="491"/>
      <c r="AT354" s="491"/>
      <c r="AU354" s="491"/>
      <c r="AV354" s="491"/>
      <c r="AW354" s="612"/>
      <c r="AX354" s="612"/>
      <c r="AY354" s="612"/>
      <c r="AZ354" s="612"/>
      <c r="BA354" s="612"/>
      <c r="BB354" s="612"/>
      <c r="BC354" s="612"/>
      <c r="BD354" s="612"/>
      <c r="BE354" s="612"/>
      <c r="BF354" s="612"/>
      <c r="BG354" s="612"/>
      <c r="BH354" s="612"/>
      <c r="BI354" s="612">
        <f>SUM(AW356:BG356)</f>
        <v>0</v>
      </c>
    </row>
    <row r="355" spans="1:62" ht="12" customHeight="1">
      <c r="A355" s="46"/>
      <c r="B355" s="41"/>
      <c r="C355" s="41"/>
      <c r="D355" s="41"/>
      <c r="E355" s="41"/>
      <c r="F355" s="41"/>
      <c r="G355" s="41"/>
      <c r="H355" s="37"/>
      <c r="I355" s="72"/>
      <c r="J355" s="90"/>
      <c r="K355" s="83"/>
      <c r="L355" s="84">
        <v>1</v>
      </c>
      <c r="M355" s="84">
        <v>2</v>
      </c>
      <c r="N355" s="85">
        <v>3</v>
      </c>
      <c r="O355" s="85">
        <v>4</v>
      </c>
      <c r="P355" s="86">
        <v>5</v>
      </c>
      <c r="Q355" s="86">
        <v>6</v>
      </c>
      <c r="R355" s="149">
        <v>1</v>
      </c>
      <c r="S355" s="145">
        <v>5</v>
      </c>
      <c r="T355" s="145"/>
      <c r="U355" s="146"/>
      <c r="V355" s="502">
        <v>2</v>
      </c>
      <c r="W355" s="502">
        <v>3</v>
      </c>
      <c r="X355" s="500">
        <v>4</v>
      </c>
      <c r="Y355" s="500">
        <v>5</v>
      </c>
      <c r="Z355" s="500"/>
      <c r="AA355" s="500"/>
      <c r="AB355" s="500"/>
      <c r="AC355" s="500">
        <v>7</v>
      </c>
      <c r="AD355" s="500">
        <v>8</v>
      </c>
      <c r="AE355" s="500">
        <v>9</v>
      </c>
      <c r="AF355" s="500">
        <v>10</v>
      </c>
      <c r="AG355" s="500">
        <v>11</v>
      </c>
      <c r="AH355" s="500">
        <v>12</v>
      </c>
      <c r="AI355" s="500"/>
      <c r="AJ355" s="500">
        <v>5</v>
      </c>
      <c r="AK355" s="500">
        <v>7</v>
      </c>
      <c r="AL355" s="500">
        <v>8</v>
      </c>
      <c r="AM355" s="500">
        <v>9</v>
      </c>
      <c r="AN355" s="500"/>
      <c r="AO355" s="500" t="e">
        <f ca="1">__xlfn.ISFORMULA(#REF!)</f>
        <v>#NAME?</v>
      </c>
      <c r="AP355" s="500" t="e">
        <f ca="1">__xlfn.ISFORMULA(X355)</f>
        <v>#NAME?</v>
      </c>
      <c r="AQ355" s="502">
        <v>4</v>
      </c>
      <c r="AR355" s="622"/>
      <c r="AS355" s="623"/>
      <c r="AT355" s="623"/>
      <c r="AU355" s="623"/>
      <c r="AV355" s="624"/>
      <c r="AW355" s="612"/>
      <c r="AX355" s="612"/>
      <c r="AY355" s="612"/>
      <c r="AZ355" s="612"/>
      <c r="BA355" s="612"/>
      <c r="BB355" s="612"/>
      <c r="BC355" s="612"/>
      <c r="BD355" s="612"/>
      <c r="BE355" s="612"/>
      <c r="BF355" s="612"/>
      <c r="BG355" s="612"/>
      <c r="BH355" s="612"/>
      <c r="BI355" s="612">
        <f>SUM(AW357:BG357)</f>
        <v>0</v>
      </c>
    </row>
    <row r="356" spans="1:62" ht="12" customHeight="1">
      <c r="A356" s="41"/>
      <c r="B356" s="41"/>
      <c r="C356" s="41"/>
      <c r="D356" s="41"/>
      <c r="E356" s="41"/>
      <c r="F356" s="41"/>
      <c r="G356" s="41"/>
      <c r="H356" s="3" t="s">
        <v>312</v>
      </c>
      <c r="I356" s="9"/>
      <c r="J356" s="211"/>
      <c r="K356" s="73" t="s">
        <v>313</v>
      </c>
      <c r="L356" s="118"/>
      <c r="M356" s="118"/>
      <c r="N356" s="119"/>
      <c r="O356" s="119"/>
      <c r="P356" s="120"/>
      <c r="Q356" s="120"/>
      <c r="R356" s="151"/>
      <c r="S356" s="152"/>
      <c r="T356" s="152"/>
      <c r="U356" s="152"/>
      <c r="V356" s="532"/>
      <c r="W356" s="532"/>
      <c r="X356" s="560"/>
      <c r="Y356" s="561"/>
      <c r="Z356" s="561"/>
      <c r="AA356" s="561"/>
      <c r="AB356" s="535"/>
      <c r="AC356" s="529"/>
      <c r="AD356" s="529"/>
      <c r="AE356" s="529"/>
      <c r="AF356" s="529"/>
      <c r="AG356" s="529"/>
      <c r="AH356" s="529"/>
      <c r="AI356" s="535"/>
      <c r="AJ356" s="561"/>
      <c r="AK356" s="507"/>
      <c r="AL356" s="507"/>
      <c r="AM356" s="507"/>
      <c r="AN356" s="556"/>
      <c r="AO356" s="510"/>
      <c r="AP356" s="510" t="e">
        <f t="shared" ref="AP356:AP418" ca="1" si="338">__xlfn.ISFORMULA(X356)</f>
        <v>#NAME?</v>
      </c>
      <c r="AQ356" s="532"/>
      <c r="AR356" s="533"/>
      <c r="AS356" s="533"/>
      <c r="AT356" s="533"/>
      <c r="AU356" s="533"/>
      <c r="AV356" s="533"/>
      <c r="AW356" s="612"/>
      <c r="AX356" s="612"/>
      <c r="AY356" s="612"/>
      <c r="AZ356" s="612"/>
      <c r="BA356" s="612"/>
      <c r="BB356" s="612"/>
      <c r="BC356" s="612"/>
      <c r="BD356" s="612"/>
      <c r="BE356" s="612"/>
      <c r="BF356" s="612"/>
      <c r="BG356" s="612"/>
      <c r="BH356" s="612">
        <f>SUM(AW356:BG356)</f>
        <v>0</v>
      </c>
      <c r="BI356" s="612">
        <f t="shared" ref="BI356:BI364" si="339">SUM(AW363:BG363)</f>
        <v>0</v>
      </c>
    </row>
    <row r="357" spans="1:62" ht="12" customHeight="1">
      <c r="A357" s="41"/>
      <c r="B357" s="41"/>
      <c r="C357" s="41"/>
      <c r="D357" s="41"/>
      <c r="E357" s="41"/>
      <c r="F357" s="41"/>
      <c r="G357" s="41"/>
      <c r="H357" s="3"/>
      <c r="I357" s="9"/>
      <c r="J357" s="211"/>
      <c r="K357" s="106" t="s">
        <v>314</v>
      </c>
      <c r="L357" s="111">
        <f t="shared" ref="L357:S357" si="340">L360+L985+L1066+L1130</f>
        <v>24995631</v>
      </c>
      <c r="M357" s="111">
        <f t="shared" si="340"/>
        <v>3317490.3444156875</v>
      </c>
      <c r="N357" s="112">
        <f t="shared" si="340"/>
        <v>24086719</v>
      </c>
      <c r="O357" s="112">
        <f t="shared" si="340"/>
        <v>3196856.9911739333</v>
      </c>
      <c r="P357" s="113">
        <f t="shared" si="340"/>
        <v>5173379.5089256093</v>
      </c>
      <c r="Q357" s="113">
        <f t="shared" si="340"/>
        <v>4545820</v>
      </c>
      <c r="R357" s="87">
        <f t="shared" si="340"/>
        <v>4195513</v>
      </c>
      <c r="S357" s="89" t="e">
        <f t="shared" ca="1" si="340"/>
        <v>#NAME?</v>
      </c>
      <c r="T357" s="89"/>
      <c r="U357" s="89"/>
      <c r="V357" s="532">
        <f>V360+V985+V1066+V1130</f>
        <v>5310459.93</v>
      </c>
      <c r="W357" s="532">
        <f>W360+W985+W1066+W1130</f>
        <v>5310459.93</v>
      </c>
      <c r="X357" s="506">
        <f>X360+X985+X1066+X1130</f>
        <v>6991250</v>
      </c>
      <c r="Y357" s="507" t="e">
        <f ca="1">Y360+Y985+Y1066+Y1130</f>
        <v>#NAME?</v>
      </c>
      <c r="Z357" s="507" t="e">
        <f ca="1">Z360+Z985+Z1066+Z1130</f>
        <v>#NAME?</v>
      </c>
      <c r="AA357" s="562" t="e">
        <f t="shared" ref="AA357:AA420" ca="1" si="341">__xlfn.ISFORMULA(R357)</f>
        <v>#NAME?</v>
      </c>
      <c r="AB357" s="507"/>
      <c r="AC357" s="508">
        <f>AC360+AC985+AC1066+AC1130</f>
        <v>4224500</v>
      </c>
      <c r="AD357" s="508">
        <f>AD360+AD985+AD1066+AD1130</f>
        <v>4224500</v>
      </c>
      <c r="AE357" s="529">
        <f>O357/M357*100</f>
        <v>96.363716523099583</v>
      </c>
      <c r="AF357" s="529">
        <f>P357/O357*100</f>
        <v>161.82705461046814</v>
      </c>
      <c r="AG357" s="529">
        <f>Q357/P357*100</f>
        <v>87.869447662927428</v>
      </c>
      <c r="AH357" s="529">
        <f>AC357/Q357*100</f>
        <v>92.93152830512426</v>
      </c>
      <c r="AI357" s="507"/>
      <c r="AJ357" s="507">
        <v>6723250.2999999998</v>
      </c>
      <c r="AK357" s="507">
        <f t="shared" ref="AK357:AK404" si="342">W357/R357*100</f>
        <v>126.57474616334163</v>
      </c>
      <c r="AL357" s="507">
        <f t="shared" ref="AL357:AM404" si="343">X357/W357*100</f>
        <v>131.65055554802012</v>
      </c>
      <c r="AM357" s="507" t="e">
        <f t="shared" ca="1" si="343"/>
        <v>#NAME?</v>
      </c>
      <c r="AN357" s="509"/>
      <c r="AO357" s="510"/>
      <c r="AP357" s="510" t="e">
        <f t="shared" ca="1" si="338"/>
        <v>#NAME?</v>
      </c>
      <c r="AQ357" s="532">
        <f>AQ360+AQ985+AQ1066+AQ1130</f>
        <v>4746873.91</v>
      </c>
      <c r="AR357" s="533">
        <f>V357/R357*100</f>
        <v>126.57474616334163</v>
      </c>
      <c r="AS357" s="533">
        <f>W357/V357*100</f>
        <v>100</v>
      </c>
      <c r="AT357" s="533">
        <f>W357/R357*100</f>
        <v>126.57474616334163</v>
      </c>
      <c r="AU357" s="533">
        <f>AQ357/W357*100</f>
        <v>89.38724653930305</v>
      </c>
      <c r="AV357" s="533">
        <f>AQ357/R357*100</f>
        <v>113.14168040952322</v>
      </c>
      <c r="AW357" s="612"/>
      <c r="AX357" s="612"/>
      <c r="AY357" s="612"/>
      <c r="AZ357" s="612"/>
      <c r="BA357" s="612"/>
      <c r="BB357" s="612"/>
      <c r="BC357" s="612"/>
      <c r="BD357" s="612"/>
      <c r="BE357" s="612"/>
      <c r="BF357" s="612"/>
      <c r="BG357" s="612"/>
      <c r="BH357" s="612">
        <f t="shared" ref="BH357:BH420" si="344">SUM(AW357:BG357)</f>
        <v>0</v>
      </c>
      <c r="BI357" s="612">
        <f t="shared" si="339"/>
        <v>0</v>
      </c>
    </row>
    <row r="358" spans="1:62" ht="12" customHeight="1">
      <c r="A358" s="41"/>
      <c r="B358" s="41"/>
      <c r="C358" s="41"/>
      <c r="D358" s="41"/>
      <c r="E358" s="41"/>
      <c r="F358" s="41"/>
      <c r="G358" s="41"/>
      <c r="H358" s="3"/>
      <c r="I358" s="9"/>
      <c r="J358" s="211"/>
      <c r="K358" s="90"/>
      <c r="L358" s="111"/>
      <c r="M358" s="111"/>
      <c r="N358" s="112"/>
      <c r="O358" s="112"/>
      <c r="P358" s="113"/>
      <c r="Q358" s="113"/>
      <c r="R358" s="87"/>
      <c r="S358" s="89"/>
      <c r="T358" s="89"/>
      <c r="U358" s="89"/>
      <c r="V358" s="532"/>
      <c r="W358" s="532"/>
      <c r="X358" s="563"/>
      <c r="Y358" s="562"/>
      <c r="Z358" s="562"/>
      <c r="AA358" s="562" t="e">
        <f t="shared" ca="1" si="341"/>
        <v>#NAME?</v>
      </c>
      <c r="AB358" s="507"/>
      <c r="AC358" s="508"/>
      <c r="AD358" s="508"/>
      <c r="AE358" s="529"/>
      <c r="AF358" s="529"/>
      <c r="AG358" s="529"/>
      <c r="AH358" s="529"/>
      <c r="AI358" s="507"/>
      <c r="AJ358" s="562"/>
      <c r="AK358" s="507"/>
      <c r="AL358" s="507"/>
      <c r="AM358" s="507"/>
      <c r="AN358" s="509"/>
      <c r="AO358" s="510"/>
      <c r="AP358" s="510" t="e">
        <f t="shared" ca="1" si="338"/>
        <v>#NAME?</v>
      </c>
      <c r="AQ358" s="532"/>
      <c r="AR358" s="533"/>
      <c r="AS358" s="533"/>
      <c r="AT358" s="533"/>
      <c r="AU358" s="533"/>
      <c r="AV358" s="533"/>
      <c r="AW358" s="612"/>
      <c r="AX358" s="612"/>
      <c r="AY358" s="612"/>
      <c r="AZ358" s="612"/>
      <c r="BA358" s="612"/>
      <c r="BB358" s="612"/>
      <c r="BC358" s="612"/>
      <c r="BD358" s="612"/>
      <c r="BE358" s="612"/>
      <c r="BF358" s="612"/>
      <c r="BG358" s="612"/>
      <c r="BH358" s="612">
        <f t="shared" si="344"/>
        <v>0</v>
      </c>
      <c r="BI358" s="612">
        <f t="shared" si="339"/>
        <v>0</v>
      </c>
    </row>
    <row r="359" spans="1:62" ht="12" customHeight="1">
      <c r="A359" s="215"/>
      <c r="B359" s="216"/>
      <c r="C359" s="216"/>
      <c r="D359" s="216"/>
      <c r="E359" s="216"/>
      <c r="F359" s="216"/>
      <c r="G359" s="216"/>
      <c r="H359" s="217" t="s">
        <v>315</v>
      </c>
      <c r="I359" s="244"/>
      <c r="J359" s="245" t="s">
        <v>316</v>
      </c>
      <c r="K359" s="246"/>
      <c r="L359" s="118"/>
      <c r="M359" s="118"/>
      <c r="N359" s="119"/>
      <c r="O359" s="119"/>
      <c r="P359" s="120"/>
      <c r="Q359" s="120"/>
      <c r="R359" s="151"/>
      <c r="S359" s="152"/>
      <c r="T359" s="152"/>
      <c r="U359" s="152"/>
      <c r="V359" s="532"/>
      <c r="W359" s="532"/>
      <c r="X359" s="560"/>
      <c r="Y359" s="561"/>
      <c r="Z359" s="561"/>
      <c r="AA359" s="562" t="e">
        <f t="shared" ca="1" si="341"/>
        <v>#NAME?</v>
      </c>
      <c r="AB359" s="535"/>
      <c r="AC359" s="529"/>
      <c r="AD359" s="529"/>
      <c r="AE359" s="529"/>
      <c r="AF359" s="529"/>
      <c r="AG359" s="529"/>
      <c r="AH359" s="529"/>
      <c r="AI359" s="535"/>
      <c r="AJ359" s="561"/>
      <c r="AK359" s="507"/>
      <c r="AL359" s="507"/>
      <c r="AM359" s="507"/>
      <c r="AN359" s="556"/>
      <c r="AO359" s="510"/>
      <c r="AP359" s="510" t="e">
        <f t="shared" ca="1" si="338"/>
        <v>#NAME?</v>
      </c>
      <c r="AQ359" s="532"/>
      <c r="AR359" s="533"/>
      <c r="AS359" s="533"/>
      <c r="AT359" s="533"/>
      <c r="AU359" s="533"/>
      <c r="AV359" s="533"/>
      <c r="AW359" s="612"/>
      <c r="AX359" s="612"/>
      <c r="AY359" s="612"/>
      <c r="AZ359" s="612"/>
      <c r="BA359" s="612"/>
      <c r="BB359" s="612"/>
      <c r="BC359" s="612"/>
      <c r="BD359" s="612"/>
      <c r="BE359" s="612"/>
      <c r="BF359" s="612"/>
      <c r="BG359" s="612"/>
      <c r="BH359" s="612">
        <f t="shared" si="344"/>
        <v>0</v>
      </c>
      <c r="BI359" s="612">
        <f t="shared" si="339"/>
        <v>0</v>
      </c>
    </row>
    <row r="360" spans="1:62" ht="12" customHeight="1">
      <c r="A360" s="218"/>
      <c r="B360" s="219"/>
      <c r="C360" s="219"/>
      <c r="D360" s="219"/>
      <c r="E360" s="219"/>
      <c r="F360" s="219"/>
      <c r="G360" s="219"/>
      <c r="H360" s="220" t="s">
        <v>317</v>
      </c>
      <c r="I360" s="247"/>
      <c r="J360" s="248" t="s">
        <v>318</v>
      </c>
      <c r="K360" s="249"/>
      <c r="L360" s="250">
        <f t="shared" ref="L360:S360" si="345">L361+L479+L495+L527+L537+L602+L617+L658+L772+L792+L825+L877+L909+L934+L976</f>
        <v>18118172</v>
      </c>
      <c r="M360" s="250">
        <f t="shared" si="345"/>
        <v>2404694.671179242</v>
      </c>
      <c r="N360" s="251">
        <f t="shared" si="345"/>
        <v>18694580</v>
      </c>
      <c r="O360" s="251">
        <f t="shared" si="345"/>
        <v>2481197.1597318999</v>
      </c>
      <c r="P360" s="252">
        <f t="shared" si="345"/>
        <v>4318179.5089256093</v>
      </c>
      <c r="Q360" s="252">
        <f t="shared" si="345"/>
        <v>3694960</v>
      </c>
      <c r="R360" s="272">
        <f t="shared" si="345"/>
        <v>3377419</v>
      </c>
      <c r="S360" s="273" t="e">
        <f t="shared" ca="1" si="345"/>
        <v>#NAME?</v>
      </c>
      <c r="T360" s="273"/>
      <c r="U360" s="273"/>
      <c r="V360" s="532">
        <f>V361+V479+V495+V527+V537+V602+V617+V658+V772+V792+V825+V877+V909+V934+V976</f>
        <v>4201390</v>
      </c>
      <c r="W360" s="532">
        <f>W361+W479+W495+W527+W537+W602+W617+W658+W772+W792+W825+W877+W909+W934+W976</f>
        <v>4201390</v>
      </c>
      <c r="X360" s="564">
        <f>X361+X479+X495+X527+X537+X602+X617+X658+X772+X792+X825+X877+X909+X934+X976</f>
        <v>5503260</v>
      </c>
      <c r="Y360" s="565" t="e">
        <f ca="1">Y361+Y479+Y495+Y527+Y537+Y602+Y617+Y658+Y772+Y792+Y825+Y877+Y909+Y934+Y976</f>
        <v>#NAME?</v>
      </c>
      <c r="Z360" s="565" t="e">
        <f ca="1">Z361+Z479+Z495+Z527+Z537+Z602+Z617+Z658+Z772+Z792+Z825+Z877+Z909+Z934+Z976</f>
        <v>#NAME?</v>
      </c>
      <c r="AA360" s="562" t="e">
        <f t="shared" ca="1" si="341"/>
        <v>#NAME?</v>
      </c>
      <c r="AB360" s="565"/>
      <c r="AC360" s="566">
        <f>AC361+AC479+AC495+AC527+AC537+AC602+AC617+AC658+AC772+AC792+AC825+AC877+AC909+AC934+AC976</f>
        <v>3341000</v>
      </c>
      <c r="AD360" s="566">
        <f>AD361+AD479+AD495+AD527+AD537+AD602+AD617+AD658+AD772+AD792+AD825+AD877+AD909+AD934+AD976</f>
        <v>3341000</v>
      </c>
      <c r="AE360" s="529">
        <f>O360/M360*100</f>
        <v>103.18138054987006</v>
      </c>
      <c r="AF360" s="529">
        <f t="shared" ref="AF360:AG362" si="346">P360/O360*100</f>
        <v>174.03612977665185</v>
      </c>
      <c r="AG360" s="529">
        <f t="shared" si="346"/>
        <v>85.567540496234017</v>
      </c>
      <c r="AH360" s="529">
        <f>AC360/Q360*100</f>
        <v>90.420464632905365</v>
      </c>
      <c r="AI360" s="565"/>
      <c r="AJ360" s="565">
        <v>5249248</v>
      </c>
      <c r="AK360" s="507">
        <f t="shared" si="342"/>
        <v>124.39646961185449</v>
      </c>
      <c r="AL360" s="507">
        <f t="shared" si="343"/>
        <v>130.98664965642322</v>
      </c>
      <c r="AM360" s="507" t="e">
        <f t="shared" ca="1" si="343"/>
        <v>#NAME?</v>
      </c>
      <c r="AN360" s="567"/>
      <c r="AO360" s="510"/>
      <c r="AP360" s="510" t="e">
        <f t="shared" ca="1" si="338"/>
        <v>#NAME?</v>
      </c>
      <c r="AQ360" s="532">
        <f>AQ361+AQ479+AQ495+AQ527+AQ537+AQ602+AQ617+AQ658+AQ772+AQ792+AQ825+AQ877+AQ909+AQ934+AQ976</f>
        <v>3715336.52</v>
      </c>
      <c r="AR360" s="533">
        <f t="shared" ref="AR360:AR420" si="347">V360/R360*100</f>
        <v>124.39646961185449</v>
      </c>
      <c r="AS360" s="533">
        <f t="shared" ref="AS360:AS420" si="348">W360/V360*100</f>
        <v>100</v>
      </c>
      <c r="AT360" s="533">
        <f t="shared" ref="AT360:AT420" si="349">W360/R360*100</f>
        <v>124.39646961185449</v>
      </c>
      <c r="AU360" s="533">
        <f>AQ360/W360*100</f>
        <v>88.431126841354896</v>
      </c>
      <c r="AV360" s="533">
        <f>AQ360/R360*100</f>
        <v>110.00519982862653</v>
      </c>
      <c r="AW360" s="612"/>
      <c r="AX360" s="612"/>
      <c r="AY360" s="612"/>
      <c r="AZ360" s="612"/>
      <c r="BA360" s="612"/>
      <c r="BB360" s="612"/>
      <c r="BC360" s="612"/>
      <c r="BD360" s="612"/>
      <c r="BE360" s="612"/>
      <c r="BF360" s="612"/>
      <c r="BG360" s="612"/>
      <c r="BH360" s="612">
        <f t="shared" si="344"/>
        <v>0</v>
      </c>
      <c r="BI360" s="612">
        <f t="shared" si="339"/>
        <v>0</v>
      </c>
    </row>
    <row r="361" spans="1:62" ht="12" customHeight="1">
      <c r="A361" s="221" t="s">
        <v>319</v>
      </c>
      <c r="B361" s="222"/>
      <c r="C361" s="222"/>
      <c r="D361" s="222"/>
      <c r="E361" s="222"/>
      <c r="F361" s="222"/>
      <c r="G361" s="222"/>
      <c r="H361" s="223"/>
      <c r="I361" s="124" t="s">
        <v>320</v>
      </c>
      <c r="J361" s="253"/>
      <c r="K361" s="210"/>
      <c r="L361" s="111">
        <f t="shared" ref="L361:S361" si="350">L362+L413+L458</f>
        <v>4400948</v>
      </c>
      <c r="M361" s="111">
        <f t="shared" si="350"/>
        <v>584106.17824673164</v>
      </c>
      <c r="N361" s="112">
        <f t="shared" si="350"/>
        <v>3719219</v>
      </c>
      <c r="O361" s="112">
        <f t="shared" si="350"/>
        <v>493625.19078903709</v>
      </c>
      <c r="P361" s="113">
        <f t="shared" si="350"/>
        <v>689960</v>
      </c>
      <c r="Q361" s="113">
        <f t="shared" si="350"/>
        <v>709840</v>
      </c>
      <c r="R361" s="87">
        <f t="shared" si="350"/>
        <v>640018</v>
      </c>
      <c r="S361" s="89" t="e">
        <f t="shared" ca="1" si="350"/>
        <v>#NAME?</v>
      </c>
      <c r="T361" s="89"/>
      <c r="U361" s="89"/>
      <c r="V361" s="532">
        <f>V362+V413+V458</f>
        <v>862490</v>
      </c>
      <c r="W361" s="532">
        <f>W362+W413+W458</f>
        <v>853590</v>
      </c>
      <c r="X361" s="506">
        <f>X362+X413+X458</f>
        <v>1054660</v>
      </c>
      <c r="Y361" s="507">
        <f>Y362+Y413+Y458</f>
        <v>793248</v>
      </c>
      <c r="Z361" s="507">
        <f>Z362+Z413+Z458</f>
        <v>0</v>
      </c>
      <c r="AA361" s="562" t="e">
        <f t="shared" ca="1" si="341"/>
        <v>#NAME?</v>
      </c>
      <c r="AB361" s="507"/>
      <c r="AC361" s="508">
        <f>AC362+AC413+AC458</f>
        <v>702000</v>
      </c>
      <c r="AD361" s="508">
        <f>AD362+AD413+AD458</f>
        <v>702000</v>
      </c>
      <c r="AE361" s="529">
        <f>O361/M361*100</f>
        <v>84.509496590280094</v>
      </c>
      <c r="AF361" s="529">
        <f t="shared" si="346"/>
        <v>139.77406600686865</v>
      </c>
      <c r="AG361" s="529">
        <f t="shared" si="346"/>
        <v>102.88132645370747</v>
      </c>
      <c r="AH361" s="529">
        <f>AC361/Q361*100</f>
        <v>98.895525752282211</v>
      </c>
      <c r="AI361" s="507"/>
      <c r="AJ361" s="507">
        <v>793248</v>
      </c>
      <c r="AK361" s="507">
        <f t="shared" si="342"/>
        <v>133.36968647756783</v>
      </c>
      <c r="AL361" s="507">
        <f t="shared" si="343"/>
        <v>123.55580548038286</v>
      </c>
      <c r="AM361" s="507">
        <f t="shared" si="343"/>
        <v>75.213623347808777</v>
      </c>
      <c r="AN361" s="509"/>
      <c r="AO361" s="510"/>
      <c r="AP361" s="510" t="e">
        <f t="shared" ca="1" si="338"/>
        <v>#NAME?</v>
      </c>
      <c r="AQ361" s="532">
        <f>AQ362+AQ413+AQ458</f>
        <v>776094.41</v>
      </c>
      <c r="AR361" s="533">
        <f t="shared" si="347"/>
        <v>134.76027236733967</v>
      </c>
      <c r="AS361" s="533">
        <f t="shared" si="348"/>
        <v>98.96810397801714</v>
      </c>
      <c r="AT361" s="533">
        <f t="shared" si="349"/>
        <v>133.36968647756783</v>
      </c>
      <c r="AU361" s="533">
        <f>AQ361/W361*100</f>
        <v>90.921216274792343</v>
      </c>
      <c r="AV361" s="533">
        <f>AQ361/R361*100</f>
        <v>121.26134108728192</v>
      </c>
      <c r="AW361" s="612"/>
      <c r="AX361" s="612"/>
      <c r="AY361" s="612"/>
      <c r="AZ361" s="612"/>
      <c r="BA361" s="612"/>
      <c r="BB361" s="612"/>
      <c r="BC361" s="612"/>
      <c r="BD361" s="612"/>
      <c r="BE361" s="612"/>
      <c r="BF361" s="612"/>
      <c r="BG361" s="612"/>
      <c r="BH361" s="612">
        <f t="shared" si="344"/>
        <v>0</v>
      </c>
      <c r="BI361" s="612">
        <f t="shared" si="339"/>
        <v>293403.28000000003</v>
      </c>
      <c r="BJ361" s="201">
        <f>AQ368-BI361</f>
        <v>0</v>
      </c>
    </row>
    <row r="362" spans="1:62" ht="12" customHeight="1">
      <c r="A362" s="224" t="s">
        <v>321</v>
      </c>
      <c r="B362" s="225"/>
      <c r="C362" s="225"/>
      <c r="D362" s="225"/>
      <c r="E362" s="225"/>
      <c r="F362" s="225"/>
      <c r="G362" s="225"/>
      <c r="H362" s="226"/>
      <c r="I362" s="121" t="s">
        <v>322</v>
      </c>
      <c r="J362" s="254"/>
      <c r="K362" s="255"/>
      <c r="L362" s="111">
        <f t="shared" ref="L362:S362" si="351">L364</f>
        <v>3155879</v>
      </c>
      <c r="M362" s="111">
        <f t="shared" si="351"/>
        <v>418857.12389674166</v>
      </c>
      <c r="N362" s="112">
        <f t="shared" si="351"/>
        <v>2968814</v>
      </c>
      <c r="O362" s="112">
        <f t="shared" si="351"/>
        <v>394029.3317406596</v>
      </c>
      <c r="P362" s="113">
        <f t="shared" si="351"/>
        <v>498120</v>
      </c>
      <c r="Q362" s="113">
        <f t="shared" si="351"/>
        <v>503600</v>
      </c>
      <c r="R362" s="87">
        <f t="shared" si="351"/>
        <v>469073</v>
      </c>
      <c r="S362" s="89" t="e">
        <f t="shared" ca="1" si="351"/>
        <v>#NAME?</v>
      </c>
      <c r="T362" s="89"/>
      <c r="U362" s="89"/>
      <c r="V362" s="532">
        <f>V364</f>
        <v>601100</v>
      </c>
      <c r="W362" s="532">
        <f>W364</f>
        <v>592971</v>
      </c>
      <c r="X362" s="506">
        <f>X364</f>
        <v>687500</v>
      </c>
      <c r="Y362" s="507">
        <f>Y364</f>
        <v>458000</v>
      </c>
      <c r="Z362" s="507">
        <f>Z364</f>
        <v>0</v>
      </c>
      <c r="AA362" s="562" t="e">
        <f t="shared" ca="1" si="341"/>
        <v>#NAME?</v>
      </c>
      <c r="AB362" s="507"/>
      <c r="AC362" s="508">
        <f>AC364</f>
        <v>508250</v>
      </c>
      <c r="AD362" s="508">
        <f>AD364</f>
        <v>508250</v>
      </c>
      <c r="AE362" s="529">
        <f>O362/M362*100</f>
        <v>94.072491372451211</v>
      </c>
      <c r="AF362" s="529">
        <f t="shared" si="346"/>
        <v>126.41698469489837</v>
      </c>
      <c r="AG362" s="529">
        <f t="shared" si="346"/>
        <v>101.10013651328997</v>
      </c>
      <c r="AH362" s="529">
        <f>AC362/Q362*100</f>
        <v>100.92335186656076</v>
      </c>
      <c r="AI362" s="507"/>
      <c r="AJ362" s="507">
        <v>458000</v>
      </c>
      <c r="AK362" s="507">
        <f t="shared" si="342"/>
        <v>126.41337275861113</v>
      </c>
      <c r="AL362" s="507">
        <f t="shared" si="343"/>
        <v>115.94158904904288</v>
      </c>
      <c r="AM362" s="507">
        <f t="shared" si="343"/>
        <v>66.618181818181824</v>
      </c>
      <c r="AN362" s="509"/>
      <c r="AO362" s="510"/>
      <c r="AP362" s="510" t="e">
        <f t="shared" ca="1" si="338"/>
        <v>#NAME?</v>
      </c>
      <c r="AQ362" s="532">
        <f>AQ364</f>
        <v>549545.38</v>
      </c>
      <c r="AR362" s="533">
        <f t="shared" si="347"/>
        <v>128.14636527789918</v>
      </c>
      <c r="AS362" s="533">
        <f t="shared" si="348"/>
        <v>98.64764598236566</v>
      </c>
      <c r="AT362" s="533">
        <f t="shared" si="349"/>
        <v>126.41337275861113</v>
      </c>
      <c r="AU362" s="533">
        <f>AQ362/W362*100</f>
        <v>92.676603071651058</v>
      </c>
      <c r="AV362" s="533">
        <f>AQ362/R362*100</f>
        <v>117.15561970098472</v>
      </c>
      <c r="AW362" s="612"/>
      <c r="AX362" s="612"/>
      <c r="AY362" s="612"/>
      <c r="AZ362" s="612"/>
      <c r="BA362" s="612"/>
      <c r="BB362" s="612"/>
      <c r="BC362" s="612"/>
      <c r="BD362" s="612"/>
      <c r="BE362" s="612"/>
      <c r="BF362" s="612"/>
      <c r="BG362" s="612"/>
      <c r="BH362" s="612">
        <f t="shared" si="344"/>
        <v>0</v>
      </c>
      <c r="BI362" s="612">
        <f t="shared" si="339"/>
        <v>0</v>
      </c>
      <c r="BJ362" s="201">
        <f>AQ369-BI362</f>
        <v>0</v>
      </c>
    </row>
    <row r="363" spans="1:62" ht="12" customHeight="1">
      <c r="A363" s="41"/>
      <c r="B363" s="41"/>
      <c r="C363" s="41"/>
      <c r="D363" s="41"/>
      <c r="E363" s="41"/>
      <c r="F363" s="41"/>
      <c r="G363" s="41"/>
      <c r="H363" s="3"/>
      <c r="I363" s="15"/>
      <c r="J363" s="3"/>
      <c r="K363" s="83"/>
      <c r="L363" s="84"/>
      <c r="M363" s="84"/>
      <c r="N363" s="85"/>
      <c r="O363" s="85"/>
      <c r="P363" s="86"/>
      <c r="Q363" s="86"/>
      <c r="R363" s="154"/>
      <c r="S363" s="155"/>
      <c r="T363" s="155"/>
      <c r="U363" s="155"/>
      <c r="V363" s="532"/>
      <c r="W363" s="532"/>
      <c r="X363" s="568"/>
      <c r="Y363" s="569"/>
      <c r="Z363" s="569"/>
      <c r="AA363" s="562" t="e">
        <f t="shared" ca="1" si="341"/>
        <v>#NAME?</v>
      </c>
      <c r="AB363" s="537"/>
      <c r="AC363" s="538"/>
      <c r="AD363" s="538"/>
      <c r="AE363" s="529"/>
      <c r="AF363" s="529"/>
      <c r="AG363" s="529"/>
      <c r="AH363" s="529"/>
      <c r="AI363" s="537"/>
      <c r="AJ363" s="569"/>
      <c r="AK363" s="507"/>
      <c r="AL363" s="507"/>
      <c r="AM363" s="507"/>
      <c r="AN363" s="557"/>
      <c r="AO363" s="510"/>
      <c r="AP363" s="510" t="e">
        <f t="shared" ca="1" si="338"/>
        <v>#NAME?</v>
      </c>
      <c r="AQ363" s="532"/>
      <c r="AR363" s="533"/>
      <c r="AS363" s="533"/>
      <c r="AT363" s="533"/>
      <c r="AU363" s="533"/>
      <c r="AV363" s="533"/>
      <c r="AW363" s="612"/>
      <c r="AX363" s="612"/>
      <c r="AY363" s="612"/>
      <c r="AZ363" s="612"/>
      <c r="BA363" s="612"/>
      <c r="BB363" s="612"/>
      <c r="BC363" s="612"/>
      <c r="BD363" s="612"/>
      <c r="BE363" s="612"/>
      <c r="BF363" s="612"/>
      <c r="BG363" s="612"/>
      <c r="BH363" s="612">
        <f t="shared" si="344"/>
        <v>0</v>
      </c>
      <c r="BI363" s="612">
        <f t="shared" si="339"/>
        <v>0</v>
      </c>
      <c r="BJ363" s="201">
        <f>AQ370-BI363</f>
        <v>0</v>
      </c>
    </row>
    <row r="364" spans="1:62" ht="12" customHeight="1">
      <c r="A364" s="25"/>
      <c r="B364" s="25"/>
      <c r="C364" s="25"/>
      <c r="D364" s="25"/>
      <c r="E364" s="25"/>
      <c r="F364" s="25"/>
      <c r="G364" s="25"/>
      <c r="H364" s="211"/>
      <c r="I364" s="256"/>
      <c r="J364" s="211">
        <v>3</v>
      </c>
      <c r="K364" s="3" t="s">
        <v>220</v>
      </c>
      <c r="L364" s="111">
        <f t="shared" ref="L364:S364" si="352">L365+L382</f>
        <v>3155879</v>
      </c>
      <c r="M364" s="111">
        <f t="shared" si="352"/>
        <v>418857.12389674166</v>
      </c>
      <c r="N364" s="112">
        <f t="shared" si="352"/>
        <v>2968814</v>
      </c>
      <c r="O364" s="112">
        <f t="shared" si="352"/>
        <v>394029.3317406596</v>
      </c>
      <c r="P364" s="113">
        <f t="shared" si="352"/>
        <v>498120</v>
      </c>
      <c r="Q364" s="113">
        <f t="shared" si="352"/>
        <v>503600</v>
      </c>
      <c r="R364" s="87">
        <f t="shared" si="352"/>
        <v>469073</v>
      </c>
      <c r="S364" s="89" t="e">
        <f t="shared" ca="1" si="352"/>
        <v>#NAME?</v>
      </c>
      <c r="T364" s="89"/>
      <c r="U364" s="89"/>
      <c r="V364" s="532">
        <f>V365+V382</f>
        <v>601100</v>
      </c>
      <c r="W364" s="532">
        <f>W365+W382</f>
        <v>592971</v>
      </c>
      <c r="X364" s="506">
        <f>X365+X382</f>
        <v>687500</v>
      </c>
      <c r="Y364" s="507">
        <f>Y365+Y382</f>
        <v>458000</v>
      </c>
      <c r="Z364" s="507">
        <f>Z365+Z382</f>
        <v>0</v>
      </c>
      <c r="AA364" s="562" t="e">
        <f t="shared" ca="1" si="341"/>
        <v>#NAME?</v>
      </c>
      <c r="AB364" s="507"/>
      <c r="AC364" s="508">
        <f>AC365+AC382</f>
        <v>508250</v>
      </c>
      <c r="AD364" s="508">
        <f>AD365+AD382</f>
        <v>508250</v>
      </c>
      <c r="AE364" s="529">
        <f>O364/M364*100</f>
        <v>94.072491372451211</v>
      </c>
      <c r="AF364" s="529">
        <f>P364/O364*100</f>
        <v>126.41698469489837</v>
      </c>
      <c r="AG364" s="529">
        <f>Q364/P364*100</f>
        <v>101.10013651328997</v>
      </c>
      <c r="AH364" s="529">
        <f>AC364/Q364*100</f>
        <v>100.92335186656076</v>
      </c>
      <c r="AI364" s="507"/>
      <c r="AJ364" s="507">
        <v>458000</v>
      </c>
      <c r="AK364" s="507">
        <f t="shared" si="342"/>
        <v>126.41337275861113</v>
      </c>
      <c r="AL364" s="507">
        <f t="shared" si="343"/>
        <v>115.94158904904288</v>
      </c>
      <c r="AM364" s="507">
        <f t="shared" si="343"/>
        <v>66.618181818181824</v>
      </c>
      <c r="AN364" s="509"/>
      <c r="AO364" s="510"/>
      <c r="AP364" s="510" t="e">
        <f t="shared" ca="1" si="338"/>
        <v>#NAME?</v>
      </c>
      <c r="AQ364" s="532">
        <f>AQ365+AQ382</f>
        <v>549545.38</v>
      </c>
      <c r="AR364" s="533">
        <f t="shared" si="347"/>
        <v>128.14636527789918</v>
      </c>
      <c r="AS364" s="533">
        <f t="shared" si="348"/>
        <v>98.64764598236566</v>
      </c>
      <c r="AT364" s="533">
        <f t="shared" si="349"/>
        <v>126.41337275861113</v>
      </c>
      <c r="AU364" s="533">
        <f>AQ364/W364*100</f>
        <v>92.676603071651058</v>
      </c>
      <c r="AV364" s="533">
        <f>AQ364/R364*100</f>
        <v>117.15561970098472</v>
      </c>
      <c r="AW364" s="612"/>
      <c r="AX364" s="612"/>
      <c r="AY364" s="612"/>
      <c r="AZ364" s="612"/>
      <c r="BA364" s="612"/>
      <c r="BB364" s="612"/>
      <c r="BC364" s="612"/>
      <c r="BD364" s="612"/>
      <c r="BE364" s="612"/>
      <c r="BF364" s="612"/>
      <c r="BG364" s="612"/>
      <c r="BH364" s="612">
        <f t="shared" si="344"/>
        <v>0</v>
      </c>
      <c r="BI364" s="612">
        <f t="shared" si="339"/>
        <v>0</v>
      </c>
      <c r="BJ364" s="201"/>
    </row>
    <row r="365" spans="1:62" ht="12" customHeight="1">
      <c r="A365" s="227"/>
      <c r="B365" s="227"/>
      <c r="C365" s="227"/>
      <c r="D365" s="227"/>
      <c r="E365" s="227"/>
      <c r="F365" s="227"/>
      <c r="G365" s="227"/>
      <c r="H365" s="228"/>
      <c r="I365" s="257"/>
      <c r="J365" s="228">
        <v>31</v>
      </c>
      <c r="K365" s="258" t="s">
        <v>221</v>
      </c>
      <c r="L365" s="111">
        <f t="shared" ref="L365:S365" si="353">L367+L372+L376</f>
        <v>2323207</v>
      </c>
      <c r="M365" s="111">
        <f t="shared" si="353"/>
        <v>308342.55756851815</v>
      </c>
      <c r="N365" s="112">
        <f t="shared" si="353"/>
        <v>2133436</v>
      </c>
      <c r="O365" s="112">
        <f t="shared" si="353"/>
        <v>283155.61749286612</v>
      </c>
      <c r="P365" s="113">
        <f t="shared" si="353"/>
        <v>338520</v>
      </c>
      <c r="Q365" s="113">
        <f t="shared" si="353"/>
        <v>326900</v>
      </c>
      <c r="R365" s="87">
        <f t="shared" si="353"/>
        <v>317015</v>
      </c>
      <c r="S365" s="89" t="e">
        <f t="shared" ca="1" si="353"/>
        <v>#NAME?</v>
      </c>
      <c r="T365" s="89"/>
      <c r="U365" s="89"/>
      <c r="V365" s="532">
        <f>V367+V372+V376</f>
        <v>399000</v>
      </c>
      <c r="W365" s="532">
        <f>W367+W372+W376</f>
        <v>390871</v>
      </c>
      <c r="X365" s="506">
        <f>X367+X372+X376</f>
        <v>456000</v>
      </c>
      <c r="Y365" s="507">
        <f>Y367+Y372+Y376</f>
        <v>172000</v>
      </c>
      <c r="Z365" s="507">
        <f>Z367+Z372+Z376</f>
        <v>0</v>
      </c>
      <c r="AA365" s="562" t="e">
        <f t="shared" ca="1" si="341"/>
        <v>#NAME?</v>
      </c>
      <c r="AB365" s="507"/>
      <c r="AC365" s="508">
        <f>AC367+AC372+AC376</f>
        <v>344350</v>
      </c>
      <c r="AD365" s="508">
        <f>AD367+AD372+AD376</f>
        <v>344350</v>
      </c>
      <c r="AE365" s="529">
        <f>O365/M365*100</f>
        <v>91.831507050383365</v>
      </c>
      <c r="AF365" s="529">
        <f>P365/O365*100</f>
        <v>119.55263434197229</v>
      </c>
      <c r="AG365" s="529">
        <f>Q365/P365*100</f>
        <v>96.567411083540108</v>
      </c>
      <c r="AH365" s="529">
        <f>AC365/Q365*100</f>
        <v>105.33802386050779</v>
      </c>
      <c r="AI365" s="507"/>
      <c r="AJ365" s="507">
        <v>172000</v>
      </c>
      <c r="AK365" s="507">
        <f t="shared" si="342"/>
        <v>123.29732031607337</v>
      </c>
      <c r="AL365" s="507">
        <f t="shared" si="343"/>
        <v>116.66253060472638</v>
      </c>
      <c r="AM365" s="507">
        <f t="shared" si="343"/>
        <v>37.719298245614034</v>
      </c>
      <c r="AN365" s="509"/>
      <c r="AO365" s="510"/>
      <c r="AP365" s="510" t="e">
        <f t="shared" ca="1" si="338"/>
        <v>#NAME?</v>
      </c>
      <c r="AQ365" s="532">
        <f>AQ367+AQ372+AQ376</f>
        <v>356259.09</v>
      </c>
      <c r="AR365" s="533">
        <f t="shared" si="347"/>
        <v>125.86155229247828</v>
      </c>
      <c r="AS365" s="533">
        <f t="shared" si="348"/>
        <v>97.962656641604013</v>
      </c>
      <c r="AT365" s="533">
        <f t="shared" si="349"/>
        <v>123.29732031607337</v>
      </c>
      <c r="AU365" s="533">
        <f>AQ365/W365*100</f>
        <v>91.144927610388095</v>
      </c>
      <c r="AV365" s="533">
        <f>AQ365/R365*100</f>
        <v>112.37925334763339</v>
      </c>
      <c r="AW365" s="612"/>
      <c r="AX365" s="612"/>
      <c r="AY365" s="612"/>
      <c r="AZ365" s="612"/>
      <c r="BA365" s="612"/>
      <c r="BB365" s="612"/>
      <c r="BC365" s="612"/>
      <c r="BD365" s="612"/>
      <c r="BE365" s="612"/>
      <c r="BF365" s="612"/>
      <c r="BG365" s="612"/>
      <c r="BH365" s="612">
        <f t="shared" si="344"/>
        <v>0</v>
      </c>
      <c r="BI365" s="612"/>
      <c r="BJ365" s="201"/>
    </row>
    <row r="366" spans="1:62" ht="12" customHeight="1">
      <c r="A366" s="41"/>
      <c r="B366" s="41"/>
      <c r="C366" s="41"/>
      <c r="D366" s="41"/>
      <c r="E366" s="41"/>
      <c r="F366" s="41"/>
      <c r="G366" s="41"/>
      <c r="H366" s="3"/>
      <c r="I366" s="15"/>
      <c r="J366" s="3"/>
      <c r="K366" s="83"/>
      <c r="L366" s="84">
        <v>1</v>
      </c>
      <c r="M366" s="84">
        <v>2</v>
      </c>
      <c r="N366" s="85">
        <v>3</v>
      </c>
      <c r="O366" s="85">
        <v>4</v>
      </c>
      <c r="P366" s="86">
        <v>5</v>
      </c>
      <c r="Q366" s="86">
        <v>6</v>
      </c>
      <c r="R366" s="154"/>
      <c r="S366" s="155"/>
      <c r="T366" s="155"/>
      <c r="U366" s="155"/>
      <c r="V366" s="532"/>
      <c r="W366" s="532"/>
      <c r="X366" s="568"/>
      <c r="Y366" s="569"/>
      <c r="Z366" s="569"/>
      <c r="AA366" s="562" t="e">
        <f t="shared" ca="1" si="341"/>
        <v>#NAME?</v>
      </c>
      <c r="AB366" s="537"/>
      <c r="AC366" s="538">
        <v>7</v>
      </c>
      <c r="AD366" s="538">
        <v>8</v>
      </c>
      <c r="AE366" s="538">
        <v>9</v>
      </c>
      <c r="AF366" s="538">
        <v>10</v>
      </c>
      <c r="AG366" s="538">
        <v>11</v>
      </c>
      <c r="AH366" s="538">
        <v>12</v>
      </c>
      <c r="AI366" s="537"/>
      <c r="AJ366" s="569"/>
      <c r="AK366" s="507"/>
      <c r="AL366" s="507"/>
      <c r="AM366" s="507"/>
      <c r="AN366" s="557"/>
      <c r="AO366" s="510"/>
      <c r="AP366" s="510" t="e">
        <f t="shared" ca="1" si="338"/>
        <v>#NAME?</v>
      </c>
      <c r="AQ366" s="532"/>
      <c r="AR366" s="533"/>
      <c r="AS366" s="533"/>
      <c r="AT366" s="533"/>
      <c r="AU366" s="533"/>
      <c r="AV366" s="533"/>
      <c r="AW366" s="612"/>
      <c r="AX366" s="612"/>
      <c r="AY366" s="612"/>
      <c r="AZ366" s="612"/>
      <c r="BA366" s="612"/>
      <c r="BB366" s="612"/>
      <c r="BC366" s="612"/>
      <c r="BD366" s="612"/>
      <c r="BE366" s="612"/>
      <c r="BF366" s="612"/>
      <c r="BG366" s="612"/>
      <c r="BH366" s="612">
        <f t="shared" si="344"/>
        <v>0</v>
      </c>
      <c r="BI366" s="612">
        <f t="shared" ref="BI366:BI401" si="354">SUM(AW373:BG373)</f>
        <v>14444.33</v>
      </c>
      <c r="BJ366" s="201">
        <f>AQ373-BI366</f>
        <v>0</v>
      </c>
    </row>
    <row r="367" spans="1:62" ht="12" customHeight="1">
      <c r="A367" s="61"/>
      <c r="B367" s="61"/>
      <c r="C367" s="61"/>
      <c r="D367" s="61"/>
      <c r="E367" s="61"/>
      <c r="F367" s="61"/>
      <c r="G367" s="61"/>
      <c r="H367" s="229"/>
      <c r="I367" s="259"/>
      <c r="J367" s="229">
        <v>311</v>
      </c>
      <c r="K367" s="20" t="s">
        <v>323</v>
      </c>
      <c r="L367" s="111">
        <f t="shared" ref="L367:S367" si="355">L368+L369+L370</f>
        <v>1918087</v>
      </c>
      <c r="M367" s="111">
        <f t="shared" si="355"/>
        <v>254573.89342358481</v>
      </c>
      <c r="N367" s="112">
        <f t="shared" si="355"/>
        <v>1772906</v>
      </c>
      <c r="O367" s="112">
        <f t="shared" si="355"/>
        <v>235305.06337514101</v>
      </c>
      <c r="P367" s="113">
        <f t="shared" si="355"/>
        <v>277700</v>
      </c>
      <c r="Q367" s="113">
        <f t="shared" si="355"/>
        <v>267700</v>
      </c>
      <c r="R367" s="87">
        <f t="shared" si="355"/>
        <v>262448</v>
      </c>
      <c r="S367" s="89" t="e">
        <f t="shared" ca="1" si="355"/>
        <v>#NAME?</v>
      </c>
      <c r="T367" s="89"/>
      <c r="U367" s="89"/>
      <c r="V367" s="532">
        <f>V368+V369+V370</f>
        <v>325000</v>
      </c>
      <c r="W367" s="532">
        <f>W368+W369+W370</f>
        <v>316871</v>
      </c>
      <c r="X367" s="506">
        <f>X368+X369+X370</f>
        <v>365000</v>
      </c>
      <c r="Y367" s="507">
        <f>Y368+Y369+Y370</f>
        <v>47000</v>
      </c>
      <c r="Z367" s="507">
        <f>Z368+Z369+Z370</f>
        <v>0</v>
      </c>
      <c r="AA367" s="562" t="e">
        <f t="shared" ca="1" si="341"/>
        <v>#NAME?</v>
      </c>
      <c r="AB367" s="507"/>
      <c r="AC367" s="508">
        <f>AC368+AC369+AC370</f>
        <v>282700</v>
      </c>
      <c r="AD367" s="508">
        <f>AD368+AD369+AD370</f>
        <v>282700</v>
      </c>
      <c r="AE367" s="529">
        <f>O367/M367*100</f>
        <v>92.430948126961923</v>
      </c>
      <c r="AF367" s="529">
        <f t="shared" ref="AF367:AG369" si="356">P367/O367*100</f>
        <v>118.01700992607618</v>
      </c>
      <c r="AG367" s="529">
        <f t="shared" si="356"/>
        <v>96.398991717680943</v>
      </c>
      <c r="AH367" s="529">
        <f>AC367/Q367*100</f>
        <v>105.6032872618603</v>
      </c>
      <c r="AI367" s="507"/>
      <c r="AJ367" s="507">
        <v>47000</v>
      </c>
      <c r="AK367" s="507">
        <f t="shared" si="342"/>
        <v>120.73667926598792</v>
      </c>
      <c r="AL367" s="507">
        <f t="shared" si="343"/>
        <v>115.18883078602964</v>
      </c>
      <c r="AM367" s="507">
        <f t="shared" si="343"/>
        <v>12.876712328767123</v>
      </c>
      <c r="AN367" s="509"/>
      <c r="AO367" s="510"/>
      <c r="AP367" s="510" t="e">
        <f t="shared" ca="1" si="338"/>
        <v>#NAME?</v>
      </c>
      <c r="AQ367" s="532">
        <f>AQ368+AQ369+AQ370</f>
        <v>293403.28000000003</v>
      </c>
      <c r="AR367" s="533">
        <f t="shared" si="347"/>
        <v>123.83405474608304</v>
      </c>
      <c r="AS367" s="533">
        <f t="shared" si="348"/>
        <v>97.498769230769227</v>
      </c>
      <c r="AT367" s="533">
        <f t="shared" si="349"/>
        <v>120.73667926598792</v>
      </c>
      <c r="AU367" s="533">
        <f>AQ367/W367*100</f>
        <v>92.59391992324953</v>
      </c>
      <c r="AV367" s="533">
        <f>AQ367/R367*100</f>
        <v>111.79482411753949</v>
      </c>
      <c r="AW367" s="612"/>
      <c r="AX367" s="612"/>
      <c r="AY367" s="612"/>
      <c r="AZ367" s="612"/>
      <c r="BA367" s="612"/>
      <c r="BB367" s="612"/>
      <c r="BC367" s="612"/>
      <c r="BD367" s="612"/>
      <c r="BE367" s="612"/>
      <c r="BF367" s="612"/>
      <c r="BG367" s="612"/>
      <c r="BH367" s="612">
        <f t="shared" si="344"/>
        <v>0</v>
      </c>
      <c r="BI367" s="612">
        <f t="shared" si="354"/>
        <v>0</v>
      </c>
      <c r="BJ367" s="201">
        <f>AQ374-BI367</f>
        <v>0</v>
      </c>
    </row>
    <row r="368" spans="1:62" ht="12" customHeight="1">
      <c r="A368" s="52"/>
      <c r="B368" s="52"/>
      <c r="C368" s="52"/>
      <c r="D368" s="52"/>
      <c r="E368" s="52"/>
      <c r="F368" s="52"/>
      <c r="G368" s="52"/>
      <c r="H368" s="2">
        <v>1</v>
      </c>
      <c r="I368" s="260">
        <v>111</v>
      </c>
      <c r="J368" s="185">
        <v>3111</v>
      </c>
      <c r="K368" s="19" t="s">
        <v>223</v>
      </c>
      <c r="L368" s="129">
        <v>1894636</v>
      </c>
      <c r="M368" s="129">
        <f>1894636/7.5345</f>
        <v>251461.41084345343</v>
      </c>
      <c r="N368" s="130">
        <v>1772906</v>
      </c>
      <c r="O368" s="130">
        <f>N368/7.5345</f>
        <v>235305.06337514101</v>
      </c>
      <c r="P368" s="131">
        <v>275000</v>
      </c>
      <c r="Q368" s="156">
        <v>265000</v>
      </c>
      <c r="R368" s="153">
        <v>262448</v>
      </c>
      <c r="S368" s="158">
        <v>210994</v>
      </c>
      <c r="T368" s="158"/>
      <c r="U368" s="158"/>
      <c r="V368" s="532">
        <v>325000</v>
      </c>
      <c r="W368" s="532">
        <v>316871</v>
      </c>
      <c r="X368" s="560">
        <v>360000</v>
      </c>
      <c r="Y368" s="570">
        <v>42000</v>
      </c>
      <c r="Z368" s="570"/>
      <c r="AA368" s="571" t="e">
        <f t="shared" ca="1" si="341"/>
        <v>#NAME?</v>
      </c>
      <c r="AB368" s="572"/>
      <c r="AC368" s="573">
        <v>280000</v>
      </c>
      <c r="AD368" s="573">
        <v>280000</v>
      </c>
      <c r="AE368" s="573">
        <f>O368/M368*100</f>
        <v>93.575019159353033</v>
      </c>
      <c r="AF368" s="573">
        <f t="shared" si="356"/>
        <v>116.86956330454068</v>
      </c>
      <c r="AG368" s="573">
        <f t="shared" si="356"/>
        <v>96.36363636363636</v>
      </c>
      <c r="AH368" s="573">
        <f>AC368/Q368*100</f>
        <v>105.66037735849056</v>
      </c>
      <c r="AI368" s="572"/>
      <c r="AJ368" s="570">
        <v>42000</v>
      </c>
      <c r="AK368" s="507">
        <f t="shared" si="342"/>
        <v>120.73667926598792</v>
      </c>
      <c r="AL368" s="507">
        <f t="shared" si="343"/>
        <v>113.61090159717992</v>
      </c>
      <c r="AM368" s="507">
        <f t="shared" si="343"/>
        <v>11.666666666666666</v>
      </c>
      <c r="AN368" s="556"/>
      <c r="AO368" s="510"/>
      <c r="AP368" s="510" t="e">
        <f t="shared" ca="1" si="338"/>
        <v>#NAME?</v>
      </c>
      <c r="AQ368" s="532">
        <v>293403.28000000003</v>
      </c>
      <c r="AR368" s="533">
        <f t="shared" si="347"/>
        <v>123.83405474608304</v>
      </c>
      <c r="AS368" s="533">
        <f t="shared" si="348"/>
        <v>97.498769230769227</v>
      </c>
      <c r="AT368" s="533">
        <f t="shared" si="349"/>
        <v>120.73667926598792</v>
      </c>
      <c r="AU368" s="533">
        <f>AQ368/W368*100</f>
        <v>92.59391992324953</v>
      </c>
      <c r="AV368" s="533">
        <f>AQ368/R368*100</f>
        <v>111.79482411753949</v>
      </c>
      <c r="AW368" s="612">
        <f>AQ368</f>
        <v>293403.28000000003</v>
      </c>
      <c r="AX368" s="612"/>
      <c r="AY368" s="612"/>
      <c r="AZ368" s="612"/>
      <c r="BA368" s="612"/>
      <c r="BB368" s="612"/>
      <c r="BC368" s="612"/>
      <c r="BD368" s="612"/>
      <c r="BE368" s="612"/>
      <c r="BF368" s="612"/>
      <c r="BG368" s="612"/>
      <c r="BH368" s="612">
        <f t="shared" si="344"/>
        <v>293403.28000000003</v>
      </c>
      <c r="BI368" s="612">
        <f t="shared" si="354"/>
        <v>0</v>
      </c>
      <c r="BJ368" s="201"/>
    </row>
    <row r="369" spans="1:62" ht="12" customHeight="1">
      <c r="A369" s="52"/>
      <c r="B369" s="52"/>
      <c r="C369" s="52"/>
      <c r="D369" s="52"/>
      <c r="E369" s="52"/>
      <c r="F369" s="52"/>
      <c r="G369" s="52"/>
      <c r="H369" s="2" t="s">
        <v>324</v>
      </c>
      <c r="I369" s="260">
        <v>111</v>
      </c>
      <c r="J369" s="185">
        <v>3113</v>
      </c>
      <c r="K369" s="19" t="s">
        <v>224</v>
      </c>
      <c r="L369" s="129">
        <v>23451</v>
      </c>
      <c r="M369" s="129">
        <f>23451/7.5345</f>
        <v>3112.4825801313955</v>
      </c>
      <c r="N369" s="130">
        <v>0</v>
      </c>
      <c r="O369" s="130">
        <f>N369/7.5345</f>
        <v>0</v>
      </c>
      <c r="P369" s="131">
        <v>2700</v>
      </c>
      <c r="Q369" s="131">
        <v>2700</v>
      </c>
      <c r="R369" s="153">
        <v>0</v>
      </c>
      <c r="S369" s="158" t="e">
        <f ca="1">__xlfn.XLOOKUP(H369,[1]Izvršenje_proračuna_po_pozicija!$B$2:$B$153,[1]Izvršenje_proračuna_po_pozicija!$E$2:$E$153,0)</f>
        <v>#NAME?</v>
      </c>
      <c r="T369" s="158"/>
      <c r="U369" s="158"/>
      <c r="V369" s="532"/>
      <c r="W369" s="532"/>
      <c r="X369" s="560">
        <v>5000</v>
      </c>
      <c r="Y369" s="561">
        <v>5000</v>
      </c>
      <c r="Z369" s="561"/>
      <c r="AA369" s="562" t="e">
        <f t="shared" ca="1" si="341"/>
        <v>#NAME?</v>
      </c>
      <c r="AB369" s="535"/>
      <c r="AC369" s="529">
        <v>2700</v>
      </c>
      <c r="AD369" s="529">
        <v>2700</v>
      </c>
      <c r="AE369" s="529">
        <f>O369/M369*100</f>
        <v>0</v>
      </c>
      <c r="AF369" s="529" t="e">
        <f t="shared" si="356"/>
        <v>#DIV/0!</v>
      </c>
      <c r="AG369" s="529">
        <f t="shared" si="356"/>
        <v>100</v>
      </c>
      <c r="AH369" s="529">
        <f>AC369/Q369*100</f>
        <v>100</v>
      </c>
      <c r="AI369" s="535"/>
      <c r="AJ369" s="561">
        <v>5000</v>
      </c>
      <c r="AK369" s="507"/>
      <c r="AL369" s="507"/>
      <c r="AM369" s="507">
        <f t="shared" si="343"/>
        <v>100</v>
      </c>
      <c r="AN369" s="556"/>
      <c r="AO369" s="510"/>
      <c r="AP369" s="510" t="e">
        <f t="shared" ca="1" si="338"/>
        <v>#NAME?</v>
      </c>
      <c r="AQ369" s="532"/>
      <c r="AR369" s="533"/>
      <c r="AS369" s="533"/>
      <c r="AT369" s="533"/>
      <c r="AU369" s="533"/>
      <c r="AV369" s="533"/>
      <c r="AW369" s="612"/>
      <c r="AX369" s="612"/>
      <c r="AY369" s="612"/>
      <c r="AZ369" s="612"/>
      <c r="BA369" s="612"/>
      <c r="BB369" s="612"/>
      <c r="BC369" s="612"/>
      <c r="BD369" s="612"/>
      <c r="BE369" s="612"/>
      <c r="BF369" s="612"/>
      <c r="BG369" s="612"/>
      <c r="BH369" s="612">
        <f t="shared" si="344"/>
        <v>0</v>
      </c>
      <c r="BI369" s="612">
        <f t="shared" si="354"/>
        <v>0</v>
      </c>
      <c r="BJ369" s="201"/>
    </row>
    <row r="370" spans="1:62" ht="12" customHeight="1">
      <c r="A370" s="52"/>
      <c r="B370" s="52"/>
      <c r="C370" s="52"/>
      <c r="D370" s="52"/>
      <c r="E370" s="52"/>
      <c r="F370" s="52"/>
      <c r="G370" s="52"/>
      <c r="H370" s="2" t="s">
        <v>325</v>
      </c>
      <c r="I370" s="260">
        <v>111</v>
      </c>
      <c r="J370" s="185">
        <v>3111</v>
      </c>
      <c r="K370" s="19" t="s">
        <v>326</v>
      </c>
      <c r="L370" s="118"/>
      <c r="M370" s="118"/>
      <c r="N370" s="119"/>
      <c r="O370" s="119"/>
      <c r="P370" s="120"/>
      <c r="Q370" s="120"/>
      <c r="R370" s="151"/>
      <c r="S370" s="158" t="e">
        <f ca="1">__xlfn.XLOOKUP(H370,[1]Izvršenje_proračuna_po_pozicija!$B$2:$B$153,[1]Izvršenje_proračuna_po_pozicija!$E$2:$E$153,0)</f>
        <v>#NAME?</v>
      </c>
      <c r="T370" s="158"/>
      <c r="U370" s="158"/>
      <c r="V370" s="532"/>
      <c r="W370" s="532"/>
      <c r="X370" s="560"/>
      <c r="Y370" s="561"/>
      <c r="Z370" s="561"/>
      <c r="AA370" s="562" t="e">
        <f t="shared" ca="1" si="341"/>
        <v>#NAME?</v>
      </c>
      <c r="AB370" s="535"/>
      <c r="AC370" s="529"/>
      <c r="AD370" s="529"/>
      <c r="AE370" s="529"/>
      <c r="AF370" s="529"/>
      <c r="AG370" s="529"/>
      <c r="AH370" s="529"/>
      <c r="AI370" s="535"/>
      <c r="AJ370" s="561"/>
      <c r="AK370" s="507"/>
      <c r="AL370" s="507"/>
      <c r="AM370" s="507"/>
      <c r="AN370" s="556"/>
      <c r="AO370" s="510"/>
      <c r="AP370" s="510" t="e">
        <f t="shared" ca="1" si="338"/>
        <v>#NAME?</v>
      </c>
      <c r="AQ370" s="532"/>
      <c r="AR370" s="533"/>
      <c r="AS370" s="533"/>
      <c r="AT370" s="533"/>
      <c r="AU370" s="533"/>
      <c r="AV370" s="533"/>
      <c r="AW370" s="612"/>
      <c r="AX370" s="612"/>
      <c r="AY370" s="612"/>
      <c r="AZ370" s="612"/>
      <c r="BA370" s="612"/>
      <c r="BB370" s="612"/>
      <c r="BC370" s="612"/>
      <c r="BD370" s="612"/>
      <c r="BE370" s="612"/>
      <c r="BF370" s="612"/>
      <c r="BG370" s="612"/>
      <c r="BH370" s="612">
        <f t="shared" si="344"/>
        <v>0</v>
      </c>
      <c r="BI370" s="612">
        <f t="shared" si="354"/>
        <v>48411.48</v>
      </c>
      <c r="BJ370" s="201">
        <f>AQ377-BI370</f>
        <v>0</v>
      </c>
    </row>
    <row r="371" spans="1:62" ht="12" customHeight="1">
      <c r="A371" s="52"/>
      <c r="B371" s="52"/>
      <c r="C371" s="52"/>
      <c r="D371" s="52"/>
      <c r="E371" s="52"/>
      <c r="F371" s="52"/>
      <c r="G371" s="52"/>
      <c r="H371" s="2"/>
      <c r="I371" s="260"/>
      <c r="J371" s="185"/>
      <c r="K371" s="19"/>
      <c r="L371" s="118"/>
      <c r="M371" s="118"/>
      <c r="N371" s="119"/>
      <c r="O371" s="119"/>
      <c r="P371" s="120"/>
      <c r="Q371" s="120"/>
      <c r="R371" s="151"/>
      <c r="S371" s="158" t="e">
        <f ca="1">__xlfn.XLOOKUP(H371,[1]Izvršenje_proračuna_po_pozicija!$B$2:$B$153,[1]Izvršenje_proračuna_po_pozicija!$E$2:$E$153,0)</f>
        <v>#NAME?</v>
      </c>
      <c r="T371" s="158"/>
      <c r="U371" s="158"/>
      <c r="V371" s="532"/>
      <c r="W371" s="532"/>
      <c r="X371" s="560"/>
      <c r="Y371" s="561"/>
      <c r="Z371" s="561"/>
      <c r="AA371" s="562" t="e">
        <f t="shared" ca="1" si="341"/>
        <v>#NAME?</v>
      </c>
      <c r="AB371" s="535"/>
      <c r="AC371" s="529"/>
      <c r="AD371" s="529"/>
      <c r="AE371" s="529"/>
      <c r="AF371" s="529"/>
      <c r="AG371" s="529"/>
      <c r="AH371" s="529"/>
      <c r="AI371" s="535"/>
      <c r="AJ371" s="561"/>
      <c r="AK371" s="507"/>
      <c r="AL371" s="507"/>
      <c r="AM371" s="507"/>
      <c r="AN371" s="556"/>
      <c r="AO371" s="510"/>
      <c r="AP371" s="510" t="e">
        <f t="shared" ca="1" si="338"/>
        <v>#NAME?</v>
      </c>
      <c r="AQ371" s="532"/>
      <c r="AR371" s="533"/>
      <c r="AS371" s="533"/>
      <c r="AT371" s="533"/>
      <c r="AU371" s="533"/>
      <c r="AV371" s="533"/>
      <c r="AW371" s="612"/>
      <c r="AX371" s="612"/>
      <c r="AY371" s="612"/>
      <c r="AZ371" s="612"/>
      <c r="BA371" s="612"/>
      <c r="BB371" s="612"/>
      <c r="BC371" s="612"/>
      <c r="BD371" s="612"/>
      <c r="BE371" s="612"/>
      <c r="BF371" s="612"/>
      <c r="BG371" s="612"/>
      <c r="BH371" s="612">
        <f t="shared" si="344"/>
        <v>0</v>
      </c>
      <c r="BI371" s="612">
        <f t="shared" si="354"/>
        <v>0</v>
      </c>
      <c r="BJ371" s="201">
        <f>AQ378-BI371</f>
        <v>0</v>
      </c>
    </row>
    <row r="372" spans="1:62" ht="12" customHeight="1">
      <c r="A372" s="61"/>
      <c r="B372" s="61"/>
      <c r="C372" s="61"/>
      <c r="D372" s="61"/>
      <c r="E372" s="61"/>
      <c r="F372" s="61"/>
      <c r="G372" s="61"/>
      <c r="H372" s="230"/>
      <c r="I372" s="261"/>
      <c r="J372" s="229">
        <v>312</v>
      </c>
      <c r="K372" s="20" t="s">
        <v>327</v>
      </c>
      <c r="L372" s="111">
        <f t="shared" ref="L372:S372" si="357">L373+L374</f>
        <v>89154</v>
      </c>
      <c r="M372" s="111">
        <f t="shared" si="357"/>
        <v>11832.769261397571</v>
      </c>
      <c r="N372" s="112">
        <f t="shared" si="357"/>
        <v>68000</v>
      </c>
      <c r="O372" s="112">
        <f t="shared" si="357"/>
        <v>9025.1509721945713</v>
      </c>
      <c r="P372" s="113">
        <f t="shared" si="357"/>
        <v>15000</v>
      </c>
      <c r="Q372" s="113">
        <f t="shared" si="357"/>
        <v>15000</v>
      </c>
      <c r="R372" s="87">
        <f t="shared" si="357"/>
        <v>11263</v>
      </c>
      <c r="S372" s="89" t="e">
        <f t="shared" ca="1" si="357"/>
        <v>#NAME?</v>
      </c>
      <c r="T372" s="89"/>
      <c r="U372" s="89"/>
      <c r="V372" s="532">
        <f>V373+V374</f>
        <v>20000</v>
      </c>
      <c r="W372" s="532">
        <f>W373+W374</f>
        <v>20000</v>
      </c>
      <c r="X372" s="506">
        <f>X373+X374</f>
        <v>25000</v>
      </c>
      <c r="Y372" s="507">
        <f>Y373+Y374</f>
        <v>35000</v>
      </c>
      <c r="Z372" s="507">
        <f>Z373+Z374</f>
        <v>0</v>
      </c>
      <c r="AA372" s="562" t="e">
        <f t="shared" ca="1" si="341"/>
        <v>#NAME?</v>
      </c>
      <c r="AB372" s="507"/>
      <c r="AC372" s="508">
        <f>AC373+AC374</f>
        <v>15000</v>
      </c>
      <c r="AD372" s="508">
        <f>AD373+AD374</f>
        <v>15000</v>
      </c>
      <c r="AE372" s="529">
        <f>O372/M372*100</f>
        <v>76.272517217399098</v>
      </c>
      <c r="AF372" s="529">
        <f>P372/O372*100</f>
        <v>166.20220588235296</v>
      </c>
      <c r="AG372" s="529">
        <f>Q372/P372*100</f>
        <v>100</v>
      </c>
      <c r="AH372" s="529">
        <f>AC372/Q372*100</f>
        <v>100</v>
      </c>
      <c r="AI372" s="507"/>
      <c r="AJ372" s="507">
        <v>35000</v>
      </c>
      <c r="AK372" s="507">
        <f t="shared" si="342"/>
        <v>177.57258279321672</v>
      </c>
      <c r="AL372" s="507">
        <f t="shared" si="343"/>
        <v>125</v>
      </c>
      <c r="AM372" s="507">
        <f t="shared" si="343"/>
        <v>140</v>
      </c>
      <c r="AN372" s="509"/>
      <c r="AO372" s="510"/>
      <c r="AP372" s="510" t="e">
        <f t="shared" ca="1" si="338"/>
        <v>#NAME?</v>
      </c>
      <c r="AQ372" s="532">
        <f>AQ373+AQ374</f>
        <v>14444.33</v>
      </c>
      <c r="AR372" s="533">
        <f t="shared" si="347"/>
        <v>177.57258279321672</v>
      </c>
      <c r="AS372" s="533">
        <f t="shared" si="348"/>
        <v>100</v>
      </c>
      <c r="AT372" s="533">
        <f t="shared" si="349"/>
        <v>177.57258279321672</v>
      </c>
      <c r="AU372" s="533">
        <f>AQ372/W372*100</f>
        <v>72.221650000000011</v>
      </c>
      <c r="AV372" s="533">
        <f>AQ372/R372*100</f>
        <v>128.24584924087722</v>
      </c>
      <c r="AW372" s="612"/>
      <c r="AX372" s="612"/>
      <c r="AY372" s="612"/>
      <c r="AZ372" s="612"/>
      <c r="BA372" s="612"/>
      <c r="BB372" s="612"/>
      <c r="BC372" s="612"/>
      <c r="BD372" s="612"/>
      <c r="BE372" s="612"/>
      <c r="BF372" s="612"/>
      <c r="BG372" s="612"/>
      <c r="BH372" s="612"/>
      <c r="BI372" s="612">
        <f t="shared" si="354"/>
        <v>0</v>
      </c>
      <c r="BJ372" s="201">
        <f>AQ379-BI372</f>
        <v>0</v>
      </c>
    </row>
    <row r="373" spans="1:62" ht="12" customHeight="1">
      <c r="A373" s="52"/>
      <c r="B373" s="52"/>
      <c r="C373" s="52"/>
      <c r="D373" s="52"/>
      <c r="E373" s="52"/>
      <c r="F373" s="52"/>
      <c r="G373" s="52"/>
      <c r="H373" s="2">
        <v>4</v>
      </c>
      <c r="I373" s="260">
        <v>111</v>
      </c>
      <c r="J373" s="185">
        <v>3121</v>
      </c>
      <c r="K373" s="19" t="s">
        <v>225</v>
      </c>
      <c r="L373" s="129">
        <v>89154</v>
      </c>
      <c r="M373" s="129">
        <f>89154/7.5345</f>
        <v>11832.769261397571</v>
      </c>
      <c r="N373" s="130">
        <v>68000</v>
      </c>
      <c r="O373" s="130">
        <f>N373/7.5345</f>
        <v>9025.1509721945713</v>
      </c>
      <c r="P373" s="131">
        <v>15000</v>
      </c>
      <c r="Q373" s="131">
        <v>15000</v>
      </c>
      <c r="R373" s="153">
        <v>11263</v>
      </c>
      <c r="S373" s="158">
        <v>1085</v>
      </c>
      <c r="T373" s="158"/>
      <c r="U373" s="158"/>
      <c r="V373" s="532">
        <v>20000</v>
      </c>
      <c r="W373" s="532">
        <v>20000</v>
      </c>
      <c r="X373" s="560">
        <v>25000</v>
      </c>
      <c r="Y373" s="561">
        <v>35000</v>
      </c>
      <c r="Z373" s="561"/>
      <c r="AA373" s="562" t="e">
        <f t="shared" ca="1" si="341"/>
        <v>#NAME?</v>
      </c>
      <c r="AB373" s="535"/>
      <c r="AC373" s="529">
        <v>15000</v>
      </c>
      <c r="AD373" s="529">
        <v>15000</v>
      </c>
      <c r="AE373" s="529">
        <f>O373/M373*100</f>
        <v>76.272517217399098</v>
      </c>
      <c r="AF373" s="529">
        <f>P373/O373*100</f>
        <v>166.20220588235296</v>
      </c>
      <c r="AG373" s="529">
        <f>Q373/P373*100</f>
        <v>100</v>
      </c>
      <c r="AH373" s="529">
        <f>AC373/Q373*100</f>
        <v>100</v>
      </c>
      <c r="AI373" s="535"/>
      <c r="AJ373" s="561">
        <v>35000</v>
      </c>
      <c r="AK373" s="507">
        <f t="shared" si="342"/>
        <v>177.57258279321672</v>
      </c>
      <c r="AL373" s="507">
        <f t="shared" si="343"/>
        <v>125</v>
      </c>
      <c r="AM373" s="507">
        <f t="shared" si="343"/>
        <v>140</v>
      </c>
      <c r="AN373" s="556"/>
      <c r="AO373" s="510"/>
      <c r="AP373" s="510" t="e">
        <f t="shared" ca="1" si="338"/>
        <v>#NAME?</v>
      </c>
      <c r="AQ373" s="532">
        <v>14444.33</v>
      </c>
      <c r="AR373" s="533">
        <f t="shared" si="347"/>
        <v>177.57258279321672</v>
      </c>
      <c r="AS373" s="533">
        <f t="shared" si="348"/>
        <v>100</v>
      </c>
      <c r="AT373" s="533">
        <f t="shared" si="349"/>
        <v>177.57258279321672</v>
      </c>
      <c r="AU373" s="533">
        <f>AQ373/W373*100</f>
        <v>72.221650000000011</v>
      </c>
      <c r="AV373" s="533">
        <f>AQ373/R373*100</f>
        <v>128.24584924087722</v>
      </c>
      <c r="AW373" s="612">
        <f>AQ373</f>
        <v>14444.33</v>
      </c>
      <c r="AX373" s="612"/>
      <c r="AY373" s="612"/>
      <c r="AZ373" s="612"/>
      <c r="BA373" s="612"/>
      <c r="BB373" s="612"/>
      <c r="BC373" s="612"/>
      <c r="BD373" s="612"/>
      <c r="BE373" s="612"/>
      <c r="BF373" s="612"/>
      <c r="BG373" s="612"/>
      <c r="BH373" s="612">
        <f t="shared" si="344"/>
        <v>14444.33</v>
      </c>
      <c r="BI373" s="612">
        <f t="shared" si="354"/>
        <v>0</v>
      </c>
      <c r="BJ373" s="201">
        <f>AQ380-BI373</f>
        <v>0</v>
      </c>
    </row>
    <row r="374" spans="1:62" ht="12" customHeight="1">
      <c r="A374" s="52"/>
      <c r="B374" s="52"/>
      <c r="C374" s="52"/>
      <c r="D374" s="52"/>
      <c r="E374" s="52"/>
      <c r="F374" s="52"/>
      <c r="G374" s="52"/>
      <c r="H374" s="2" t="s">
        <v>328</v>
      </c>
      <c r="I374" s="260">
        <v>111</v>
      </c>
      <c r="J374" s="185">
        <v>3121</v>
      </c>
      <c r="K374" s="19" t="s">
        <v>329</v>
      </c>
      <c r="L374" s="118"/>
      <c r="M374" s="118"/>
      <c r="N374" s="119"/>
      <c r="O374" s="119"/>
      <c r="P374" s="120"/>
      <c r="Q374" s="120"/>
      <c r="R374" s="151"/>
      <c r="S374" s="158" t="e">
        <f ca="1">__xlfn.XLOOKUP(H374,[1]Izvršenje_proračuna_po_pozicija!$B$2:$B$153,[1]Izvršenje_proračuna_po_pozicija!$E$2:$E$153,0)</f>
        <v>#NAME?</v>
      </c>
      <c r="T374" s="158"/>
      <c r="U374" s="158"/>
      <c r="V374" s="532"/>
      <c r="W374" s="532"/>
      <c r="X374" s="560"/>
      <c r="Y374" s="561"/>
      <c r="Z374" s="561"/>
      <c r="AA374" s="562" t="e">
        <f t="shared" ca="1" si="341"/>
        <v>#NAME?</v>
      </c>
      <c r="AB374" s="535"/>
      <c r="AC374" s="529"/>
      <c r="AD374" s="529"/>
      <c r="AE374" s="529"/>
      <c r="AF374" s="529"/>
      <c r="AG374" s="529"/>
      <c r="AH374" s="529"/>
      <c r="AI374" s="535"/>
      <c r="AJ374" s="561"/>
      <c r="AK374" s="507"/>
      <c r="AL374" s="507"/>
      <c r="AM374" s="507"/>
      <c r="AN374" s="556"/>
      <c r="AO374" s="510"/>
      <c r="AP374" s="510" t="e">
        <f t="shared" ca="1" si="338"/>
        <v>#NAME?</v>
      </c>
      <c r="AQ374" s="532"/>
      <c r="AR374" s="533"/>
      <c r="AS374" s="533"/>
      <c r="AT374" s="533"/>
      <c r="AU374" s="533"/>
      <c r="AV374" s="533"/>
      <c r="AW374" s="612"/>
      <c r="AX374" s="612"/>
      <c r="AY374" s="612"/>
      <c r="AZ374" s="612"/>
      <c r="BA374" s="612"/>
      <c r="BB374" s="612"/>
      <c r="BC374" s="612"/>
      <c r="BD374" s="612"/>
      <c r="BE374" s="612"/>
      <c r="BF374" s="612"/>
      <c r="BG374" s="612"/>
      <c r="BH374" s="612">
        <f t="shared" si="344"/>
        <v>0</v>
      </c>
      <c r="BI374" s="612">
        <f t="shared" si="354"/>
        <v>0</v>
      </c>
      <c r="BJ374" s="201"/>
    </row>
    <row r="375" spans="1:62" ht="12" customHeight="1">
      <c r="A375" s="52"/>
      <c r="B375" s="52"/>
      <c r="C375" s="52"/>
      <c r="D375" s="52"/>
      <c r="E375" s="52"/>
      <c r="F375" s="52"/>
      <c r="G375" s="52"/>
      <c r="H375" s="2"/>
      <c r="I375" s="260"/>
      <c r="J375" s="185"/>
      <c r="K375" s="19"/>
      <c r="L375" s="118"/>
      <c r="M375" s="118"/>
      <c r="N375" s="119"/>
      <c r="O375" s="119"/>
      <c r="P375" s="120"/>
      <c r="Q375" s="120"/>
      <c r="R375" s="151"/>
      <c r="S375" s="158" t="e">
        <f ca="1">__xlfn.XLOOKUP(H375,[1]Izvršenje_proračuna_po_pozicija!$B$2:$B$153,[1]Izvršenje_proračuna_po_pozicija!$E$2:$E$153,0)</f>
        <v>#NAME?</v>
      </c>
      <c r="T375" s="158"/>
      <c r="U375" s="158"/>
      <c r="V375" s="532"/>
      <c r="W375" s="532"/>
      <c r="X375" s="560"/>
      <c r="Y375" s="561"/>
      <c r="Z375" s="561"/>
      <c r="AA375" s="562" t="e">
        <f t="shared" ca="1" si="341"/>
        <v>#NAME?</v>
      </c>
      <c r="AB375" s="535"/>
      <c r="AC375" s="529"/>
      <c r="AD375" s="529"/>
      <c r="AE375" s="529"/>
      <c r="AF375" s="529"/>
      <c r="AG375" s="529"/>
      <c r="AH375" s="529"/>
      <c r="AI375" s="535"/>
      <c r="AJ375" s="561"/>
      <c r="AK375" s="507"/>
      <c r="AL375" s="507"/>
      <c r="AM375" s="507"/>
      <c r="AN375" s="556"/>
      <c r="AO375" s="510"/>
      <c r="AP375" s="510" t="e">
        <f t="shared" ca="1" si="338"/>
        <v>#NAME?</v>
      </c>
      <c r="AQ375" s="532"/>
      <c r="AR375" s="533"/>
      <c r="AS375" s="533"/>
      <c r="AT375" s="533"/>
      <c r="AU375" s="533"/>
      <c r="AV375" s="533"/>
      <c r="AW375" s="612"/>
      <c r="AX375" s="612"/>
      <c r="AY375" s="612"/>
      <c r="AZ375" s="612"/>
      <c r="BA375" s="612"/>
      <c r="BB375" s="612"/>
      <c r="BC375" s="612"/>
      <c r="BD375" s="612"/>
      <c r="BE375" s="612"/>
      <c r="BF375" s="612"/>
      <c r="BG375" s="612"/>
      <c r="BH375" s="612">
        <f t="shared" si="344"/>
        <v>0</v>
      </c>
      <c r="BI375" s="612">
        <f t="shared" si="354"/>
        <v>0</v>
      </c>
      <c r="BJ375" s="201"/>
    </row>
    <row r="376" spans="1:62" ht="12" customHeight="1">
      <c r="A376" s="61"/>
      <c r="B376" s="61"/>
      <c r="C376" s="61"/>
      <c r="D376" s="61"/>
      <c r="E376" s="61"/>
      <c r="F376" s="61"/>
      <c r="G376" s="61"/>
      <c r="H376" s="230"/>
      <c r="I376" s="261"/>
      <c r="J376" s="229">
        <v>313</v>
      </c>
      <c r="K376" s="20" t="s">
        <v>330</v>
      </c>
      <c r="L376" s="111">
        <f t="shared" ref="L376:S376" si="358">L377+L378+L379+L380</f>
        <v>315966</v>
      </c>
      <c r="M376" s="111">
        <f t="shared" si="358"/>
        <v>41935.894883535737</v>
      </c>
      <c r="N376" s="112">
        <f t="shared" si="358"/>
        <v>292530</v>
      </c>
      <c r="O376" s="112">
        <f t="shared" si="358"/>
        <v>38825.403145530559</v>
      </c>
      <c r="P376" s="113">
        <f t="shared" si="358"/>
        <v>45820</v>
      </c>
      <c r="Q376" s="113">
        <f t="shared" si="358"/>
        <v>44200</v>
      </c>
      <c r="R376" s="87">
        <f t="shared" si="358"/>
        <v>43304</v>
      </c>
      <c r="S376" s="89" t="e">
        <f t="shared" ca="1" si="358"/>
        <v>#NAME?</v>
      </c>
      <c r="T376" s="89"/>
      <c r="U376" s="89"/>
      <c r="V376" s="532">
        <f>V377+V378+V379+V380</f>
        <v>54000</v>
      </c>
      <c r="W376" s="532">
        <f>W377+W378+W379+W380</f>
        <v>54000</v>
      </c>
      <c r="X376" s="506">
        <f>X377+X378+X379+X380</f>
        <v>66000</v>
      </c>
      <c r="Y376" s="507">
        <f>Y377+Y378+Y379+Y380</f>
        <v>90000</v>
      </c>
      <c r="Z376" s="507">
        <f>Z377+Z378+Z379+Z380</f>
        <v>0</v>
      </c>
      <c r="AA376" s="562" t="e">
        <f t="shared" ca="1" si="341"/>
        <v>#NAME?</v>
      </c>
      <c r="AB376" s="507"/>
      <c r="AC376" s="508">
        <f>AC377+AC378+AC379+AC380</f>
        <v>46650</v>
      </c>
      <c r="AD376" s="508">
        <f>AD377+AD378+AD379+AD380</f>
        <v>46650</v>
      </c>
      <c r="AE376" s="529">
        <f>O376/M376*100</f>
        <v>92.582746244849119</v>
      </c>
      <c r="AF376" s="529">
        <f>P376/O376*100</f>
        <v>118.01551635729668</v>
      </c>
      <c r="AG376" s="529">
        <f>Q376/P376*100</f>
        <v>96.464426014840683</v>
      </c>
      <c r="AH376" s="529">
        <f>AC376/Q376*100</f>
        <v>105.54298642533936</v>
      </c>
      <c r="AI376" s="507"/>
      <c r="AJ376" s="507">
        <v>90000</v>
      </c>
      <c r="AK376" s="507">
        <f t="shared" si="342"/>
        <v>124.69979678551636</v>
      </c>
      <c r="AL376" s="507">
        <f t="shared" si="343"/>
        <v>122.22222222222223</v>
      </c>
      <c r="AM376" s="507">
        <f t="shared" si="343"/>
        <v>136.36363636363635</v>
      </c>
      <c r="AN376" s="509"/>
      <c r="AO376" s="510"/>
      <c r="AP376" s="510" t="e">
        <f t="shared" ca="1" si="338"/>
        <v>#NAME?</v>
      </c>
      <c r="AQ376" s="532">
        <f>AQ377+AQ378+AQ379+AQ380</f>
        <v>48411.48</v>
      </c>
      <c r="AR376" s="533">
        <f t="shared" si="347"/>
        <v>124.69979678551636</v>
      </c>
      <c r="AS376" s="533">
        <f t="shared" si="348"/>
        <v>100</v>
      </c>
      <c r="AT376" s="533">
        <f t="shared" si="349"/>
        <v>124.69979678551636</v>
      </c>
      <c r="AU376" s="533">
        <f>AQ376/W376*100</f>
        <v>89.650888888888886</v>
      </c>
      <c r="AV376" s="533">
        <f>AQ376/R376*100</f>
        <v>111.7944762608535</v>
      </c>
      <c r="AW376" s="612"/>
      <c r="AX376" s="612"/>
      <c r="AY376" s="612"/>
      <c r="AZ376" s="612"/>
      <c r="BA376" s="612"/>
      <c r="BB376" s="612"/>
      <c r="BC376" s="612"/>
      <c r="BD376" s="612"/>
      <c r="BE376" s="612"/>
      <c r="BF376" s="612"/>
      <c r="BG376" s="612"/>
      <c r="BH376" s="612">
        <f t="shared" si="344"/>
        <v>0</v>
      </c>
      <c r="BI376" s="612">
        <f t="shared" si="354"/>
        <v>0</v>
      </c>
      <c r="BJ376" s="201"/>
    </row>
    <row r="377" spans="1:62" ht="12" customHeight="1">
      <c r="A377" s="52"/>
      <c r="B377" s="52"/>
      <c r="C377" s="52"/>
      <c r="D377" s="52"/>
      <c r="E377" s="52"/>
      <c r="F377" s="52"/>
      <c r="G377" s="52"/>
      <c r="H377" s="2">
        <v>6</v>
      </c>
      <c r="I377" s="260">
        <v>111</v>
      </c>
      <c r="J377" s="185">
        <v>3132</v>
      </c>
      <c r="K377" s="19" t="s">
        <v>331</v>
      </c>
      <c r="L377" s="129">
        <v>315966</v>
      </c>
      <c r="M377" s="129">
        <f>315966/7.5345</f>
        <v>41935.894883535737</v>
      </c>
      <c r="N377" s="130">
        <v>292530</v>
      </c>
      <c r="O377" s="130">
        <f>N377/7.5345</f>
        <v>38825.403145530559</v>
      </c>
      <c r="P377" s="131">
        <v>45820</v>
      </c>
      <c r="Q377" s="156">
        <v>44200</v>
      </c>
      <c r="R377" s="153">
        <v>43304</v>
      </c>
      <c r="S377" s="158">
        <v>34814</v>
      </c>
      <c r="T377" s="158"/>
      <c r="U377" s="158"/>
      <c r="V377" s="532">
        <v>54000</v>
      </c>
      <c r="W377" s="532">
        <v>54000</v>
      </c>
      <c r="X377" s="560">
        <v>66000</v>
      </c>
      <c r="Y377" s="561">
        <v>90000</v>
      </c>
      <c r="Z377" s="561"/>
      <c r="AA377" s="562" t="e">
        <f t="shared" ca="1" si="341"/>
        <v>#NAME?</v>
      </c>
      <c r="AB377" s="535"/>
      <c r="AC377" s="529">
        <v>46650</v>
      </c>
      <c r="AD377" s="529">
        <v>46650</v>
      </c>
      <c r="AE377" s="529">
        <f>O377/M377*100</f>
        <v>92.582746244849119</v>
      </c>
      <c r="AF377" s="529">
        <f>P377/O377*100</f>
        <v>118.01551635729668</v>
      </c>
      <c r="AG377" s="529">
        <f>Q377/P377*100</f>
        <v>96.464426014840683</v>
      </c>
      <c r="AH377" s="529">
        <f>AC377/Q377*100</f>
        <v>105.54298642533936</v>
      </c>
      <c r="AI377" s="535"/>
      <c r="AJ377" s="561">
        <v>90000</v>
      </c>
      <c r="AK377" s="507">
        <f t="shared" si="342"/>
        <v>124.69979678551636</v>
      </c>
      <c r="AL377" s="507">
        <f t="shared" si="343"/>
        <v>122.22222222222223</v>
      </c>
      <c r="AM377" s="507">
        <f t="shared" si="343"/>
        <v>136.36363636363635</v>
      </c>
      <c r="AN377" s="556"/>
      <c r="AO377" s="510"/>
      <c r="AP377" s="510" t="e">
        <f t="shared" ca="1" si="338"/>
        <v>#NAME?</v>
      </c>
      <c r="AQ377" s="532">
        <v>48411.48</v>
      </c>
      <c r="AR377" s="533">
        <f t="shared" si="347"/>
        <v>124.69979678551636</v>
      </c>
      <c r="AS377" s="533">
        <f t="shared" si="348"/>
        <v>100</v>
      </c>
      <c r="AT377" s="533">
        <f t="shared" si="349"/>
        <v>124.69979678551636</v>
      </c>
      <c r="AU377" s="533">
        <f>AQ377/W377*100</f>
        <v>89.650888888888886</v>
      </c>
      <c r="AV377" s="533">
        <f>AQ377/R377*100</f>
        <v>111.7944762608535</v>
      </c>
      <c r="AW377" s="612">
        <f>AQ377</f>
        <v>48411.48</v>
      </c>
      <c r="AX377" s="612"/>
      <c r="AY377" s="612"/>
      <c r="AZ377" s="612"/>
      <c r="BA377" s="612"/>
      <c r="BB377" s="612"/>
      <c r="BC377" s="612"/>
      <c r="BD377" s="612"/>
      <c r="BE377" s="612"/>
      <c r="BF377" s="612"/>
      <c r="BG377" s="612"/>
      <c r="BH377" s="612">
        <f t="shared" si="344"/>
        <v>48411.48</v>
      </c>
      <c r="BI377" s="612">
        <f t="shared" si="354"/>
        <v>0</v>
      </c>
      <c r="BJ377" s="201"/>
    </row>
    <row r="378" spans="1:62" ht="12" customHeight="1">
      <c r="A378" s="52"/>
      <c r="B378" s="52"/>
      <c r="C378" s="52"/>
      <c r="D378" s="52"/>
      <c r="E378" s="52"/>
      <c r="F378" s="52"/>
      <c r="G378" s="52"/>
      <c r="H378" s="2">
        <v>7</v>
      </c>
      <c r="I378" s="260">
        <v>111</v>
      </c>
      <c r="J378" s="185">
        <v>3133</v>
      </c>
      <c r="K378" s="19" t="s">
        <v>228</v>
      </c>
      <c r="L378" s="129"/>
      <c r="M378" s="129"/>
      <c r="N378" s="130"/>
      <c r="O378" s="130"/>
      <c r="P378" s="131"/>
      <c r="Q378" s="131"/>
      <c r="R378" s="153"/>
      <c r="S378" s="158" t="e">
        <f ca="1">__xlfn.XLOOKUP(H378,[1]Izvršenje_proračuna_po_pozicija!$B$2:$B$153,[1]Izvršenje_proračuna_po_pozicija!$E$2:$E$153,0)</f>
        <v>#NAME?</v>
      </c>
      <c r="T378" s="158"/>
      <c r="U378" s="158"/>
      <c r="V378" s="532"/>
      <c r="W378" s="532"/>
      <c r="X378" s="560"/>
      <c r="Y378" s="561"/>
      <c r="Z378" s="561"/>
      <c r="AA378" s="562" t="e">
        <f t="shared" ca="1" si="341"/>
        <v>#NAME?</v>
      </c>
      <c r="AB378" s="535"/>
      <c r="AC378" s="529">
        <v>0</v>
      </c>
      <c r="AD378" s="529">
        <v>0</v>
      </c>
      <c r="AE378" s="529"/>
      <c r="AF378" s="529"/>
      <c r="AG378" s="529"/>
      <c r="AH378" s="529"/>
      <c r="AI378" s="535"/>
      <c r="AJ378" s="561"/>
      <c r="AK378" s="507"/>
      <c r="AL378" s="507"/>
      <c r="AM378" s="507"/>
      <c r="AN378" s="556"/>
      <c r="AO378" s="510"/>
      <c r="AP378" s="510" t="e">
        <f t="shared" ca="1" si="338"/>
        <v>#NAME?</v>
      </c>
      <c r="AQ378" s="532"/>
      <c r="AR378" s="533"/>
      <c r="AS378" s="533"/>
      <c r="AT378" s="533"/>
      <c r="AU378" s="533"/>
      <c r="AV378" s="533"/>
      <c r="AW378" s="612"/>
      <c r="AX378" s="612"/>
      <c r="AY378" s="612"/>
      <c r="AZ378" s="612"/>
      <c r="BA378" s="612"/>
      <c r="BB378" s="612"/>
      <c r="BC378" s="612"/>
      <c r="BD378" s="612"/>
      <c r="BE378" s="612"/>
      <c r="BF378" s="612"/>
      <c r="BG378" s="612"/>
      <c r="BH378" s="612">
        <f t="shared" si="344"/>
        <v>0</v>
      </c>
      <c r="BI378" s="612">
        <f t="shared" si="354"/>
        <v>11957.54</v>
      </c>
      <c r="BJ378" s="201">
        <f>AQ385-BI378</f>
        <v>0</v>
      </c>
    </row>
    <row r="379" spans="1:62" ht="12" customHeight="1">
      <c r="A379" s="52"/>
      <c r="B379" s="52"/>
      <c r="C379" s="52"/>
      <c r="D379" s="52"/>
      <c r="E379" s="52"/>
      <c r="F379" s="52"/>
      <c r="G379" s="52"/>
      <c r="H379" s="2" t="s">
        <v>332</v>
      </c>
      <c r="I379" s="260">
        <v>111</v>
      </c>
      <c r="J379" s="185">
        <v>3132</v>
      </c>
      <c r="K379" s="19" t="s">
        <v>333</v>
      </c>
      <c r="L379" s="129"/>
      <c r="M379" s="129"/>
      <c r="N379" s="130"/>
      <c r="O379" s="130"/>
      <c r="P379" s="131"/>
      <c r="Q379" s="131"/>
      <c r="R379" s="153"/>
      <c r="S379" s="158" t="e">
        <f ca="1">__xlfn.XLOOKUP(H379,[1]Izvršenje_proračuna_po_pozicija!$B$2:$B$153,[1]Izvršenje_proračuna_po_pozicija!$E$2:$E$153,0)</f>
        <v>#NAME?</v>
      </c>
      <c r="T379" s="158"/>
      <c r="U379" s="158"/>
      <c r="V379" s="532"/>
      <c r="W379" s="532"/>
      <c r="X379" s="560"/>
      <c r="Y379" s="561"/>
      <c r="Z379" s="561"/>
      <c r="AA379" s="562" t="e">
        <f t="shared" ca="1" si="341"/>
        <v>#NAME?</v>
      </c>
      <c r="AB379" s="535"/>
      <c r="AC379" s="529"/>
      <c r="AD379" s="529"/>
      <c r="AE379" s="529"/>
      <c r="AF379" s="529"/>
      <c r="AG379" s="529"/>
      <c r="AH379" s="529"/>
      <c r="AI379" s="535"/>
      <c r="AJ379" s="561"/>
      <c r="AK379" s="507"/>
      <c r="AL379" s="507"/>
      <c r="AM379" s="507"/>
      <c r="AN379" s="556"/>
      <c r="AO379" s="510"/>
      <c r="AP379" s="510" t="e">
        <f t="shared" ca="1" si="338"/>
        <v>#NAME?</v>
      </c>
      <c r="AQ379" s="532"/>
      <c r="AR379" s="533"/>
      <c r="AS379" s="533"/>
      <c r="AT379" s="533"/>
      <c r="AU379" s="533"/>
      <c r="AV379" s="533"/>
      <c r="AW379" s="612"/>
      <c r="AX379" s="612"/>
      <c r="AY379" s="612"/>
      <c r="AZ379" s="612"/>
      <c r="BA379" s="612"/>
      <c r="BB379" s="612"/>
      <c r="BC379" s="612"/>
      <c r="BD379" s="612"/>
      <c r="BE379" s="612"/>
      <c r="BF379" s="612"/>
      <c r="BG379" s="612"/>
      <c r="BH379" s="612">
        <f t="shared" si="344"/>
        <v>0</v>
      </c>
      <c r="BI379" s="612">
        <f t="shared" si="354"/>
        <v>7585.7</v>
      </c>
      <c r="BJ379" s="201">
        <f>AQ386-BI379</f>
        <v>0</v>
      </c>
    </row>
    <row r="380" spans="1:62" ht="12" customHeight="1">
      <c r="A380" s="231"/>
      <c r="B380" s="231"/>
      <c r="C380" s="231"/>
      <c r="D380" s="231"/>
      <c r="E380" s="231"/>
      <c r="F380" s="231"/>
      <c r="G380" s="231"/>
      <c r="H380" s="232" t="s">
        <v>334</v>
      </c>
      <c r="I380" s="14">
        <v>111</v>
      </c>
      <c r="J380" s="5">
        <v>3133</v>
      </c>
      <c r="K380" s="185" t="s">
        <v>335</v>
      </c>
      <c r="L380" s="262"/>
      <c r="M380" s="262"/>
      <c r="N380" s="263"/>
      <c r="O380" s="263"/>
      <c r="P380" s="264"/>
      <c r="Q380" s="264"/>
      <c r="R380" s="274"/>
      <c r="S380" s="158" t="e">
        <f ca="1">__xlfn.XLOOKUP(H380,[1]Izvršenje_proračuna_po_pozicija!$B$2:$B$153,[1]Izvršenje_proračuna_po_pozicija!$E$2:$E$153,0)</f>
        <v>#NAME?</v>
      </c>
      <c r="T380" s="158"/>
      <c r="U380" s="158"/>
      <c r="V380" s="532"/>
      <c r="W380" s="532"/>
      <c r="X380" s="574"/>
      <c r="Y380" s="575"/>
      <c r="Z380" s="575"/>
      <c r="AA380" s="562" t="e">
        <f t="shared" ca="1" si="341"/>
        <v>#NAME?</v>
      </c>
      <c r="AB380" s="540"/>
      <c r="AC380" s="541"/>
      <c r="AD380" s="541"/>
      <c r="AE380" s="529"/>
      <c r="AF380" s="529"/>
      <c r="AG380" s="529"/>
      <c r="AH380" s="529"/>
      <c r="AI380" s="540"/>
      <c r="AJ380" s="575"/>
      <c r="AK380" s="507"/>
      <c r="AL380" s="507"/>
      <c r="AM380" s="507"/>
      <c r="AN380" s="558"/>
      <c r="AO380" s="510"/>
      <c r="AP380" s="510" t="e">
        <f t="shared" ca="1" si="338"/>
        <v>#NAME?</v>
      </c>
      <c r="AQ380" s="532"/>
      <c r="AR380" s="533"/>
      <c r="AS380" s="533"/>
      <c r="AT380" s="533"/>
      <c r="AU380" s="533"/>
      <c r="AV380" s="533"/>
      <c r="AW380" s="612"/>
      <c r="AX380" s="612"/>
      <c r="AY380" s="612"/>
      <c r="AZ380" s="612"/>
      <c r="BA380" s="612"/>
      <c r="BB380" s="612"/>
      <c r="BC380" s="612"/>
      <c r="BD380" s="612"/>
      <c r="BE380" s="612"/>
      <c r="BF380" s="612"/>
      <c r="BG380" s="612"/>
      <c r="BH380" s="612">
        <f t="shared" si="344"/>
        <v>0</v>
      </c>
      <c r="BI380" s="612">
        <f t="shared" si="354"/>
        <v>4081.5</v>
      </c>
      <c r="BJ380" s="201">
        <f>AQ387-BI380</f>
        <v>0</v>
      </c>
    </row>
    <row r="381" spans="1:62" ht="12" customHeight="1">
      <c r="A381" s="231"/>
      <c r="B381" s="231"/>
      <c r="C381" s="231"/>
      <c r="D381" s="231"/>
      <c r="E381" s="231"/>
      <c r="F381" s="231"/>
      <c r="G381" s="231"/>
      <c r="H381" s="233"/>
      <c r="I381" s="14"/>
      <c r="J381" s="5"/>
      <c r="K381" s="185"/>
      <c r="L381" s="262"/>
      <c r="M381" s="262"/>
      <c r="N381" s="263"/>
      <c r="O381" s="263"/>
      <c r="P381" s="264"/>
      <c r="Q381" s="264"/>
      <c r="R381" s="274"/>
      <c r="S381" s="158" t="e">
        <f ca="1">__xlfn.XLOOKUP(H381,[1]Izvršenje_proračuna_po_pozicija!$B$2:$B$153,[1]Izvršenje_proračuna_po_pozicija!$E$2:$E$153,0)</f>
        <v>#NAME?</v>
      </c>
      <c r="T381" s="158"/>
      <c r="U381" s="158"/>
      <c r="V381" s="532"/>
      <c r="W381" s="532"/>
      <c r="X381" s="574"/>
      <c r="Y381" s="575"/>
      <c r="Z381" s="575"/>
      <c r="AA381" s="562" t="e">
        <f t="shared" ca="1" si="341"/>
        <v>#NAME?</v>
      </c>
      <c r="AB381" s="540"/>
      <c r="AC381" s="541"/>
      <c r="AD381" s="541"/>
      <c r="AE381" s="529"/>
      <c r="AF381" s="529"/>
      <c r="AG381" s="529"/>
      <c r="AH381" s="529"/>
      <c r="AI381" s="540"/>
      <c r="AJ381" s="575"/>
      <c r="AK381" s="507"/>
      <c r="AL381" s="507"/>
      <c r="AM381" s="507"/>
      <c r="AN381" s="558"/>
      <c r="AO381" s="510"/>
      <c r="AP381" s="510" t="e">
        <f t="shared" ca="1" si="338"/>
        <v>#NAME?</v>
      </c>
      <c r="AQ381" s="532"/>
      <c r="AR381" s="533"/>
      <c r="AS381" s="533"/>
      <c r="AT381" s="533"/>
      <c r="AU381" s="533"/>
      <c r="AV381" s="533"/>
      <c r="AW381" s="612"/>
      <c r="AX381" s="612"/>
      <c r="AY381" s="612"/>
      <c r="AZ381" s="612"/>
      <c r="BA381" s="612"/>
      <c r="BB381" s="612"/>
      <c r="BC381" s="612"/>
      <c r="BD381" s="612"/>
      <c r="BE381" s="612"/>
      <c r="BF381" s="612"/>
      <c r="BG381" s="612"/>
      <c r="BH381" s="612">
        <f t="shared" si="344"/>
        <v>0</v>
      </c>
      <c r="BI381" s="612">
        <f t="shared" si="354"/>
        <v>2434.52</v>
      </c>
      <c r="BJ381" s="201">
        <f>AQ388-BI381</f>
        <v>0</v>
      </c>
    </row>
    <row r="382" spans="1:62" ht="12" customHeight="1">
      <c r="A382" s="227"/>
      <c r="B382" s="227"/>
      <c r="C382" s="227"/>
      <c r="D382" s="227"/>
      <c r="E382" s="227"/>
      <c r="F382" s="227"/>
      <c r="G382" s="227"/>
      <c r="H382" s="234"/>
      <c r="I382" s="265"/>
      <c r="J382" s="228">
        <v>32</v>
      </c>
      <c r="K382" s="258" t="s">
        <v>229</v>
      </c>
      <c r="L382" s="111">
        <f t="shared" ref="L382:S382" si="359">L384+L390+L397+L406+L409</f>
        <v>832672</v>
      </c>
      <c r="M382" s="111">
        <f t="shared" si="359"/>
        <v>110514.56632822349</v>
      </c>
      <c r="N382" s="112">
        <f t="shared" si="359"/>
        <v>835378</v>
      </c>
      <c r="O382" s="112">
        <f t="shared" si="359"/>
        <v>110873.71424779347</v>
      </c>
      <c r="P382" s="113">
        <f t="shared" si="359"/>
        <v>159600</v>
      </c>
      <c r="Q382" s="113">
        <f t="shared" si="359"/>
        <v>176700</v>
      </c>
      <c r="R382" s="87">
        <f t="shared" si="359"/>
        <v>152058</v>
      </c>
      <c r="S382" s="89" t="e">
        <f t="shared" ca="1" si="359"/>
        <v>#NAME?</v>
      </c>
      <c r="T382" s="89"/>
      <c r="U382" s="89"/>
      <c r="V382" s="532">
        <f>V384+V390+V397+V406+V409</f>
        <v>202100</v>
      </c>
      <c r="W382" s="532">
        <f>W384+W390+W397+W406+W409</f>
        <v>202100</v>
      </c>
      <c r="X382" s="506">
        <f>X384+X390+X397+X406+X409</f>
        <v>231500</v>
      </c>
      <c r="Y382" s="507">
        <f>Y384+Y390+Y397+Y406+Y409</f>
        <v>286000</v>
      </c>
      <c r="Z382" s="507">
        <f>Z384+Z390+Z397+Z406+Z409</f>
        <v>0</v>
      </c>
      <c r="AA382" s="562" t="e">
        <f t="shared" ca="1" si="341"/>
        <v>#NAME?</v>
      </c>
      <c r="AB382" s="507"/>
      <c r="AC382" s="508">
        <f>AC384+AC390+AC397+AC406+AC409</f>
        <v>163900</v>
      </c>
      <c r="AD382" s="508">
        <f>AD384+AD390+AD397+AD406+AD409</f>
        <v>163900</v>
      </c>
      <c r="AE382" s="529">
        <f>O382/M382*100</f>
        <v>100.3249779024634</v>
      </c>
      <c r="AF382" s="529">
        <f>P382/O382*100</f>
        <v>143.9475542808166</v>
      </c>
      <c r="AG382" s="529">
        <f>Q382/P382*100</f>
        <v>110.71428571428572</v>
      </c>
      <c r="AH382" s="529">
        <f>AC382/Q382*100</f>
        <v>92.756083757781553</v>
      </c>
      <c r="AI382" s="507"/>
      <c r="AJ382" s="507">
        <v>286000</v>
      </c>
      <c r="AK382" s="507">
        <f t="shared" si="342"/>
        <v>132.90981073011613</v>
      </c>
      <c r="AL382" s="507">
        <f t="shared" si="343"/>
        <v>114.54725383473527</v>
      </c>
      <c r="AM382" s="507">
        <f t="shared" si="343"/>
        <v>123.54211663066954</v>
      </c>
      <c r="AN382" s="509"/>
      <c r="AO382" s="510"/>
      <c r="AP382" s="510" t="e">
        <f t="shared" ca="1" si="338"/>
        <v>#NAME?</v>
      </c>
      <c r="AQ382" s="532">
        <f>AQ384+AQ390+AQ397+AQ406+AQ409</f>
        <v>193286.28999999998</v>
      </c>
      <c r="AR382" s="533">
        <f t="shared" si="347"/>
        <v>132.90981073011613</v>
      </c>
      <c r="AS382" s="533">
        <f t="shared" si="348"/>
        <v>100</v>
      </c>
      <c r="AT382" s="533">
        <f t="shared" si="349"/>
        <v>132.90981073011613</v>
      </c>
      <c r="AU382" s="533">
        <f>AQ382/W382*100</f>
        <v>95.638936170212759</v>
      </c>
      <c r="AV382" s="533">
        <f>AQ382/R382*100</f>
        <v>127.11352904812637</v>
      </c>
      <c r="AW382" s="612"/>
      <c r="AX382" s="612"/>
      <c r="AY382" s="612"/>
      <c r="AZ382" s="612"/>
      <c r="BA382" s="612"/>
      <c r="BB382" s="612"/>
      <c r="BC382" s="612"/>
      <c r="BD382" s="612"/>
      <c r="BE382" s="612"/>
      <c r="BF382" s="612"/>
      <c r="BG382" s="612"/>
      <c r="BH382" s="612">
        <f t="shared" si="344"/>
        <v>0</v>
      </c>
      <c r="BI382" s="612">
        <f t="shared" si="354"/>
        <v>0</v>
      </c>
      <c r="BJ382" s="201"/>
    </row>
    <row r="383" spans="1:62" ht="12" customHeight="1">
      <c r="A383" s="41"/>
      <c r="B383" s="41"/>
      <c r="C383" s="41"/>
      <c r="D383" s="41"/>
      <c r="E383" s="41"/>
      <c r="F383" s="41"/>
      <c r="G383" s="41"/>
      <c r="H383" s="235"/>
      <c r="I383" s="15"/>
      <c r="J383" s="3"/>
      <c r="K383" s="83"/>
      <c r="L383" s="84"/>
      <c r="M383" s="84"/>
      <c r="N383" s="85"/>
      <c r="O383" s="85"/>
      <c r="P383" s="86"/>
      <c r="Q383" s="86"/>
      <c r="R383" s="154"/>
      <c r="S383" s="158" t="e">
        <f ca="1">__xlfn.XLOOKUP(H383,[1]Izvršenje_proračuna_po_pozicija!$B$2:$B$153,[1]Izvršenje_proračuna_po_pozicija!$E$2:$E$153,0)</f>
        <v>#NAME?</v>
      </c>
      <c r="T383" s="158"/>
      <c r="U383" s="158"/>
      <c r="V383" s="532"/>
      <c r="W383" s="532"/>
      <c r="X383" s="568"/>
      <c r="Y383" s="569"/>
      <c r="Z383" s="569"/>
      <c r="AA383" s="562" t="e">
        <f t="shared" ca="1" si="341"/>
        <v>#NAME?</v>
      </c>
      <c r="AB383" s="537"/>
      <c r="AC383" s="538"/>
      <c r="AD383" s="538"/>
      <c r="AE383" s="529"/>
      <c r="AF383" s="529"/>
      <c r="AG383" s="529"/>
      <c r="AH383" s="529"/>
      <c r="AI383" s="537"/>
      <c r="AJ383" s="569"/>
      <c r="AK383" s="507"/>
      <c r="AL383" s="507"/>
      <c r="AM383" s="507"/>
      <c r="AN383" s="557"/>
      <c r="AO383" s="510"/>
      <c r="AP383" s="510" t="e">
        <f t="shared" ca="1" si="338"/>
        <v>#NAME?</v>
      </c>
      <c r="AQ383" s="532"/>
      <c r="AR383" s="533"/>
      <c r="AS383" s="533"/>
      <c r="AT383" s="533"/>
      <c r="AU383" s="533"/>
      <c r="AV383" s="533"/>
      <c r="AW383" s="612"/>
      <c r="AX383" s="612"/>
      <c r="AY383" s="612"/>
      <c r="AZ383" s="612"/>
      <c r="BA383" s="612"/>
      <c r="BB383" s="612"/>
      <c r="BC383" s="612"/>
      <c r="BD383" s="612"/>
      <c r="BE383" s="612"/>
      <c r="BF383" s="612"/>
      <c r="BG383" s="612"/>
      <c r="BH383" s="612">
        <f t="shared" si="344"/>
        <v>0</v>
      </c>
      <c r="BI383" s="612">
        <f t="shared" si="354"/>
        <v>0</v>
      </c>
      <c r="BJ383" s="201"/>
    </row>
    <row r="384" spans="1:62" ht="12" customHeight="1">
      <c r="A384" s="61"/>
      <c r="B384" s="61"/>
      <c r="C384" s="61"/>
      <c r="D384" s="61"/>
      <c r="E384" s="61"/>
      <c r="F384" s="61"/>
      <c r="G384" s="61"/>
      <c r="H384" s="230"/>
      <c r="I384" s="261"/>
      <c r="J384" s="229">
        <v>321</v>
      </c>
      <c r="K384" s="20" t="s">
        <v>336</v>
      </c>
      <c r="L384" s="111">
        <f t="shared" ref="L384:S384" si="360">L385+L386+L387+L388</f>
        <v>59045</v>
      </c>
      <c r="M384" s="111">
        <f t="shared" si="360"/>
        <v>7836.6182228415955</v>
      </c>
      <c r="N384" s="112">
        <f t="shared" si="360"/>
        <v>92141</v>
      </c>
      <c r="O384" s="112">
        <f t="shared" si="360"/>
        <v>12229.212290132058</v>
      </c>
      <c r="P384" s="113">
        <f t="shared" si="360"/>
        <v>16600</v>
      </c>
      <c r="Q384" s="113">
        <f t="shared" si="360"/>
        <v>19300</v>
      </c>
      <c r="R384" s="87">
        <f t="shared" si="360"/>
        <v>16211</v>
      </c>
      <c r="S384" s="89" t="e">
        <f t="shared" ca="1" si="360"/>
        <v>#NAME?</v>
      </c>
      <c r="T384" s="89"/>
      <c r="U384" s="89"/>
      <c r="V384" s="532">
        <f>V385+V386+V387+V388</f>
        <v>25000</v>
      </c>
      <c r="W384" s="532">
        <f>W385+W386+W387+W388</f>
        <v>25000</v>
      </c>
      <c r="X384" s="506">
        <f>X385+X386+X387+X388</f>
        <v>29500</v>
      </c>
      <c r="Y384" s="507">
        <f>Y385+Y386+Y387+Y388</f>
        <v>41000</v>
      </c>
      <c r="Z384" s="507">
        <f>Z385+Z386+Z387+Z388</f>
        <v>0</v>
      </c>
      <c r="AA384" s="562" t="e">
        <f t="shared" ca="1" si="341"/>
        <v>#NAME?</v>
      </c>
      <c r="AB384" s="507"/>
      <c r="AC384" s="508">
        <f>AC385+AC386+AC387+AC388</f>
        <v>16800</v>
      </c>
      <c r="AD384" s="508">
        <f>AD385+AD386+AD387+AD388</f>
        <v>16800</v>
      </c>
      <c r="AE384" s="529">
        <f>O384/M384*100</f>
        <v>156.0521636040308</v>
      </c>
      <c r="AF384" s="529">
        <f t="shared" ref="AF384:AG388" si="361">P384/O384*100</f>
        <v>135.74054980953105</v>
      </c>
      <c r="AG384" s="529">
        <f t="shared" si="361"/>
        <v>116.26506024096386</v>
      </c>
      <c r="AH384" s="529">
        <f>AC384/Q384*100</f>
        <v>87.046632124352328</v>
      </c>
      <c r="AI384" s="507"/>
      <c r="AJ384" s="507">
        <v>41000</v>
      </c>
      <c r="AK384" s="507">
        <f t="shared" si="342"/>
        <v>154.21627290111653</v>
      </c>
      <c r="AL384" s="507">
        <f t="shared" si="343"/>
        <v>118</v>
      </c>
      <c r="AM384" s="507">
        <f t="shared" si="343"/>
        <v>138.98305084745763</v>
      </c>
      <c r="AN384" s="509"/>
      <c r="AO384" s="510"/>
      <c r="AP384" s="510" t="e">
        <f t="shared" ca="1" si="338"/>
        <v>#NAME?</v>
      </c>
      <c r="AQ384" s="532">
        <f>AQ385+AQ386+AQ387+AQ388</f>
        <v>26059.260000000002</v>
      </c>
      <c r="AR384" s="533">
        <f t="shared" si="347"/>
        <v>154.21627290111653</v>
      </c>
      <c r="AS384" s="533">
        <f t="shared" si="348"/>
        <v>100</v>
      </c>
      <c r="AT384" s="533">
        <f t="shared" si="349"/>
        <v>154.21627290111653</v>
      </c>
      <c r="AU384" s="533">
        <f>AQ384/W384*100</f>
        <v>104.23704000000001</v>
      </c>
      <c r="AV384" s="533">
        <f>AQ384/R384*100</f>
        <v>160.75047807044601</v>
      </c>
      <c r="AW384" s="612"/>
      <c r="AX384" s="612"/>
      <c r="AY384" s="612"/>
      <c r="AZ384" s="612"/>
      <c r="BA384" s="612"/>
      <c r="BB384" s="612"/>
      <c r="BC384" s="612"/>
      <c r="BD384" s="612"/>
      <c r="BE384" s="612"/>
      <c r="BF384" s="612"/>
      <c r="BG384" s="612"/>
      <c r="BH384" s="612">
        <f t="shared" si="344"/>
        <v>0</v>
      </c>
      <c r="BI384" s="612">
        <f t="shared" si="354"/>
        <v>6949.6</v>
      </c>
      <c r="BJ384" s="201">
        <f>AQ391-BI384</f>
        <v>0</v>
      </c>
    </row>
    <row r="385" spans="1:62" ht="12" customHeight="1">
      <c r="A385" s="52"/>
      <c r="B385" s="52"/>
      <c r="C385" s="52"/>
      <c r="D385" s="52"/>
      <c r="E385" s="52"/>
      <c r="F385" s="52"/>
      <c r="G385" s="52"/>
      <c r="H385" s="2">
        <v>8</v>
      </c>
      <c r="I385" s="260">
        <v>111</v>
      </c>
      <c r="J385" s="185">
        <v>3211</v>
      </c>
      <c r="K385" s="19" t="s">
        <v>231</v>
      </c>
      <c r="L385" s="129">
        <v>27917</v>
      </c>
      <c r="M385" s="129">
        <f>27917/7.5345</f>
        <v>3705.2226425111153</v>
      </c>
      <c r="N385" s="130">
        <v>58424</v>
      </c>
      <c r="O385" s="130">
        <f>N385/7.5345</f>
        <v>7754.1973588161118</v>
      </c>
      <c r="P385" s="131">
        <v>9300</v>
      </c>
      <c r="Q385" s="156">
        <v>12000</v>
      </c>
      <c r="R385" s="153">
        <v>8430</v>
      </c>
      <c r="S385" s="158">
        <v>9495</v>
      </c>
      <c r="T385" s="158"/>
      <c r="U385" s="158"/>
      <c r="V385" s="532">
        <v>12000</v>
      </c>
      <c r="W385" s="532">
        <v>12000</v>
      </c>
      <c r="X385" s="560">
        <v>14000</v>
      </c>
      <c r="Y385" s="561">
        <v>18000</v>
      </c>
      <c r="Z385" s="561"/>
      <c r="AA385" s="562" t="e">
        <f t="shared" ca="1" si="341"/>
        <v>#NAME?</v>
      </c>
      <c r="AB385" s="535"/>
      <c r="AC385" s="529">
        <v>9500</v>
      </c>
      <c r="AD385" s="529">
        <v>9500</v>
      </c>
      <c r="AE385" s="529">
        <f>O385/M385*100</f>
        <v>209.27750116416522</v>
      </c>
      <c r="AF385" s="529">
        <f t="shared" si="361"/>
        <v>119.93504381760923</v>
      </c>
      <c r="AG385" s="529">
        <f t="shared" si="361"/>
        <v>129.03225806451613</v>
      </c>
      <c r="AH385" s="529">
        <f>AC385/Q385*100</f>
        <v>79.166666666666657</v>
      </c>
      <c r="AI385" s="535"/>
      <c r="AJ385" s="561">
        <v>18000</v>
      </c>
      <c r="AK385" s="507">
        <f t="shared" si="342"/>
        <v>142.34875444839858</v>
      </c>
      <c r="AL385" s="507">
        <f t="shared" si="343"/>
        <v>116.66666666666667</v>
      </c>
      <c r="AM385" s="507">
        <f t="shared" si="343"/>
        <v>128.57142857142858</v>
      </c>
      <c r="AN385" s="556"/>
      <c r="AO385" s="510"/>
      <c r="AP385" s="510" t="e">
        <f t="shared" ca="1" si="338"/>
        <v>#NAME?</v>
      </c>
      <c r="AQ385" s="532">
        <v>11957.54</v>
      </c>
      <c r="AR385" s="533">
        <f t="shared" si="347"/>
        <v>142.34875444839858</v>
      </c>
      <c r="AS385" s="533">
        <f t="shared" si="348"/>
        <v>100</v>
      </c>
      <c r="AT385" s="533">
        <f t="shared" si="349"/>
        <v>142.34875444839858</v>
      </c>
      <c r="AU385" s="533">
        <f>AQ385/W385*100</f>
        <v>99.646166666666673</v>
      </c>
      <c r="AV385" s="533">
        <f>AQ385/R385*100</f>
        <v>141.84507710557534</v>
      </c>
      <c r="AW385" s="612">
        <f>AQ385</f>
        <v>11957.54</v>
      </c>
      <c r="AX385" s="612"/>
      <c r="AY385" s="612"/>
      <c r="AZ385" s="612"/>
      <c r="BA385" s="612"/>
      <c r="BB385" s="612"/>
      <c r="BC385" s="612"/>
      <c r="BD385" s="612"/>
      <c r="BE385" s="612"/>
      <c r="BF385" s="612"/>
      <c r="BG385" s="612"/>
      <c r="BH385" s="612">
        <f t="shared" si="344"/>
        <v>11957.54</v>
      </c>
      <c r="BI385" s="612">
        <f t="shared" si="354"/>
        <v>13499.31</v>
      </c>
      <c r="BJ385" s="201">
        <f>AQ392-BI385</f>
        <v>0</v>
      </c>
    </row>
    <row r="386" spans="1:62" ht="12" customHeight="1">
      <c r="A386" s="52"/>
      <c r="B386" s="52"/>
      <c r="C386" s="52"/>
      <c r="D386" s="52"/>
      <c r="E386" s="52"/>
      <c r="F386" s="52"/>
      <c r="G386" s="52"/>
      <c r="H386" s="2">
        <v>9</v>
      </c>
      <c r="I386" s="260">
        <v>111</v>
      </c>
      <c r="J386" s="185">
        <v>3212</v>
      </c>
      <c r="K386" s="19" t="s">
        <v>337</v>
      </c>
      <c r="L386" s="129">
        <v>22600</v>
      </c>
      <c r="M386" s="129">
        <f>22600/7.5345</f>
        <v>2999.5354701705487</v>
      </c>
      <c r="N386" s="130">
        <v>22728</v>
      </c>
      <c r="O386" s="130">
        <f>N386/7.5345</f>
        <v>3016.523989647621</v>
      </c>
      <c r="P386" s="131">
        <v>4000</v>
      </c>
      <c r="Q386" s="131">
        <v>4000</v>
      </c>
      <c r="R386" s="153">
        <v>5010</v>
      </c>
      <c r="S386" s="158">
        <v>4176</v>
      </c>
      <c r="T386" s="158"/>
      <c r="U386" s="158"/>
      <c r="V386" s="532">
        <v>6000</v>
      </c>
      <c r="W386" s="532">
        <v>6000</v>
      </c>
      <c r="X386" s="560">
        <v>7000</v>
      </c>
      <c r="Y386" s="561">
        <v>10000</v>
      </c>
      <c r="Z386" s="561"/>
      <c r="AA386" s="562" t="e">
        <f t="shared" ca="1" si="341"/>
        <v>#NAME?</v>
      </c>
      <c r="AB386" s="535"/>
      <c r="AC386" s="529">
        <v>4000</v>
      </c>
      <c r="AD386" s="529">
        <v>4000</v>
      </c>
      <c r="AE386" s="529">
        <f>O386/M386*100</f>
        <v>100.56637168141593</v>
      </c>
      <c r="AF386" s="529">
        <f t="shared" si="361"/>
        <v>132.60295670538542</v>
      </c>
      <c r="AG386" s="529">
        <f t="shared" si="361"/>
        <v>100</v>
      </c>
      <c r="AH386" s="529">
        <f>AC386/Q386*100</f>
        <v>100</v>
      </c>
      <c r="AI386" s="535"/>
      <c r="AJ386" s="561">
        <v>10000</v>
      </c>
      <c r="AK386" s="507">
        <f t="shared" si="342"/>
        <v>119.76047904191616</v>
      </c>
      <c r="AL386" s="507">
        <f t="shared" si="343"/>
        <v>116.66666666666667</v>
      </c>
      <c r="AM386" s="507">
        <f t="shared" si="343"/>
        <v>142.85714285714286</v>
      </c>
      <c r="AN386" s="556"/>
      <c r="AO386" s="510"/>
      <c r="AP386" s="510" t="e">
        <f t="shared" ca="1" si="338"/>
        <v>#NAME?</v>
      </c>
      <c r="AQ386" s="532">
        <v>7585.7</v>
      </c>
      <c r="AR386" s="533">
        <f t="shared" si="347"/>
        <v>119.76047904191616</v>
      </c>
      <c r="AS386" s="533">
        <f t="shared" si="348"/>
        <v>100</v>
      </c>
      <c r="AT386" s="533">
        <f t="shared" si="349"/>
        <v>119.76047904191616</v>
      </c>
      <c r="AU386" s="533">
        <f>AQ386/W386*100</f>
        <v>126.42833333333331</v>
      </c>
      <c r="AV386" s="533">
        <f>AQ386/R386*100</f>
        <v>151.41117764471056</v>
      </c>
      <c r="AW386" s="612">
        <f>AQ386</f>
        <v>7585.7</v>
      </c>
      <c r="AX386" s="612"/>
      <c r="AY386" s="612"/>
      <c r="AZ386" s="612"/>
      <c r="BA386" s="612"/>
      <c r="BB386" s="612"/>
      <c r="BC386" s="612"/>
      <c r="BD386" s="612"/>
      <c r="BE386" s="612"/>
      <c r="BF386" s="612"/>
      <c r="BG386" s="612"/>
      <c r="BH386" s="612">
        <f t="shared" si="344"/>
        <v>7585.7</v>
      </c>
      <c r="BI386" s="612">
        <f t="shared" si="354"/>
        <v>725.41</v>
      </c>
      <c r="BJ386" s="201">
        <f>AQ393-BI386</f>
        <v>0</v>
      </c>
    </row>
    <row r="387" spans="1:62" ht="12" customHeight="1">
      <c r="A387" s="52"/>
      <c r="B387" s="52"/>
      <c r="C387" s="52"/>
      <c r="D387" s="52"/>
      <c r="E387" s="52"/>
      <c r="F387" s="52"/>
      <c r="G387" s="52"/>
      <c r="H387" s="236">
        <v>10</v>
      </c>
      <c r="I387" s="266">
        <v>111</v>
      </c>
      <c r="J387" s="267">
        <v>3213</v>
      </c>
      <c r="K387" s="268" t="s">
        <v>233</v>
      </c>
      <c r="L387" s="269">
        <v>3350</v>
      </c>
      <c r="M387" s="269">
        <f>3350/7.5345</f>
        <v>444.62140818899724</v>
      </c>
      <c r="N387" s="270">
        <v>2790</v>
      </c>
      <c r="O387" s="130">
        <f>N387/7.5345</f>
        <v>370.29663547680667</v>
      </c>
      <c r="P387" s="271">
        <v>1300</v>
      </c>
      <c r="Q387" s="271">
        <v>1300</v>
      </c>
      <c r="R387" s="275">
        <v>1485</v>
      </c>
      <c r="S387" s="158">
        <v>3776</v>
      </c>
      <c r="T387" s="276"/>
      <c r="U387" s="276"/>
      <c r="V387" s="532">
        <v>5000</v>
      </c>
      <c r="W387" s="532">
        <v>5000</v>
      </c>
      <c r="X387" s="576">
        <v>6000</v>
      </c>
      <c r="Y387" s="577">
        <v>10000</v>
      </c>
      <c r="Z387" s="577"/>
      <c r="AA387" s="562" t="e">
        <f t="shared" ca="1" si="341"/>
        <v>#NAME?</v>
      </c>
      <c r="AB387" s="543"/>
      <c r="AC387" s="544">
        <v>1300</v>
      </c>
      <c r="AD387" s="544">
        <v>1300</v>
      </c>
      <c r="AE387" s="529">
        <f>O387/M387*100</f>
        <v>83.28358208955224</v>
      </c>
      <c r="AF387" s="529">
        <f t="shared" si="361"/>
        <v>351.06989247311827</v>
      </c>
      <c r="AG387" s="529">
        <f t="shared" si="361"/>
        <v>100</v>
      </c>
      <c r="AH387" s="529">
        <f>AC387/Q387*100</f>
        <v>100</v>
      </c>
      <c r="AI387" s="543"/>
      <c r="AJ387" s="577">
        <v>10000</v>
      </c>
      <c r="AK387" s="507">
        <f t="shared" si="342"/>
        <v>336.70033670033672</v>
      </c>
      <c r="AL387" s="507">
        <f t="shared" si="343"/>
        <v>120</v>
      </c>
      <c r="AM387" s="507">
        <f t="shared" si="343"/>
        <v>166.66666666666669</v>
      </c>
      <c r="AN387" s="578"/>
      <c r="AO387" s="510"/>
      <c r="AP387" s="510" t="e">
        <f t="shared" ca="1" si="338"/>
        <v>#NAME?</v>
      </c>
      <c r="AQ387" s="532">
        <v>4081.5</v>
      </c>
      <c r="AR387" s="533">
        <f t="shared" si="347"/>
        <v>336.70033670033672</v>
      </c>
      <c r="AS387" s="533">
        <f t="shared" si="348"/>
        <v>100</v>
      </c>
      <c r="AT387" s="533">
        <f t="shared" si="349"/>
        <v>336.70033670033672</v>
      </c>
      <c r="AU387" s="533">
        <f>AQ387/W387*100</f>
        <v>81.63</v>
      </c>
      <c r="AV387" s="533">
        <f>AQ387/R387*100</f>
        <v>274.84848484848487</v>
      </c>
      <c r="AW387" s="612">
        <f>AQ387</f>
        <v>4081.5</v>
      </c>
      <c r="AX387" s="612"/>
      <c r="AY387" s="612"/>
      <c r="AZ387" s="612"/>
      <c r="BA387" s="612"/>
      <c r="BB387" s="612"/>
      <c r="BC387" s="612"/>
      <c r="BD387" s="612"/>
      <c r="BE387" s="612"/>
      <c r="BF387" s="612"/>
      <c r="BG387" s="612"/>
      <c r="BH387" s="612">
        <f t="shared" si="344"/>
        <v>4081.5</v>
      </c>
      <c r="BI387" s="612">
        <f t="shared" si="354"/>
        <v>864.6</v>
      </c>
      <c r="BJ387" s="201">
        <f>AQ394-BI387</f>
        <v>0</v>
      </c>
    </row>
    <row r="388" spans="1:62" ht="12" customHeight="1">
      <c r="A388" s="231"/>
      <c r="B388" s="231"/>
      <c r="C388" s="231"/>
      <c r="D388" s="231"/>
      <c r="E388" s="231"/>
      <c r="F388" s="231"/>
      <c r="G388" s="231"/>
      <c r="H388" s="236" t="s">
        <v>338</v>
      </c>
      <c r="I388" s="266">
        <v>111</v>
      </c>
      <c r="J388" s="267">
        <v>3214</v>
      </c>
      <c r="K388" s="268" t="s">
        <v>339</v>
      </c>
      <c r="L388" s="269">
        <v>5178</v>
      </c>
      <c r="M388" s="269">
        <f>5178/7.5345</f>
        <v>687.23870197093368</v>
      </c>
      <c r="N388" s="270">
        <v>8199</v>
      </c>
      <c r="O388" s="130">
        <f>N388/7.5345</f>
        <v>1088.194306191519</v>
      </c>
      <c r="P388" s="271">
        <v>2000</v>
      </c>
      <c r="Q388" s="271">
        <v>2000</v>
      </c>
      <c r="R388" s="275">
        <v>1286</v>
      </c>
      <c r="S388" s="158" t="e">
        <f ca="1">__xlfn.XLOOKUP(H388,[1]Izvršenje_proračuna_po_pozicija!$B$2:$B$153,[1]Izvršenje_proračuna_po_pozicija!$E$2:$E$153,0)</f>
        <v>#NAME?</v>
      </c>
      <c r="T388" s="276"/>
      <c r="U388" s="276"/>
      <c r="V388" s="532">
        <v>2000</v>
      </c>
      <c r="W388" s="532">
        <v>2000</v>
      </c>
      <c r="X388" s="576">
        <v>2500</v>
      </c>
      <c r="Y388" s="577">
        <v>3000</v>
      </c>
      <c r="Z388" s="577"/>
      <c r="AA388" s="562" t="e">
        <f t="shared" ca="1" si="341"/>
        <v>#NAME?</v>
      </c>
      <c r="AB388" s="543"/>
      <c r="AC388" s="544">
        <v>2000</v>
      </c>
      <c r="AD388" s="544">
        <v>2000</v>
      </c>
      <c r="AE388" s="529">
        <f>O388/M388*100</f>
        <v>158.34298957126305</v>
      </c>
      <c r="AF388" s="529">
        <f t="shared" si="361"/>
        <v>183.79070618368095</v>
      </c>
      <c r="AG388" s="529">
        <f t="shared" si="361"/>
        <v>100</v>
      </c>
      <c r="AH388" s="529">
        <f>AC388/Q388*100</f>
        <v>100</v>
      </c>
      <c r="AI388" s="543"/>
      <c r="AJ388" s="577">
        <v>3000</v>
      </c>
      <c r="AK388" s="507">
        <f t="shared" si="342"/>
        <v>155.52099533437013</v>
      </c>
      <c r="AL388" s="507">
        <f t="shared" si="343"/>
        <v>125</v>
      </c>
      <c r="AM388" s="507">
        <f t="shared" si="343"/>
        <v>120</v>
      </c>
      <c r="AN388" s="578"/>
      <c r="AO388" s="510"/>
      <c r="AP388" s="510" t="e">
        <f t="shared" ca="1" si="338"/>
        <v>#NAME?</v>
      </c>
      <c r="AQ388" s="532">
        <v>2434.52</v>
      </c>
      <c r="AR388" s="533">
        <f t="shared" si="347"/>
        <v>155.52099533437013</v>
      </c>
      <c r="AS388" s="533">
        <f t="shared" si="348"/>
        <v>100</v>
      </c>
      <c r="AT388" s="533">
        <f t="shared" si="349"/>
        <v>155.52099533437013</v>
      </c>
      <c r="AU388" s="533">
        <f>AQ388/W388*100</f>
        <v>121.726</v>
      </c>
      <c r="AV388" s="533">
        <f>AQ388/R388*100</f>
        <v>189.30948678071539</v>
      </c>
      <c r="AW388" s="612">
        <f>AQ388</f>
        <v>2434.52</v>
      </c>
      <c r="AX388" s="612"/>
      <c r="AY388" s="612"/>
      <c r="AZ388" s="612"/>
      <c r="BA388" s="612"/>
      <c r="BB388" s="612"/>
      <c r="BC388" s="612"/>
      <c r="BD388" s="612"/>
      <c r="BE388" s="612"/>
      <c r="BF388" s="612"/>
      <c r="BG388" s="612"/>
      <c r="BH388" s="612">
        <f t="shared" si="344"/>
        <v>2434.52</v>
      </c>
      <c r="BI388" s="612">
        <f t="shared" si="354"/>
        <v>2839.03</v>
      </c>
      <c r="BJ388" s="201">
        <f>AQ395-BI388</f>
        <v>0</v>
      </c>
    </row>
    <row r="389" spans="1:62" ht="12" customHeight="1">
      <c r="A389" s="231"/>
      <c r="B389" s="231"/>
      <c r="C389" s="231"/>
      <c r="D389" s="231"/>
      <c r="E389" s="231"/>
      <c r="F389" s="231"/>
      <c r="G389" s="231"/>
      <c r="H389" s="2"/>
      <c r="I389" s="289"/>
      <c r="J389" s="185"/>
      <c r="K389" s="19"/>
      <c r="L389" s="129"/>
      <c r="M389" s="129"/>
      <c r="N389" s="130"/>
      <c r="O389" s="130"/>
      <c r="P389" s="131"/>
      <c r="Q389" s="131"/>
      <c r="R389" s="153"/>
      <c r="S389" s="158" t="e">
        <f ca="1">__xlfn.XLOOKUP(H389,[1]Izvršenje_proračuna_po_pozicija!$B$2:$B$153,[1]Izvršenje_proračuna_po_pozicija!$E$2:$E$153,0)</f>
        <v>#NAME?</v>
      </c>
      <c r="T389" s="158"/>
      <c r="U389" s="158"/>
      <c r="V389" s="532"/>
      <c r="W389" s="532"/>
      <c r="X389" s="560"/>
      <c r="Y389" s="561"/>
      <c r="Z389" s="561"/>
      <c r="AA389" s="562" t="e">
        <f t="shared" ca="1" si="341"/>
        <v>#NAME?</v>
      </c>
      <c r="AB389" s="535"/>
      <c r="AC389" s="529"/>
      <c r="AD389" s="529"/>
      <c r="AE389" s="529"/>
      <c r="AF389" s="529"/>
      <c r="AG389" s="529"/>
      <c r="AH389" s="529"/>
      <c r="AI389" s="535"/>
      <c r="AJ389" s="561"/>
      <c r="AK389" s="507"/>
      <c r="AL389" s="507"/>
      <c r="AM389" s="507"/>
      <c r="AN389" s="556"/>
      <c r="AO389" s="510"/>
      <c r="AP389" s="510" t="e">
        <f t="shared" ca="1" si="338"/>
        <v>#NAME?</v>
      </c>
      <c r="AQ389" s="532"/>
      <c r="AR389" s="533"/>
      <c r="AS389" s="533"/>
      <c r="AT389" s="533"/>
      <c r="AU389" s="533"/>
      <c r="AV389" s="533"/>
      <c r="AW389" s="612"/>
      <c r="AX389" s="612"/>
      <c r="AY389" s="612"/>
      <c r="AZ389" s="612"/>
      <c r="BA389" s="612"/>
      <c r="BB389" s="612"/>
      <c r="BC389" s="612"/>
      <c r="BD389" s="612"/>
      <c r="BE389" s="612"/>
      <c r="BF389" s="612"/>
      <c r="BG389" s="612"/>
      <c r="BH389" s="612">
        <f t="shared" si="344"/>
        <v>0</v>
      </c>
      <c r="BI389" s="612">
        <f t="shared" si="354"/>
        <v>0</v>
      </c>
      <c r="BJ389" s="201"/>
    </row>
    <row r="390" spans="1:62" ht="12" customHeight="1">
      <c r="A390" s="61"/>
      <c r="B390" s="61"/>
      <c r="C390" s="61"/>
      <c r="D390" s="61"/>
      <c r="E390" s="61"/>
      <c r="F390" s="61"/>
      <c r="G390" s="61"/>
      <c r="H390" s="280"/>
      <c r="I390" s="290"/>
      <c r="J390" s="291">
        <v>322</v>
      </c>
      <c r="K390" s="292" t="s">
        <v>340</v>
      </c>
      <c r="L390" s="250">
        <f t="shared" ref="L390:S390" si="362">L391+L392+L393+L394+L395</f>
        <v>110945</v>
      </c>
      <c r="M390" s="250">
        <f t="shared" si="362"/>
        <v>14724.931979560686</v>
      </c>
      <c r="N390" s="251">
        <f t="shared" si="362"/>
        <v>77168</v>
      </c>
      <c r="O390" s="251">
        <f t="shared" si="362"/>
        <v>10241.953679739861</v>
      </c>
      <c r="P390" s="252">
        <f t="shared" si="362"/>
        <v>17500</v>
      </c>
      <c r="Q390" s="252">
        <f t="shared" si="362"/>
        <v>28900</v>
      </c>
      <c r="R390" s="272">
        <f t="shared" si="362"/>
        <v>34501</v>
      </c>
      <c r="S390" s="273" t="e">
        <f t="shared" ca="1" si="362"/>
        <v>#NAME?</v>
      </c>
      <c r="T390" s="273"/>
      <c r="U390" s="273"/>
      <c r="V390" s="532">
        <f>V391+V392+V393+V394+V395</f>
        <v>32600</v>
      </c>
      <c r="W390" s="532">
        <f>W391+W392+W393+W394+W395</f>
        <v>32600</v>
      </c>
      <c r="X390" s="564">
        <f>X391+X392+X393+X394+X395</f>
        <v>37000</v>
      </c>
      <c r="Y390" s="565">
        <f>Y391+Y392+Y393+Y394+Y395</f>
        <v>48000</v>
      </c>
      <c r="Z390" s="565">
        <f>Z391+Z392+Z393+Z394+Z395</f>
        <v>0</v>
      </c>
      <c r="AA390" s="562" t="e">
        <f t="shared" ca="1" si="341"/>
        <v>#NAME?</v>
      </c>
      <c r="AB390" s="565"/>
      <c r="AC390" s="566">
        <f>AC391+AC392+AC393+AC394+AC395</f>
        <v>18100</v>
      </c>
      <c r="AD390" s="566">
        <f>AD391+AD392+AD393+AD394+AD395</f>
        <v>18100</v>
      </c>
      <c r="AE390" s="529">
        <f>O390/M390*100</f>
        <v>69.555185001577343</v>
      </c>
      <c r="AF390" s="529">
        <f t="shared" ref="AF390:AG393" si="363">P390/O390*100</f>
        <v>170.86583817126274</v>
      </c>
      <c r="AG390" s="529">
        <f t="shared" si="363"/>
        <v>165.14285714285714</v>
      </c>
      <c r="AH390" s="529">
        <f>AC390/Q390*100</f>
        <v>62.629757785467135</v>
      </c>
      <c r="AI390" s="565"/>
      <c r="AJ390" s="565">
        <v>48000</v>
      </c>
      <c r="AK390" s="507">
        <f t="shared" si="342"/>
        <v>94.490014782180225</v>
      </c>
      <c r="AL390" s="507">
        <f t="shared" si="343"/>
        <v>113.49693251533743</v>
      </c>
      <c r="AM390" s="507">
        <f t="shared" si="343"/>
        <v>129.72972972972974</v>
      </c>
      <c r="AN390" s="567"/>
      <c r="AO390" s="510"/>
      <c r="AP390" s="510" t="e">
        <f t="shared" ca="1" si="338"/>
        <v>#NAME?</v>
      </c>
      <c r="AQ390" s="532">
        <f>AQ391+AQ392+AQ393+AQ394+AQ395</f>
        <v>24877.949999999997</v>
      </c>
      <c r="AR390" s="533">
        <f t="shared" si="347"/>
        <v>94.490014782180225</v>
      </c>
      <c r="AS390" s="533">
        <f t="shared" si="348"/>
        <v>100</v>
      </c>
      <c r="AT390" s="533">
        <f t="shared" si="349"/>
        <v>94.490014782180225</v>
      </c>
      <c r="AU390" s="533">
        <f t="shared" ref="AU390:AU395" si="364">AQ390/W390*100</f>
        <v>76.312730061349683</v>
      </c>
      <c r="AV390" s="533">
        <f>AQ390/R390*100</f>
        <v>72.107909915654616</v>
      </c>
      <c r="AW390" s="612"/>
      <c r="AX390" s="612"/>
      <c r="AY390" s="612"/>
      <c r="AZ390" s="612"/>
      <c r="BA390" s="612"/>
      <c r="BB390" s="612"/>
      <c r="BC390" s="612"/>
      <c r="BD390" s="612"/>
      <c r="BE390" s="612"/>
      <c r="BF390" s="612"/>
      <c r="BG390" s="612"/>
      <c r="BH390" s="612">
        <f t="shared" si="344"/>
        <v>0</v>
      </c>
      <c r="BI390" s="612">
        <f t="shared" si="354"/>
        <v>0</v>
      </c>
      <c r="BJ390" s="201"/>
    </row>
    <row r="391" spans="1:62" ht="12" customHeight="1">
      <c r="A391" s="52"/>
      <c r="B391" s="52"/>
      <c r="C391" s="52"/>
      <c r="D391" s="52"/>
      <c r="E391" s="52"/>
      <c r="F391" s="52"/>
      <c r="G391" s="52"/>
      <c r="H391" s="2">
        <v>11</v>
      </c>
      <c r="I391" s="260">
        <v>111</v>
      </c>
      <c r="J391" s="185">
        <v>3221</v>
      </c>
      <c r="K391" s="19" t="s">
        <v>341</v>
      </c>
      <c r="L391" s="129">
        <v>49054</v>
      </c>
      <c r="M391" s="129">
        <f>49054/7.5345</f>
        <v>6510.5846439710658</v>
      </c>
      <c r="N391" s="130">
        <v>57689</v>
      </c>
      <c r="O391" s="130">
        <f>N391/7.5345</f>
        <v>7656.6460946313618</v>
      </c>
      <c r="P391" s="131">
        <v>8800</v>
      </c>
      <c r="Q391" s="156">
        <v>12500</v>
      </c>
      <c r="R391" s="153">
        <v>13194</v>
      </c>
      <c r="S391" s="158">
        <v>4610</v>
      </c>
      <c r="T391" s="158"/>
      <c r="U391" s="158"/>
      <c r="V391" s="532">
        <v>12500</v>
      </c>
      <c r="W391" s="532">
        <v>12500</v>
      </c>
      <c r="X391" s="560">
        <v>15000</v>
      </c>
      <c r="Y391" s="561">
        <v>16000</v>
      </c>
      <c r="Z391" s="561"/>
      <c r="AA391" s="562" t="e">
        <f t="shared" ca="1" si="341"/>
        <v>#NAME?</v>
      </c>
      <c r="AB391" s="535"/>
      <c r="AC391" s="529">
        <v>9000</v>
      </c>
      <c r="AD391" s="529">
        <v>9000</v>
      </c>
      <c r="AE391" s="529">
        <f>O391/M391*100</f>
        <v>117.60304970033025</v>
      </c>
      <c r="AF391" s="529">
        <f t="shared" si="363"/>
        <v>114.93282948222365</v>
      </c>
      <c r="AG391" s="529">
        <f t="shared" si="363"/>
        <v>142.04545454545453</v>
      </c>
      <c r="AH391" s="529">
        <f>AC391/Q391*100</f>
        <v>72</v>
      </c>
      <c r="AI391" s="535"/>
      <c r="AJ391" s="561">
        <v>16000</v>
      </c>
      <c r="AK391" s="507">
        <f t="shared" si="342"/>
        <v>94.740033348491735</v>
      </c>
      <c r="AL391" s="507">
        <f t="shared" si="343"/>
        <v>120</v>
      </c>
      <c r="AM391" s="507">
        <f t="shared" si="343"/>
        <v>106.66666666666667</v>
      </c>
      <c r="AN391" s="556"/>
      <c r="AO391" s="510"/>
      <c r="AP391" s="510" t="e">
        <f t="shared" ca="1" si="338"/>
        <v>#NAME?</v>
      </c>
      <c r="AQ391" s="532">
        <v>6949.6</v>
      </c>
      <c r="AR391" s="533">
        <f t="shared" si="347"/>
        <v>94.740033348491735</v>
      </c>
      <c r="AS391" s="533">
        <f t="shared" si="348"/>
        <v>100</v>
      </c>
      <c r="AT391" s="533">
        <f t="shared" si="349"/>
        <v>94.740033348491735</v>
      </c>
      <c r="AU391" s="533">
        <f t="shared" si="364"/>
        <v>55.596800000000002</v>
      </c>
      <c r="AV391" s="533">
        <f>AQ391/R391*100</f>
        <v>52.672426860694252</v>
      </c>
      <c r="AW391" s="612">
        <f>AQ391</f>
        <v>6949.6</v>
      </c>
      <c r="AX391" s="612"/>
      <c r="AY391" s="612"/>
      <c r="AZ391" s="612"/>
      <c r="BA391" s="612"/>
      <c r="BB391" s="612"/>
      <c r="BC391" s="612"/>
      <c r="BD391" s="612"/>
      <c r="BE391" s="612"/>
      <c r="BF391" s="612"/>
      <c r="BG391" s="612"/>
      <c r="BH391" s="612">
        <f t="shared" si="344"/>
        <v>6949.6</v>
      </c>
      <c r="BI391" s="612">
        <f t="shared" si="354"/>
        <v>23675.89</v>
      </c>
      <c r="BJ391" s="201">
        <f t="shared" ref="BJ391:BJ397" si="365">AQ398-BI391</f>
        <v>0</v>
      </c>
    </row>
    <row r="392" spans="1:62" ht="12" customHeight="1">
      <c r="A392" s="52"/>
      <c r="B392" s="52"/>
      <c r="C392" s="52"/>
      <c r="D392" s="52"/>
      <c r="E392" s="52"/>
      <c r="F392" s="52"/>
      <c r="G392" s="52"/>
      <c r="H392" s="2">
        <v>12</v>
      </c>
      <c r="I392" s="260">
        <v>111</v>
      </c>
      <c r="J392" s="185">
        <v>3223</v>
      </c>
      <c r="K392" s="19" t="s">
        <v>238</v>
      </c>
      <c r="L392" s="129">
        <v>50529</v>
      </c>
      <c r="M392" s="129">
        <f>50529/7.5345</f>
        <v>6706.3507863826399</v>
      </c>
      <c r="N392" s="130">
        <v>13869</v>
      </c>
      <c r="O392" s="130">
        <f>N392/7.5345</f>
        <v>1840.7326299024487</v>
      </c>
      <c r="P392" s="131">
        <v>5500</v>
      </c>
      <c r="Q392" s="156">
        <v>12000</v>
      </c>
      <c r="R392" s="153">
        <v>18066</v>
      </c>
      <c r="S392" s="158">
        <v>10412</v>
      </c>
      <c r="T392" s="158"/>
      <c r="U392" s="158"/>
      <c r="V392" s="532">
        <v>13500</v>
      </c>
      <c r="W392" s="532">
        <v>13500</v>
      </c>
      <c r="X392" s="560">
        <v>16000</v>
      </c>
      <c r="Y392" s="561">
        <v>22000</v>
      </c>
      <c r="Z392" s="561"/>
      <c r="AA392" s="562" t="e">
        <f t="shared" ca="1" si="341"/>
        <v>#NAME?</v>
      </c>
      <c r="AB392" s="535"/>
      <c r="AC392" s="529">
        <v>5600</v>
      </c>
      <c r="AD392" s="529">
        <v>5600</v>
      </c>
      <c r="AE392" s="529">
        <f>O392/M392*100</f>
        <v>27.447604346019116</v>
      </c>
      <c r="AF392" s="529">
        <f t="shared" si="363"/>
        <v>298.79407311269739</v>
      </c>
      <c r="AG392" s="529">
        <f t="shared" si="363"/>
        <v>218.18181818181816</v>
      </c>
      <c r="AH392" s="529">
        <f>AC392/Q392*100</f>
        <v>46.666666666666664</v>
      </c>
      <c r="AI392" s="535"/>
      <c r="AJ392" s="561">
        <v>22000</v>
      </c>
      <c r="AK392" s="507">
        <f t="shared" si="342"/>
        <v>74.726004649618076</v>
      </c>
      <c r="AL392" s="507">
        <f t="shared" si="343"/>
        <v>118.5185185185185</v>
      </c>
      <c r="AM392" s="507">
        <f t="shared" si="343"/>
        <v>137.5</v>
      </c>
      <c r="AN392" s="556"/>
      <c r="AO392" s="510"/>
      <c r="AP392" s="510" t="e">
        <f t="shared" ca="1" si="338"/>
        <v>#NAME?</v>
      </c>
      <c r="AQ392" s="532">
        <v>13499.31</v>
      </c>
      <c r="AR392" s="533">
        <f t="shared" si="347"/>
        <v>74.726004649618076</v>
      </c>
      <c r="AS392" s="533">
        <f t="shared" si="348"/>
        <v>100</v>
      </c>
      <c r="AT392" s="533">
        <f t="shared" si="349"/>
        <v>74.726004649618076</v>
      </c>
      <c r="AU392" s="533">
        <f t="shared" si="364"/>
        <v>99.994888888888894</v>
      </c>
      <c r="AV392" s="533">
        <f>AQ392/R392*100</f>
        <v>74.722185320491533</v>
      </c>
      <c r="AW392" s="612">
        <f>AQ392</f>
        <v>13499.31</v>
      </c>
      <c r="AX392" s="612"/>
      <c r="AY392" s="612"/>
      <c r="AZ392" s="612"/>
      <c r="BA392" s="612"/>
      <c r="BB392" s="612"/>
      <c r="BC392" s="612"/>
      <c r="BD392" s="612"/>
      <c r="BE392" s="612"/>
      <c r="BF392" s="612"/>
      <c r="BG392" s="612"/>
      <c r="BH392" s="612">
        <f t="shared" si="344"/>
        <v>13499.31</v>
      </c>
      <c r="BI392" s="612">
        <f t="shared" si="354"/>
        <v>14231.91</v>
      </c>
      <c r="BJ392" s="201">
        <f t="shared" si="365"/>
        <v>0</v>
      </c>
    </row>
    <row r="393" spans="1:62" ht="12" customHeight="1">
      <c r="A393" s="52"/>
      <c r="B393" s="52"/>
      <c r="C393" s="52"/>
      <c r="D393" s="52"/>
      <c r="E393" s="52"/>
      <c r="F393" s="52"/>
      <c r="G393" s="52"/>
      <c r="H393" s="2">
        <v>13</v>
      </c>
      <c r="I393" s="260">
        <v>111</v>
      </c>
      <c r="J393" s="185">
        <v>3224</v>
      </c>
      <c r="K393" s="19" t="s">
        <v>342</v>
      </c>
      <c r="L393" s="129">
        <v>7028</v>
      </c>
      <c r="M393" s="129">
        <f>7028/7.5345</f>
        <v>932.7758975379918</v>
      </c>
      <c r="N393" s="130">
        <v>5610</v>
      </c>
      <c r="O393" s="130">
        <f>N393/7.5345</f>
        <v>744.5749552060521</v>
      </c>
      <c r="P393" s="131">
        <v>1300</v>
      </c>
      <c r="Q393" s="156">
        <v>2500</v>
      </c>
      <c r="R393" s="153">
        <v>2847</v>
      </c>
      <c r="S393" s="158">
        <v>725</v>
      </c>
      <c r="T393" s="158"/>
      <c r="U393" s="158"/>
      <c r="V393" s="532">
        <v>2500</v>
      </c>
      <c r="W393" s="532">
        <v>2500</v>
      </c>
      <c r="X393" s="560">
        <v>3500</v>
      </c>
      <c r="Y393" s="561">
        <v>6000</v>
      </c>
      <c r="Z393" s="561"/>
      <c r="AA393" s="562" t="e">
        <f t="shared" ca="1" si="341"/>
        <v>#NAME?</v>
      </c>
      <c r="AB393" s="535"/>
      <c r="AC393" s="529">
        <v>1500</v>
      </c>
      <c r="AD393" s="529">
        <v>1500</v>
      </c>
      <c r="AE393" s="529">
        <f>O393/M393*100</f>
        <v>79.823562891291971</v>
      </c>
      <c r="AF393" s="529">
        <f t="shared" si="363"/>
        <v>174.596256684492</v>
      </c>
      <c r="AG393" s="529">
        <f t="shared" si="363"/>
        <v>192.30769230769232</v>
      </c>
      <c r="AH393" s="529">
        <f>AC393/Q393*100</f>
        <v>60</v>
      </c>
      <c r="AI393" s="535"/>
      <c r="AJ393" s="561">
        <v>6000</v>
      </c>
      <c r="AK393" s="507">
        <f t="shared" si="342"/>
        <v>87.811731647348097</v>
      </c>
      <c r="AL393" s="507">
        <f t="shared" si="343"/>
        <v>140</v>
      </c>
      <c r="AM393" s="507">
        <f t="shared" si="343"/>
        <v>171.42857142857142</v>
      </c>
      <c r="AN393" s="556"/>
      <c r="AO393" s="510"/>
      <c r="AP393" s="510" t="e">
        <f t="shared" ca="1" si="338"/>
        <v>#NAME?</v>
      </c>
      <c r="AQ393" s="532">
        <v>725.41</v>
      </c>
      <c r="AR393" s="533">
        <f t="shared" si="347"/>
        <v>87.811731647348097</v>
      </c>
      <c r="AS393" s="533">
        <f t="shared" si="348"/>
        <v>100</v>
      </c>
      <c r="AT393" s="533">
        <f t="shared" si="349"/>
        <v>87.811731647348097</v>
      </c>
      <c r="AU393" s="533">
        <f t="shared" si="364"/>
        <v>29.016399999999997</v>
      </c>
      <c r="AV393" s="533">
        <f>AQ393/R393*100</f>
        <v>25.479803301721109</v>
      </c>
      <c r="AW393" s="612">
        <f>AQ393</f>
        <v>725.41</v>
      </c>
      <c r="AX393" s="612"/>
      <c r="AY393" s="612"/>
      <c r="AZ393" s="612"/>
      <c r="BA393" s="612"/>
      <c r="BB393" s="612"/>
      <c r="BC393" s="612"/>
      <c r="BD393" s="612"/>
      <c r="BE393" s="612"/>
      <c r="BF393" s="612"/>
      <c r="BG393" s="612"/>
      <c r="BH393" s="612">
        <f t="shared" si="344"/>
        <v>725.41</v>
      </c>
      <c r="BI393" s="612">
        <f t="shared" si="354"/>
        <v>6867.53</v>
      </c>
      <c r="BJ393" s="201">
        <f t="shared" si="365"/>
        <v>0</v>
      </c>
    </row>
    <row r="394" spans="1:62" ht="12" customHeight="1">
      <c r="A394" s="52"/>
      <c r="B394" s="52"/>
      <c r="C394" s="52"/>
      <c r="D394" s="52"/>
      <c r="E394" s="52"/>
      <c r="F394" s="52"/>
      <c r="G394" s="52"/>
      <c r="H394" s="2">
        <v>14</v>
      </c>
      <c r="I394" s="260">
        <v>111</v>
      </c>
      <c r="J394" s="185">
        <v>3225</v>
      </c>
      <c r="K394" s="19" t="s">
        <v>343</v>
      </c>
      <c r="L394" s="129">
        <v>4334</v>
      </c>
      <c r="M394" s="129">
        <f>4334/7.5345</f>
        <v>575.22065166898926</v>
      </c>
      <c r="N394" s="130">
        <v>0</v>
      </c>
      <c r="O394" s="130">
        <f>N394/7.5345</f>
        <v>0</v>
      </c>
      <c r="P394" s="131">
        <v>600</v>
      </c>
      <c r="Q394" s="131">
        <v>600</v>
      </c>
      <c r="R394" s="153">
        <v>394</v>
      </c>
      <c r="S394" s="158">
        <v>756</v>
      </c>
      <c r="T394" s="158"/>
      <c r="U394" s="158"/>
      <c r="V394" s="532">
        <v>1100</v>
      </c>
      <c r="W394" s="532">
        <v>1100</v>
      </c>
      <c r="X394" s="560">
        <v>1500</v>
      </c>
      <c r="Y394" s="561">
        <v>2000</v>
      </c>
      <c r="Z394" s="561"/>
      <c r="AA394" s="562" t="e">
        <f t="shared" ca="1" si="341"/>
        <v>#NAME?</v>
      </c>
      <c r="AB394" s="535"/>
      <c r="AC394" s="529">
        <v>1000</v>
      </c>
      <c r="AD394" s="529">
        <v>1000</v>
      </c>
      <c r="AE394" s="529">
        <f>O394/M394*100</f>
        <v>0</v>
      </c>
      <c r="AF394" s="529"/>
      <c r="AG394" s="529">
        <f>Q394/P394*100</f>
        <v>100</v>
      </c>
      <c r="AH394" s="529">
        <f>AC394/Q394*100</f>
        <v>166.66666666666669</v>
      </c>
      <c r="AI394" s="535"/>
      <c r="AJ394" s="561">
        <v>2000</v>
      </c>
      <c r="AK394" s="507">
        <f t="shared" si="342"/>
        <v>279.18781725888329</v>
      </c>
      <c r="AL394" s="507">
        <f t="shared" si="343"/>
        <v>136.36363636363635</v>
      </c>
      <c r="AM394" s="507">
        <f t="shared" si="343"/>
        <v>133.33333333333331</v>
      </c>
      <c r="AN394" s="556"/>
      <c r="AO394" s="510"/>
      <c r="AP394" s="510" t="e">
        <f t="shared" ca="1" si="338"/>
        <v>#NAME?</v>
      </c>
      <c r="AQ394" s="532">
        <v>864.6</v>
      </c>
      <c r="AR394" s="533">
        <f t="shared" si="347"/>
        <v>279.18781725888329</v>
      </c>
      <c r="AS394" s="533">
        <f t="shared" si="348"/>
        <v>100</v>
      </c>
      <c r="AT394" s="533">
        <f t="shared" si="349"/>
        <v>279.18781725888329</v>
      </c>
      <c r="AU394" s="533">
        <f t="shared" si="364"/>
        <v>78.600000000000009</v>
      </c>
      <c r="AV394" s="533">
        <f>AQ394/R394*100</f>
        <v>219.44162436548226</v>
      </c>
      <c r="AW394" s="612">
        <f>AQ394</f>
        <v>864.6</v>
      </c>
      <c r="AX394" s="612"/>
      <c r="AY394" s="612"/>
      <c r="AZ394" s="612"/>
      <c r="BA394" s="612"/>
      <c r="BB394" s="612"/>
      <c r="BC394" s="612"/>
      <c r="BD394" s="612"/>
      <c r="BE394" s="612"/>
      <c r="BF394" s="612"/>
      <c r="BG394" s="612"/>
      <c r="BH394" s="612">
        <f t="shared" si="344"/>
        <v>864.6</v>
      </c>
      <c r="BI394" s="612">
        <f t="shared" si="354"/>
        <v>3667.3</v>
      </c>
      <c r="BJ394" s="201">
        <f t="shared" si="365"/>
        <v>0</v>
      </c>
    </row>
    <row r="395" spans="1:62" ht="12" customHeight="1">
      <c r="A395" s="52"/>
      <c r="B395" s="52"/>
      <c r="C395" s="52"/>
      <c r="D395" s="52"/>
      <c r="E395" s="52"/>
      <c r="F395" s="52"/>
      <c r="G395" s="52"/>
      <c r="H395" s="2" t="s">
        <v>344</v>
      </c>
      <c r="I395" s="260">
        <v>111</v>
      </c>
      <c r="J395" s="185">
        <v>3227</v>
      </c>
      <c r="K395" s="19" t="s">
        <v>345</v>
      </c>
      <c r="L395" s="129">
        <v>0</v>
      </c>
      <c r="M395" s="129">
        <v>0</v>
      </c>
      <c r="N395" s="130">
        <v>0</v>
      </c>
      <c r="O395" s="130">
        <f>N395/7.5345</f>
        <v>0</v>
      </c>
      <c r="P395" s="131">
        <v>1300</v>
      </c>
      <c r="Q395" s="131">
        <v>1300</v>
      </c>
      <c r="R395" s="153">
        <v>0</v>
      </c>
      <c r="S395" s="158" t="e">
        <f ca="1">__xlfn.XLOOKUP(H395,[1]Izvršenje_proračuna_po_pozicija!$B$2:$B$153,[1]Izvršenje_proračuna_po_pozicija!$E$2:$E$153,0)</f>
        <v>#NAME?</v>
      </c>
      <c r="T395" s="158"/>
      <c r="U395" s="158"/>
      <c r="V395" s="532">
        <v>3000</v>
      </c>
      <c r="W395" s="532">
        <v>3000</v>
      </c>
      <c r="X395" s="560">
        <v>1000</v>
      </c>
      <c r="Y395" s="561">
        <v>2000</v>
      </c>
      <c r="Z395" s="561"/>
      <c r="AA395" s="562" t="e">
        <f t="shared" ca="1" si="341"/>
        <v>#NAME?</v>
      </c>
      <c r="AB395" s="535"/>
      <c r="AC395" s="529">
        <v>1000</v>
      </c>
      <c r="AD395" s="529">
        <v>1000</v>
      </c>
      <c r="AE395" s="529"/>
      <c r="AF395" s="529"/>
      <c r="AG395" s="529"/>
      <c r="AH395" s="529"/>
      <c r="AI395" s="535"/>
      <c r="AJ395" s="561">
        <v>2000</v>
      </c>
      <c r="AK395" s="507"/>
      <c r="AL395" s="507">
        <f t="shared" si="343"/>
        <v>33.333333333333329</v>
      </c>
      <c r="AM395" s="507">
        <f t="shared" si="343"/>
        <v>200</v>
      </c>
      <c r="AN395" s="556"/>
      <c r="AO395" s="510"/>
      <c r="AP395" s="510" t="e">
        <f t="shared" ca="1" si="338"/>
        <v>#NAME?</v>
      </c>
      <c r="AQ395" s="532">
        <v>2839.03</v>
      </c>
      <c r="AR395" s="533"/>
      <c r="AS395" s="533">
        <f t="shared" si="348"/>
        <v>100</v>
      </c>
      <c r="AT395" s="533"/>
      <c r="AU395" s="533">
        <f t="shared" si="364"/>
        <v>94.634333333333345</v>
      </c>
      <c r="AV395" s="533"/>
      <c r="AW395" s="612">
        <f>AQ395</f>
        <v>2839.03</v>
      </c>
      <c r="AX395" s="612"/>
      <c r="AY395" s="612"/>
      <c r="AZ395" s="612"/>
      <c r="BA395" s="612"/>
      <c r="BB395" s="612"/>
      <c r="BC395" s="612"/>
      <c r="BD395" s="612"/>
      <c r="BE395" s="612"/>
      <c r="BF395" s="612"/>
      <c r="BG395" s="612"/>
      <c r="BH395" s="612">
        <f t="shared" si="344"/>
        <v>2839.03</v>
      </c>
      <c r="BI395" s="612">
        <f t="shared" si="354"/>
        <v>43897.17</v>
      </c>
      <c r="BJ395" s="201">
        <f t="shared" si="365"/>
        <v>0</v>
      </c>
    </row>
    <row r="396" spans="1:62" ht="12" customHeight="1">
      <c r="A396" s="68"/>
      <c r="B396" s="68"/>
      <c r="C396" s="68"/>
      <c r="D396" s="68"/>
      <c r="E396" s="68"/>
      <c r="F396" s="68"/>
      <c r="G396" s="68"/>
      <c r="H396" s="281"/>
      <c r="I396" s="256"/>
      <c r="J396" s="211"/>
      <c r="K396" s="69"/>
      <c r="L396" s="175"/>
      <c r="M396" s="175"/>
      <c r="N396" s="176"/>
      <c r="O396" s="176"/>
      <c r="P396" s="177"/>
      <c r="Q396" s="177"/>
      <c r="R396" s="212"/>
      <c r="S396" s="158" t="e">
        <f ca="1">__xlfn.XLOOKUP(H396,[1]Izvršenje_proračuna_po_pozicija!$B$2:$B$153,[1]Izvršenje_proračuna_po_pozicija!$E$2:$E$153,0)</f>
        <v>#NAME?</v>
      </c>
      <c r="T396" s="158"/>
      <c r="U396" s="158"/>
      <c r="V396" s="532"/>
      <c r="W396" s="532"/>
      <c r="X396" s="563"/>
      <c r="Y396" s="562"/>
      <c r="Z396" s="562"/>
      <c r="AA396" s="562" t="e">
        <f t="shared" ca="1" si="341"/>
        <v>#NAME?</v>
      </c>
      <c r="AB396" s="507"/>
      <c r="AC396" s="508"/>
      <c r="AD396" s="508"/>
      <c r="AE396" s="529"/>
      <c r="AF396" s="529"/>
      <c r="AG396" s="529"/>
      <c r="AH396" s="529"/>
      <c r="AI396" s="507"/>
      <c r="AJ396" s="562"/>
      <c r="AK396" s="507"/>
      <c r="AL396" s="507"/>
      <c r="AM396" s="507"/>
      <c r="AN396" s="509"/>
      <c r="AO396" s="510"/>
      <c r="AP396" s="510" t="e">
        <f t="shared" ca="1" si="338"/>
        <v>#NAME?</v>
      </c>
      <c r="AQ396" s="532"/>
      <c r="AR396" s="533"/>
      <c r="AS396" s="533"/>
      <c r="AT396" s="533"/>
      <c r="AU396" s="533"/>
      <c r="AV396" s="533"/>
      <c r="AW396" s="612"/>
      <c r="AX396" s="612"/>
      <c r="AY396" s="612"/>
      <c r="AZ396" s="612"/>
      <c r="BA396" s="612"/>
      <c r="BB396" s="612"/>
      <c r="BC396" s="612"/>
      <c r="BD396" s="612"/>
      <c r="BE396" s="612"/>
      <c r="BF396" s="612"/>
      <c r="BG396" s="612"/>
      <c r="BH396" s="612">
        <f t="shared" si="344"/>
        <v>0</v>
      </c>
      <c r="BI396" s="612">
        <f t="shared" si="354"/>
        <v>36370.17</v>
      </c>
      <c r="BJ396" s="201">
        <f t="shared" si="365"/>
        <v>0</v>
      </c>
    </row>
    <row r="397" spans="1:62" ht="12" customHeight="1">
      <c r="A397" s="61"/>
      <c r="B397" s="61"/>
      <c r="C397" s="61"/>
      <c r="D397" s="61"/>
      <c r="E397" s="61"/>
      <c r="F397" s="61"/>
      <c r="G397" s="61"/>
      <c r="H397" s="230"/>
      <c r="I397" s="261"/>
      <c r="J397" s="229">
        <v>323</v>
      </c>
      <c r="K397" s="20" t="s">
        <v>346</v>
      </c>
      <c r="L397" s="111">
        <f t="shared" ref="L397:S397" si="366">L398+L399+L400+L401+L402+L403+L404</f>
        <v>603644</v>
      </c>
      <c r="M397" s="111">
        <f t="shared" si="366"/>
        <v>80117.326962638515</v>
      </c>
      <c r="N397" s="112">
        <f t="shared" si="366"/>
        <v>616248</v>
      </c>
      <c r="O397" s="112">
        <f t="shared" si="366"/>
        <v>81790.165239896465</v>
      </c>
      <c r="P397" s="113">
        <f t="shared" si="366"/>
        <v>114000</v>
      </c>
      <c r="Q397" s="113">
        <f t="shared" si="366"/>
        <v>117000</v>
      </c>
      <c r="R397" s="87">
        <f t="shared" si="366"/>
        <v>92501</v>
      </c>
      <c r="S397" s="89" t="e">
        <f t="shared" ca="1" si="366"/>
        <v>#NAME?</v>
      </c>
      <c r="T397" s="89"/>
      <c r="U397" s="89"/>
      <c r="V397" s="532">
        <f>V398+V399+V400+V401+V402+V403+V404</f>
        <v>133000</v>
      </c>
      <c r="W397" s="532">
        <f>W398+W399+W400+W401+W402+W403+W404</f>
        <v>133000</v>
      </c>
      <c r="X397" s="506">
        <f>X398+X399+X400+X401+X402+X403+X404</f>
        <v>152000</v>
      </c>
      <c r="Y397" s="507">
        <f>Y398+Y399+Y400+Y401+Y402+Y403+Y404</f>
        <v>182000</v>
      </c>
      <c r="Z397" s="507">
        <f>Z398+Z399+Z400+Z401+Z402+Z403+Z404</f>
        <v>0</v>
      </c>
      <c r="AA397" s="562" t="e">
        <f t="shared" ca="1" si="341"/>
        <v>#NAME?</v>
      </c>
      <c r="AB397" s="507"/>
      <c r="AC397" s="508">
        <f>AC398+AC399+AC400+AC401+AC402+AC403+AC404</f>
        <v>117000</v>
      </c>
      <c r="AD397" s="508">
        <f>AD398+AD399+AD400+AD401+AD402+AD403+AD404</f>
        <v>117000</v>
      </c>
      <c r="AE397" s="529">
        <f t="shared" ref="AE397:AE404" si="367">O397/M397*100</f>
        <v>102.08798563391667</v>
      </c>
      <c r="AF397" s="529">
        <f t="shared" ref="AF397:AG403" si="368">P397/O397*100</f>
        <v>139.38106087159716</v>
      </c>
      <c r="AG397" s="529">
        <f t="shared" si="368"/>
        <v>102.63157894736842</v>
      </c>
      <c r="AH397" s="529">
        <f t="shared" ref="AH397:AH404" si="369">AC397/Q397*100</f>
        <v>100</v>
      </c>
      <c r="AI397" s="507"/>
      <c r="AJ397" s="507">
        <v>182000</v>
      </c>
      <c r="AK397" s="507">
        <f t="shared" si="342"/>
        <v>143.78222938130398</v>
      </c>
      <c r="AL397" s="507">
        <f t="shared" si="343"/>
        <v>114.28571428571428</v>
      </c>
      <c r="AM397" s="507">
        <f t="shared" si="343"/>
        <v>119.73684210526316</v>
      </c>
      <c r="AN397" s="509"/>
      <c r="AO397" s="510"/>
      <c r="AP397" s="510" t="e">
        <f t="shared" ca="1" si="338"/>
        <v>#NAME?</v>
      </c>
      <c r="AQ397" s="532">
        <f>AQ398+AQ399+AQ400+AQ401+AQ402+AQ403+AQ404</f>
        <v>138084.97</v>
      </c>
      <c r="AR397" s="533">
        <f t="shared" si="347"/>
        <v>143.78222938130398</v>
      </c>
      <c r="AS397" s="533">
        <f t="shared" si="348"/>
        <v>100</v>
      </c>
      <c r="AT397" s="533">
        <f t="shared" si="349"/>
        <v>143.78222938130398</v>
      </c>
      <c r="AU397" s="533">
        <f t="shared" ref="AU397:AU404" si="370">AQ397/W397*100</f>
        <v>103.82328571428572</v>
      </c>
      <c r="AV397" s="533">
        <f t="shared" ref="AV397:AV404" si="371">AQ397/R397*100</f>
        <v>149.27943481692091</v>
      </c>
      <c r="AW397" s="612"/>
      <c r="AX397" s="612"/>
      <c r="AY397" s="612"/>
      <c r="AZ397" s="612"/>
      <c r="BA397" s="612"/>
      <c r="BB397" s="612"/>
      <c r="BC397" s="612"/>
      <c r="BD397" s="612"/>
      <c r="BE397" s="612"/>
      <c r="BF397" s="612"/>
      <c r="BG397" s="612"/>
      <c r="BH397" s="612">
        <f t="shared" si="344"/>
        <v>0</v>
      </c>
      <c r="BI397" s="612">
        <f t="shared" si="354"/>
        <v>9375</v>
      </c>
      <c r="BJ397" s="201">
        <f t="shared" si="365"/>
        <v>0</v>
      </c>
    </row>
    <row r="398" spans="1:62" ht="12" customHeight="1">
      <c r="A398" s="52"/>
      <c r="B398" s="52"/>
      <c r="C398" s="52"/>
      <c r="D398" s="52"/>
      <c r="E398" s="52"/>
      <c r="F398" s="52"/>
      <c r="G398" s="52"/>
      <c r="H398" s="2">
        <v>15</v>
      </c>
      <c r="I398" s="260">
        <v>111</v>
      </c>
      <c r="J398" s="185">
        <v>3231</v>
      </c>
      <c r="K398" s="19" t="s">
        <v>243</v>
      </c>
      <c r="L398" s="129">
        <v>86697</v>
      </c>
      <c r="M398" s="129">
        <f>86697/7.5345</f>
        <v>11506.669321122834</v>
      </c>
      <c r="N398" s="130">
        <v>99301</v>
      </c>
      <c r="O398" s="130">
        <f>N398/7.5345</f>
        <v>13179.50759838078</v>
      </c>
      <c r="P398" s="131">
        <v>15000</v>
      </c>
      <c r="Q398" s="131">
        <v>15000</v>
      </c>
      <c r="R398" s="153">
        <v>10549</v>
      </c>
      <c r="S398" s="158">
        <v>21508</v>
      </c>
      <c r="T398" s="158"/>
      <c r="U398" s="158"/>
      <c r="V398" s="532">
        <v>24000</v>
      </c>
      <c r="W398" s="532">
        <v>24000</v>
      </c>
      <c r="X398" s="560">
        <v>30000</v>
      </c>
      <c r="Y398" s="561">
        <v>35000</v>
      </c>
      <c r="Z398" s="561"/>
      <c r="AA398" s="562" t="e">
        <f t="shared" ca="1" si="341"/>
        <v>#NAME?</v>
      </c>
      <c r="AB398" s="535"/>
      <c r="AC398" s="529">
        <v>16000</v>
      </c>
      <c r="AD398" s="529">
        <v>16000</v>
      </c>
      <c r="AE398" s="529">
        <f t="shared" si="367"/>
        <v>114.53798862705744</v>
      </c>
      <c r="AF398" s="529">
        <f t="shared" si="368"/>
        <v>113.81305324216274</v>
      </c>
      <c r="AG398" s="529">
        <f t="shared" si="368"/>
        <v>100</v>
      </c>
      <c r="AH398" s="529">
        <f t="shared" si="369"/>
        <v>106.66666666666667</v>
      </c>
      <c r="AI398" s="535"/>
      <c r="AJ398" s="561">
        <v>35000</v>
      </c>
      <c r="AK398" s="507">
        <f t="shared" si="342"/>
        <v>227.50971656081146</v>
      </c>
      <c r="AL398" s="507">
        <f t="shared" si="343"/>
        <v>125</v>
      </c>
      <c r="AM398" s="507">
        <f t="shared" si="343"/>
        <v>116.66666666666667</v>
      </c>
      <c r="AN398" s="556"/>
      <c r="AO398" s="510"/>
      <c r="AP398" s="510" t="e">
        <f t="shared" ca="1" si="338"/>
        <v>#NAME?</v>
      </c>
      <c r="AQ398" s="532">
        <v>23675.89</v>
      </c>
      <c r="AR398" s="533">
        <f t="shared" si="347"/>
        <v>227.50971656081146</v>
      </c>
      <c r="AS398" s="533">
        <f t="shared" si="348"/>
        <v>100</v>
      </c>
      <c r="AT398" s="533">
        <f t="shared" si="349"/>
        <v>227.50971656081146</v>
      </c>
      <c r="AU398" s="533">
        <f t="shared" si="370"/>
        <v>98.649541666666664</v>
      </c>
      <c r="AV398" s="533">
        <f t="shared" si="371"/>
        <v>224.43729263437291</v>
      </c>
      <c r="AW398" s="612">
        <f t="shared" ref="AW398:AW404" si="372">AQ398</f>
        <v>23675.89</v>
      </c>
      <c r="AX398" s="612"/>
      <c r="AY398" s="612"/>
      <c r="AZ398" s="612"/>
      <c r="BA398" s="612"/>
      <c r="BB398" s="612"/>
      <c r="BC398" s="612"/>
      <c r="BD398" s="612"/>
      <c r="BE398" s="612"/>
      <c r="BF398" s="612"/>
      <c r="BG398" s="612"/>
      <c r="BH398" s="612">
        <f t="shared" si="344"/>
        <v>23675.89</v>
      </c>
      <c r="BI398" s="612">
        <f t="shared" si="354"/>
        <v>0</v>
      </c>
      <c r="BJ398" s="201"/>
    </row>
    <row r="399" spans="1:62" ht="12" customHeight="1">
      <c r="A399" s="52"/>
      <c r="B399" s="52"/>
      <c r="C399" s="52"/>
      <c r="D399" s="52"/>
      <c r="E399" s="52"/>
      <c r="F399" s="52"/>
      <c r="G399" s="52"/>
      <c r="H399" s="2">
        <v>16</v>
      </c>
      <c r="I399" s="260">
        <v>111</v>
      </c>
      <c r="J399" s="185">
        <v>3232</v>
      </c>
      <c r="K399" s="19" t="s">
        <v>347</v>
      </c>
      <c r="L399" s="129">
        <v>21412</v>
      </c>
      <c r="M399" s="129">
        <f>21412/7.5345</f>
        <v>2841.8607737739731</v>
      </c>
      <c r="N399" s="130">
        <v>36290</v>
      </c>
      <c r="O399" s="130">
        <f t="shared" ref="O399:O404" si="373">N399/7.5345</f>
        <v>4816.5107173667793</v>
      </c>
      <c r="P399" s="131">
        <v>7000</v>
      </c>
      <c r="Q399" s="131">
        <v>7000</v>
      </c>
      <c r="R399" s="153">
        <v>4786</v>
      </c>
      <c r="S399" s="158">
        <v>9826</v>
      </c>
      <c r="T399" s="158"/>
      <c r="U399" s="158"/>
      <c r="V399" s="532">
        <v>11000</v>
      </c>
      <c r="W399" s="532">
        <v>11000</v>
      </c>
      <c r="X399" s="560">
        <v>15000</v>
      </c>
      <c r="Y399" s="561">
        <v>18000</v>
      </c>
      <c r="Z399" s="561"/>
      <c r="AA399" s="562" t="e">
        <f t="shared" ca="1" si="341"/>
        <v>#NAME?</v>
      </c>
      <c r="AB399" s="535"/>
      <c r="AC399" s="529">
        <v>7000</v>
      </c>
      <c r="AD399" s="529">
        <v>7000</v>
      </c>
      <c r="AE399" s="529">
        <f t="shared" si="367"/>
        <v>169.48440127031569</v>
      </c>
      <c r="AF399" s="529">
        <f t="shared" si="368"/>
        <v>145.33342518600165</v>
      </c>
      <c r="AG399" s="529">
        <f t="shared" si="368"/>
        <v>100</v>
      </c>
      <c r="AH399" s="529">
        <f t="shared" si="369"/>
        <v>100</v>
      </c>
      <c r="AI399" s="535"/>
      <c r="AJ399" s="561">
        <v>18000</v>
      </c>
      <c r="AK399" s="507">
        <f t="shared" si="342"/>
        <v>229.83702465524445</v>
      </c>
      <c r="AL399" s="507">
        <f t="shared" si="343"/>
        <v>136.36363636363635</v>
      </c>
      <c r="AM399" s="507">
        <f t="shared" si="343"/>
        <v>120</v>
      </c>
      <c r="AN399" s="556"/>
      <c r="AO399" s="510"/>
      <c r="AP399" s="510" t="e">
        <f t="shared" ca="1" si="338"/>
        <v>#NAME?</v>
      </c>
      <c r="AQ399" s="532">
        <v>14231.91</v>
      </c>
      <c r="AR399" s="533">
        <f t="shared" si="347"/>
        <v>229.83702465524445</v>
      </c>
      <c r="AS399" s="533">
        <f t="shared" si="348"/>
        <v>100</v>
      </c>
      <c r="AT399" s="533">
        <f t="shared" si="349"/>
        <v>229.83702465524445</v>
      </c>
      <c r="AU399" s="533">
        <f t="shared" si="370"/>
        <v>129.381</v>
      </c>
      <c r="AV399" s="533">
        <f t="shared" si="371"/>
        <v>297.36544086920185</v>
      </c>
      <c r="AW399" s="612">
        <f t="shared" si="372"/>
        <v>14231.91</v>
      </c>
      <c r="AX399" s="612"/>
      <c r="AY399" s="612"/>
      <c r="AZ399" s="612"/>
      <c r="BA399" s="612"/>
      <c r="BB399" s="612"/>
      <c r="BC399" s="612"/>
      <c r="BD399" s="612"/>
      <c r="BE399" s="612"/>
      <c r="BF399" s="612"/>
      <c r="BG399" s="612"/>
      <c r="BH399" s="612">
        <f t="shared" si="344"/>
        <v>14231.91</v>
      </c>
      <c r="BI399" s="612">
        <f t="shared" si="354"/>
        <v>0</v>
      </c>
      <c r="BJ399" s="201"/>
    </row>
    <row r="400" spans="1:62" ht="12" customHeight="1">
      <c r="A400" s="52"/>
      <c r="B400" s="52"/>
      <c r="C400" s="52"/>
      <c r="D400" s="52"/>
      <c r="E400" s="52"/>
      <c r="F400" s="52"/>
      <c r="G400" s="52"/>
      <c r="H400" s="2">
        <v>18</v>
      </c>
      <c r="I400" s="260">
        <v>111</v>
      </c>
      <c r="J400" s="185">
        <v>3234</v>
      </c>
      <c r="K400" s="19" t="s">
        <v>246</v>
      </c>
      <c r="L400" s="129">
        <v>11418</v>
      </c>
      <c r="M400" s="129">
        <f>11418/7.5345</f>
        <v>1515.4290264782003</v>
      </c>
      <c r="N400" s="130">
        <v>11418</v>
      </c>
      <c r="O400" s="130">
        <f t="shared" si="373"/>
        <v>1515.4290264782003</v>
      </c>
      <c r="P400" s="131">
        <v>2000</v>
      </c>
      <c r="Q400" s="131">
        <v>2000</v>
      </c>
      <c r="R400" s="153">
        <v>2265</v>
      </c>
      <c r="S400" s="158">
        <v>225</v>
      </c>
      <c r="T400" s="158"/>
      <c r="U400" s="158"/>
      <c r="V400" s="532">
        <v>2000</v>
      </c>
      <c r="W400" s="532">
        <v>2000</v>
      </c>
      <c r="X400" s="560">
        <v>2500</v>
      </c>
      <c r="Y400" s="561">
        <v>4000</v>
      </c>
      <c r="Z400" s="561"/>
      <c r="AA400" s="562" t="e">
        <f t="shared" ca="1" si="341"/>
        <v>#NAME?</v>
      </c>
      <c r="AB400" s="535"/>
      <c r="AC400" s="529">
        <v>2000</v>
      </c>
      <c r="AD400" s="529">
        <v>2000</v>
      </c>
      <c r="AE400" s="529">
        <f t="shared" si="367"/>
        <v>100</v>
      </c>
      <c r="AF400" s="529">
        <f t="shared" si="368"/>
        <v>131.97582764056753</v>
      </c>
      <c r="AG400" s="529">
        <f t="shared" si="368"/>
        <v>100</v>
      </c>
      <c r="AH400" s="529">
        <f t="shared" si="369"/>
        <v>100</v>
      </c>
      <c r="AI400" s="535"/>
      <c r="AJ400" s="561">
        <v>4000</v>
      </c>
      <c r="AK400" s="507">
        <f t="shared" si="342"/>
        <v>88.300220750551873</v>
      </c>
      <c r="AL400" s="507">
        <f t="shared" si="343"/>
        <v>125</v>
      </c>
      <c r="AM400" s="507">
        <f t="shared" si="343"/>
        <v>160</v>
      </c>
      <c r="AN400" s="556"/>
      <c r="AO400" s="510"/>
      <c r="AP400" s="510" t="e">
        <f t="shared" ca="1" si="338"/>
        <v>#NAME?</v>
      </c>
      <c r="AQ400" s="532">
        <v>6867.53</v>
      </c>
      <c r="AR400" s="533">
        <f t="shared" si="347"/>
        <v>88.300220750551873</v>
      </c>
      <c r="AS400" s="533">
        <f t="shared" si="348"/>
        <v>100</v>
      </c>
      <c r="AT400" s="533">
        <f t="shared" si="349"/>
        <v>88.300220750551873</v>
      </c>
      <c r="AU400" s="533">
        <f t="shared" si="370"/>
        <v>343.37649999999996</v>
      </c>
      <c r="AV400" s="533">
        <f t="shared" si="371"/>
        <v>303.20220750551874</v>
      </c>
      <c r="AW400" s="612">
        <f t="shared" si="372"/>
        <v>6867.53</v>
      </c>
      <c r="AX400" s="612"/>
      <c r="AY400" s="612"/>
      <c r="AZ400" s="612"/>
      <c r="BA400" s="612"/>
      <c r="BB400" s="612"/>
      <c r="BC400" s="612"/>
      <c r="BD400" s="612"/>
      <c r="BE400" s="612"/>
      <c r="BF400" s="612"/>
      <c r="BG400" s="612"/>
      <c r="BH400" s="612">
        <f t="shared" si="344"/>
        <v>6867.53</v>
      </c>
      <c r="BI400" s="612">
        <f t="shared" si="354"/>
        <v>0</v>
      </c>
      <c r="BJ400" s="201">
        <f>AQ407-BI400</f>
        <v>0</v>
      </c>
    </row>
    <row r="401" spans="1:62" ht="12" customHeight="1">
      <c r="A401" s="52"/>
      <c r="B401" s="52"/>
      <c r="C401" s="52"/>
      <c r="D401" s="52"/>
      <c r="E401" s="52"/>
      <c r="F401" s="52"/>
      <c r="G401" s="52"/>
      <c r="H401" s="2" t="s">
        <v>348</v>
      </c>
      <c r="I401" s="260">
        <v>111</v>
      </c>
      <c r="J401" s="185">
        <v>3236</v>
      </c>
      <c r="K401" s="19" t="s">
        <v>349</v>
      </c>
      <c r="L401" s="129">
        <v>18055</v>
      </c>
      <c r="M401" s="129">
        <f>18055/7.5345</f>
        <v>2396.3103059260734</v>
      </c>
      <c r="N401" s="130">
        <v>30840</v>
      </c>
      <c r="O401" s="130">
        <f t="shared" si="373"/>
        <v>4093.1714115070672</v>
      </c>
      <c r="P401" s="131">
        <v>4000</v>
      </c>
      <c r="Q401" s="131">
        <v>4000</v>
      </c>
      <c r="R401" s="153">
        <v>4346</v>
      </c>
      <c r="S401" s="158" t="e">
        <f ca="1">__xlfn.XLOOKUP(H401,[1]Izvršenje_proračuna_po_pozicija!$B$2:$B$153,[1]Izvršenje_proračuna_po_pozicija!$E$2:$E$153,0)</f>
        <v>#NAME?</v>
      </c>
      <c r="T401" s="158"/>
      <c r="U401" s="158"/>
      <c r="V401" s="532">
        <v>4000</v>
      </c>
      <c r="W401" s="532">
        <v>4000</v>
      </c>
      <c r="X401" s="560">
        <v>4500</v>
      </c>
      <c r="Y401" s="561">
        <v>5000</v>
      </c>
      <c r="Z401" s="561"/>
      <c r="AA401" s="562" t="e">
        <f t="shared" ca="1" si="341"/>
        <v>#NAME?</v>
      </c>
      <c r="AB401" s="535"/>
      <c r="AC401" s="529">
        <v>4000</v>
      </c>
      <c r="AD401" s="529">
        <v>4000</v>
      </c>
      <c r="AE401" s="529">
        <f t="shared" si="367"/>
        <v>170.81140958183326</v>
      </c>
      <c r="AF401" s="529">
        <f t="shared" si="368"/>
        <v>97.723735408560316</v>
      </c>
      <c r="AG401" s="529">
        <f t="shared" si="368"/>
        <v>100</v>
      </c>
      <c r="AH401" s="529">
        <f t="shared" si="369"/>
        <v>100</v>
      </c>
      <c r="AI401" s="535"/>
      <c r="AJ401" s="561">
        <v>5000</v>
      </c>
      <c r="AK401" s="507">
        <f t="shared" si="342"/>
        <v>92.038656235618959</v>
      </c>
      <c r="AL401" s="507">
        <f t="shared" si="343"/>
        <v>112.5</v>
      </c>
      <c r="AM401" s="507">
        <f t="shared" si="343"/>
        <v>111.11111111111111</v>
      </c>
      <c r="AN401" s="556"/>
      <c r="AO401" s="510"/>
      <c r="AP401" s="510" t="e">
        <f t="shared" ca="1" si="338"/>
        <v>#NAME?</v>
      </c>
      <c r="AQ401" s="532">
        <v>3667.3</v>
      </c>
      <c r="AR401" s="533">
        <f t="shared" si="347"/>
        <v>92.038656235618959</v>
      </c>
      <c r="AS401" s="533">
        <f t="shared" si="348"/>
        <v>100</v>
      </c>
      <c r="AT401" s="533">
        <f t="shared" si="349"/>
        <v>92.038656235618959</v>
      </c>
      <c r="AU401" s="533">
        <f t="shared" si="370"/>
        <v>91.682500000000005</v>
      </c>
      <c r="AV401" s="533">
        <f t="shared" si="371"/>
        <v>84.383341003221361</v>
      </c>
      <c r="AW401" s="612">
        <f t="shared" si="372"/>
        <v>3667.3</v>
      </c>
      <c r="AX401" s="612"/>
      <c r="AY401" s="612"/>
      <c r="AZ401" s="612"/>
      <c r="BA401" s="612"/>
      <c r="BB401" s="612"/>
      <c r="BC401" s="612"/>
      <c r="BD401" s="612"/>
      <c r="BE401" s="612"/>
      <c r="BF401" s="612"/>
      <c r="BG401" s="612"/>
      <c r="BH401" s="612">
        <f t="shared" si="344"/>
        <v>3667.3</v>
      </c>
      <c r="BI401" s="612">
        <f t="shared" si="354"/>
        <v>0</v>
      </c>
      <c r="BJ401" s="201"/>
    </row>
    <row r="402" spans="1:62" ht="12" customHeight="1">
      <c r="A402" s="52"/>
      <c r="B402" s="52"/>
      <c r="C402" s="52"/>
      <c r="D402" s="52"/>
      <c r="E402" s="52"/>
      <c r="F402" s="52"/>
      <c r="G402" s="52"/>
      <c r="H402" s="2">
        <v>19</v>
      </c>
      <c r="I402" s="260">
        <v>111</v>
      </c>
      <c r="J402" s="185">
        <v>3237</v>
      </c>
      <c r="K402" s="19" t="s">
        <v>249</v>
      </c>
      <c r="L402" s="129">
        <v>192784</v>
      </c>
      <c r="M402" s="129">
        <f>192784/7.5345</f>
        <v>25586.833897405268</v>
      </c>
      <c r="N402" s="130">
        <v>227648</v>
      </c>
      <c r="O402" s="130">
        <f t="shared" si="373"/>
        <v>30214.081889972789</v>
      </c>
      <c r="P402" s="131">
        <v>40000</v>
      </c>
      <c r="Q402" s="156">
        <v>37000</v>
      </c>
      <c r="R402" s="153">
        <v>24866</v>
      </c>
      <c r="S402" s="158">
        <v>12401</v>
      </c>
      <c r="T402" s="158"/>
      <c r="U402" s="158"/>
      <c r="V402" s="532">
        <v>40000</v>
      </c>
      <c r="W402" s="532">
        <v>40000</v>
      </c>
      <c r="X402" s="560">
        <v>40000</v>
      </c>
      <c r="Y402" s="561">
        <v>50000</v>
      </c>
      <c r="Z402" s="561"/>
      <c r="AA402" s="562" t="e">
        <f t="shared" ca="1" si="341"/>
        <v>#NAME?</v>
      </c>
      <c r="AB402" s="535"/>
      <c r="AC402" s="529">
        <v>40000</v>
      </c>
      <c r="AD402" s="529">
        <v>40000</v>
      </c>
      <c r="AE402" s="529">
        <f t="shared" si="367"/>
        <v>118.08448833928126</v>
      </c>
      <c r="AF402" s="529">
        <f t="shared" si="368"/>
        <v>132.38859994377285</v>
      </c>
      <c r="AG402" s="529">
        <f t="shared" si="368"/>
        <v>92.5</v>
      </c>
      <c r="AH402" s="529">
        <f t="shared" si="369"/>
        <v>108.10810810810811</v>
      </c>
      <c r="AI402" s="535"/>
      <c r="AJ402" s="561">
        <v>50000</v>
      </c>
      <c r="AK402" s="507">
        <f t="shared" si="342"/>
        <v>160.86222150727903</v>
      </c>
      <c r="AL402" s="507">
        <f t="shared" si="343"/>
        <v>100</v>
      </c>
      <c r="AM402" s="507">
        <f t="shared" si="343"/>
        <v>125</v>
      </c>
      <c r="AN402" s="556"/>
      <c r="AO402" s="510"/>
      <c r="AP402" s="510" t="e">
        <f t="shared" ca="1" si="338"/>
        <v>#NAME?</v>
      </c>
      <c r="AQ402" s="532">
        <v>43897.17</v>
      </c>
      <c r="AR402" s="533">
        <f t="shared" si="347"/>
        <v>160.86222150727903</v>
      </c>
      <c r="AS402" s="533">
        <f t="shared" si="348"/>
        <v>100</v>
      </c>
      <c r="AT402" s="533">
        <f t="shared" si="349"/>
        <v>160.86222150727903</v>
      </c>
      <c r="AU402" s="533">
        <f t="shared" si="370"/>
        <v>109.742925</v>
      </c>
      <c r="AV402" s="533">
        <f t="shared" si="371"/>
        <v>176.53490710206708</v>
      </c>
      <c r="AW402" s="612">
        <f t="shared" si="372"/>
        <v>43897.17</v>
      </c>
      <c r="AX402" s="612"/>
      <c r="AY402" s="612"/>
      <c r="AZ402" s="612"/>
      <c r="BA402" s="612"/>
      <c r="BB402" s="612"/>
      <c r="BC402" s="612"/>
      <c r="BD402" s="612"/>
      <c r="BE402" s="612"/>
      <c r="BF402" s="612"/>
      <c r="BG402" s="612"/>
      <c r="BH402" s="612">
        <f t="shared" si="344"/>
        <v>43897.17</v>
      </c>
      <c r="BI402" s="612"/>
      <c r="BJ402" s="201"/>
    </row>
    <row r="403" spans="1:62" ht="12" customHeight="1">
      <c r="A403" s="52"/>
      <c r="B403" s="52"/>
      <c r="C403" s="52"/>
      <c r="D403" s="52"/>
      <c r="E403" s="52"/>
      <c r="F403" s="52"/>
      <c r="G403" s="52"/>
      <c r="H403" s="2">
        <v>20</v>
      </c>
      <c r="I403" s="260">
        <v>111</v>
      </c>
      <c r="J403" s="185">
        <v>3238</v>
      </c>
      <c r="K403" s="19" t="s">
        <v>250</v>
      </c>
      <c r="L403" s="129">
        <v>168695</v>
      </c>
      <c r="M403" s="129">
        <f>168695/7.5345</f>
        <v>22389.674165505341</v>
      </c>
      <c r="N403" s="130">
        <v>199770</v>
      </c>
      <c r="O403" s="130">
        <f t="shared" si="373"/>
        <v>26514.035436989845</v>
      </c>
      <c r="P403" s="131">
        <v>29000</v>
      </c>
      <c r="Q403" s="156">
        <v>35000</v>
      </c>
      <c r="R403" s="153">
        <v>37724</v>
      </c>
      <c r="S403" s="158">
        <v>29970</v>
      </c>
      <c r="T403" s="158"/>
      <c r="U403" s="158"/>
      <c r="V403" s="532">
        <v>35000</v>
      </c>
      <c r="W403" s="532">
        <v>35000</v>
      </c>
      <c r="X403" s="560">
        <v>40000</v>
      </c>
      <c r="Y403" s="561">
        <v>45000</v>
      </c>
      <c r="Z403" s="561"/>
      <c r="AA403" s="562" t="e">
        <f t="shared" ca="1" si="341"/>
        <v>#NAME?</v>
      </c>
      <c r="AB403" s="535"/>
      <c r="AC403" s="529">
        <v>30000</v>
      </c>
      <c r="AD403" s="529">
        <v>30000</v>
      </c>
      <c r="AE403" s="529">
        <f t="shared" si="367"/>
        <v>118.42081863718545</v>
      </c>
      <c r="AF403" s="529">
        <f t="shared" si="368"/>
        <v>109.3760324373029</v>
      </c>
      <c r="AG403" s="529">
        <f t="shared" si="368"/>
        <v>120.68965517241379</v>
      </c>
      <c r="AH403" s="529">
        <f t="shared" si="369"/>
        <v>85.714285714285708</v>
      </c>
      <c r="AI403" s="535"/>
      <c r="AJ403" s="561">
        <v>45000</v>
      </c>
      <c r="AK403" s="507">
        <f t="shared" si="342"/>
        <v>92.779132647651366</v>
      </c>
      <c r="AL403" s="507">
        <f t="shared" si="343"/>
        <v>114.28571428571428</v>
      </c>
      <c r="AM403" s="507">
        <f t="shared" si="343"/>
        <v>112.5</v>
      </c>
      <c r="AN403" s="556"/>
      <c r="AO403" s="510"/>
      <c r="AP403" s="510" t="e">
        <f t="shared" ca="1" si="338"/>
        <v>#NAME?</v>
      </c>
      <c r="AQ403" s="532">
        <v>36370.17</v>
      </c>
      <c r="AR403" s="533">
        <f t="shared" si="347"/>
        <v>92.779132647651366</v>
      </c>
      <c r="AS403" s="533">
        <f t="shared" si="348"/>
        <v>100</v>
      </c>
      <c r="AT403" s="533">
        <f t="shared" si="349"/>
        <v>92.779132647651366</v>
      </c>
      <c r="AU403" s="533">
        <f t="shared" si="370"/>
        <v>103.91477142857141</v>
      </c>
      <c r="AV403" s="533">
        <f t="shared" si="371"/>
        <v>96.411223624217996</v>
      </c>
      <c r="AW403" s="612">
        <f t="shared" si="372"/>
        <v>36370.17</v>
      </c>
      <c r="AX403" s="612"/>
      <c r="AY403" s="612"/>
      <c r="AZ403" s="612"/>
      <c r="BA403" s="612"/>
      <c r="BB403" s="612"/>
      <c r="BC403" s="612"/>
      <c r="BD403" s="612"/>
      <c r="BE403" s="612"/>
      <c r="BF403" s="612"/>
      <c r="BG403" s="612"/>
      <c r="BH403" s="612">
        <f t="shared" si="344"/>
        <v>36370.17</v>
      </c>
      <c r="BI403" s="612">
        <f t="shared" ref="BI403:BI410" si="374">SUM(AW410:BG410)</f>
        <v>4264.1099999999997</v>
      </c>
      <c r="BJ403" s="201">
        <f>AQ410-BI403</f>
        <v>0</v>
      </c>
    </row>
    <row r="404" spans="1:62" ht="12" customHeight="1">
      <c r="A404" s="52"/>
      <c r="B404" s="52"/>
      <c r="C404" s="52"/>
      <c r="D404" s="52"/>
      <c r="E404" s="52"/>
      <c r="F404" s="52"/>
      <c r="G404" s="52"/>
      <c r="H404" s="2">
        <v>21</v>
      </c>
      <c r="I404" s="260">
        <v>111</v>
      </c>
      <c r="J404" s="185">
        <v>3239</v>
      </c>
      <c r="K404" s="19" t="s">
        <v>251</v>
      </c>
      <c r="L404" s="129">
        <v>104583</v>
      </c>
      <c r="M404" s="129">
        <f>104583/7.5345</f>
        <v>13880.549472426836</v>
      </c>
      <c r="N404" s="130">
        <v>10981</v>
      </c>
      <c r="O404" s="130">
        <f t="shared" si="373"/>
        <v>1457.4291592010086</v>
      </c>
      <c r="P404" s="131">
        <v>17000</v>
      </c>
      <c r="Q404" s="131">
        <v>17000</v>
      </c>
      <c r="R404" s="153">
        <v>7965</v>
      </c>
      <c r="S404" s="158">
        <v>9375</v>
      </c>
      <c r="T404" s="158"/>
      <c r="U404" s="158"/>
      <c r="V404" s="532">
        <v>17000</v>
      </c>
      <c r="W404" s="532">
        <v>17000</v>
      </c>
      <c r="X404" s="560">
        <v>20000</v>
      </c>
      <c r="Y404" s="561">
        <v>25000</v>
      </c>
      <c r="Z404" s="561"/>
      <c r="AA404" s="562" t="e">
        <f t="shared" ca="1" si="341"/>
        <v>#NAME?</v>
      </c>
      <c r="AB404" s="535"/>
      <c r="AC404" s="529">
        <v>18000</v>
      </c>
      <c r="AD404" s="529">
        <v>18000</v>
      </c>
      <c r="AE404" s="529">
        <f t="shared" si="367"/>
        <v>10.499794421655526</v>
      </c>
      <c r="AF404" s="529"/>
      <c r="AG404" s="529">
        <f>Q404/P404*100</f>
        <v>100</v>
      </c>
      <c r="AH404" s="529">
        <f t="shared" si="369"/>
        <v>105.88235294117648</v>
      </c>
      <c r="AI404" s="535"/>
      <c r="AJ404" s="561">
        <v>25000</v>
      </c>
      <c r="AK404" s="507">
        <f t="shared" si="342"/>
        <v>213.43377275580667</v>
      </c>
      <c r="AL404" s="507">
        <f t="shared" si="343"/>
        <v>117.64705882352942</v>
      </c>
      <c r="AM404" s="507">
        <f t="shared" si="343"/>
        <v>125</v>
      </c>
      <c r="AN404" s="556"/>
      <c r="AO404" s="510"/>
      <c r="AP404" s="510" t="e">
        <f t="shared" ca="1" si="338"/>
        <v>#NAME?</v>
      </c>
      <c r="AQ404" s="532">
        <v>9375</v>
      </c>
      <c r="AR404" s="533">
        <f t="shared" si="347"/>
        <v>213.43377275580667</v>
      </c>
      <c r="AS404" s="533">
        <f t="shared" si="348"/>
        <v>100</v>
      </c>
      <c r="AT404" s="533">
        <f t="shared" si="349"/>
        <v>213.43377275580667</v>
      </c>
      <c r="AU404" s="533">
        <f t="shared" si="370"/>
        <v>55.147058823529413</v>
      </c>
      <c r="AV404" s="533">
        <f t="shared" si="371"/>
        <v>117.7024482109228</v>
      </c>
      <c r="AW404" s="612">
        <f t="shared" si="372"/>
        <v>9375</v>
      </c>
      <c r="AX404" s="612"/>
      <c r="AY404" s="612"/>
      <c r="AZ404" s="612"/>
      <c r="BA404" s="612"/>
      <c r="BB404" s="612"/>
      <c r="BC404" s="612"/>
      <c r="BD404" s="612"/>
      <c r="BE404" s="612"/>
      <c r="BF404" s="612"/>
      <c r="BG404" s="612"/>
      <c r="BH404" s="612">
        <f t="shared" si="344"/>
        <v>9375</v>
      </c>
      <c r="BI404" s="612">
        <f t="shared" si="374"/>
        <v>0</v>
      </c>
      <c r="BJ404" s="201"/>
    </row>
    <row r="405" spans="1:62" ht="12" customHeight="1">
      <c r="A405" s="41"/>
      <c r="B405" s="41"/>
      <c r="C405" s="41"/>
      <c r="D405" s="41"/>
      <c r="E405" s="41"/>
      <c r="F405" s="41"/>
      <c r="G405" s="41"/>
      <c r="H405" s="235"/>
      <c r="I405" s="15"/>
      <c r="J405" s="3"/>
      <c r="K405" s="83"/>
      <c r="L405" s="84">
        <v>1</v>
      </c>
      <c r="M405" s="84">
        <v>2</v>
      </c>
      <c r="N405" s="85">
        <v>3</v>
      </c>
      <c r="O405" s="85">
        <v>4</v>
      </c>
      <c r="P405" s="86">
        <v>5</v>
      </c>
      <c r="Q405" s="86">
        <v>6</v>
      </c>
      <c r="R405" s="154"/>
      <c r="S405" s="158" t="e">
        <f ca="1">__xlfn.XLOOKUP(H405,[1]Izvršenje_proračuna_po_pozicija!$B$2:$B$153,[1]Izvršenje_proračuna_po_pozicija!$E$2:$E$153,0)</f>
        <v>#NAME?</v>
      </c>
      <c r="T405" s="158"/>
      <c r="U405" s="158"/>
      <c r="V405" s="532"/>
      <c r="W405" s="532"/>
      <c r="X405" s="568"/>
      <c r="Y405" s="569"/>
      <c r="Z405" s="569"/>
      <c r="AA405" s="562" t="e">
        <f t="shared" ca="1" si="341"/>
        <v>#NAME?</v>
      </c>
      <c r="AB405" s="537"/>
      <c r="AC405" s="538">
        <v>7</v>
      </c>
      <c r="AD405" s="538">
        <v>8</v>
      </c>
      <c r="AE405" s="538">
        <v>9</v>
      </c>
      <c r="AF405" s="538">
        <v>10</v>
      </c>
      <c r="AG405" s="538">
        <v>11</v>
      </c>
      <c r="AH405" s="538">
        <v>12</v>
      </c>
      <c r="AI405" s="537"/>
      <c r="AJ405" s="569"/>
      <c r="AK405" s="507"/>
      <c r="AL405" s="507"/>
      <c r="AM405" s="507"/>
      <c r="AN405" s="557"/>
      <c r="AO405" s="510"/>
      <c r="AP405" s="510" t="e">
        <f t="shared" ca="1" si="338"/>
        <v>#NAME?</v>
      </c>
      <c r="AQ405" s="532"/>
      <c r="AR405" s="533"/>
      <c r="AS405" s="533"/>
      <c r="AT405" s="533"/>
      <c r="AU405" s="533"/>
      <c r="AV405" s="533"/>
      <c r="AW405" s="612"/>
      <c r="AX405" s="612"/>
      <c r="AY405" s="612"/>
      <c r="AZ405" s="612"/>
      <c r="BA405" s="612"/>
      <c r="BB405" s="612"/>
      <c r="BC405" s="612"/>
      <c r="BD405" s="612"/>
      <c r="BE405" s="612"/>
      <c r="BF405" s="612"/>
      <c r="BG405" s="612"/>
      <c r="BH405" s="612">
        <f t="shared" si="344"/>
        <v>0</v>
      </c>
      <c r="BI405" s="612">
        <f t="shared" si="374"/>
        <v>0</v>
      </c>
      <c r="BJ405" s="201"/>
    </row>
    <row r="406" spans="1:62" ht="12" customHeight="1">
      <c r="A406" s="61"/>
      <c r="B406" s="61"/>
      <c r="C406" s="61"/>
      <c r="D406" s="61"/>
      <c r="E406" s="61"/>
      <c r="F406" s="61"/>
      <c r="G406" s="61"/>
      <c r="H406" s="230"/>
      <c r="I406" s="261"/>
      <c r="J406" s="229">
        <v>324</v>
      </c>
      <c r="K406" s="20" t="s">
        <v>350</v>
      </c>
      <c r="L406" s="111">
        <f t="shared" ref="L406:Z406" si="375">L407</f>
        <v>0</v>
      </c>
      <c r="M406" s="111">
        <f t="shared" si="375"/>
        <v>0</v>
      </c>
      <c r="N406" s="112">
        <f t="shared" si="375"/>
        <v>0</v>
      </c>
      <c r="O406" s="112">
        <f t="shared" si="375"/>
        <v>0</v>
      </c>
      <c r="P406" s="113">
        <f t="shared" si="375"/>
        <v>0</v>
      </c>
      <c r="Q406" s="113">
        <f t="shared" si="375"/>
        <v>0</v>
      </c>
      <c r="R406" s="87">
        <f t="shared" si="375"/>
        <v>0</v>
      </c>
      <c r="S406" s="89" t="e">
        <f t="shared" ca="1" si="375"/>
        <v>#NAME?</v>
      </c>
      <c r="T406" s="89"/>
      <c r="U406" s="89"/>
      <c r="V406" s="532">
        <f>V407</f>
        <v>0</v>
      </c>
      <c r="W406" s="532">
        <f t="shared" si="375"/>
        <v>0</v>
      </c>
      <c r="X406" s="506">
        <f t="shared" si="375"/>
        <v>0</v>
      </c>
      <c r="Y406" s="507">
        <f t="shared" si="375"/>
        <v>0</v>
      </c>
      <c r="Z406" s="507">
        <f t="shared" si="375"/>
        <v>0</v>
      </c>
      <c r="AA406" s="562" t="e">
        <f t="shared" ca="1" si="341"/>
        <v>#NAME?</v>
      </c>
      <c r="AB406" s="507"/>
      <c r="AC406" s="508">
        <f>AC407</f>
        <v>0</v>
      </c>
      <c r="AD406" s="508">
        <f>AD407</f>
        <v>0</v>
      </c>
      <c r="AE406" s="529"/>
      <c r="AF406" s="529"/>
      <c r="AG406" s="529"/>
      <c r="AH406" s="529"/>
      <c r="AI406" s="507"/>
      <c r="AJ406" s="507">
        <v>0</v>
      </c>
      <c r="AK406" s="507"/>
      <c r="AL406" s="507"/>
      <c r="AM406" s="507"/>
      <c r="AN406" s="509"/>
      <c r="AO406" s="510"/>
      <c r="AP406" s="510" t="e">
        <f t="shared" ca="1" si="338"/>
        <v>#NAME?</v>
      </c>
      <c r="AQ406" s="532">
        <f>AQ407</f>
        <v>0</v>
      </c>
      <c r="AR406" s="533"/>
      <c r="AS406" s="533"/>
      <c r="AT406" s="533"/>
      <c r="AU406" s="533"/>
      <c r="AV406" s="533"/>
      <c r="AW406" s="612"/>
      <c r="AX406" s="612"/>
      <c r="AY406" s="612"/>
      <c r="AZ406" s="612"/>
      <c r="BA406" s="612"/>
      <c r="BB406" s="612"/>
      <c r="BC406" s="612"/>
      <c r="BD406" s="612"/>
      <c r="BE406" s="612"/>
      <c r="BF406" s="612"/>
      <c r="BG406" s="612"/>
      <c r="BH406" s="612">
        <f t="shared" si="344"/>
        <v>0</v>
      </c>
      <c r="BI406" s="612">
        <f t="shared" si="374"/>
        <v>0</v>
      </c>
      <c r="BJ406" s="201"/>
    </row>
    <row r="407" spans="1:62" ht="12" customHeight="1">
      <c r="A407" s="52"/>
      <c r="B407" s="52"/>
      <c r="C407" s="52"/>
      <c r="D407" s="52"/>
      <c r="E407" s="52"/>
      <c r="F407" s="52"/>
      <c r="G407" s="52"/>
      <c r="H407" s="2" t="s">
        <v>351</v>
      </c>
      <c r="I407" s="260">
        <v>111</v>
      </c>
      <c r="J407" s="185">
        <v>3241</v>
      </c>
      <c r="K407" s="19" t="s">
        <v>352</v>
      </c>
      <c r="L407" s="129">
        <v>0</v>
      </c>
      <c r="M407" s="129">
        <v>0</v>
      </c>
      <c r="N407" s="130">
        <v>0</v>
      </c>
      <c r="O407" s="130">
        <v>0</v>
      </c>
      <c r="P407" s="131">
        <v>0</v>
      </c>
      <c r="Q407" s="131">
        <v>0</v>
      </c>
      <c r="R407" s="153">
        <v>0</v>
      </c>
      <c r="S407" s="158" t="e">
        <f ca="1">__xlfn.XLOOKUP(H407,[1]Izvršenje_proračuna_po_pozicija!$B$2:$B$153,[1]Izvršenje_proračuna_po_pozicija!$E$2:$E$153,0)</f>
        <v>#NAME?</v>
      </c>
      <c r="T407" s="158"/>
      <c r="U407" s="158"/>
      <c r="V407" s="532"/>
      <c r="W407" s="532"/>
      <c r="X407" s="560"/>
      <c r="Y407" s="561"/>
      <c r="Z407" s="561"/>
      <c r="AA407" s="562" t="e">
        <f t="shared" ca="1" si="341"/>
        <v>#NAME?</v>
      </c>
      <c r="AB407" s="535"/>
      <c r="AC407" s="529">
        <v>0</v>
      </c>
      <c r="AD407" s="529">
        <v>0</v>
      </c>
      <c r="AE407" s="529"/>
      <c r="AF407" s="529"/>
      <c r="AG407" s="529"/>
      <c r="AH407" s="529"/>
      <c r="AI407" s="535"/>
      <c r="AJ407" s="561"/>
      <c r="AK407" s="507"/>
      <c r="AL407" s="507"/>
      <c r="AM407" s="507"/>
      <c r="AN407" s="556"/>
      <c r="AO407" s="510"/>
      <c r="AP407" s="510" t="e">
        <f t="shared" ca="1" si="338"/>
        <v>#NAME?</v>
      </c>
      <c r="AQ407" s="532"/>
      <c r="AR407" s="533"/>
      <c r="AS407" s="533"/>
      <c r="AT407" s="533"/>
      <c r="AU407" s="533"/>
      <c r="AV407" s="533"/>
      <c r="AW407" s="612"/>
      <c r="AX407" s="612"/>
      <c r="AY407" s="612"/>
      <c r="AZ407" s="612"/>
      <c r="BA407" s="612"/>
      <c r="BB407" s="612"/>
      <c r="BC407" s="612"/>
      <c r="BD407" s="612"/>
      <c r="BE407" s="612"/>
      <c r="BF407" s="612"/>
      <c r="BG407" s="612"/>
      <c r="BH407" s="612">
        <f t="shared" si="344"/>
        <v>0</v>
      </c>
      <c r="BI407" s="612">
        <f t="shared" si="374"/>
        <v>0</v>
      </c>
      <c r="BJ407" s="201">
        <f>AQ414-BI407</f>
        <v>0</v>
      </c>
    </row>
    <row r="408" spans="1:62" ht="12" customHeight="1">
      <c r="A408" s="41"/>
      <c r="B408" s="41"/>
      <c r="C408" s="41"/>
      <c r="D408" s="41"/>
      <c r="E408" s="41"/>
      <c r="F408" s="41"/>
      <c r="G408" s="41"/>
      <c r="H408" s="235"/>
      <c r="I408" s="15"/>
      <c r="J408" s="3"/>
      <c r="K408" s="187"/>
      <c r="L408" s="84"/>
      <c r="M408" s="84"/>
      <c r="N408" s="85"/>
      <c r="O408" s="85"/>
      <c r="P408" s="86"/>
      <c r="Q408" s="86"/>
      <c r="R408" s="154"/>
      <c r="S408" s="158" t="e">
        <f ca="1">__xlfn.XLOOKUP(H408,[1]Izvršenje_proračuna_po_pozicija!$B$2:$B$153,[1]Izvršenje_proračuna_po_pozicija!$E$2:$E$153,0)</f>
        <v>#NAME?</v>
      </c>
      <c r="T408" s="158"/>
      <c r="U408" s="158"/>
      <c r="V408" s="532"/>
      <c r="W408" s="532"/>
      <c r="X408" s="568"/>
      <c r="Y408" s="569"/>
      <c r="Z408" s="569"/>
      <c r="AA408" s="562" t="e">
        <f t="shared" ca="1" si="341"/>
        <v>#NAME?</v>
      </c>
      <c r="AB408" s="537"/>
      <c r="AC408" s="538"/>
      <c r="AD408" s="538"/>
      <c r="AE408" s="529"/>
      <c r="AF408" s="529"/>
      <c r="AG408" s="529"/>
      <c r="AH408" s="529"/>
      <c r="AI408" s="537"/>
      <c r="AJ408" s="569"/>
      <c r="AK408" s="507"/>
      <c r="AL408" s="507"/>
      <c r="AM408" s="507"/>
      <c r="AN408" s="557"/>
      <c r="AO408" s="510"/>
      <c r="AP408" s="510" t="e">
        <f t="shared" ca="1" si="338"/>
        <v>#NAME?</v>
      </c>
      <c r="AQ408" s="532"/>
      <c r="AR408" s="533"/>
      <c r="AS408" s="533"/>
      <c r="AT408" s="533"/>
      <c r="AU408" s="533"/>
      <c r="AV408" s="533"/>
      <c r="AW408" s="612"/>
      <c r="AX408" s="612"/>
      <c r="AY408" s="612"/>
      <c r="AZ408" s="612"/>
      <c r="BA408" s="612"/>
      <c r="BB408" s="612"/>
      <c r="BC408" s="612"/>
      <c r="BD408" s="612"/>
      <c r="BE408" s="612"/>
      <c r="BF408" s="612"/>
      <c r="BG408" s="612"/>
      <c r="BH408" s="612">
        <f t="shared" si="344"/>
        <v>0</v>
      </c>
      <c r="BI408" s="612">
        <f t="shared" si="374"/>
        <v>0</v>
      </c>
      <c r="BJ408" s="201"/>
    </row>
    <row r="409" spans="1:62" ht="12" customHeight="1">
      <c r="A409" s="61"/>
      <c r="B409" s="61"/>
      <c r="C409" s="61"/>
      <c r="D409" s="61"/>
      <c r="E409" s="61"/>
      <c r="F409" s="61"/>
      <c r="G409" s="61"/>
      <c r="H409" s="230"/>
      <c r="I409" s="261"/>
      <c r="J409" s="229">
        <v>329</v>
      </c>
      <c r="K409" s="20" t="s">
        <v>353</v>
      </c>
      <c r="L409" s="111">
        <f t="shared" ref="L409:Z409" si="376">L410</f>
        <v>59038</v>
      </c>
      <c r="M409" s="111">
        <f t="shared" si="376"/>
        <v>7835.6891631826929</v>
      </c>
      <c r="N409" s="112">
        <f t="shared" si="376"/>
        <v>49821</v>
      </c>
      <c r="O409" s="112">
        <f t="shared" si="376"/>
        <v>6612.3830380250838</v>
      </c>
      <c r="P409" s="113">
        <f t="shared" si="376"/>
        <v>11500</v>
      </c>
      <c r="Q409" s="113">
        <f t="shared" si="376"/>
        <v>11500</v>
      </c>
      <c r="R409" s="87">
        <f t="shared" si="376"/>
        <v>8845</v>
      </c>
      <c r="S409" s="89">
        <f t="shared" si="376"/>
        <v>3811</v>
      </c>
      <c r="T409" s="89"/>
      <c r="U409" s="89"/>
      <c r="V409" s="532">
        <f>V410</f>
        <v>11500</v>
      </c>
      <c r="W409" s="532">
        <f t="shared" si="376"/>
        <v>11500</v>
      </c>
      <c r="X409" s="506">
        <f t="shared" si="376"/>
        <v>13000</v>
      </c>
      <c r="Y409" s="507">
        <f t="shared" si="376"/>
        <v>15000</v>
      </c>
      <c r="Z409" s="507">
        <f t="shared" si="376"/>
        <v>0</v>
      </c>
      <c r="AA409" s="562" t="e">
        <f t="shared" ca="1" si="341"/>
        <v>#NAME?</v>
      </c>
      <c r="AB409" s="507"/>
      <c r="AC409" s="508">
        <f>AC410</f>
        <v>12000</v>
      </c>
      <c r="AD409" s="508">
        <f>AD410</f>
        <v>12000</v>
      </c>
      <c r="AE409" s="529">
        <f>O409/M409*100</f>
        <v>84.388021274433399</v>
      </c>
      <c r="AF409" s="529">
        <f>P409/O409*100</f>
        <v>173.91611970855664</v>
      </c>
      <c r="AG409" s="529">
        <f>Q409/P409*100</f>
        <v>100</v>
      </c>
      <c r="AH409" s="529">
        <f>AC409/Q409*100</f>
        <v>104.34782608695652</v>
      </c>
      <c r="AI409" s="507"/>
      <c r="AJ409" s="507">
        <v>15000</v>
      </c>
      <c r="AK409" s="507">
        <f t="shared" ref="AK409:AK470" si="377">W409/R409*100</f>
        <v>130.01695873374788</v>
      </c>
      <c r="AL409" s="507">
        <f t="shared" ref="AL409:AM470" si="378">X409/W409*100</f>
        <v>113.04347826086956</v>
      </c>
      <c r="AM409" s="507">
        <f t="shared" si="378"/>
        <v>115.38461538461537</v>
      </c>
      <c r="AN409" s="509"/>
      <c r="AO409" s="510"/>
      <c r="AP409" s="510" t="e">
        <f t="shared" ca="1" si="338"/>
        <v>#NAME?</v>
      </c>
      <c r="AQ409" s="532">
        <f>AQ410</f>
        <v>4264.1099999999997</v>
      </c>
      <c r="AR409" s="533">
        <f t="shared" si="347"/>
        <v>130.01695873374788</v>
      </c>
      <c r="AS409" s="533">
        <f t="shared" si="348"/>
        <v>100</v>
      </c>
      <c r="AT409" s="533">
        <f t="shared" si="349"/>
        <v>130.01695873374788</v>
      </c>
      <c r="AU409" s="533">
        <f>AQ409/W409*100</f>
        <v>37.079217391304347</v>
      </c>
      <c r="AV409" s="533">
        <f>AQ409/R409*100</f>
        <v>48.209270774448839</v>
      </c>
      <c r="AW409" s="612"/>
      <c r="AX409" s="612"/>
      <c r="AY409" s="612"/>
      <c r="AZ409" s="612"/>
      <c r="BA409" s="612"/>
      <c r="BB409" s="612"/>
      <c r="BC409" s="612"/>
      <c r="BD409" s="612"/>
      <c r="BE409" s="612"/>
      <c r="BF409" s="612"/>
      <c r="BG409" s="612"/>
      <c r="BH409" s="612"/>
      <c r="BI409" s="612">
        <f t="shared" si="374"/>
        <v>0</v>
      </c>
      <c r="BJ409" s="201"/>
    </row>
    <row r="410" spans="1:62" ht="12" customHeight="1">
      <c r="A410" s="52"/>
      <c r="B410" s="52"/>
      <c r="C410" s="52"/>
      <c r="D410" s="52"/>
      <c r="E410" s="52"/>
      <c r="F410" s="52"/>
      <c r="G410" s="52"/>
      <c r="H410" s="2">
        <v>24</v>
      </c>
      <c r="I410" s="260">
        <v>111</v>
      </c>
      <c r="J410" s="185">
        <v>3293</v>
      </c>
      <c r="K410" s="19" t="s">
        <v>256</v>
      </c>
      <c r="L410" s="129">
        <v>59038</v>
      </c>
      <c r="M410" s="129">
        <f>59038/7.5345</f>
        <v>7835.6891631826929</v>
      </c>
      <c r="N410" s="130">
        <v>49821</v>
      </c>
      <c r="O410" s="130">
        <f>N410/7.5345</f>
        <v>6612.3830380250838</v>
      </c>
      <c r="P410" s="131">
        <v>11500</v>
      </c>
      <c r="Q410" s="131">
        <v>11500</v>
      </c>
      <c r="R410" s="153">
        <v>8845</v>
      </c>
      <c r="S410" s="158">
        <v>3811</v>
      </c>
      <c r="T410" s="158"/>
      <c r="U410" s="158"/>
      <c r="V410" s="532">
        <v>11500</v>
      </c>
      <c r="W410" s="532">
        <v>11500</v>
      </c>
      <c r="X410" s="560">
        <v>13000</v>
      </c>
      <c r="Y410" s="561">
        <v>15000</v>
      </c>
      <c r="Z410" s="561"/>
      <c r="AA410" s="562" t="e">
        <f t="shared" ca="1" si="341"/>
        <v>#NAME?</v>
      </c>
      <c r="AB410" s="535"/>
      <c r="AC410" s="529">
        <v>12000</v>
      </c>
      <c r="AD410" s="529">
        <v>12000</v>
      </c>
      <c r="AE410" s="529">
        <f>O410/M410*100</f>
        <v>84.388021274433399</v>
      </c>
      <c r="AF410" s="529">
        <f>P410/O410*100</f>
        <v>173.91611970855664</v>
      </c>
      <c r="AG410" s="529">
        <f>Q410/P410*100</f>
        <v>100</v>
      </c>
      <c r="AH410" s="529">
        <f>AC410/Q410*100</f>
        <v>104.34782608695652</v>
      </c>
      <c r="AI410" s="535"/>
      <c r="AJ410" s="561">
        <v>15000</v>
      </c>
      <c r="AK410" s="507">
        <f t="shared" si="377"/>
        <v>130.01695873374788</v>
      </c>
      <c r="AL410" s="507">
        <f t="shared" si="378"/>
        <v>113.04347826086956</v>
      </c>
      <c r="AM410" s="507">
        <f t="shared" si="378"/>
        <v>115.38461538461537</v>
      </c>
      <c r="AN410" s="556"/>
      <c r="AO410" s="510"/>
      <c r="AP410" s="510" t="e">
        <f t="shared" ca="1" si="338"/>
        <v>#NAME?</v>
      </c>
      <c r="AQ410" s="532">
        <v>4264.1099999999997</v>
      </c>
      <c r="AR410" s="533">
        <f t="shared" si="347"/>
        <v>130.01695873374788</v>
      </c>
      <c r="AS410" s="533">
        <f t="shared" si="348"/>
        <v>100</v>
      </c>
      <c r="AT410" s="533">
        <f t="shared" si="349"/>
        <v>130.01695873374788</v>
      </c>
      <c r="AU410" s="533">
        <f>AQ410/W410*100</f>
        <v>37.079217391304347</v>
      </c>
      <c r="AV410" s="533">
        <f>AQ410/R410*100</f>
        <v>48.209270774448839</v>
      </c>
      <c r="AW410" s="612">
        <f>AQ410</f>
        <v>4264.1099999999997</v>
      </c>
      <c r="AX410" s="612"/>
      <c r="AY410" s="612"/>
      <c r="AZ410" s="612"/>
      <c r="BA410" s="612"/>
      <c r="BB410" s="612"/>
      <c r="BC410" s="612"/>
      <c r="BD410" s="612"/>
      <c r="BE410" s="612"/>
      <c r="BF410" s="612"/>
      <c r="BG410" s="612"/>
      <c r="BH410" s="612">
        <f t="shared" si="344"/>
        <v>4264.1099999999997</v>
      </c>
      <c r="BI410" s="612">
        <f t="shared" si="374"/>
        <v>0</v>
      </c>
      <c r="BJ410" s="201">
        <f>AQ417-BI410</f>
        <v>0</v>
      </c>
    </row>
    <row r="411" spans="1:62" ht="12" customHeight="1">
      <c r="A411" s="52"/>
      <c r="B411" s="52"/>
      <c r="C411" s="52"/>
      <c r="D411" s="52"/>
      <c r="E411" s="52"/>
      <c r="F411" s="52"/>
      <c r="G411" s="52"/>
      <c r="H411" s="2"/>
      <c r="I411" s="293"/>
      <c r="J411" s="294"/>
      <c r="K411" s="132" t="s">
        <v>354</v>
      </c>
      <c r="L411" s="129"/>
      <c r="M411" s="129"/>
      <c r="N411" s="130">
        <v>0</v>
      </c>
      <c r="O411" s="130">
        <f>N411/7.5345</f>
        <v>0</v>
      </c>
      <c r="P411" s="131">
        <v>8000</v>
      </c>
      <c r="Q411" s="131">
        <v>8000</v>
      </c>
      <c r="R411" s="153"/>
      <c r="S411" s="158" t="e">
        <f ca="1">__xlfn.XLOOKUP(H411,[1]Izvršenje_proračuna_po_pozicija!$B$2:$B$153,[1]Izvršenje_proračuna_po_pozicija!$E$2:$E$153,0)</f>
        <v>#NAME?</v>
      </c>
      <c r="T411" s="158"/>
      <c r="U411" s="158"/>
      <c r="V411" s="532">
        <v>8000</v>
      </c>
      <c r="W411" s="532">
        <v>8000</v>
      </c>
      <c r="X411" s="560">
        <v>9000</v>
      </c>
      <c r="Y411" s="561">
        <v>10000</v>
      </c>
      <c r="Z411" s="561"/>
      <c r="AA411" s="562" t="e">
        <f t="shared" ca="1" si="341"/>
        <v>#NAME?</v>
      </c>
      <c r="AB411" s="535"/>
      <c r="AC411" s="529"/>
      <c r="AD411" s="529"/>
      <c r="AE411" s="529"/>
      <c r="AF411" s="529"/>
      <c r="AG411" s="529"/>
      <c r="AH411" s="529"/>
      <c r="AI411" s="535"/>
      <c r="AJ411" s="561">
        <v>10000</v>
      </c>
      <c r="AK411" s="507"/>
      <c r="AL411" s="507">
        <f t="shared" si="378"/>
        <v>112.5</v>
      </c>
      <c r="AM411" s="507">
        <f t="shared" si="378"/>
        <v>111.11111111111111</v>
      </c>
      <c r="AN411" s="556"/>
      <c r="AO411" s="510"/>
      <c r="AP411" s="510" t="e">
        <f t="shared" ca="1" si="338"/>
        <v>#NAME?</v>
      </c>
      <c r="AQ411" s="532"/>
      <c r="AR411" s="533"/>
      <c r="AS411" s="533">
        <f t="shared" si="348"/>
        <v>100</v>
      </c>
      <c r="AT411" s="533"/>
      <c r="AU411" s="533">
        <f>AQ411/W411*100</f>
        <v>0</v>
      </c>
      <c r="AV411" s="533"/>
      <c r="AW411" s="612"/>
      <c r="AX411" s="612"/>
      <c r="AY411" s="612"/>
      <c r="AZ411" s="612"/>
      <c r="BA411" s="612"/>
      <c r="BB411" s="612"/>
      <c r="BC411" s="612"/>
      <c r="BD411" s="612"/>
      <c r="BE411" s="612"/>
      <c r="BF411" s="612"/>
      <c r="BG411" s="612"/>
      <c r="BH411" s="612">
        <f t="shared" si="344"/>
        <v>0</v>
      </c>
      <c r="BI411" s="612"/>
      <c r="BJ411" s="201"/>
    </row>
    <row r="412" spans="1:62" ht="12" customHeight="1">
      <c r="A412" s="52"/>
      <c r="B412" s="52"/>
      <c r="C412" s="52"/>
      <c r="D412" s="52"/>
      <c r="E412" s="52"/>
      <c r="F412" s="52"/>
      <c r="G412" s="52"/>
      <c r="H412" s="2"/>
      <c r="I412" s="293"/>
      <c r="J412" s="294"/>
      <c r="K412" s="132" t="s">
        <v>355</v>
      </c>
      <c r="L412" s="118"/>
      <c r="M412" s="118"/>
      <c r="N412" s="130">
        <v>0</v>
      </c>
      <c r="O412" s="130">
        <f>N412/7.5345</f>
        <v>0</v>
      </c>
      <c r="P412" s="131">
        <v>3500</v>
      </c>
      <c r="Q412" s="131">
        <v>3500</v>
      </c>
      <c r="R412" s="153"/>
      <c r="S412" s="158" t="e">
        <f ca="1">__xlfn.XLOOKUP(H412,[1]Izvršenje_proračuna_po_pozicija!$B$2:$B$153,[1]Izvršenje_proračuna_po_pozicija!$E$2:$E$153,0)</f>
        <v>#NAME?</v>
      </c>
      <c r="T412" s="158"/>
      <c r="U412" s="158"/>
      <c r="V412" s="532">
        <v>3500</v>
      </c>
      <c r="W412" s="532">
        <v>3500</v>
      </c>
      <c r="X412" s="560">
        <v>4000</v>
      </c>
      <c r="Y412" s="561">
        <v>5000</v>
      </c>
      <c r="Z412" s="561"/>
      <c r="AA412" s="562" t="e">
        <f t="shared" ca="1" si="341"/>
        <v>#NAME?</v>
      </c>
      <c r="AB412" s="535"/>
      <c r="AC412" s="529"/>
      <c r="AD412" s="529"/>
      <c r="AE412" s="529"/>
      <c r="AF412" s="529"/>
      <c r="AG412" s="529"/>
      <c r="AH412" s="529"/>
      <c r="AI412" s="535"/>
      <c r="AJ412" s="561">
        <v>5000</v>
      </c>
      <c r="AK412" s="507"/>
      <c r="AL412" s="507">
        <f t="shared" si="378"/>
        <v>114.28571428571428</v>
      </c>
      <c r="AM412" s="507">
        <f t="shared" si="378"/>
        <v>125</v>
      </c>
      <c r="AN412" s="556"/>
      <c r="AO412" s="510"/>
      <c r="AP412" s="510" t="e">
        <f t="shared" ca="1" si="338"/>
        <v>#NAME?</v>
      </c>
      <c r="AQ412" s="532"/>
      <c r="AR412" s="533"/>
      <c r="AS412" s="533">
        <f t="shared" si="348"/>
        <v>100</v>
      </c>
      <c r="AT412" s="533"/>
      <c r="AU412" s="533">
        <f>AQ412/W412*100</f>
        <v>0</v>
      </c>
      <c r="AV412" s="533"/>
      <c r="AW412" s="612"/>
      <c r="AX412" s="612"/>
      <c r="AY412" s="612"/>
      <c r="AZ412" s="612"/>
      <c r="BA412" s="612"/>
      <c r="BB412" s="612"/>
      <c r="BC412" s="612"/>
      <c r="BD412" s="612"/>
      <c r="BE412" s="612"/>
      <c r="BF412" s="612"/>
      <c r="BG412" s="612"/>
      <c r="BH412" s="612">
        <f t="shared" si="344"/>
        <v>0</v>
      </c>
      <c r="BI412" s="612">
        <f t="shared" ref="BI412:BI443" si="379">SUM(AW419:BG419)</f>
        <v>9590.82</v>
      </c>
      <c r="BJ412" s="201">
        <f t="shared" ref="BJ412:BJ418" si="380">AQ419-BI412</f>
        <v>0</v>
      </c>
    </row>
    <row r="413" spans="1:62" ht="12" customHeight="1">
      <c r="A413" s="282" t="s">
        <v>356</v>
      </c>
      <c r="B413" s="283"/>
      <c r="C413" s="283"/>
      <c r="D413" s="283"/>
      <c r="E413" s="283"/>
      <c r="F413" s="283"/>
      <c r="G413" s="283"/>
      <c r="H413" s="284"/>
      <c r="I413" s="295" t="s">
        <v>357</v>
      </c>
      <c r="J413" s="254"/>
      <c r="K413" s="255"/>
      <c r="L413" s="111">
        <f t="shared" ref="L413:S413" si="381">L415</f>
        <v>1146157</v>
      </c>
      <c r="M413" s="111">
        <f t="shared" si="381"/>
        <v>152121.17592408252</v>
      </c>
      <c r="N413" s="112">
        <f t="shared" si="381"/>
        <v>707210</v>
      </c>
      <c r="O413" s="112">
        <f t="shared" si="381"/>
        <v>93862.897338907685</v>
      </c>
      <c r="P413" s="113">
        <f t="shared" si="381"/>
        <v>166840</v>
      </c>
      <c r="Q413" s="113">
        <f t="shared" si="381"/>
        <v>189240</v>
      </c>
      <c r="R413" s="87">
        <f t="shared" si="381"/>
        <v>155182</v>
      </c>
      <c r="S413" s="89" t="e">
        <f t="shared" ca="1" si="381"/>
        <v>#NAME?</v>
      </c>
      <c r="T413" s="89"/>
      <c r="U413" s="89"/>
      <c r="V413" s="532">
        <f>V415</f>
        <v>210390</v>
      </c>
      <c r="W413" s="532">
        <f>W415</f>
        <v>209619</v>
      </c>
      <c r="X413" s="506">
        <f>X415</f>
        <v>339160</v>
      </c>
      <c r="Y413" s="507">
        <f>Y415</f>
        <v>304248</v>
      </c>
      <c r="Z413" s="507">
        <f>Z415</f>
        <v>0</v>
      </c>
      <c r="AA413" s="562" t="e">
        <f t="shared" ca="1" si="341"/>
        <v>#NAME?</v>
      </c>
      <c r="AB413" s="507"/>
      <c r="AC413" s="508">
        <f>AC415</f>
        <v>179750</v>
      </c>
      <c r="AD413" s="508">
        <f>AD415</f>
        <v>179750</v>
      </c>
      <c r="AE413" s="529">
        <f>O413/M413*100</f>
        <v>61.702716120042901</v>
      </c>
      <c r="AF413" s="529">
        <f>P413/O413*100</f>
        <v>177.74861497999183</v>
      </c>
      <c r="AG413" s="529">
        <f>Q413/P413*100</f>
        <v>113.42603692160154</v>
      </c>
      <c r="AH413" s="529">
        <f>AC413/Q413*100</f>
        <v>94.985203973789893</v>
      </c>
      <c r="AI413" s="507"/>
      <c r="AJ413" s="507">
        <v>304248</v>
      </c>
      <c r="AK413" s="507">
        <f t="shared" si="377"/>
        <v>135.07945509144102</v>
      </c>
      <c r="AL413" s="507">
        <f t="shared" si="378"/>
        <v>161.79831026767613</v>
      </c>
      <c r="AM413" s="507">
        <f t="shared" si="378"/>
        <v>89.706333294020524</v>
      </c>
      <c r="AN413" s="509"/>
      <c r="AO413" s="510"/>
      <c r="AP413" s="510" t="e">
        <f t="shared" ca="1" si="338"/>
        <v>#NAME?</v>
      </c>
      <c r="AQ413" s="532">
        <f>AQ415</f>
        <v>181665.52000000002</v>
      </c>
      <c r="AR413" s="533">
        <f t="shared" si="347"/>
        <v>135.57629106468534</v>
      </c>
      <c r="AS413" s="533">
        <f t="shared" si="348"/>
        <v>99.633537715670897</v>
      </c>
      <c r="AT413" s="533">
        <f t="shared" si="349"/>
        <v>135.07945509144102</v>
      </c>
      <c r="AU413" s="533">
        <f>AQ413/W413*100</f>
        <v>86.664624867020663</v>
      </c>
      <c r="AV413" s="533">
        <f>AQ413/R413*100</f>
        <v>117.06610302741298</v>
      </c>
      <c r="AW413" s="612"/>
      <c r="AX413" s="612"/>
      <c r="AY413" s="612"/>
      <c r="AZ413" s="612"/>
      <c r="BA413" s="612"/>
      <c r="BB413" s="612"/>
      <c r="BC413" s="612"/>
      <c r="BD413" s="612"/>
      <c r="BE413" s="612"/>
      <c r="BF413" s="612"/>
      <c r="BG413" s="612"/>
      <c r="BH413" s="612">
        <f t="shared" si="344"/>
        <v>0</v>
      </c>
      <c r="BI413" s="612">
        <f t="shared" si="379"/>
        <v>100</v>
      </c>
      <c r="BJ413" s="201">
        <f t="shared" si="380"/>
        <v>0</v>
      </c>
    </row>
    <row r="414" spans="1:62" ht="12" customHeight="1">
      <c r="A414" s="68"/>
      <c r="B414" s="68"/>
      <c r="C414" s="68"/>
      <c r="D414" s="68"/>
      <c r="E414" s="68"/>
      <c r="F414" s="68"/>
      <c r="G414" s="68"/>
      <c r="H414" s="281"/>
      <c r="I414" s="256"/>
      <c r="J414" s="211"/>
      <c r="K414" s="69"/>
      <c r="L414" s="175"/>
      <c r="M414" s="175"/>
      <c r="N414" s="176"/>
      <c r="O414" s="176"/>
      <c r="P414" s="177"/>
      <c r="Q414" s="177"/>
      <c r="R414" s="212"/>
      <c r="S414" s="158" t="e">
        <f ca="1">__xlfn.XLOOKUP(H414,[1]Izvršenje_proračuna_po_pozicija!$B$2:$B$153,[1]Izvršenje_proračuna_po_pozicija!$E$2:$E$153,0)</f>
        <v>#NAME?</v>
      </c>
      <c r="T414" s="158"/>
      <c r="U414" s="158"/>
      <c r="V414" s="532"/>
      <c r="W414" s="532"/>
      <c r="X414" s="563"/>
      <c r="Y414" s="562"/>
      <c r="Z414" s="562"/>
      <c r="AA414" s="562" t="e">
        <f t="shared" ca="1" si="341"/>
        <v>#NAME?</v>
      </c>
      <c r="AB414" s="507"/>
      <c r="AC414" s="508"/>
      <c r="AD414" s="508"/>
      <c r="AE414" s="529"/>
      <c r="AF414" s="529"/>
      <c r="AG414" s="529"/>
      <c r="AH414" s="529"/>
      <c r="AI414" s="507"/>
      <c r="AJ414" s="562"/>
      <c r="AK414" s="507"/>
      <c r="AL414" s="507"/>
      <c r="AM414" s="507"/>
      <c r="AN414" s="509"/>
      <c r="AO414" s="510"/>
      <c r="AP414" s="510" t="e">
        <f t="shared" ca="1" si="338"/>
        <v>#NAME?</v>
      </c>
      <c r="AQ414" s="532"/>
      <c r="AR414" s="533"/>
      <c r="AS414" s="533"/>
      <c r="AT414" s="533"/>
      <c r="AU414" s="533"/>
      <c r="AV414" s="533"/>
      <c r="AW414" s="612"/>
      <c r="AX414" s="612"/>
      <c r="AY414" s="612"/>
      <c r="AZ414" s="612"/>
      <c r="BA414" s="612"/>
      <c r="BB414" s="612"/>
      <c r="BC414" s="612"/>
      <c r="BD414" s="612"/>
      <c r="BE414" s="612"/>
      <c r="BF414" s="612"/>
      <c r="BG414" s="612"/>
      <c r="BH414" s="612">
        <f t="shared" si="344"/>
        <v>0</v>
      </c>
      <c r="BI414" s="612">
        <f t="shared" si="379"/>
        <v>0</v>
      </c>
      <c r="BJ414" s="201">
        <f t="shared" si="380"/>
        <v>0</v>
      </c>
    </row>
    <row r="415" spans="1:62" ht="12" customHeight="1">
      <c r="A415" s="25"/>
      <c r="B415" s="25"/>
      <c r="C415" s="25"/>
      <c r="D415" s="25"/>
      <c r="E415" s="25"/>
      <c r="F415" s="25"/>
      <c r="G415" s="25"/>
      <c r="H415" s="285"/>
      <c r="I415" s="296"/>
      <c r="J415" s="211">
        <v>3</v>
      </c>
      <c r="K415" s="3" t="s">
        <v>220</v>
      </c>
      <c r="L415" s="111">
        <f t="shared" ref="L415:S415" si="382">L416+L447</f>
        <v>1146157</v>
      </c>
      <c r="M415" s="111">
        <f t="shared" si="382"/>
        <v>152121.17592408252</v>
      </c>
      <c r="N415" s="112">
        <f t="shared" si="382"/>
        <v>707210</v>
      </c>
      <c r="O415" s="112">
        <f t="shared" si="382"/>
        <v>93862.897338907685</v>
      </c>
      <c r="P415" s="113">
        <f t="shared" si="382"/>
        <v>166840</v>
      </c>
      <c r="Q415" s="113">
        <f t="shared" si="382"/>
        <v>189240</v>
      </c>
      <c r="R415" s="87">
        <f t="shared" si="382"/>
        <v>155182</v>
      </c>
      <c r="S415" s="89" t="e">
        <f t="shared" ca="1" si="382"/>
        <v>#NAME?</v>
      </c>
      <c r="T415" s="89"/>
      <c r="U415" s="89"/>
      <c r="V415" s="532">
        <f>V416+V447</f>
        <v>210390</v>
      </c>
      <c r="W415" s="532">
        <f>W416+W447</f>
        <v>209619</v>
      </c>
      <c r="X415" s="506">
        <f>X416+X447</f>
        <v>339160</v>
      </c>
      <c r="Y415" s="507">
        <f>Y416+Y447</f>
        <v>304248</v>
      </c>
      <c r="Z415" s="507">
        <f>Z416+Z447</f>
        <v>0</v>
      </c>
      <c r="AA415" s="562" t="e">
        <f t="shared" ca="1" si="341"/>
        <v>#NAME?</v>
      </c>
      <c r="AB415" s="507"/>
      <c r="AC415" s="508">
        <f>AC416+AC447</f>
        <v>179750</v>
      </c>
      <c r="AD415" s="508">
        <f>AD416+AD447</f>
        <v>179750</v>
      </c>
      <c r="AE415" s="529">
        <f>O415/M415*100</f>
        <v>61.702716120042901</v>
      </c>
      <c r="AF415" s="529">
        <f>P415/O415*100</f>
        <v>177.74861497999183</v>
      </c>
      <c r="AG415" s="529">
        <f>Q415/P415*100</f>
        <v>113.42603692160154</v>
      </c>
      <c r="AH415" s="529">
        <f>AC415/Q415*100</f>
        <v>94.985203973789893</v>
      </c>
      <c r="AI415" s="507"/>
      <c r="AJ415" s="507">
        <v>304248</v>
      </c>
      <c r="AK415" s="507">
        <f t="shared" si="377"/>
        <v>135.07945509144102</v>
      </c>
      <c r="AL415" s="507">
        <f t="shared" si="378"/>
        <v>161.79831026767613</v>
      </c>
      <c r="AM415" s="507">
        <f t="shared" si="378"/>
        <v>89.706333294020524</v>
      </c>
      <c r="AN415" s="509"/>
      <c r="AO415" s="510"/>
      <c r="AP415" s="510" t="e">
        <f t="shared" ca="1" si="338"/>
        <v>#NAME?</v>
      </c>
      <c r="AQ415" s="532">
        <f>AQ416+AQ447</f>
        <v>181665.52000000002</v>
      </c>
      <c r="AR415" s="533">
        <f t="shared" si="347"/>
        <v>135.57629106468534</v>
      </c>
      <c r="AS415" s="533">
        <f t="shared" si="348"/>
        <v>99.633537715670897</v>
      </c>
      <c r="AT415" s="533">
        <f t="shared" si="349"/>
        <v>135.07945509144102</v>
      </c>
      <c r="AU415" s="533">
        <f>AQ415/W415*100</f>
        <v>86.664624867020663</v>
      </c>
      <c r="AV415" s="533">
        <f>AQ415/R415*100</f>
        <v>117.06610302741298</v>
      </c>
      <c r="AW415" s="612"/>
      <c r="AX415" s="612"/>
      <c r="AY415" s="612"/>
      <c r="AZ415" s="612"/>
      <c r="BA415" s="612"/>
      <c r="BB415" s="612"/>
      <c r="BC415" s="612"/>
      <c r="BD415" s="612"/>
      <c r="BE415" s="612"/>
      <c r="BF415" s="612"/>
      <c r="BG415" s="612"/>
      <c r="BH415" s="612">
        <f t="shared" si="344"/>
        <v>0</v>
      </c>
      <c r="BI415" s="612">
        <f t="shared" si="379"/>
        <v>29250</v>
      </c>
      <c r="BJ415" s="201">
        <f t="shared" si="380"/>
        <v>0</v>
      </c>
    </row>
    <row r="416" spans="1:62" ht="12" customHeight="1">
      <c r="A416" s="227"/>
      <c r="B416" s="227"/>
      <c r="C416" s="227"/>
      <c r="D416" s="227"/>
      <c r="E416" s="227"/>
      <c r="F416" s="227"/>
      <c r="G416" s="227"/>
      <c r="H416" s="234"/>
      <c r="I416" s="297"/>
      <c r="J416" s="228">
        <v>32</v>
      </c>
      <c r="K416" s="258" t="s">
        <v>229</v>
      </c>
      <c r="L416" s="111">
        <f t="shared" ref="L416:S416" si="383">L418+L426</f>
        <v>1058877</v>
      </c>
      <c r="M416" s="111">
        <f t="shared" si="383"/>
        <v>140537.12920565397</v>
      </c>
      <c r="N416" s="112">
        <f t="shared" si="383"/>
        <v>699537</v>
      </c>
      <c r="O416" s="112">
        <f t="shared" si="383"/>
        <v>92844.515229942263</v>
      </c>
      <c r="P416" s="113">
        <f t="shared" si="383"/>
        <v>147100</v>
      </c>
      <c r="Q416" s="113">
        <f t="shared" si="383"/>
        <v>168500</v>
      </c>
      <c r="R416" s="87">
        <f t="shared" si="383"/>
        <v>154982</v>
      </c>
      <c r="S416" s="89" t="e">
        <f t="shared" ca="1" si="383"/>
        <v>#NAME?</v>
      </c>
      <c r="T416" s="89"/>
      <c r="U416" s="89"/>
      <c r="V416" s="532">
        <f>V418+V426</f>
        <v>201000</v>
      </c>
      <c r="W416" s="532">
        <f>W418+W426</f>
        <v>200229</v>
      </c>
      <c r="X416" s="506">
        <f>X418+X426</f>
        <v>326500</v>
      </c>
      <c r="Y416" s="507">
        <f>Y418+Y426</f>
        <v>295500</v>
      </c>
      <c r="Z416" s="507">
        <f>Z418+Z426</f>
        <v>0</v>
      </c>
      <c r="AA416" s="562" t="e">
        <f t="shared" ca="1" si="341"/>
        <v>#NAME?</v>
      </c>
      <c r="AB416" s="507"/>
      <c r="AC416" s="508">
        <f>AC418+AC426</f>
        <v>158300</v>
      </c>
      <c r="AD416" s="508">
        <f>AD418+AD426</f>
        <v>158300</v>
      </c>
      <c r="AE416" s="529">
        <f>O416/M416*100</f>
        <v>66.064047098954845</v>
      </c>
      <c r="AF416" s="529">
        <f>P416/O416*100</f>
        <v>158.43693042683947</v>
      </c>
      <c r="AG416" s="529">
        <f>Q416/P416*100</f>
        <v>114.54792658055743</v>
      </c>
      <c r="AH416" s="529">
        <f>AC416/Q416*100</f>
        <v>93.946587537091986</v>
      </c>
      <c r="AI416" s="507"/>
      <c r="AJ416" s="507">
        <v>295500</v>
      </c>
      <c r="AK416" s="507">
        <f t="shared" si="377"/>
        <v>129.19500329070473</v>
      </c>
      <c r="AL416" s="507">
        <f t="shared" si="378"/>
        <v>163.0632925300531</v>
      </c>
      <c r="AM416" s="507">
        <f t="shared" si="378"/>
        <v>90.505359877488516</v>
      </c>
      <c r="AN416" s="509"/>
      <c r="AO416" s="510"/>
      <c r="AP416" s="510" t="e">
        <f t="shared" ca="1" si="338"/>
        <v>#NAME?</v>
      </c>
      <c r="AQ416" s="532">
        <f>AQ418+AQ426</f>
        <v>180165.52000000002</v>
      </c>
      <c r="AR416" s="533">
        <f t="shared" si="347"/>
        <v>129.6924804170807</v>
      </c>
      <c r="AS416" s="533">
        <f t="shared" si="348"/>
        <v>99.616417910447765</v>
      </c>
      <c r="AT416" s="533">
        <f t="shared" si="349"/>
        <v>129.19500329070473</v>
      </c>
      <c r="AU416" s="533">
        <f>AQ416/W416*100</f>
        <v>89.979733205479732</v>
      </c>
      <c r="AV416" s="533">
        <f>AQ416/R416*100</f>
        <v>116.24931927578687</v>
      </c>
      <c r="AW416" s="612"/>
      <c r="AX416" s="612"/>
      <c r="AY416" s="612"/>
      <c r="AZ416" s="612"/>
      <c r="BA416" s="612"/>
      <c r="BB416" s="612"/>
      <c r="BC416" s="612"/>
      <c r="BD416" s="612"/>
      <c r="BE416" s="612"/>
      <c r="BF416" s="612"/>
      <c r="BG416" s="612"/>
      <c r="BH416" s="612">
        <f t="shared" si="344"/>
        <v>0</v>
      </c>
      <c r="BI416" s="612">
        <f t="shared" si="379"/>
        <v>0</v>
      </c>
      <c r="BJ416" s="201">
        <f t="shared" si="380"/>
        <v>0</v>
      </c>
    </row>
    <row r="417" spans="1:62" ht="12" customHeight="1">
      <c r="A417" s="25"/>
      <c r="B417" s="25"/>
      <c r="C417" s="25"/>
      <c r="D417" s="25"/>
      <c r="E417" s="25"/>
      <c r="F417" s="25"/>
      <c r="G417" s="25"/>
      <c r="H417" s="285"/>
      <c r="I417" s="296"/>
      <c r="J417" s="211"/>
      <c r="K417" s="3"/>
      <c r="L417" s="111"/>
      <c r="M417" s="111"/>
      <c r="N417" s="112"/>
      <c r="O417" s="112"/>
      <c r="P417" s="113"/>
      <c r="Q417" s="113"/>
      <c r="R417" s="87"/>
      <c r="S417" s="158" t="e">
        <f ca="1">__xlfn.XLOOKUP(H417,[1]Izvršenje_proračuna_po_pozicija!$B$2:$B$153,[1]Izvršenje_proračuna_po_pozicija!$E$2:$E$153,0)</f>
        <v>#NAME?</v>
      </c>
      <c r="T417" s="158"/>
      <c r="U417" s="158"/>
      <c r="V417" s="532"/>
      <c r="W417" s="532"/>
      <c r="X417" s="563"/>
      <c r="Y417" s="562"/>
      <c r="Z417" s="562"/>
      <c r="AA417" s="562" t="e">
        <f t="shared" ca="1" si="341"/>
        <v>#NAME?</v>
      </c>
      <c r="AB417" s="507"/>
      <c r="AC417" s="508"/>
      <c r="AD417" s="508"/>
      <c r="AE417" s="529"/>
      <c r="AF417" s="529"/>
      <c r="AG417" s="529"/>
      <c r="AH417" s="529"/>
      <c r="AI417" s="507"/>
      <c r="AJ417" s="562"/>
      <c r="AK417" s="507"/>
      <c r="AL417" s="507"/>
      <c r="AM417" s="507"/>
      <c r="AN417" s="509"/>
      <c r="AO417" s="510"/>
      <c r="AP417" s="510" t="e">
        <f t="shared" ca="1" si="338"/>
        <v>#NAME?</v>
      </c>
      <c r="AQ417" s="532"/>
      <c r="AR417" s="533"/>
      <c r="AS417" s="533"/>
      <c r="AT417" s="533"/>
      <c r="AU417" s="533"/>
      <c r="AV417" s="533"/>
      <c r="AW417" s="612"/>
      <c r="AX417" s="612"/>
      <c r="AY417" s="612"/>
      <c r="AZ417" s="612"/>
      <c r="BA417" s="612"/>
      <c r="BB417" s="612"/>
      <c r="BC417" s="612"/>
      <c r="BD417" s="612"/>
      <c r="BE417" s="612"/>
      <c r="BF417" s="612"/>
      <c r="BG417" s="612"/>
      <c r="BH417" s="612">
        <f t="shared" si="344"/>
        <v>0</v>
      </c>
      <c r="BI417" s="612">
        <f t="shared" si="379"/>
        <v>0</v>
      </c>
      <c r="BJ417" s="201">
        <f t="shared" si="380"/>
        <v>0</v>
      </c>
    </row>
    <row r="418" spans="1:62" ht="12" customHeight="1">
      <c r="A418" s="61"/>
      <c r="B418" s="61"/>
      <c r="C418" s="61"/>
      <c r="D418" s="61"/>
      <c r="E418" s="61"/>
      <c r="F418" s="61"/>
      <c r="G418" s="61"/>
      <c r="H418" s="230"/>
      <c r="I418" s="261"/>
      <c r="J418" s="229">
        <v>323</v>
      </c>
      <c r="K418" s="20" t="s">
        <v>346</v>
      </c>
      <c r="L418" s="111">
        <f t="shared" ref="L418:S418" si="384">L419+L420+L421+L422+L423+L424</f>
        <v>328874</v>
      </c>
      <c r="M418" s="111">
        <f t="shared" si="384"/>
        <v>43649.080894551727</v>
      </c>
      <c r="N418" s="112">
        <f t="shared" si="384"/>
        <v>88564</v>
      </c>
      <c r="O418" s="112">
        <f t="shared" si="384"/>
        <v>11754.46280443294</v>
      </c>
      <c r="P418" s="113">
        <f t="shared" si="384"/>
        <v>35500</v>
      </c>
      <c r="Q418" s="113">
        <f t="shared" si="384"/>
        <v>49500</v>
      </c>
      <c r="R418" s="87">
        <f t="shared" si="384"/>
        <v>42871</v>
      </c>
      <c r="S418" s="89" t="e">
        <f t="shared" ca="1" si="384"/>
        <v>#NAME?</v>
      </c>
      <c r="T418" s="89"/>
      <c r="U418" s="89"/>
      <c r="V418" s="532">
        <f>V419+V420+V421+V422+V423+V424</f>
        <v>51500</v>
      </c>
      <c r="W418" s="532">
        <f>W419+W420+W421+W422+W423+W424</f>
        <v>50729</v>
      </c>
      <c r="X418" s="506">
        <f>X419+X420+X421+X422+X423+X424</f>
        <v>56500</v>
      </c>
      <c r="Y418" s="507">
        <f>Y419+Y420+Y421+Y422+Y423+Y424</f>
        <v>67000</v>
      </c>
      <c r="Z418" s="507">
        <f>Z419+Z420+Z421+Z422+Z423+Z424</f>
        <v>0</v>
      </c>
      <c r="AA418" s="562" t="e">
        <f t="shared" ca="1" si="341"/>
        <v>#NAME?</v>
      </c>
      <c r="AB418" s="507"/>
      <c r="AC418" s="508">
        <f>AC419+AC420+AC421+AC422+AC423+AC424</f>
        <v>35500</v>
      </c>
      <c r="AD418" s="508">
        <f>AD419+AD420+AD421+AD422+AD423+AD424</f>
        <v>35500</v>
      </c>
      <c r="AE418" s="529">
        <f>O418/M418*100</f>
        <v>26.929462347281934</v>
      </c>
      <c r="AF418" s="529">
        <f>P418/O418*100</f>
        <v>302.0129510862202</v>
      </c>
      <c r="AG418" s="529">
        <f>Q418/P418*100</f>
        <v>139.43661971830986</v>
      </c>
      <c r="AH418" s="529">
        <f>AC418/Q418*100</f>
        <v>71.717171717171709</v>
      </c>
      <c r="AI418" s="507"/>
      <c r="AJ418" s="507">
        <v>67000</v>
      </c>
      <c r="AK418" s="507">
        <f t="shared" si="377"/>
        <v>118.32940682512654</v>
      </c>
      <c r="AL418" s="507">
        <f t="shared" si="378"/>
        <v>111.37613593802362</v>
      </c>
      <c r="AM418" s="507">
        <f t="shared" si="378"/>
        <v>118.58407079646018</v>
      </c>
      <c r="AN418" s="509"/>
      <c r="AO418" s="510"/>
      <c r="AP418" s="510" t="e">
        <f t="shared" ca="1" si="338"/>
        <v>#NAME?</v>
      </c>
      <c r="AQ418" s="532">
        <f>AQ419+AQ420+AQ421+AQ422+AQ423+AQ424</f>
        <v>38940.82</v>
      </c>
      <c r="AR418" s="533">
        <f t="shared" si="347"/>
        <v>120.12782533647454</v>
      </c>
      <c r="AS418" s="533">
        <f t="shared" si="348"/>
        <v>98.502912621359229</v>
      </c>
      <c r="AT418" s="533">
        <f t="shared" si="349"/>
        <v>118.32940682512654</v>
      </c>
      <c r="AU418" s="533">
        <f>AQ418/W418*100</f>
        <v>76.762443572709898</v>
      </c>
      <c r="AV418" s="533">
        <f>AQ418/R418*100</f>
        <v>90.832544144060094</v>
      </c>
      <c r="AW418" s="612"/>
      <c r="AX418" s="612"/>
      <c r="AY418" s="612"/>
      <c r="AZ418" s="612"/>
      <c r="BA418" s="612"/>
      <c r="BB418" s="612"/>
      <c r="BC418" s="612"/>
      <c r="BD418" s="612"/>
      <c r="BE418" s="612"/>
      <c r="BF418" s="612"/>
      <c r="BG418" s="612"/>
      <c r="BH418" s="612"/>
      <c r="BI418" s="612">
        <f t="shared" si="379"/>
        <v>0</v>
      </c>
      <c r="BJ418" s="201">
        <f t="shared" si="380"/>
        <v>0</v>
      </c>
    </row>
    <row r="419" spans="1:62" ht="12" customHeight="1">
      <c r="A419" s="52"/>
      <c r="B419" s="52"/>
      <c r="C419" s="52"/>
      <c r="D419" s="52"/>
      <c r="E419" s="52"/>
      <c r="F419" s="52"/>
      <c r="G419" s="52"/>
      <c r="H419" s="2">
        <v>17</v>
      </c>
      <c r="I419" s="260">
        <v>133</v>
      </c>
      <c r="J419" s="185">
        <v>3233</v>
      </c>
      <c r="K419" s="19" t="s">
        <v>245</v>
      </c>
      <c r="L419" s="129">
        <v>38779</v>
      </c>
      <c r="M419" s="129">
        <f>38779/7.5345</f>
        <v>5146.8577875107831</v>
      </c>
      <c r="N419" s="130">
        <v>39189</v>
      </c>
      <c r="O419" s="130">
        <f t="shared" ref="O419:O424" si="385">N419/7.5345</f>
        <v>5201.27413896078</v>
      </c>
      <c r="P419" s="131">
        <v>10500</v>
      </c>
      <c r="Q419" s="131">
        <v>10500</v>
      </c>
      <c r="R419" s="153">
        <v>3957</v>
      </c>
      <c r="S419" s="158">
        <v>8311</v>
      </c>
      <c r="T419" s="158"/>
      <c r="U419" s="158"/>
      <c r="V419" s="532">
        <v>10500</v>
      </c>
      <c r="W419" s="532">
        <v>10500</v>
      </c>
      <c r="X419" s="560">
        <v>11000</v>
      </c>
      <c r="Y419" s="561">
        <v>15000</v>
      </c>
      <c r="Z419" s="561"/>
      <c r="AA419" s="562" t="e">
        <f t="shared" ca="1" si="341"/>
        <v>#NAME?</v>
      </c>
      <c r="AB419" s="535"/>
      <c r="AC419" s="529">
        <v>10500</v>
      </c>
      <c r="AD419" s="529">
        <v>10500</v>
      </c>
      <c r="AE419" s="529">
        <f>O419/M419*100</f>
        <v>101.05727326645865</v>
      </c>
      <c r="AF419" s="529">
        <f>P419/O419*100</f>
        <v>201.87361249330169</v>
      </c>
      <c r="AG419" s="529">
        <f>Q419/P419*100</f>
        <v>100</v>
      </c>
      <c r="AH419" s="529">
        <f>AC419/Q419*100</f>
        <v>100</v>
      </c>
      <c r="AI419" s="535"/>
      <c r="AJ419" s="561">
        <v>15000</v>
      </c>
      <c r="AK419" s="507">
        <f t="shared" si="377"/>
        <v>265.35253980288098</v>
      </c>
      <c r="AL419" s="507">
        <f t="shared" si="378"/>
        <v>104.76190476190477</v>
      </c>
      <c r="AM419" s="507">
        <f t="shared" si="378"/>
        <v>136.36363636363635</v>
      </c>
      <c r="AN419" s="556"/>
      <c r="AO419" s="510"/>
      <c r="AP419" s="510" t="e">
        <f t="shared" ref="AP419:AP482" ca="1" si="386">__xlfn.ISFORMULA(X419)</f>
        <v>#NAME?</v>
      </c>
      <c r="AQ419" s="532">
        <v>9590.82</v>
      </c>
      <c r="AR419" s="533">
        <f t="shared" si="347"/>
        <v>265.35253980288098</v>
      </c>
      <c r="AS419" s="533">
        <f t="shared" si="348"/>
        <v>100</v>
      </c>
      <c r="AT419" s="533">
        <f t="shared" si="349"/>
        <v>265.35253980288098</v>
      </c>
      <c r="AU419" s="533">
        <f>AQ419/W419*100</f>
        <v>91.341142857142856</v>
      </c>
      <c r="AV419" s="533">
        <f>AQ419/R419*100</f>
        <v>242.37604245640637</v>
      </c>
      <c r="AW419" s="612">
        <f>AQ419</f>
        <v>9590.82</v>
      </c>
      <c r="AX419" s="612"/>
      <c r="AY419" s="612"/>
      <c r="AZ419" s="612"/>
      <c r="BA419" s="612"/>
      <c r="BB419" s="612"/>
      <c r="BC419" s="612"/>
      <c r="BD419" s="612"/>
      <c r="BE419" s="612"/>
      <c r="BF419" s="612"/>
      <c r="BG419" s="612"/>
      <c r="BH419" s="612">
        <f t="shared" si="344"/>
        <v>9590.82</v>
      </c>
      <c r="BI419" s="612">
        <f t="shared" si="379"/>
        <v>0</v>
      </c>
      <c r="BJ419" s="315"/>
    </row>
    <row r="420" spans="1:62" ht="12" customHeight="1">
      <c r="A420" s="52"/>
      <c r="B420" s="52"/>
      <c r="C420" s="52"/>
      <c r="D420" s="52"/>
      <c r="E420" s="52"/>
      <c r="F420" s="52"/>
      <c r="G420" s="52"/>
      <c r="H420" s="2" t="s">
        <v>358</v>
      </c>
      <c r="I420" s="260">
        <v>133</v>
      </c>
      <c r="J420" s="185">
        <v>3235</v>
      </c>
      <c r="K420" s="19" t="s">
        <v>359</v>
      </c>
      <c r="L420" s="129">
        <v>9470</v>
      </c>
      <c r="M420" s="129">
        <f>9470/7.5345</f>
        <v>1256.8849956865085</v>
      </c>
      <c r="N420" s="130">
        <v>2000</v>
      </c>
      <c r="O420" s="130">
        <f t="shared" si="385"/>
        <v>265.44561682925212</v>
      </c>
      <c r="P420" s="131">
        <v>1000</v>
      </c>
      <c r="Q420" s="131">
        <v>1000</v>
      </c>
      <c r="R420" s="153">
        <v>265</v>
      </c>
      <c r="S420" s="158" t="e">
        <f ca="1">__xlfn.XLOOKUP(H420,[1]Izvršenje_proračuna_po_pozicija!$B$2:$B$153,[1]Izvršenje_proračuna_po_pozicija!$E$2:$E$153,0)</f>
        <v>#NAME?</v>
      </c>
      <c r="T420" s="158"/>
      <c r="U420" s="158"/>
      <c r="V420" s="532">
        <v>1000</v>
      </c>
      <c r="W420" s="532">
        <v>1000</v>
      </c>
      <c r="X420" s="560">
        <v>500</v>
      </c>
      <c r="Y420" s="561">
        <v>1000</v>
      </c>
      <c r="Z420" s="561"/>
      <c r="AA420" s="562" t="e">
        <f t="shared" ca="1" si="341"/>
        <v>#NAME?</v>
      </c>
      <c r="AB420" s="535"/>
      <c r="AC420" s="529">
        <v>1000</v>
      </c>
      <c r="AD420" s="529">
        <v>1000</v>
      </c>
      <c r="AE420" s="529">
        <f>O420/M420*100</f>
        <v>21.119324181626194</v>
      </c>
      <c r="AF420" s="529"/>
      <c r="AG420" s="529"/>
      <c r="AH420" s="529"/>
      <c r="AI420" s="535"/>
      <c r="AJ420" s="561">
        <v>1000</v>
      </c>
      <c r="AK420" s="507">
        <f t="shared" si="377"/>
        <v>377.35849056603774</v>
      </c>
      <c r="AL420" s="507">
        <f t="shared" si="378"/>
        <v>50</v>
      </c>
      <c r="AM420" s="507">
        <f t="shared" si="378"/>
        <v>200</v>
      </c>
      <c r="AN420" s="556"/>
      <c r="AO420" s="510"/>
      <c r="AP420" s="510" t="e">
        <f t="shared" ca="1" si="386"/>
        <v>#NAME?</v>
      </c>
      <c r="AQ420" s="532">
        <v>100</v>
      </c>
      <c r="AR420" s="533">
        <f t="shared" si="347"/>
        <v>377.35849056603774</v>
      </c>
      <c r="AS420" s="533">
        <f t="shared" si="348"/>
        <v>100</v>
      </c>
      <c r="AT420" s="533">
        <f t="shared" si="349"/>
        <v>377.35849056603774</v>
      </c>
      <c r="AU420" s="533">
        <f>AQ420/W420*100</f>
        <v>10</v>
      </c>
      <c r="AV420" s="533">
        <f>AQ420/R420*100</f>
        <v>37.735849056603776</v>
      </c>
      <c r="AW420" s="612">
        <f>AQ420</f>
        <v>100</v>
      </c>
      <c r="AX420" s="612"/>
      <c r="AY420" s="612"/>
      <c r="AZ420" s="612"/>
      <c r="BA420" s="612"/>
      <c r="BB420" s="612"/>
      <c r="BC420" s="612"/>
      <c r="BD420" s="612"/>
      <c r="BE420" s="612"/>
      <c r="BF420" s="612"/>
      <c r="BG420" s="612"/>
      <c r="BH420" s="612">
        <f t="shared" si="344"/>
        <v>100</v>
      </c>
      <c r="BI420" s="612">
        <f t="shared" si="379"/>
        <v>12042.89</v>
      </c>
      <c r="BJ420" s="201">
        <f t="shared" ref="BJ420:BJ439" si="387">AQ427-BI420</f>
        <v>0</v>
      </c>
    </row>
    <row r="421" spans="1:62" ht="12" customHeight="1">
      <c r="A421" s="52"/>
      <c r="B421" s="52"/>
      <c r="C421" s="52"/>
      <c r="D421" s="52"/>
      <c r="E421" s="52"/>
      <c r="F421" s="52"/>
      <c r="G421" s="52"/>
      <c r="H421" s="2" t="s">
        <v>360</v>
      </c>
      <c r="I421" s="260">
        <v>133</v>
      </c>
      <c r="J421" s="185">
        <v>3235</v>
      </c>
      <c r="K421" s="19" t="s">
        <v>361</v>
      </c>
      <c r="L421" s="129">
        <v>0</v>
      </c>
      <c r="M421" s="129">
        <v>0</v>
      </c>
      <c r="N421" s="130">
        <v>0</v>
      </c>
      <c r="O421" s="130">
        <f t="shared" si="385"/>
        <v>0</v>
      </c>
      <c r="P421" s="131">
        <v>0</v>
      </c>
      <c r="Q421" s="131">
        <v>0</v>
      </c>
      <c r="R421" s="153">
        <v>0</v>
      </c>
      <c r="S421" s="158" t="e">
        <f ca="1">__xlfn.XLOOKUP(H421,[1]Izvršenje_proračuna_po_pozicija!$B$2:$B$153,[1]Izvršenje_proračuna_po_pozicija!$E$2:$E$153,0)</f>
        <v>#NAME?</v>
      </c>
      <c r="T421" s="158"/>
      <c r="U421" s="158"/>
      <c r="V421" s="532"/>
      <c r="W421" s="532"/>
      <c r="X421" s="560"/>
      <c r="Y421" s="561"/>
      <c r="Z421" s="561"/>
      <c r="AA421" s="562" t="e">
        <f t="shared" ref="AA421:AA484" ca="1" si="388">__xlfn.ISFORMULA(R421)</f>
        <v>#NAME?</v>
      </c>
      <c r="AB421" s="535"/>
      <c r="AC421" s="529"/>
      <c r="AD421" s="529"/>
      <c r="AE421" s="529"/>
      <c r="AF421" s="529"/>
      <c r="AG421" s="529"/>
      <c r="AH421" s="529"/>
      <c r="AI421" s="535"/>
      <c r="AJ421" s="561"/>
      <c r="AK421" s="507"/>
      <c r="AL421" s="507"/>
      <c r="AM421" s="507"/>
      <c r="AN421" s="556"/>
      <c r="AO421" s="510"/>
      <c r="AP421" s="510" t="e">
        <f t="shared" ca="1" si="386"/>
        <v>#NAME?</v>
      </c>
      <c r="AQ421" s="532"/>
      <c r="AR421" s="533"/>
      <c r="AS421" s="533"/>
      <c r="AT421" s="533"/>
      <c r="AU421" s="533"/>
      <c r="AV421" s="533"/>
      <c r="AW421" s="612"/>
      <c r="AX421" s="612"/>
      <c r="AY421" s="612"/>
      <c r="AZ421" s="612"/>
      <c r="BA421" s="612"/>
      <c r="BB421" s="612"/>
      <c r="BC421" s="612"/>
      <c r="BD421" s="612"/>
      <c r="BE421" s="612"/>
      <c r="BF421" s="612"/>
      <c r="BG421" s="612"/>
      <c r="BH421" s="612">
        <f t="shared" ref="BH421:BH484" si="389">SUM(AW421:BG421)</f>
        <v>0</v>
      </c>
      <c r="BI421" s="612">
        <f t="shared" si="379"/>
        <v>4509.63</v>
      </c>
      <c r="BJ421" s="201">
        <f t="shared" si="387"/>
        <v>0</v>
      </c>
    </row>
    <row r="422" spans="1:62" ht="12" customHeight="1">
      <c r="A422" s="52"/>
      <c r="B422" s="52"/>
      <c r="C422" s="52"/>
      <c r="D422" s="52"/>
      <c r="E422" s="52"/>
      <c r="F422" s="52"/>
      <c r="G422" s="52"/>
      <c r="H422" s="2" t="s">
        <v>362</v>
      </c>
      <c r="I422" s="289">
        <v>133</v>
      </c>
      <c r="J422" s="185">
        <v>3237</v>
      </c>
      <c r="K422" s="19" t="s">
        <v>363</v>
      </c>
      <c r="L422" s="129">
        <v>280375</v>
      </c>
      <c r="M422" s="129">
        <f>280375/7.5345</f>
        <v>37212.15740925078</v>
      </c>
      <c r="N422" s="130">
        <v>47375</v>
      </c>
      <c r="O422" s="130">
        <f t="shared" si="385"/>
        <v>6287.7430486429093</v>
      </c>
      <c r="P422" s="131">
        <v>20000</v>
      </c>
      <c r="Q422" s="156">
        <v>36000</v>
      </c>
      <c r="R422" s="153">
        <v>37961</v>
      </c>
      <c r="S422" s="158" t="e">
        <f ca="1">__xlfn.XLOOKUP(H422,[1]Izvršenje_proračuna_po_pozicija!$B$2:$B$153,[1]Izvršenje_proračuna_po_pozicija!$E$2:$E$153,0)</f>
        <v>#NAME?</v>
      </c>
      <c r="T422" s="158"/>
      <c r="U422" s="158"/>
      <c r="V422" s="532">
        <v>36000</v>
      </c>
      <c r="W422" s="532">
        <v>35229</v>
      </c>
      <c r="X422" s="560">
        <v>40000</v>
      </c>
      <c r="Y422" s="561">
        <v>45000</v>
      </c>
      <c r="Z422" s="561"/>
      <c r="AA422" s="562" t="e">
        <f t="shared" ca="1" si="388"/>
        <v>#NAME?</v>
      </c>
      <c r="AB422" s="535"/>
      <c r="AC422" s="529">
        <v>20000</v>
      </c>
      <c r="AD422" s="529">
        <v>20000</v>
      </c>
      <c r="AE422" s="529">
        <f>O422/M422*100</f>
        <v>16.897012929112794</v>
      </c>
      <c r="AF422" s="529">
        <f>P422/O422*100</f>
        <v>318.07915567282322</v>
      </c>
      <c r="AG422" s="529">
        <f>Q422/P422*100</f>
        <v>180</v>
      </c>
      <c r="AH422" s="529">
        <f>AC422/Q422*100</f>
        <v>55.555555555555557</v>
      </c>
      <c r="AI422" s="535"/>
      <c r="AJ422" s="561">
        <v>45000</v>
      </c>
      <c r="AK422" s="507">
        <f t="shared" si="377"/>
        <v>92.803140064803344</v>
      </c>
      <c r="AL422" s="507">
        <f t="shared" si="378"/>
        <v>113.54281983593062</v>
      </c>
      <c r="AM422" s="507">
        <f t="shared" si="378"/>
        <v>112.5</v>
      </c>
      <c r="AN422" s="556"/>
      <c r="AO422" s="510"/>
      <c r="AP422" s="510" t="e">
        <f t="shared" ca="1" si="386"/>
        <v>#NAME?</v>
      </c>
      <c r="AQ422" s="532">
        <v>29250</v>
      </c>
      <c r="AR422" s="533">
        <f>V422/R422*100</f>
        <v>94.83417191327942</v>
      </c>
      <c r="AS422" s="533">
        <f t="shared" ref="AS422:AS486" si="390">W422/V422*100</f>
        <v>97.858333333333334</v>
      </c>
      <c r="AT422" s="533">
        <f>W422/R422*100</f>
        <v>92.803140064803344</v>
      </c>
      <c r="AU422" s="533">
        <f>AQ422/W422*100</f>
        <v>83.028187005024265</v>
      </c>
      <c r="AV422" s="533">
        <f>AQ422/R422*100</f>
        <v>77.052764679539536</v>
      </c>
      <c r="AW422" s="612">
        <f>AQ422</f>
        <v>29250</v>
      </c>
      <c r="AX422" s="612"/>
      <c r="AY422" s="612"/>
      <c r="AZ422" s="612"/>
      <c r="BA422" s="612"/>
      <c r="BB422" s="612"/>
      <c r="BC422" s="612"/>
      <c r="BD422" s="612"/>
      <c r="BE422" s="612"/>
      <c r="BF422" s="612"/>
      <c r="BG422" s="612"/>
      <c r="BH422" s="612">
        <f t="shared" si="389"/>
        <v>29250</v>
      </c>
      <c r="BI422" s="612">
        <f t="shared" si="379"/>
        <v>1327.24</v>
      </c>
      <c r="BJ422" s="201">
        <f t="shared" si="387"/>
        <v>0</v>
      </c>
    </row>
    <row r="423" spans="1:62" ht="12" customHeight="1">
      <c r="A423" s="52"/>
      <c r="B423" s="52"/>
      <c r="C423" s="52"/>
      <c r="D423" s="52"/>
      <c r="E423" s="52"/>
      <c r="F423" s="52"/>
      <c r="G423" s="52"/>
      <c r="H423" s="2" t="s">
        <v>364</v>
      </c>
      <c r="I423" s="289">
        <v>133</v>
      </c>
      <c r="J423" s="185">
        <v>3237</v>
      </c>
      <c r="K423" s="19" t="s">
        <v>365</v>
      </c>
      <c r="L423" s="129">
        <v>0</v>
      </c>
      <c r="M423" s="129">
        <v>0</v>
      </c>
      <c r="N423" s="130">
        <v>0</v>
      </c>
      <c r="O423" s="130">
        <f t="shared" si="385"/>
        <v>0</v>
      </c>
      <c r="P423" s="131">
        <v>0</v>
      </c>
      <c r="Q423" s="131">
        <v>0</v>
      </c>
      <c r="R423" s="153">
        <v>0</v>
      </c>
      <c r="S423" s="158" t="e">
        <f ca="1">__xlfn.XLOOKUP(H423,[1]Izvršenje_proračuna_po_pozicija!$B$2:$B$153,[1]Izvršenje_proračuna_po_pozicija!$E$2:$E$153,0)</f>
        <v>#NAME?</v>
      </c>
      <c r="T423" s="158"/>
      <c r="U423" s="158"/>
      <c r="V423" s="532"/>
      <c r="W423" s="532"/>
      <c r="X423" s="560"/>
      <c r="Y423" s="561"/>
      <c r="Z423" s="561"/>
      <c r="AA423" s="562" t="e">
        <f t="shared" ca="1" si="388"/>
        <v>#NAME?</v>
      </c>
      <c r="AB423" s="535"/>
      <c r="AC423" s="529">
        <v>0</v>
      </c>
      <c r="AD423" s="529">
        <v>0</v>
      </c>
      <c r="AE423" s="529"/>
      <c r="AF423" s="529"/>
      <c r="AG423" s="529"/>
      <c r="AH423" s="529"/>
      <c r="AI423" s="535"/>
      <c r="AJ423" s="561"/>
      <c r="AK423" s="507"/>
      <c r="AL423" s="507"/>
      <c r="AM423" s="507"/>
      <c r="AN423" s="556"/>
      <c r="AO423" s="510"/>
      <c r="AP423" s="510" t="e">
        <f t="shared" ca="1" si="386"/>
        <v>#NAME?</v>
      </c>
      <c r="AQ423" s="532"/>
      <c r="AR423" s="533"/>
      <c r="AS423" s="533"/>
      <c r="AT423" s="533"/>
      <c r="AU423" s="533"/>
      <c r="AV423" s="533"/>
      <c r="AW423" s="612"/>
      <c r="AX423" s="612"/>
      <c r="AY423" s="612"/>
      <c r="AZ423" s="612"/>
      <c r="BA423" s="612"/>
      <c r="BB423" s="612"/>
      <c r="BC423" s="612"/>
      <c r="BD423" s="612"/>
      <c r="BE423" s="612"/>
      <c r="BF423" s="612"/>
      <c r="BG423" s="612"/>
      <c r="BH423" s="612">
        <f t="shared" si="389"/>
        <v>0</v>
      </c>
      <c r="BI423" s="612">
        <f t="shared" si="379"/>
        <v>7002</v>
      </c>
      <c r="BJ423" s="201">
        <f t="shared" si="387"/>
        <v>0</v>
      </c>
    </row>
    <row r="424" spans="1:62" ht="12" customHeight="1">
      <c r="A424" s="231"/>
      <c r="B424" s="231"/>
      <c r="C424" s="231"/>
      <c r="D424" s="231"/>
      <c r="E424" s="231"/>
      <c r="F424" s="231"/>
      <c r="G424" s="231"/>
      <c r="H424" s="286" t="s">
        <v>366</v>
      </c>
      <c r="I424" s="7">
        <v>133</v>
      </c>
      <c r="J424" s="185">
        <v>3239</v>
      </c>
      <c r="K424" s="185" t="s">
        <v>367</v>
      </c>
      <c r="L424" s="136">
        <v>250</v>
      </c>
      <c r="M424" s="136">
        <f>250/7.5345</f>
        <v>33.180702103656515</v>
      </c>
      <c r="N424" s="137">
        <v>0</v>
      </c>
      <c r="O424" s="130">
        <f t="shared" si="385"/>
        <v>0</v>
      </c>
      <c r="P424" s="138">
        <v>4000</v>
      </c>
      <c r="Q424" s="309">
        <v>2000</v>
      </c>
      <c r="R424" s="136">
        <v>688</v>
      </c>
      <c r="S424" s="158" t="e">
        <f ca="1">__xlfn.XLOOKUP(H424,[1]Izvršenje_proračuna_po_pozicija!$B$2:$B$153,[1]Izvršenje_proračuna_po_pozicija!$E$2:$E$153,0)</f>
        <v>#NAME?</v>
      </c>
      <c r="T424" s="158"/>
      <c r="U424" s="158"/>
      <c r="V424" s="532">
        <v>4000</v>
      </c>
      <c r="W424" s="532">
        <v>4000</v>
      </c>
      <c r="X424" s="574">
        <v>5000</v>
      </c>
      <c r="Y424" s="575">
        <v>6000</v>
      </c>
      <c r="Z424" s="575"/>
      <c r="AA424" s="562" t="e">
        <f t="shared" ca="1" si="388"/>
        <v>#NAME?</v>
      </c>
      <c r="AB424" s="540"/>
      <c r="AC424" s="541">
        <v>4000</v>
      </c>
      <c r="AD424" s="541">
        <v>4000</v>
      </c>
      <c r="AE424" s="529"/>
      <c r="AF424" s="529"/>
      <c r="AG424" s="529">
        <f>Q424/P424*100</f>
        <v>50</v>
      </c>
      <c r="AH424" s="529">
        <f>AC424/Q424*100</f>
        <v>200</v>
      </c>
      <c r="AI424" s="540"/>
      <c r="AJ424" s="575">
        <v>6000</v>
      </c>
      <c r="AK424" s="507">
        <f t="shared" si="377"/>
        <v>581.39534883720921</v>
      </c>
      <c r="AL424" s="507">
        <f t="shared" si="378"/>
        <v>125</v>
      </c>
      <c r="AM424" s="507">
        <f t="shared" si="378"/>
        <v>120</v>
      </c>
      <c r="AN424" s="558"/>
      <c r="AO424" s="510"/>
      <c r="AP424" s="510" t="e">
        <f t="shared" ca="1" si="386"/>
        <v>#NAME?</v>
      </c>
      <c r="AQ424" s="532"/>
      <c r="AR424" s="533">
        <f>V424/R424*100</f>
        <v>581.39534883720921</v>
      </c>
      <c r="AS424" s="533">
        <f t="shared" si="390"/>
        <v>100</v>
      </c>
      <c r="AT424" s="533">
        <f>W424/R424*100</f>
        <v>581.39534883720921</v>
      </c>
      <c r="AU424" s="533">
        <f>AQ424/W424*100</f>
        <v>0</v>
      </c>
      <c r="AV424" s="533">
        <f>AQ424/R424*100</f>
        <v>0</v>
      </c>
      <c r="AW424" s="612"/>
      <c r="AX424" s="612"/>
      <c r="AY424" s="612"/>
      <c r="AZ424" s="612"/>
      <c r="BA424" s="612"/>
      <c r="BB424" s="612"/>
      <c r="BC424" s="612"/>
      <c r="BD424" s="612"/>
      <c r="BE424" s="612"/>
      <c r="BF424" s="612"/>
      <c r="BG424" s="612"/>
      <c r="BH424" s="612">
        <f t="shared" si="389"/>
        <v>0</v>
      </c>
      <c r="BI424" s="612">
        <f t="shared" si="379"/>
        <v>434.65</v>
      </c>
      <c r="BJ424" s="201">
        <f t="shared" si="387"/>
        <v>0</v>
      </c>
    </row>
    <row r="425" spans="1:62" ht="12" customHeight="1">
      <c r="A425" s="231"/>
      <c r="B425" s="231"/>
      <c r="C425" s="231"/>
      <c r="D425" s="231"/>
      <c r="E425" s="231"/>
      <c r="F425" s="231"/>
      <c r="G425" s="231"/>
      <c r="H425" s="287"/>
      <c r="I425" s="298"/>
      <c r="J425" s="6"/>
      <c r="K425" s="299"/>
      <c r="L425" s="300"/>
      <c r="M425" s="300"/>
      <c r="N425" s="301"/>
      <c r="O425" s="301"/>
      <c r="P425" s="302"/>
      <c r="Q425" s="302"/>
      <c r="R425" s="310"/>
      <c r="S425" s="158" t="e">
        <f ca="1">__xlfn.XLOOKUP(H425,[1]Izvršenje_proračuna_po_pozicija!$B$2:$B$153,[1]Izvršenje_proračuna_po_pozicija!$E$2:$E$153,0)</f>
        <v>#NAME?</v>
      </c>
      <c r="T425" s="311"/>
      <c r="U425" s="311"/>
      <c r="V425" s="532"/>
      <c r="W425" s="532"/>
      <c r="X425" s="579"/>
      <c r="Y425" s="580"/>
      <c r="Z425" s="580"/>
      <c r="AA425" s="562" t="e">
        <f t="shared" ca="1" si="388"/>
        <v>#NAME?</v>
      </c>
      <c r="AB425" s="581"/>
      <c r="AC425" s="582"/>
      <c r="AD425" s="582"/>
      <c r="AE425" s="529"/>
      <c r="AF425" s="529"/>
      <c r="AG425" s="529"/>
      <c r="AH425" s="529"/>
      <c r="AI425" s="581"/>
      <c r="AJ425" s="580"/>
      <c r="AK425" s="507"/>
      <c r="AL425" s="507"/>
      <c r="AM425" s="507"/>
      <c r="AN425" s="583"/>
      <c r="AO425" s="510"/>
      <c r="AP425" s="510" t="e">
        <f t="shared" ca="1" si="386"/>
        <v>#NAME?</v>
      </c>
      <c r="AQ425" s="532"/>
      <c r="AR425" s="533"/>
      <c r="AS425" s="533"/>
      <c r="AT425" s="533"/>
      <c r="AU425" s="533"/>
      <c r="AV425" s="533"/>
      <c r="AW425" s="612"/>
      <c r="AX425" s="612"/>
      <c r="AY425" s="612"/>
      <c r="AZ425" s="612"/>
      <c r="BA425" s="612"/>
      <c r="BB425" s="612"/>
      <c r="BC425" s="612"/>
      <c r="BD425" s="612"/>
      <c r="BE425" s="612"/>
      <c r="BF425" s="612"/>
      <c r="BG425" s="612"/>
      <c r="BH425" s="612">
        <f t="shared" si="389"/>
        <v>0</v>
      </c>
      <c r="BI425" s="612">
        <f t="shared" si="379"/>
        <v>33.18</v>
      </c>
      <c r="BJ425" s="201">
        <f t="shared" si="387"/>
        <v>0</v>
      </c>
    </row>
    <row r="426" spans="1:62" ht="12" customHeight="1">
      <c r="A426" s="61"/>
      <c r="B426" s="61"/>
      <c r="C426" s="61"/>
      <c r="D426" s="61"/>
      <c r="E426" s="61"/>
      <c r="F426" s="61"/>
      <c r="G426" s="61"/>
      <c r="H426" s="280"/>
      <c r="I426" s="290"/>
      <c r="J426" s="291">
        <v>329</v>
      </c>
      <c r="K426" s="292" t="s">
        <v>368</v>
      </c>
      <c r="L426" s="250">
        <f t="shared" ref="L426:S426" si="391">L427+L428+L429+L430+L431+L432+L433+L434+L435+L436+L437+L438+L439+L440+L441+L442+L444+L445</f>
        <v>730003</v>
      </c>
      <c r="M426" s="250">
        <f t="shared" si="391"/>
        <v>96888.048311102248</v>
      </c>
      <c r="N426" s="251">
        <f t="shared" si="391"/>
        <v>610973</v>
      </c>
      <c r="O426" s="251">
        <f t="shared" si="391"/>
        <v>81090.052425509319</v>
      </c>
      <c r="P426" s="252">
        <f t="shared" si="391"/>
        <v>111600</v>
      </c>
      <c r="Q426" s="252">
        <f t="shared" si="391"/>
        <v>119000</v>
      </c>
      <c r="R426" s="272">
        <f t="shared" si="391"/>
        <v>112111</v>
      </c>
      <c r="S426" s="273" t="e">
        <f t="shared" ca="1" si="391"/>
        <v>#NAME?</v>
      </c>
      <c r="T426" s="273"/>
      <c r="U426" s="273"/>
      <c r="V426" s="532">
        <f>V427+V428+V429+V430+V431+V432+V433+V434+V435+V436+V437+V438+V439+V440+V441+V442+V444+V445</f>
        <v>149500</v>
      </c>
      <c r="W426" s="532">
        <f>W427+W428+W429+W430+W431+W432+W433+W434+W435+W436+W437+W438+W439+W440+W441+W442+W444+W445</f>
        <v>149500</v>
      </c>
      <c r="X426" s="564">
        <f>X427+X428+X429+X430+X431+X432+X433+X434+X435+X436+X437+X438+X439+X440+X441+X442+X444+X445</f>
        <v>270000</v>
      </c>
      <c r="Y426" s="565">
        <f>Y427+Y428+Y429+Y430+Y431+Y432+Y433+Y434+Y435+Y436+Y437+Y438+Y439+Y440+Y441+Y442+Y444+Y445</f>
        <v>228500</v>
      </c>
      <c r="Z426" s="565">
        <f>Z427+Z428+Z429+Z430+Z431+Z432+Z433+Z434+Z435+Z436+Z437+Z438+Z439+Z440+Z441+Z442+Z444+Z445</f>
        <v>0</v>
      </c>
      <c r="AA426" s="562" t="e">
        <f t="shared" ca="1" si="388"/>
        <v>#NAME?</v>
      </c>
      <c r="AB426" s="565"/>
      <c r="AC426" s="565">
        <f>AC427+AC428+AC429+AC430+AC431+AC432+AC433+AC434+AC435+AC436+AC437+AC438+AC439+AC440+AC441+AC442+AC444+AC445</f>
        <v>122800</v>
      </c>
      <c r="AD426" s="565">
        <f>AD427+AD428+AD429+AD430+AD431+AD432+AD433+AD434+AD435+AD436+AD437+AD438+AD439+AD440+AD441+AD442+AD444+AD445</f>
        <v>122800</v>
      </c>
      <c r="AE426" s="529">
        <f>O426/M426*100</f>
        <v>83.694587556489495</v>
      </c>
      <c r="AF426" s="529">
        <f t="shared" ref="AF426:AG428" si="392">P426/O426*100</f>
        <v>137.62477228944653</v>
      </c>
      <c r="AG426" s="529">
        <f t="shared" si="392"/>
        <v>106.63082437275986</v>
      </c>
      <c r="AH426" s="529">
        <f>AC426/Q426*100</f>
        <v>103.19327731092439</v>
      </c>
      <c r="AI426" s="565"/>
      <c r="AJ426" s="565">
        <v>228500</v>
      </c>
      <c r="AK426" s="507">
        <f t="shared" si="377"/>
        <v>133.34998349849704</v>
      </c>
      <c r="AL426" s="507">
        <f t="shared" si="378"/>
        <v>180.6020066889632</v>
      </c>
      <c r="AM426" s="507">
        <f t="shared" si="378"/>
        <v>84.629629629629633</v>
      </c>
      <c r="AN426" s="567"/>
      <c r="AO426" s="510"/>
      <c r="AP426" s="510" t="e">
        <f t="shared" ca="1" si="386"/>
        <v>#NAME?</v>
      </c>
      <c r="AQ426" s="532">
        <f>AQ427+AQ428+AQ429+AQ430+AQ431+AQ432+AQ433+AQ434+AQ435+AQ436+AQ437+AQ438+AQ439+AQ440+AQ441+AQ442+AQ444+AQ445</f>
        <v>141224.70000000001</v>
      </c>
      <c r="AR426" s="533">
        <f t="shared" ref="AR426:AR432" si="393">V426/R426*100</f>
        <v>133.34998349849704</v>
      </c>
      <c r="AS426" s="533">
        <f t="shared" si="390"/>
        <v>100</v>
      </c>
      <c r="AT426" s="533">
        <f t="shared" ref="AT426:AT432" si="394">W426/R426*100</f>
        <v>133.34998349849704</v>
      </c>
      <c r="AU426" s="533">
        <f t="shared" ref="AU426:AU432" si="395">AQ426/W426*100</f>
        <v>94.464682274247508</v>
      </c>
      <c r="AV426" s="533">
        <f t="shared" ref="AV426:AV432" si="396">AQ426/R426*100</f>
        <v>125.96863822461668</v>
      </c>
      <c r="AW426" s="612"/>
      <c r="AX426" s="612"/>
      <c r="AY426" s="612"/>
      <c r="AZ426" s="612"/>
      <c r="BA426" s="612"/>
      <c r="BB426" s="612"/>
      <c r="BC426" s="612"/>
      <c r="BD426" s="612"/>
      <c r="BE426" s="612"/>
      <c r="BF426" s="612"/>
      <c r="BG426" s="612"/>
      <c r="BH426" s="612">
        <f t="shared" si="389"/>
        <v>0</v>
      </c>
      <c r="BI426" s="612">
        <f t="shared" si="379"/>
        <v>0</v>
      </c>
      <c r="BJ426" s="201">
        <f t="shared" si="387"/>
        <v>0</v>
      </c>
    </row>
    <row r="427" spans="1:62" ht="12" customHeight="1">
      <c r="A427" s="52"/>
      <c r="B427" s="52"/>
      <c r="C427" s="52"/>
      <c r="D427" s="52"/>
      <c r="E427" s="52"/>
      <c r="F427" s="52"/>
      <c r="G427" s="52"/>
      <c r="H427" s="17">
        <v>22</v>
      </c>
      <c r="I427" s="303">
        <v>133</v>
      </c>
      <c r="J427" s="299">
        <v>3291</v>
      </c>
      <c r="K427" s="304" t="s">
        <v>369</v>
      </c>
      <c r="L427" s="305">
        <v>100854</v>
      </c>
      <c r="M427" s="305">
        <f>100854/7.5345</f>
        <v>13385.626119848695</v>
      </c>
      <c r="N427" s="306">
        <v>51825</v>
      </c>
      <c r="O427" s="306">
        <f>N427/7.5345</f>
        <v>6878.3595460879951</v>
      </c>
      <c r="P427" s="307">
        <v>13000</v>
      </c>
      <c r="Q427" s="307">
        <v>13000</v>
      </c>
      <c r="R427" s="312">
        <v>12655</v>
      </c>
      <c r="S427" s="158">
        <v>1149.75</v>
      </c>
      <c r="T427" s="311"/>
      <c r="U427" s="311"/>
      <c r="V427" s="532">
        <v>10000</v>
      </c>
      <c r="W427" s="532">
        <v>10000</v>
      </c>
      <c r="X427" s="584">
        <v>12000</v>
      </c>
      <c r="Y427" s="585">
        <v>13000</v>
      </c>
      <c r="Z427" s="585"/>
      <c r="AA427" s="562" t="e">
        <f t="shared" ca="1" si="388"/>
        <v>#NAME?</v>
      </c>
      <c r="AB427" s="586"/>
      <c r="AC427" s="587">
        <v>13000</v>
      </c>
      <c r="AD427" s="587">
        <v>13000</v>
      </c>
      <c r="AE427" s="529">
        <f>O427/M427*100</f>
        <v>51.386162175025284</v>
      </c>
      <c r="AF427" s="529">
        <f t="shared" si="392"/>
        <v>188.99855282199712</v>
      </c>
      <c r="AG427" s="529">
        <f t="shared" si="392"/>
        <v>100</v>
      </c>
      <c r="AH427" s="529">
        <f>AC427/Q427*100</f>
        <v>100</v>
      </c>
      <c r="AI427" s="586"/>
      <c r="AJ427" s="585">
        <v>13000</v>
      </c>
      <c r="AK427" s="507">
        <f t="shared" si="377"/>
        <v>79.02015013828526</v>
      </c>
      <c r="AL427" s="507">
        <f t="shared" si="378"/>
        <v>120</v>
      </c>
      <c r="AM427" s="507">
        <f t="shared" si="378"/>
        <v>108.33333333333333</v>
      </c>
      <c r="AN427" s="588"/>
      <c r="AO427" s="510"/>
      <c r="AP427" s="510" t="e">
        <f t="shared" ca="1" si="386"/>
        <v>#NAME?</v>
      </c>
      <c r="AQ427" s="532">
        <v>12042.89</v>
      </c>
      <c r="AR427" s="533">
        <f t="shared" si="393"/>
        <v>79.02015013828526</v>
      </c>
      <c r="AS427" s="533">
        <f t="shared" si="390"/>
        <v>100</v>
      </c>
      <c r="AT427" s="533">
        <f t="shared" si="394"/>
        <v>79.02015013828526</v>
      </c>
      <c r="AU427" s="533">
        <f t="shared" si="395"/>
        <v>120.4289</v>
      </c>
      <c r="AV427" s="533">
        <f t="shared" si="396"/>
        <v>95.16309758988541</v>
      </c>
      <c r="AW427" s="612">
        <f t="shared" ref="AW427:AW432" si="397">AQ427</f>
        <v>12042.89</v>
      </c>
      <c r="AX427" s="612"/>
      <c r="AY427" s="612"/>
      <c r="AZ427" s="612"/>
      <c r="BA427" s="612"/>
      <c r="BB427" s="612"/>
      <c r="BC427" s="612"/>
      <c r="BD427" s="612"/>
      <c r="BE427" s="612"/>
      <c r="BF427" s="612"/>
      <c r="BG427" s="612"/>
      <c r="BH427" s="612">
        <f t="shared" si="389"/>
        <v>12042.89</v>
      </c>
      <c r="BI427" s="612">
        <f t="shared" si="379"/>
        <v>14130.64</v>
      </c>
      <c r="BJ427" s="201">
        <f t="shared" si="387"/>
        <v>0</v>
      </c>
    </row>
    <row r="428" spans="1:62" ht="12" customHeight="1">
      <c r="A428" s="52"/>
      <c r="B428" s="52"/>
      <c r="C428" s="52"/>
      <c r="D428" s="52"/>
      <c r="E428" s="52"/>
      <c r="F428" s="52"/>
      <c r="G428" s="52"/>
      <c r="H428" s="2">
        <v>122</v>
      </c>
      <c r="I428" s="260">
        <v>133</v>
      </c>
      <c r="J428" s="185">
        <v>3292</v>
      </c>
      <c r="K428" s="185" t="s">
        <v>255</v>
      </c>
      <c r="L428" s="129">
        <v>37229</v>
      </c>
      <c r="M428" s="129">
        <f>37229/7.5345</f>
        <v>4941.1374344681135</v>
      </c>
      <c r="N428" s="130">
        <v>33163</v>
      </c>
      <c r="O428" s="306">
        <f t="shared" ref="O428:O442" si="398">N428/7.5345</f>
        <v>4401.4864954542436</v>
      </c>
      <c r="P428" s="131">
        <v>5500</v>
      </c>
      <c r="Q428" s="131">
        <v>5500</v>
      </c>
      <c r="R428" s="153">
        <v>2596</v>
      </c>
      <c r="S428" s="158">
        <v>4509</v>
      </c>
      <c r="T428" s="158"/>
      <c r="U428" s="158"/>
      <c r="V428" s="532">
        <v>5500</v>
      </c>
      <c r="W428" s="532">
        <v>5500</v>
      </c>
      <c r="X428" s="560">
        <v>6000</v>
      </c>
      <c r="Y428" s="561">
        <v>7000</v>
      </c>
      <c r="Z428" s="561"/>
      <c r="AA428" s="562" t="e">
        <f t="shared" ca="1" si="388"/>
        <v>#NAME?</v>
      </c>
      <c r="AB428" s="535"/>
      <c r="AC428" s="529">
        <v>5500</v>
      </c>
      <c r="AD428" s="529">
        <v>5500</v>
      </c>
      <c r="AE428" s="529">
        <f>O428/M428*100</f>
        <v>89.078406618496331</v>
      </c>
      <c r="AF428" s="529">
        <f t="shared" si="392"/>
        <v>124.95778427765885</v>
      </c>
      <c r="AG428" s="529">
        <f t="shared" si="392"/>
        <v>100</v>
      </c>
      <c r="AH428" s="529">
        <f>AC428/Q428*100</f>
        <v>100</v>
      </c>
      <c r="AI428" s="535"/>
      <c r="AJ428" s="561">
        <v>7000</v>
      </c>
      <c r="AK428" s="507">
        <f t="shared" si="377"/>
        <v>211.86440677966104</v>
      </c>
      <c r="AL428" s="507">
        <f t="shared" si="378"/>
        <v>109.09090909090908</v>
      </c>
      <c r="AM428" s="507">
        <f t="shared" si="378"/>
        <v>116.66666666666667</v>
      </c>
      <c r="AN428" s="556"/>
      <c r="AO428" s="510"/>
      <c r="AP428" s="510" t="e">
        <f t="shared" ca="1" si="386"/>
        <v>#NAME?</v>
      </c>
      <c r="AQ428" s="532">
        <v>4509.63</v>
      </c>
      <c r="AR428" s="533">
        <f t="shared" si="393"/>
        <v>211.86440677966104</v>
      </c>
      <c r="AS428" s="533">
        <f t="shared" si="390"/>
        <v>100</v>
      </c>
      <c r="AT428" s="533">
        <f t="shared" si="394"/>
        <v>211.86440677966104</v>
      </c>
      <c r="AU428" s="533">
        <f t="shared" si="395"/>
        <v>81.993272727272725</v>
      </c>
      <c r="AV428" s="533">
        <f t="shared" si="396"/>
        <v>173.71456086286594</v>
      </c>
      <c r="AW428" s="612">
        <f t="shared" si="397"/>
        <v>4509.63</v>
      </c>
      <c r="AX428" s="612"/>
      <c r="AY428" s="612"/>
      <c r="AZ428" s="612"/>
      <c r="BA428" s="612"/>
      <c r="BB428" s="612"/>
      <c r="BC428" s="612"/>
      <c r="BD428" s="612"/>
      <c r="BE428" s="612"/>
      <c r="BF428" s="612"/>
      <c r="BG428" s="612"/>
      <c r="BH428" s="612">
        <f t="shared" si="389"/>
        <v>4509.63</v>
      </c>
      <c r="BI428" s="612">
        <f t="shared" si="379"/>
        <v>743.75</v>
      </c>
      <c r="BJ428" s="201">
        <f t="shared" si="387"/>
        <v>0</v>
      </c>
    </row>
    <row r="429" spans="1:62" ht="12" customHeight="1">
      <c r="A429" s="52"/>
      <c r="B429" s="52"/>
      <c r="C429" s="52"/>
      <c r="D429" s="52"/>
      <c r="E429" s="52"/>
      <c r="F429" s="52"/>
      <c r="G429" s="52"/>
      <c r="H429" s="2" t="s">
        <v>370</v>
      </c>
      <c r="I429" s="260">
        <v>133</v>
      </c>
      <c r="J429" s="185">
        <v>3294</v>
      </c>
      <c r="K429" s="185" t="s">
        <v>257</v>
      </c>
      <c r="L429" s="129">
        <v>10555</v>
      </c>
      <c r="M429" s="129">
        <f>10555/7.5345</f>
        <v>1400.8892428163779</v>
      </c>
      <c r="N429" s="130">
        <v>555</v>
      </c>
      <c r="O429" s="306">
        <f t="shared" si="398"/>
        <v>73.661158670117459</v>
      </c>
      <c r="P429" s="131">
        <v>1500</v>
      </c>
      <c r="Q429" s="131">
        <v>1500</v>
      </c>
      <c r="R429" s="153">
        <v>43</v>
      </c>
      <c r="S429" s="158" t="e">
        <f ca="1">__xlfn.XLOOKUP(H429,[1]Izvršenje_proračuna_po_pozicija!$B$2:$B$153,[1]Izvršenje_proračuna_po_pozicija!$E$2:$E$153,0)</f>
        <v>#NAME?</v>
      </c>
      <c r="T429" s="158"/>
      <c r="U429" s="158"/>
      <c r="V429" s="532">
        <v>1500</v>
      </c>
      <c r="W429" s="532">
        <v>1500</v>
      </c>
      <c r="X429" s="560">
        <v>1500</v>
      </c>
      <c r="Y429" s="561">
        <v>2000</v>
      </c>
      <c r="Z429" s="561"/>
      <c r="AA429" s="562" t="e">
        <f t="shared" ca="1" si="388"/>
        <v>#NAME?</v>
      </c>
      <c r="AB429" s="535"/>
      <c r="AC429" s="529">
        <v>1500</v>
      </c>
      <c r="AD429" s="529">
        <v>1500</v>
      </c>
      <c r="AE429" s="529">
        <f>O429/M429*100</f>
        <v>5.2581714827096162</v>
      </c>
      <c r="AF429" s="529"/>
      <c r="AG429" s="529">
        <f>Q429/P429*100</f>
        <v>100</v>
      </c>
      <c r="AH429" s="529">
        <f>AC429/Q429*100</f>
        <v>100</v>
      </c>
      <c r="AI429" s="535"/>
      <c r="AJ429" s="561">
        <v>2000</v>
      </c>
      <c r="AK429" s="507">
        <f t="shared" si="377"/>
        <v>3488.3720930232557</v>
      </c>
      <c r="AL429" s="507">
        <f t="shared" si="378"/>
        <v>100</v>
      </c>
      <c r="AM429" s="507">
        <f t="shared" si="378"/>
        <v>133.33333333333331</v>
      </c>
      <c r="AN429" s="556"/>
      <c r="AO429" s="510"/>
      <c r="AP429" s="510" t="e">
        <f t="shared" ca="1" si="386"/>
        <v>#NAME?</v>
      </c>
      <c r="AQ429" s="532">
        <v>1327.24</v>
      </c>
      <c r="AR429" s="533">
        <f t="shared" si="393"/>
        <v>3488.3720930232557</v>
      </c>
      <c r="AS429" s="533">
        <f t="shared" si="390"/>
        <v>100</v>
      </c>
      <c r="AT429" s="533">
        <f t="shared" si="394"/>
        <v>3488.3720930232557</v>
      </c>
      <c r="AU429" s="533">
        <f t="shared" si="395"/>
        <v>88.48266666666666</v>
      </c>
      <c r="AV429" s="533">
        <f t="shared" si="396"/>
        <v>3086.6046511627906</v>
      </c>
      <c r="AW429" s="612">
        <f t="shared" si="397"/>
        <v>1327.24</v>
      </c>
      <c r="AX429" s="612"/>
      <c r="AY429" s="612"/>
      <c r="AZ429" s="612"/>
      <c r="BA429" s="612"/>
      <c r="BB429" s="612"/>
      <c r="BC429" s="612"/>
      <c r="BD429" s="612"/>
      <c r="BE429" s="612"/>
      <c r="BF429" s="612"/>
      <c r="BG429" s="612"/>
      <c r="BH429" s="612">
        <f t="shared" si="389"/>
        <v>1327.24</v>
      </c>
      <c r="BI429" s="612">
        <f t="shared" si="379"/>
        <v>0</v>
      </c>
      <c r="BJ429" s="201">
        <f t="shared" si="387"/>
        <v>0</v>
      </c>
    </row>
    <row r="430" spans="1:62" ht="12" customHeight="1">
      <c r="A430" s="52"/>
      <c r="B430" s="52"/>
      <c r="C430" s="52"/>
      <c r="D430" s="52"/>
      <c r="E430" s="52"/>
      <c r="F430" s="52"/>
      <c r="G430" s="52"/>
      <c r="H430" s="2" t="s">
        <v>371</v>
      </c>
      <c r="I430" s="260">
        <v>133</v>
      </c>
      <c r="J430" s="185">
        <v>3294</v>
      </c>
      <c r="K430" s="185" t="s">
        <v>372</v>
      </c>
      <c r="L430" s="129">
        <v>23283</v>
      </c>
      <c r="M430" s="129">
        <f>23283/7.5345</f>
        <v>3090.1851483177384</v>
      </c>
      <c r="N430" s="130">
        <v>53730</v>
      </c>
      <c r="O430" s="306">
        <f t="shared" si="398"/>
        <v>7131.1964961178574</v>
      </c>
      <c r="P430" s="131">
        <v>4800</v>
      </c>
      <c r="Q430" s="156">
        <v>14000</v>
      </c>
      <c r="R430" s="153">
        <v>14004</v>
      </c>
      <c r="S430" s="158" t="e">
        <f ca="1">__xlfn.XLOOKUP(H430,[1]Izvršenje_proračuna_po_pozicija!$B$2:$B$153,[1]Izvršenje_proračuna_po_pozicija!$E$2:$E$153,0)</f>
        <v>#NAME?</v>
      </c>
      <c r="T430" s="158"/>
      <c r="U430" s="158"/>
      <c r="V430" s="532">
        <v>14000</v>
      </c>
      <c r="W430" s="532">
        <v>14000</v>
      </c>
      <c r="X430" s="560">
        <v>14000</v>
      </c>
      <c r="Y430" s="561">
        <v>15000</v>
      </c>
      <c r="Z430" s="561"/>
      <c r="AA430" s="562" t="e">
        <f t="shared" ca="1" si="388"/>
        <v>#NAME?</v>
      </c>
      <c r="AB430" s="535"/>
      <c r="AC430" s="529">
        <v>4800</v>
      </c>
      <c r="AD430" s="529">
        <v>4800</v>
      </c>
      <c r="AE430" s="529">
        <f>O430/M430*100</f>
        <v>230.76923076923075</v>
      </c>
      <c r="AF430" s="529">
        <f>P430/O430*100</f>
        <v>67.309882747068684</v>
      </c>
      <c r="AG430" s="529">
        <f>Q430/P430*100</f>
        <v>291.66666666666663</v>
      </c>
      <c r="AH430" s="529">
        <f>AC430/Q430*100</f>
        <v>34.285714285714285</v>
      </c>
      <c r="AI430" s="535"/>
      <c r="AJ430" s="561">
        <v>15000</v>
      </c>
      <c r="AK430" s="507">
        <f t="shared" si="377"/>
        <v>99.971436732362179</v>
      </c>
      <c r="AL430" s="507">
        <f t="shared" si="378"/>
        <v>100</v>
      </c>
      <c r="AM430" s="507">
        <f t="shared" si="378"/>
        <v>107.14285714285714</v>
      </c>
      <c r="AN430" s="556"/>
      <c r="AO430" s="510"/>
      <c r="AP430" s="510" t="e">
        <f t="shared" ca="1" si="386"/>
        <v>#NAME?</v>
      </c>
      <c r="AQ430" s="532">
        <v>7002</v>
      </c>
      <c r="AR430" s="533">
        <f t="shared" si="393"/>
        <v>99.971436732362179</v>
      </c>
      <c r="AS430" s="533">
        <f t="shared" si="390"/>
        <v>100</v>
      </c>
      <c r="AT430" s="533">
        <f t="shared" si="394"/>
        <v>99.971436732362179</v>
      </c>
      <c r="AU430" s="533">
        <f t="shared" si="395"/>
        <v>50.014285714285712</v>
      </c>
      <c r="AV430" s="533">
        <f t="shared" si="396"/>
        <v>50</v>
      </c>
      <c r="AW430" s="612">
        <f t="shared" si="397"/>
        <v>7002</v>
      </c>
      <c r="AX430" s="612"/>
      <c r="AY430" s="612"/>
      <c r="AZ430" s="612"/>
      <c r="BA430" s="612"/>
      <c r="BB430" s="612"/>
      <c r="BC430" s="612"/>
      <c r="BD430" s="612"/>
      <c r="BE430" s="612"/>
      <c r="BF430" s="612"/>
      <c r="BG430" s="612"/>
      <c r="BH430" s="612">
        <f t="shared" si="389"/>
        <v>7002</v>
      </c>
      <c r="BI430" s="612">
        <f t="shared" si="379"/>
        <v>2164</v>
      </c>
      <c r="BJ430" s="201">
        <f t="shared" si="387"/>
        <v>0</v>
      </c>
    </row>
    <row r="431" spans="1:62" ht="12" customHeight="1">
      <c r="A431" s="52"/>
      <c r="B431" s="52"/>
      <c r="C431" s="52"/>
      <c r="D431" s="52"/>
      <c r="E431" s="52"/>
      <c r="F431" s="52"/>
      <c r="G431" s="52"/>
      <c r="H431" s="2" t="s">
        <v>373</v>
      </c>
      <c r="I431" s="260">
        <v>133</v>
      </c>
      <c r="J431" s="185">
        <v>3295</v>
      </c>
      <c r="K431" s="185" t="s">
        <v>258</v>
      </c>
      <c r="L431" s="129">
        <v>2400</v>
      </c>
      <c r="M431" s="129">
        <f>2400/7.5345</f>
        <v>318.53474019510253</v>
      </c>
      <c r="N431" s="130">
        <v>1200</v>
      </c>
      <c r="O431" s="306">
        <f t="shared" si="398"/>
        <v>159.26737009755126</v>
      </c>
      <c r="P431" s="131">
        <v>4000</v>
      </c>
      <c r="Q431" s="156">
        <v>1000</v>
      </c>
      <c r="R431" s="153">
        <v>2254</v>
      </c>
      <c r="S431" s="158" t="e">
        <f ca="1">__xlfn.XLOOKUP(H431,[1]Izvršenje_proračuna_po_pozicija!$B$2:$B$153,[1]Izvršenje_proračuna_po_pozicija!$E$2:$E$153,0)</f>
        <v>#NAME?</v>
      </c>
      <c r="T431" s="158"/>
      <c r="U431" s="158"/>
      <c r="V431" s="532">
        <v>1000</v>
      </c>
      <c r="W431" s="532">
        <v>1000</v>
      </c>
      <c r="X431" s="560">
        <v>1000</v>
      </c>
      <c r="Y431" s="561">
        <v>1500</v>
      </c>
      <c r="Z431" s="561"/>
      <c r="AA431" s="562" t="e">
        <f t="shared" ca="1" si="388"/>
        <v>#NAME?</v>
      </c>
      <c r="AB431" s="535"/>
      <c r="AC431" s="529">
        <v>4000</v>
      </c>
      <c r="AD431" s="529">
        <v>4000</v>
      </c>
      <c r="AE431" s="529"/>
      <c r="AF431" s="529"/>
      <c r="AG431" s="529"/>
      <c r="AH431" s="529"/>
      <c r="AI431" s="535"/>
      <c r="AJ431" s="561">
        <v>1500</v>
      </c>
      <c r="AK431" s="507">
        <f t="shared" si="377"/>
        <v>44.365572315882872</v>
      </c>
      <c r="AL431" s="507">
        <f t="shared" si="378"/>
        <v>100</v>
      </c>
      <c r="AM431" s="507">
        <f t="shared" si="378"/>
        <v>150</v>
      </c>
      <c r="AN431" s="556"/>
      <c r="AO431" s="510"/>
      <c r="AP431" s="510" t="e">
        <f t="shared" ca="1" si="386"/>
        <v>#NAME?</v>
      </c>
      <c r="AQ431" s="532">
        <v>434.65</v>
      </c>
      <c r="AR431" s="533">
        <f t="shared" si="393"/>
        <v>44.365572315882872</v>
      </c>
      <c r="AS431" s="533">
        <f t="shared" si="390"/>
        <v>100</v>
      </c>
      <c r="AT431" s="533">
        <f t="shared" si="394"/>
        <v>44.365572315882872</v>
      </c>
      <c r="AU431" s="533">
        <f t="shared" si="395"/>
        <v>43.464999999999996</v>
      </c>
      <c r="AV431" s="533">
        <f t="shared" si="396"/>
        <v>19.283496007098492</v>
      </c>
      <c r="AW431" s="612">
        <f t="shared" si="397"/>
        <v>434.65</v>
      </c>
      <c r="AX431" s="612"/>
      <c r="AY431" s="612"/>
      <c r="AZ431" s="612"/>
      <c r="BA431" s="612"/>
      <c r="BB431" s="612"/>
      <c r="BC431" s="612"/>
      <c r="BD431" s="612"/>
      <c r="BE431" s="612"/>
      <c r="BF431" s="612"/>
      <c r="BG431" s="612"/>
      <c r="BH431" s="612">
        <f t="shared" si="389"/>
        <v>434.65</v>
      </c>
      <c r="BI431" s="612">
        <f t="shared" si="379"/>
        <v>0</v>
      </c>
      <c r="BJ431" s="201">
        <f t="shared" si="387"/>
        <v>0</v>
      </c>
    </row>
    <row r="432" spans="1:62" ht="12" customHeight="1">
      <c r="A432" s="52"/>
      <c r="B432" s="52"/>
      <c r="C432" s="52"/>
      <c r="D432" s="52"/>
      <c r="E432" s="52"/>
      <c r="F432" s="52"/>
      <c r="G432" s="52"/>
      <c r="H432" s="2" t="s">
        <v>374</v>
      </c>
      <c r="I432" s="260">
        <v>133</v>
      </c>
      <c r="J432" s="185">
        <v>3296</v>
      </c>
      <c r="K432" s="185" t="s">
        <v>375</v>
      </c>
      <c r="L432" s="129">
        <v>29746</v>
      </c>
      <c r="M432" s="129">
        <f>29746/7.5345</f>
        <v>3947.9726591014664</v>
      </c>
      <c r="N432" s="130">
        <v>26461</v>
      </c>
      <c r="O432" s="306">
        <f t="shared" si="398"/>
        <v>3511.9782334594197</v>
      </c>
      <c r="P432" s="131">
        <v>4000</v>
      </c>
      <c r="Q432" s="156">
        <v>1000</v>
      </c>
      <c r="R432" s="153">
        <v>298</v>
      </c>
      <c r="S432" s="158" t="e">
        <f ca="1">__xlfn.XLOOKUP(H432,[1]Izvršenje_proračuna_po_pozicija!$B$2:$B$153,[1]Izvršenje_proračuna_po_pozicija!$E$2:$E$153,0)</f>
        <v>#NAME?</v>
      </c>
      <c r="T432" s="158"/>
      <c r="U432" s="158"/>
      <c r="V432" s="532">
        <v>4000</v>
      </c>
      <c r="W432" s="532">
        <v>4000</v>
      </c>
      <c r="X432" s="560">
        <v>4000</v>
      </c>
      <c r="Y432" s="561">
        <v>5000</v>
      </c>
      <c r="Z432" s="561"/>
      <c r="AA432" s="562" t="e">
        <f t="shared" ca="1" si="388"/>
        <v>#NAME?</v>
      </c>
      <c r="AB432" s="535"/>
      <c r="AC432" s="529">
        <v>4000</v>
      </c>
      <c r="AD432" s="529">
        <v>4000</v>
      </c>
      <c r="AE432" s="529">
        <f>O432/M432*100</f>
        <v>88.956498352719692</v>
      </c>
      <c r="AF432" s="529">
        <f>P432/O432*100</f>
        <v>113.8959223007445</v>
      </c>
      <c r="AG432" s="529">
        <f>Q432/P432*100</f>
        <v>25</v>
      </c>
      <c r="AH432" s="529">
        <f>AC432/Q432*100</f>
        <v>400</v>
      </c>
      <c r="AI432" s="535"/>
      <c r="AJ432" s="561">
        <v>5000</v>
      </c>
      <c r="AK432" s="507">
        <f t="shared" si="377"/>
        <v>1342.2818791946308</v>
      </c>
      <c r="AL432" s="507">
        <f t="shared" si="378"/>
        <v>100</v>
      </c>
      <c r="AM432" s="507">
        <f t="shared" si="378"/>
        <v>125</v>
      </c>
      <c r="AN432" s="556"/>
      <c r="AO432" s="510"/>
      <c r="AP432" s="510" t="e">
        <f t="shared" ca="1" si="386"/>
        <v>#NAME?</v>
      </c>
      <c r="AQ432" s="532">
        <v>33.18</v>
      </c>
      <c r="AR432" s="533">
        <f t="shared" si="393"/>
        <v>1342.2818791946308</v>
      </c>
      <c r="AS432" s="533">
        <f t="shared" si="390"/>
        <v>100</v>
      </c>
      <c r="AT432" s="533">
        <f t="shared" si="394"/>
        <v>1342.2818791946308</v>
      </c>
      <c r="AU432" s="533">
        <f t="shared" si="395"/>
        <v>0.82950000000000002</v>
      </c>
      <c r="AV432" s="533">
        <f t="shared" si="396"/>
        <v>11.134228187919463</v>
      </c>
      <c r="AW432" s="612">
        <f t="shared" si="397"/>
        <v>33.18</v>
      </c>
      <c r="AX432" s="612"/>
      <c r="AY432" s="612"/>
      <c r="AZ432" s="612"/>
      <c r="BA432" s="612"/>
      <c r="BB432" s="612"/>
      <c r="BC432" s="612"/>
      <c r="BD432" s="612"/>
      <c r="BE432" s="612"/>
      <c r="BF432" s="612"/>
      <c r="BG432" s="612"/>
      <c r="BH432" s="612">
        <f t="shared" si="389"/>
        <v>33.18</v>
      </c>
      <c r="BI432" s="612">
        <f t="shared" si="379"/>
        <v>0</v>
      </c>
      <c r="BJ432" s="201">
        <f t="shared" si="387"/>
        <v>0</v>
      </c>
    </row>
    <row r="433" spans="1:62" ht="12" customHeight="1">
      <c r="A433" s="52"/>
      <c r="B433" s="52"/>
      <c r="C433" s="52"/>
      <c r="D433" s="52"/>
      <c r="E433" s="52"/>
      <c r="F433" s="52"/>
      <c r="G433" s="52"/>
      <c r="H433" s="2">
        <v>123</v>
      </c>
      <c r="I433" s="260">
        <v>133</v>
      </c>
      <c r="J433" s="185">
        <v>3299</v>
      </c>
      <c r="K433" s="185" t="s">
        <v>376</v>
      </c>
      <c r="L433" s="129">
        <v>192772</v>
      </c>
      <c r="M433" s="129">
        <f>192772/7.5345</f>
        <v>25585.241223704292</v>
      </c>
      <c r="N433" s="130">
        <v>14394</v>
      </c>
      <c r="O433" s="306">
        <f t="shared" si="398"/>
        <v>1910.4121043201274</v>
      </c>
      <c r="P433" s="131">
        <v>0</v>
      </c>
      <c r="Q433" s="131">
        <v>0</v>
      </c>
      <c r="R433" s="153">
        <v>0</v>
      </c>
      <c r="S433" s="158" t="e">
        <f ca="1">__xlfn.XLOOKUP(H433,[1]Izvršenje_proračuna_po_pozicija!$B$2:$B$153,[1]Izvršenje_proračuna_po_pozicija!$E$2:$E$153,0)</f>
        <v>#NAME?</v>
      </c>
      <c r="T433" s="158"/>
      <c r="U433" s="158"/>
      <c r="V433" s="532">
        <v>0</v>
      </c>
      <c r="W433" s="532">
        <v>0</v>
      </c>
      <c r="X433" s="560">
        <v>35000</v>
      </c>
      <c r="Y433" s="561"/>
      <c r="Z433" s="561"/>
      <c r="AA433" s="562" t="e">
        <f t="shared" ca="1" si="388"/>
        <v>#NAME?</v>
      </c>
      <c r="AB433" s="535"/>
      <c r="AC433" s="529">
        <v>10000</v>
      </c>
      <c r="AD433" s="529">
        <v>10000</v>
      </c>
      <c r="AE433" s="529">
        <f>O433/M433*100</f>
        <v>7.466852032452846</v>
      </c>
      <c r="AF433" s="529">
        <f>P433/O433*100</f>
        <v>0</v>
      </c>
      <c r="AG433" s="529"/>
      <c r="AH433" s="529"/>
      <c r="AI433" s="535"/>
      <c r="AJ433" s="561"/>
      <c r="AK433" s="507"/>
      <c r="AL433" s="507" t="e">
        <f t="shared" si="378"/>
        <v>#DIV/0!</v>
      </c>
      <c r="AM433" s="507"/>
      <c r="AN433" s="556"/>
      <c r="AO433" s="510"/>
      <c r="AP433" s="510" t="e">
        <f t="shared" ca="1" si="386"/>
        <v>#NAME?</v>
      </c>
      <c r="AQ433" s="532"/>
      <c r="AR433" s="533"/>
      <c r="AS433" s="533"/>
      <c r="AT433" s="533"/>
      <c r="AU433" s="533"/>
      <c r="AV433" s="533"/>
      <c r="AW433" s="612"/>
      <c r="AX433" s="612"/>
      <c r="AY433" s="612"/>
      <c r="AZ433" s="612"/>
      <c r="BA433" s="612"/>
      <c r="BB433" s="612"/>
      <c r="BC433" s="612"/>
      <c r="BD433" s="612"/>
      <c r="BE433" s="612"/>
      <c r="BF433" s="612"/>
      <c r="BG433" s="612"/>
      <c r="BH433" s="612">
        <f t="shared" si="389"/>
        <v>0</v>
      </c>
      <c r="BI433" s="612">
        <f t="shared" si="379"/>
        <v>8757.44</v>
      </c>
      <c r="BJ433" s="201">
        <f t="shared" si="387"/>
        <v>0</v>
      </c>
    </row>
    <row r="434" spans="1:62" ht="12" customHeight="1">
      <c r="A434" s="52"/>
      <c r="B434" s="52"/>
      <c r="C434" s="52"/>
      <c r="D434" s="52"/>
      <c r="E434" s="52"/>
      <c r="F434" s="52"/>
      <c r="G434" s="52"/>
      <c r="H434" s="2">
        <v>126</v>
      </c>
      <c r="I434" s="260">
        <v>133</v>
      </c>
      <c r="J434" s="185">
        <v>3299</v>
      </c>
      <c r="K434" s="19" t="s">
        <v>377</v>
      </c>
      <c r="L434" s="129">
        <v>76611</v>
      </c>
      <c r="M434" s="129">
        <f>76611/7.5345</f>
        <v>10168.027075452916</v>
      </c>
      <c r="N434" s="130">
        <v>89940</v>
      </c>
      <c r="O434" s="306">
        <f t="shared" si="398"/>
        <v>11937.089388811466</v>
      </c>
      <c r="P434" s="131">
        <v>12000</v>
      </c>
      <c r="Q434" s="156">
        <v>14000</v>
      </c>
      <c r="R434" s="153">
        <v>16288</v>
      </c>
      <c r="S434" s="158">
        <v>13163</v>
      </c>
      <c r="T434" s="158"/>
      <c r="U434" s="158"/>
      <c r="V434" s="532">
        <v>14000</v>
      </c>
      <c r="W434" s="532">
        <v>14000</v>
      </c>
      <c r="X434" s="560">
        <v>16000</v>
      </c>
      <c r="Y434" s="561">
        <v>17000</v>
      </c>
      <c r="Z434" s="561"/>
      <c r="AA434" s="562" t="e">
        <f t="shared" ca="1" si="388"/>
        <v>#NAME?</v>
      </c>
      <c r="AB434" s="535"/>
      <c r="AC434" s="529">
        <v>12000</v>
      </c>
      <c r="AD434" s="529">
        <v>12000</v>
      </c>
      <c r="AE434" s="529">
        <f>O434/M434*100</f>
        <v>117.39828484160238</v>
      </c>
      <c r="AF434" s="529">
        <f>P434/O434*100</f>
        <v>100.527018012008</v>
      </c>
      <c r="AG434" s="529">
        <f>Q434/P434*100</f>
        <v>116.66666666666667</v>
      </c>
      <c r="AH434" s="529">
        <f>AC434/Q434*100</f>
        <v>85.714285714285708</v>
      </c>
      <c r="AI434" s="535"/>
      <c r="AJ434" s="561">
        <v>17000</v>
      </c>
      <c r="AK434" s="507">
        <f t="shared" si="377"/>
        <v>85.952848722986246</v>
      </c>
      <c r="AL434" s="507">
        <f t="shared" si="378"/>
        <v>114.28571428571428</v>
      </c>
      <c r="AM434" s="507">
        <f t="shared" si="378"/>
        <v>106.25</v>
      </c>
      <c r="AN434" s="556"/>
      <c r="AO434" s="510"/>
      <c r="AP434" s="510" t="e">
        <f t="shared" ca="1" si="386"/>
        <v>#NAME?</v>
      </c>
      <c r="AQ434" s="532">
        <v>14130.64</v>
      </c>
      <c r="AR434" s="533">
        <f>V434/R434*100</f>
        <v>85.952848722986246</v>
      </c>
      <c r="AS434" s="533">
        <f t="shared" si="390"/>
        <v>100</v>
      </c>
      <c r="AT434" s="533">
        <f>W434/R434*100</f>
        <v>85.952848722986246</v>
      </c>
      <c r="AU434" s="533">
        <f>AQ434/W434*100</f>
        <v>100.93314285714285</v>
      </c>
      <c r="AV434" s="533">
        <f>AQ434/R434*100</f>
        <v>86.754911591355594</v>
      </c>
      <c r="AW434" s="612">
        <f>AQ434</f>
        <v>14130.64</v>
      </c>
      <c r="AX434" s="612"/>
      <c r="AY434" s="612"/>
      <c r="AZ434" s="612"/>
      <c r="BA434" s="612"/>
      <c r="BB434" s="612"/>
      <c r="BC434" s="612"/>
      <c r="BD434" s="612"/>
      <c r="BE434" s="612"/>
      <c r="BF434" s="612"/>
      <c r="BG434" s="612"/>
      <c r="BH434" s="612">
        <f t="shared" si="389"/>
        <v>14130.64</v>
      </c>
      <c r="BI434" s="612">
        <f t="shared" si="379"/>
        <v>7750.4</v>
      </c>
      <c r="BJ434" s="201">
        <f t="shared" si="387"/>
        <v>0</v>
      </c>
    </row>
    <row r="435" spans="1:62" ht="12" customHeight="1">
      <c r="A435" s="52"/>
      <c r="B435" s="52"/>
      <c r="C435" s="52"/>
      <c r="D435" s="52"/>
      <c r="E435" s="52"/>
      <c r="F435" s="52"/>
      <c r="G435" s="52"/>
      <c r="H435" s="2" t="s">
        <v>378</v>
      </c>
      <c r="I435" s="260">
        <v>133</v>
      </c>
      <c r="J435" s="185">
        <v>3299</v>
      </c>
      <c r="K435" s="19" t="s">
        <v>379</v>
      </c>
      <c r="L435" s="129">
        <v>4813</v>
      </c>
      <c r="M435" s="129">
        <f>4813/7.5345</f>
        <v>638.79487689959512</v>
      </c>
      <c r="N435" s="130">
        <v>1637</v>
      </c>
      <c r="O435" s="306">
        <f t="shared" si="398"/>
        <v>217.26723737474285</v>
      </c>
      <c r="P435" s="131">
        <v>1000</v>
      </c>
      <c r="Q435" s="131">
        <v>1000</v>
      </c>
      <c r="R435" s="153">
        <v>365</v>
      </c>
      <c r="S435" s="158" t="e">
        <f ca="1">__xlfn.XLOOKUP(H435,[1]Izvršenje_proračuna_po_pozicija!$B$2:$B$153,[1]Izvršenje_proračuna_po_pozicija!$E$2:$E$153,0)</f>
        <v>#NAME?</v>
      </c>
      <c r="T435" s="158"/>
      <c r="U435" s="158"/>
      <c r="V435" s="532">
        <v>1000</v>
      </c>
      <c r="W435" s="532">
        <v>1000</v>
      </c>
      <c r="X435" s="560">
        <v>1000</v>
      </c>
      <c r="Y435" s="561">
        <v>1000</v>
      </c>
      <c r="Z435" s="561"/>
      <c r="AA435" s="562" t="e">
        <f t="shared" ca="1" si="388"/>
        <v>#NAME?</v>
      </c>
      <c r="AB435" s="535"/>
      <c r="AC435" s="529">
        <v>1000</v>
      </c>
      <c r="AD435" s="529">
        <v>1000</v>
      </c>
      <c r="AE435" s="529">
        <f>O435/M435*100</f>
        <v>34.012050696031586</v>
      </c>
      <c r="AF435" s="529">
        <f>P435/O435*100</f>
        <v>460.26267562614544</v>
      </c>
      <c r="AG435" s="529">
        <f>Q435/P435*100</f>
        <v>100</v>
      </c>
      <c r="AH435" s="529">
        <f>AC435/Q435*100</f>
        <v>100</v>
      </c>
      <c r="AI435" s="535"/>
      <c r="AJ435" s="561">
        <v>1000</v>
      </c>
      <c r="AK435" s="507">
        <f t="shared" si="377"/>
        <v>273.97260273972603</v>
      </c>
      <c r="AL435" s="507">
        <f t="shared" si="378"/>
        <v>100</v>
      </c>
      <c r="AM435" s="507">
        <f t="shared" si="378"/>
        <v>100</v>
      </c>
      <c r="AN435" s="556"/>
      <c r="AO435" s="510"/>
      <c r="AP435" s="510" t="e">
        <f t="shared" ca="1" si="386"/>
        <v>#NAME?</v>
      </c>
      <c r="AQ435" s="532">
        <v>743.75</v>
      </c>
      <c r="AR435" s="533">
        <f>V435/R435*100</f>
        <v>273.97260273972603</v>
      </c>
      <c r="AS435" s="533">
        <f t="shared" si="390"/>
        <v>100</v>
      </c>
      <c r="AT435" s="533">
        <f>W435/R435*100</f>
        <v>273.97260273972603</v>
      </c>
      <c r="AU435" s="533">
        <f>AQ435/W435*100</f>
        <v>74.375</v>
      </c>
      <c r="AV435" s="533">
        <f>AQ435/R435*100</f>
        <v>203.76712328767121</v>
      </c>
      <c r="AW435" s="612">
        <f>AQ435</f>
        <v>743.75</v>
      </c>
      <c r="AX435" s="612"/>
      <c r="AY435" s="612"/>
      <c r="AZ435" s="612"/>
      <c r="BA435" s="612"/>
      <c r="BB435" s="612"/>
      <c r="BC435" s="612"/>
      <c r="BD435" s="612"/>
      <c r="BE435" s="612"/>
      <c r="BF435" s="612"/>
      <c r="BG435" s="612"/>
      <c r="BH435" s="612">
        <f t="shared" si="389"/>
        <v>743.75</v>
      </c>
      <c r="BI435" s="612">
        <f t="shared" si="379"/>
        <v>0</v>
      </c>
      <c r="BJ435" s="201">
        <f t="shared" si="387"/>
        <v>0</v>
      </c>
    </row>
    <row r="436" spans="1:62" ht="12" customHeight="1">
      <c r="A436" s="52"/>
      <c r="B436" s="52"/>
      <c r="C436" s="52"/>
      <c r="D436" s="52"/>
      <c r="E436" s="52"/>
      <c r="F436" s="52"/>
      <c r="G436" s="52"/>
      <c r="H436" s="2" t="s">
        <v>380</v>
      </c>
      <c r="I436" s="260">
        <v>133</v>
      </c>
      <c r="J436" s="185">
        <v>3299</v>
      </c>
      <c r="K436" s="19" t="s">
        <v>381</v>
      </c>
      <c r="L436" s="129">
        <v>5761</v>
      </c>
      <c r="M436" s="129">
        <f>5761/7.5345</f>
        <v>764.61609927666063</v>
      </c>
      <c r="N436" s="130">
        <v>7979</v>
      </c>
      <c r="O436" s="306">
        <f t="shared" si="398"/>
        <v>1058.9952883403012</v>
      </c>
      <c r="P436" s="131">
        <v>1000</v>
      </c>
      <c r="Q436" s="156">
        <v>1500</v>
      </c>
      <c r="R436" s="153">
        <v>1500</v>
      </c>
      <c r="S436" s="158" t="e">
        <f ca="1">__xlfn.XLOOKUP(H436,[1]Izvršenje_proračuna_po_pozicija!$B$2:$B$153,[1]Izvršenje_proračuna_po_pozicija!$E$2:$E$153,0)</f>
        <v>#NAME?</v>
      </c>
      <c r="T436" s="158"/>
      <c r="U436" s="158"/>
      <c r="V436" s="532">
        <v>2000</v>
      </c>
      <c r="W436" s="532">
        <v>2000</v>
      </c>
      <c r="X436" s="560">
        <v>1500</v>
      </c>
      <c r="Y436" s="561">
        <v>2000</v>
      </c>
      <c r="Z436" s="561"/>
      <c r="AA436" s="562" t="e">
        <f t="shared" ca="1" si="388"/>
        <v>#NAME?</v>
      </c>
      <c r="AB436" s="535"/>
      <c r="AC436" s="529">
        <v>1000</v>
      </c>
      <c r="AD436" s="529">
        <v>1000</v>
      </c>
      <c r="AE436" s="529">
        <f>O436/M436*100</f>
        <v>138.50026037146327</v>
      </c>
      <c r="AF436" s="529">
        <f>P436/O436*100</f>
        <v>94.429126456949504</v>
      </c>
      <c r="AG436" s="529">
        <f>Q436/P436*100</f>
        <v>150</v>
      </c>
      <c r="AH436" s="529">
        <f>AC436/Q436*100</f>
        <v>66.666666666666657</v>
      </c>
      <c r="AI436" s="535"/>
      <c r="AJ436" s="561">
        <v>2000</v>
      </c>
      <c r="AK436" s="507">
        <f t="shared" si="377"/>
        <v>133.33333333333331</v>
      </c>
      <c r="AL436" s="507">
        <f t="shared" si="378"/>
        <v>75</v>
      </c>
      <c r="AM436" s="507">
        <f t="shared" si="378"/>
        <v>133.33333333333331</v>
      </c>
      <c r="AN436" s="556"/>
      <c r="AO436" s="510"/>
      <c r="AP436" s="510" t="e">
        <f t="shared" ca="1" si="386"/>
        <v>#NAME?</v>
      </c>
      <c r="AQ436" s="532"/>
      <c r="AR436" s="533">
        <f>V436/R436*100</f>
        <v>133.33333333333331</v>
      </c>
      <c r="AS436" s="533">
        <f t="shared" si="390"/>
        <v>100</v>
      </c>
      <c r="AT436" s="533">
        <f>W436/R436*100</f>
        <v>133.33333333333331</v>
      </c>
      <c r="AU436" s="533">
        <f>AQ436/W436*100</f>
        <v>0</v>
      </c>
      <c r="AV436" s="533">
        <f>AQ436/R436*100</f>
        <v>0</v>
      </c>
      <c r="AW436" s="612"/>
      <c r="AX436" s="612"/>
      <c r="AY436" s="612"/>
      <c r="AZ436" s="612"/>
      <c r="BA436" s="612"/>
      <c r="BB436" s="612"/>
      <c r="BC436" s="612"/>
      <c r="BD436" s="612"/>
      <c r="BE436" s="612"/>
      <c r="BF436" s="612"/>
      <c r="BG436" s="612"/>
      <c r="BH436" s="612">
        <f t="shared" si="389"/>
        <v>0</v>
      </c>
      <c r="BI436" s="612">
        <f t="shared" si="379"/>
        <v>0</v>
      </c>
      <c r="BJ436" s="201">
        <f t="shared" si="387"/>
        <v>0</v>
      </c>
    </row>
    <row r="437" spans="1:62" ht="12" customHeight="1">
      <c r="A437" s="52"/>
      <c r="B437" s="52"/>
      <c r="C437" s="52"/>
      <c r="D437" s="52"/>
      <c r="E437" s="52"/>
      <c r="F437" s="52"/>
      <c r="G437" s="52"/>
      <c r="H437" s="2" t="s">
        <v>382</v>
      </c>
      <c r="I437" s="260">
        <v>133</v>
      </c>
      <c r="J437" s="185">
        <v>3299</v>
      </c>
      <c r="K437" s="19" t="s">
        <v>383</v>
      </c>
      <c r="L437" s="129">
        <v>734</v>
      </c>
      <c r="M437" s="129">
        <f>734/7.5345</f>
        <v>97.418541376335511</v>
      </c>
      <c r="N437" s="130">
        <v>33406</v>
      </c>
      <c r="O437" s="306">
        <f t="shared" si="398"/>
        <v>4433.7381378989976</v>
      </c>
      <c r="P437" s="131">
        <v>4000</v>
      </c>
      <c r="Q437" s="131">
        <v>4000</v>
      </c>
      <c r="R437" s="153">
        <v>2805</v>
      </c>
      <c r="S437" s="158" t="e">
        <f ca="1">__xlfn.XLOOKUP(H437,[1]Izvršenje_proračuna_po_pozicija!$B$2:$B$153,[1]Izvršenje_proračuna_po_pozicija!$E$2:$E$153,0)</f>
        <v>#NAME?</v>
      </c>
      <c r="T437" s="158"/>
      <c r="U437" s="158"/>
      <c r="V437" s="532">
        <v>3500</v>
      </c>
      <c r="W437" s="532">
        <v>3500</v>
      </c>
      <c r="X437" s="560">
        <v>4000</v>
      </c>
      <c r="Y437" s="561">
        <v>4000</v>
      </c>
      <c r="Z437" s="561"/>
      <c r="AA437" s="562" t="e">
        <f t="shared" ca="1" si="388"/>
        <v>#NAME?</v>
      </c>
      <c r="AB437" s="535"/>
      <c r="AC437" s="529">
        <v>4000</v>
      </c>
      <c r="AD437" s="529">
        <v>4000</v>
      </c>
      <c r="AE437" s="529"/>
      <c r="AF437" s="529"/>
      <c r="AG437" s="529"/>
      <c r="AH437" s="529"/>
      <c r="AI437" s="535"/>
      <c r="AJ437" s="561">
        <v>4000</v>
      </c>
      <c r="AK437" s="507">
        <f t="shared" si="377"/>
        <v>124.77718360071302</v>
      </c>
      <c r="AL437" s="507">
        <f t="shared" si="378"/>
        <v>114.28571428571428</v>
      </c>
      <c r="AM437" s="507">
        <f t="shared" si="378"/>
        <v>100</v>
      </c>
      <c r="AN437" s="556"/>
      <c r="AO437" s="510"/>
      <c r="AP437" s="510" t="e">
        <f t="shared" ca="1" si="386"/>
        <v>#NAME?</v>
      </c>
      <c r="AQ437" s="532">
        <v>2164</v>
      </c>
      <c r="AR437" s="533">
        <f>V437/R437*100</f>
        <v>124.77718360071302</v>
      </c>
      <c r="AS437" s="533">
        <f t="shared" si="390"/>
        <v>100</v>
      </c>
      <c r="AT437" s="533">
        <f>W437/R437*100</f>
        <v>124.77718360071302</v>
      </c>
      <c r="AU437" s="533">
        <f>AQ437/W437*100</f>
        <v>61.828571428571436</v>
      </c>
      <c r="AV437" s="533">
        <f>AQ437/R437*100</f>
        <v>77.147950089126567</v>
      </c>
      <c r="AW437" s="612">
        <f>AQ437</f>
        <v>2164</v>
      </c>
      <c r="AX437" s="612"/>
      <c r="AY437" s="612"/>
      <c r="AZ437" s="612"/>
      <c r="BA437" s="612"/>
      <c r="BB437" s="612"/>
      <c r="BC437" s="612"/>
      <c r="BD437" s="612"/>
      <c r="BE437" s="612"/>
      <c r="BF437" s="612"/>
      <c r="BG437" s="612"/>
      <c r="BH437" s="612">
        <f t="shared" si="389"/>
        <v>2164</v>
      </c>
      <c r="BI437" s="612">
        <f t="shared" si="379"/>
        <v>0</v>
      </c>
      <c r="BJ437" s="201">
        <f t="shared" si="387"/>
        <v>0</v>
      </c>
    </row>
    <row r="438" spans="1:62" ht="12" customHeight="1">
      <c r="A438" s="52"/>
      <c r="B438" s="52"/>
      <c r="C438" s="52"/>
      <c r="D438" s="52"/>
      <c r="E438" s="52"/>
      <c r="F438" s="52"/>
      <c r="G438" s="52"/>
      <c r="H438" s="2" t="s">
        <v>384</v>
      </c>
      <c r="I438" s="260">
        <v>133</v>
      </c>
      <c r="J438" s="185">
        <v>3299</v>
      </c>
      <c r="K438" s="19" t="s">
        <v>385</v>
      </c>
      <c r="L438" s="129">
        <v>0</v>
      </c>
      <c r="M438" s="129">
        <v>0</v>
      </c>
      <c r="N438" s="130">
        <v>0</v>
      </c>
      <c r="O438" s="306">
        <f t="shared" si="398"/>
        <v>0</v>
      </c>
      <c r="P438" s="131">
        <v>5000</v>
      </c>
      <c r="Q438" s="156">
        <v>0</v>
      </c>
      <c r="R438" s="153">
        <v>0</v>
      </c>
      <c r="S438" s="158" t="e">
        <f ca="1">__xlfn.XLOOKUP(H438,[1]Izvršenje_proračuna_po_pozicija!$B$2:$B$153,[1]Izvršenje_proračuna_po_pozicija!$E$2:$E$153,0)</f>
        <v>#NAME?</v>
      </c>
      <c r="T438" s="158"/>
      <c r="U438" s="158"/>
      <c r="V438" s="532">
        <v>0</v>
      </c>
      <c r="W438" s="532">
        <v>0</v>
      </c>
      <c r="X438" s="560">
        <v>25000</v>
      </c>
      <c r="Y438" s="561">
        <v>5000</v>
      </c>
      <c r="Z438" s="561"/>
      <c r="AA438" s="562" t="e">
        <f t="shared" ca="1" si="388"/>
        <v>#NAME?</v>
      </c>
      <c r="AB438" s="535"/>
      <c r="AC438" s="529">
        <v>5000</v>
      </c>
      <c r="AD438" s="529">
        <v>5000</v>
      </c>
      <c r="AE438" s="529"/>
      <c r="AF438" s="529"/>
      <c r="AG438" s="529"/>
      <c r="AH438" s="529"/>
      <c r="AI438" s="535"/>
      <c r="AJ438" s="561">
        <v>5000</v>
      </c>
      <c r="AK438" s="507"/>
      <c r="AL438" s="507"/>
      <c r="AM438" s="507">
        <f t="shared" si="378"/>
        <v>20</v>
      </c>
      <c r="AN438" s="556"/>
      <c r="AO438" s="510"/>
      <c r="AP438" s="510" t="e">
        <f t="shared" ca="1" si="386"/>
        <v>#NAME?</v>
      </c>
      <c r="AQ438" s="532"/>
      <c r="AR438" s="533"/>
      <c r="AS438" s="533"/>
      <c r="AT438" s="533"/>
      <c r="AU438" s="533"/>
      <c r="AV438" s="533"/>
      <c r="AW438" s="612"/>
      <c r="AX438" s="612"/>
      <c r="AY438" s="612"/>
      <c r="AZ438" s="612"/>
      <c r="BA438" s="612"/>
      <c r="BB438" s="612"/>
      <c r="BC438" s="612"/>
      <c r="BD438" s="612"/>
      <c r="BE438" s="612"/>
      <c r="BF438" s="612"/>
      <c r="BG438" s="612"/>
      <c r="BH438" s="612">
        <f t="shared" si="389"/>
        <v>0</v>
      </c>
      <c r="BI438" s="612">
        <f t="shared" si="379"/>
        <v>82328.88</v>
      </c>
      <c r="BJ438" s="201">
        <f t="shared" si="387"/>
        <v>0</v>
      </c>
    </row>
    <row r="439" spans="1:62" ht="12" customHeight="1">
      <c r="A439" s="52"/>
      <c r="B439" s="52"/>
      <c r="C439" s="52"/>
      <c r="D439" s="52"/>
      <c r="E439" s="52"/>
      <c r="F439" s="52"/>
      <c r="G439" s="52"/>
      <c r="H439" s="2" t="s">
        <v>386</v>
      </c>
      <c r="I439" s="260">
        <v>133</v>
      </c>
      <c r="J439" s="185">
        <v>3299</v>
      </c>
      <c r="K439" s="19" t="s">
        <v>387</v>
      </c>
      <c r="L439" s="129">
        <v>0</v>
      </c>
      <c r="M439" s="129">
        <v>0</v>
      </c>
      <c r="N439" s="130">
        <v>0</v>
      </c>
      <c r="O439" s="306">
        <f t="shared" si="398"/>
        <v>0</v>
      </c>
      <c r="P439" s="131">
        <v>1000</v>
      </c>
      <c r="Q439" s="156">
        <v>0</v>
      </c>
      <c r="R439" s="153">
        <v>0</v>
      </c>
      <c r="S439" s="158" t="e">
        <f ca="1">__xlfn.XLOOKUP(H439,[1]Izvršenje_proračuna_po_pozicija!$B$2:$B$153,[1]Izvršenje_proračuna_po_pozicija!$E$2:$E$153,0)</f>
        <v>#NAME?</v>
      </c>
      <c r="T439" s="158"/>
      <c r="U439" s="158"/>
      <c r="V439" s="532">
        <v>0</v>
      </c>
      <c r="W439" s="532">
        <v>0</v>
      </c>
      <c r="X439" s="560">
        <v>1000</v>
      </c>
      <c r="Y439" s="561">
        <v>1000</v>
      </c>
      <c r="Z439" s="561"/>
      <c r="AA439" s="562" t="e">
        <f t="shared" ca="1" si="388"/>
        <v>#NAME?</v>
      </c>
      <c r="AB439" s="535"/>
      <c r="AC439" s="529">
        <v>1000</v>
      </c>
      <c r="AD439" s="529">
        <v>1000</v>
      </c>
      <c r="AE439" s="529"/>
      <c r="AF439" s="529"/>
      <c r="AG439" s="529"/>
      <c r="AH439" s="529"/>
      <c r="AI439" s="535"/>
      <c r="AJ439" s="561">
        <v>1000</v>
      </c>
      <c r="AK439" s="507"/>
      <c r="AL439" s="507"/>
      <c r="AM439" s="507">
        <f t="shared" si="378"/>
        <v>100</v>
      </c>
      <c r="AN439" s="556"/>
      <c r="AO439" s="510"/>
      <c r="AP439" s="510" t="e">
        <f t="shared" ca="1" si="386"/>
        <v>#NAME?</v>
      </c>
      <c r="AQ439" s="532"/>
      <c r="AR439" s="533"/>
      <c r="AS439" s="533"/>
      <c r="AT439" s="533"/>
      <c r="AU439" s="533"/>
      <c r="AV439" s="533"/>
      <c r="AW439" s="612"/>
      <c r="AX439" s="612"/>
      <c r="AY439" s="612"/>
      <c r="AZ439" s="612"/>
      <c r="BA439" s="612"/>
      <c r="BB439" s="612"/>
      <c r="BC439" s="612"/>
      <c r="BD439" s="612"/>
      <c r="BE439" s="612"/>
      <c r="BF439" s="612"/>
      <c r="BG439" s="612"/>
      <c r="BH439" s="612">
        <f t="shared" si="389"/>
        <v>0</v>
      </c>
      <c r="BI439" s="612">
        <f t="shared" si="379"/>
        <v>0</v>
      </c>
      <c r="BJ439" s="201">
        <f t="shared" si="387"/>
        <v>0</v>
      </c>
    </row>
    <row r="440" spans="1:62" ht="12" customHeight="1">
      <c r="A440" s="52"/>
      <c r="B440" s="52"/>
      <c r="C440" s="52"/>
      <c r="D440" s="52"/>
      <c r="E440" s="52"/>
      <c r="F440" s="52"/>
      <c r="G440" s="52"/>
      <c r="H440" s="2" t="s">
        <v>388</v>
      </c>
      <c r="I440" s="260">
        <v>133</v>
      </c>
      <c r="J440" s="185">
        <v>3299</v>
      </c>
      <c r="K440" s="19" t="s">
        <v>389</v>
      </c>
      <c r="L440" s="129">
        <v>18516</v>
      </c>
      <c r="M440" s="129">
        <f>18516/7.5345</f>
        <v>2457.4955206052159</v>
      </c>
      <c r="N440" s="130">
        <v>7762</v>
      </c>
      <c r="O440" s="306">
        <f t="shared" si="398"/>
        <v>1030.1944389143273</v>
      </c>
      <c r="P440" s="131">
        <v>2000</v>
      </c>
      <c r="Q440" s="131">
        <v>2000</v>
      </c>
      <c r="R440" s="153">
        <v>0</v>
      </c>
      <c r="S440" s="158" t="e">
        <f ca="1">__xlfn.XLOOKUP(H440,[1]Izvršenje_proračuna_po_pozicija!$B$2:$B$153,[1]Izvršenje_proračuna_po_pozicija!$E$2:$E$153,0)</f>
        <v>#NAME?</v>
      </c>
      <c r="T440" s="158"/>
      <c r="U440" s="158"/>
      <c r="V440" s="532">
        <v>5000</v>
      </c>
      <c r="W440" s="532">
        <v>5000</v>
      </c>
      <c r="X440" s="560">
        <v>5000</v>
      </c>
      <c r="Y440" s="561">
        <v>5000</v>
      </c>
      <c r="Z440" s="561"/>
      <c r="AA440" s="562" t="e">
        <f t="shared" ca="1" si="388"/>
        <v>#NAME?</v>
      </c>
      <c r="AB440" s="535"/>
      <c r="AC440" s="529">
        <v>2000</v>
      </c>
      <c r="AD440" s="529">
        <v>2000</v>
      </c>
      <c r="AE440" s="529">
        <f>O440/M440*100</f>
        <v>41.920501188161587</v>
      </c>
      <c r="AF440" s="529">
        <f>P440/O440*100</f>
        <v>194.13810873486216</v>
      </c>
      <c r="AG440" s="529">
        <f>Q440/P440*100</f>
        <v>100</v>
      </c>
      <c r="AH440" s="529">
        <f>AC440/Q440*100</f>
        <v>100</v>
      </c>
      <c r="AI440" s="535"/>
      <c r="AJ440" s="561">
        <v>5000</v>
      </c>
      <c r="AK440" s="507"/>
      <c r="AL440" s="507">
        <f t="shared" si="378"/>
        <v>100</v>
      </c>
      <c r="AM440" s="507">
        <f t="shared" si="378"/>
        <v>100</v>
      </c>
      <c r="AN440" s="556"/>
      <c r="AO440" s="510"/>
      <c r="AP440" s="510" t="e">
        <f t="shared" ca="1" si="386"/>
        <v>#NAME?</v>
      </c>
      <c r="AQ440" s="532">
        <v>8757.44</v>
      </c>
      <c r="AR440" s="533"/>
      <c r="AS440" s="533">
        <f t="shared" si="390"/>
        <v>100</v>
      </c>
      <c r="AT440" s="533"/>
      <c r="AU440" s="533">
        <f>AQ440/W440*100</f>
        <v>175.14880000000002</v>
      </c>
      <c r="AV440" s="533"/>
      <c r="AW440" s="612">
        <f>AQ440</f>
        <v>8757.44</v>
      </c>
      <c r="AX440" s="612"/>
      <c r="AY440" s="612"/>
      <c r="AZ440" s="612"/>
      <c r="BA440" s="612"/>
      <c r="BB440" s="612"/>
      <c r="BC440" s="612"/>
      <c r="BD440" s="612"/>
      <c r="BE440" s="612"/>
      <c r="BF440" s="612"/>
      <c r="BG440" s="612"/>
      <c r="BH440" s="612">
        <f t="shared" si="389"/>
        <v>8757.44</v>
      </c>
      <c r="BI440" s="612">
        <f t="shared" si="379"/>
        <v>0</v>
      </c>
      <c r="BJ440" s="201"/>
    </row>
    <row r="441" spans="1:62" ht="12" customHeight="1">
      <c r="A441" s="52"/>
      <c r="B441" s="52"/>
      <c r="C441" s="52"/>
      <c r="D441" s="52"/>
      <c r="E441" s="52"/>
      <c r="F441" s="52"/>
      <c r="G441" s="52"/>
      <c r="H441" s="2" t="s">
        <v>390</v>
      </c>
      <c r="I441" s="260">
        <v>133</v>
      </c>
      <c r="J441" s="185">
        <v>3299</v>
      </c>
      <c r="K441" s="19" t="s">
        <v>391</v>
      </c>
      <c r="L441" s="129">
        <v>15967</v>
      </c>
      <c r="M441" s="129">
        <f>15967/7.5345</f>
        <v>2119.1850819563342</v>
      </c>
      <c r="N441" s="130">
        <v>38543</v>
      </c>
      <c r="O441" s="306">
        <f t="shared" si="398"/>
        <v>5115.5352047249316</v>
      </c>
      <c r="P441" s="131">
        <v>5500</v>
      </c>
      <c r="Q441" s="131">
        <v>5500</v>
      </c>
      <c r="R441" s="153">
        <v>6144</v>
      </c>
      <c r="S441" s="158" t="e">
        <f ca="1">__xlfn.XLOOKUP(H441,[1]Izvršenje_proračuna_po_pozicija!$B$2:$B$153,[1]Izvršenje_proračuna_po_pozicija!$E$2:$E$153,0)</f>
        <v>#NAME?</v>
      </c>
      <c r="T441" s="158"/>
      <c r="U441" s="158"/>
      <c r="V441" s="532">
        <v>8000</v>
      </c>
      <c r="W441" s="532">
        <v>8000</v>
      </c>
      <c r="X441" s="560">
        <v>8000</v>
      </c>
      <c r="Y441" s="561">
        <v>10000</v>
      </c>
      <c r="Z441" s="561"/>
      <c r="AA441" s="562" t="e">
        <f t="shared" ca="1" si="388"/>
        <v>#NAME?</v>
      </c>
      <c r="AB441" s="535"/>
      <c r="AC441" s="529">
        <v>6000</v>
      </c>
      <c r="AD441" s="529">
        <v>6000</v>
      </c>
      <c r="AE441" s="529">
        <f>O441/M441*100</f>
        <v>241.39162021669694</v>
      </c>
      <c r="AF441" s="529">
        <f>P441/O441*100</f>
        <v>107.5156318916535</v>
      </c>
      <c r="AG441" s="529">
        <f>Q441/P441*100</f>
        <v>100</v>
      </c>
      <c r="AH441" s="529">
        <f>AC441/Q441*100</f>
        <v>109.09090909090908</v>
      </c>
      <c r="AI441" s="535"/>
      <c r="AJ441" s="561">
        <v>10000</v>
      </c>
      <c r="AK441" s="507">
        <f t="shared" si="377"/>
        <v>130.20833333333331</v>
      </c>
      <c r="AL441" s="507">
        <f t="shared" si="378"/>
        <v>100</v>
      </c>
      <c r="AM441" s="507">
        <f t="shared" si="378"/>
        <v>125</v>
      </c>
      <c r="AN441" s="556"/>
      <c r="AO441" s="510"/>
      <c r="AP441" s="510" t="e">
        <f t="shared" ca="1" si="386"/>
        <v>#NAME?</v>
      </c>
      <c r="AQ441" s="532">
        <v>7750.4</v>
      </c>
      <c r="AR441" s="533">
        <f>V441/R441*100</f>
        <v>130.20833333333331</v>
      </c>
      <c r="AS441" s="533">
        <f t="shared" si="390"/>
        <v>100</v>
      </c>
      <c r="AT441" s="533">
        <f>W441/R441*100</f>
        <v>130.20833333333331</v>
      </c>
      <c r="AU441" s="533">
        <f>AQ441/W441*100</f>
        <v>96.88</v>
      </c>
      <c r="AV441" s="533">
        <f>AQ441/R441*100</f>
        <v>126.14583333333333</v>
      </c>
      <c r="AW441" s="612">
        <f>AQ441</f>
        <v>7750.4</v>
      </c>
      <c r="AX441" s="612"/>
      <c r="AY441" s="612"/>
      <c r="AZ441" s="612"/>
      <c r="BA441" s="612"/>
      <c r="BB441" s="612"/>
      <c r="BC441" s="612"/>
      <c r="BD441" s="612"/>
      <c r="BE441" s="612"/>
      <c r="BF441" s="612"/>
      <c r="BG441" s="612"/>
      <c r="BH441" s="612">
        <f t="shared" si="389"/>
        <v>7750.4</v>
      </c>
      <c r="BI441" s="612">
        <f t="shared" si="379"/>
        <v>0</v>
      </c>
      <c r="BJ441" s="201">
        <f>AQ448-BI441</f>
        <v>0</v>
      </c>
    </row>
    <row r="442" spans="1:62" ht="12" customHeight="1">
      <c r="A442" s="52"/>
      <c r="B442" s="52"/>
      <c r="C442" s="52"/>
      <c r="D442" s="52"/>
      <c r="E442" s="52"/>
      <c r="F442" s="52"/>
      <c r="G442" s="52"/>
      <c r="H442" s="2" t="s">
        <v>392</v>
      </c>
      <c r="I442" s="260">
        <v>133</v>
      </c>
      <c r="J442" s="185">
        <v>3299</v>
      </c>
      <c r="K442" s="19" t="s">
        <v>393</v>
      </c>
      <c r="L442" s="129">
        <v>0</v>
      </c>
      <c r="M442" s="129">
        <v>0</v>
      </c>
      <c r="N442" s="130">
        <v>0</v>
      </c>
      <c r="O442" s="306">
        <f t="shared" si="398"/>
        <v>0</v>
      </c>
      <c r="P442" s="131">
        <v>0</v>
      </c>
      <c r="Q442" s="131">
        <v>0</v>
      </c>
      <c r="R442" s="153">
        <v>0</v>
      </c>
      <c r="S442" s="158" t="e">
        <f ca="1">__xlfn.XLOOKUP(H442,[1]Izvršenje_proračuna_po_pozicija!$B$2:$B$153,[1]Izvršenje_proračuna_po_pozicija!$E$2:$E$153,0)</f>
        <v>#NAME?</v>
      </c>
      <c r="T442" s="158"/>
      <c r="U442" s="158"/>
      <c r="V442" s="532"/>
      <c r="W442" s="532"/>
      <c r="X442" s="560"/>
      <c r="Y442" s="561"/>
      <c r="Z442" s="561"/>
      <c r="AA442" s="562" t="e">
        <f t="shared" ca="1" si="388"/>
        <v>#NAME?</v>
      </c>
      <c r="AB442" s="535"/>
      <c r="AC442" s="529">
        <v>0</v>
      </c>
      <c r="AD442" s="529">
        <v>0</v>
      </c>
      <c r="AE442" s="529"/>
      <c r="AF442" s="529"/>
      <c r="AG442" s="529"/>
      <c r="AH442" s="529"/>
      <c r="AI442" s="535"/>
      <c r="AJ442" s="561"/>
      <c r="AK442" s="507"/>
      <c r="AL442" s="507"/>
      <c r="AM442" s="507"/>
      <c r="AN442" s="556"/>
      <c r="AO442" s="510"/>
      <c r="AP442" s="510" t="e">
        <f t="shared" ca="1" si="386"/>
        <v>#NAME?</v>
      </c>
      <c r="AQ442" s="532"/>
      <c r="AR442" s="533"/>
      <c r="AS442" s="533"/>
      <c r="AT442" s="533"/>
      <c r="AU442" s="533"/>
      <c r="AV442" s="533"/>
      <c r="AW442" s="612"/>
      <c r="AX442" s="612"/>
      <c r="AY442" s="612"/>
      <c r="AZ442" s="612"/>
      <c r="BA442" s="612"/>
      <c r="BB442" s="612"/>
      <c r="BC442" s="612"/>
      <c r="BD442" s="612"/>
      <c r="BE442" s="612"/>
      <c r="BF442" s="612"/>
      <c r="BG442" s="612"/>
      <c r="BH442" s="612">
        <f t="shared" si="389"/>
        <v>0</v>
      </c>
      <c r="BI442" s="612">
        <f t="shared" si="379"/>
        <v>0</v>
      </c>
      <c r="BJ442" s="201">
        <f>AQ449-BI442</f>
        <v>0</v>
      </c>
    </row>
    <row r="443" spans="1:62" ht="12" customHeight="1">
      <c r="A443" s="41"/>
      <c r="B443" s="41"/>
      <c r="C443" s="41"/>
      <c r="D443" s="41"/>
      <c r="E443" s="41"/>
      <c r="F443" s="41"/>
      <c r="G443" s="41"/>
      <c r="H443" s="235"/>
      <c r="I443" s="15"/>
      <c r="J443" s="3"/>
      <c r="K443" s="83"/>
      <c r="L443" s="84">
        <v>1</v>
      </c>
      <c r="M443" s="84">
        <v>2</v>
      </c>
      <c r="N443" s="85">
        <v>3</v>
      </c>
      <c r="O443" s="85">
        <v>4</v>
      </c>
      <c r="P443" s="86">
        <v>5</v>
      </c>
      <c r="Q443" s="86">
        <v>6</v>
      </c>
      <c r="R443" s="154"/>
      <c r="S443" s="158" t="e">
        <f ca="1">__xlfn.XLOOKUP(H443,[1]Izvršenje_proračuna_po_pozicija!$B$2:$B$153,[1]Izvršenje_proračuna_po_pozicija!$E$2:$E$153,0)</f>
        <v>#NAME?</v>
      </c>
      <c r="T443" s="158"/>
      <c r="U443" s="158"/>
      <c r="V443" s="532"/>
      <c r="W443" s="532"/>
      <c r="X443" s="568"/>
      <c r="Y443" s="569"/>
      <c r="Z443" s="569"/>
      <c r="AA443" s="562" t="e">
        <f t="shared" ca="1" si="388"/>
        <v>#NAME?</v>
      </c>
      <c r="AB443" s="537"/>
      <c r="AC443" s="538">
        <v>7</v>
      </c>
      <c r="AD443" s="538">
        <v>8</v>
      </c>
      <c r="AE443" s="538">
        <v>9</v>
      </c>
      <c r="AF443" s="538">
        <v>10</v>
      </c>
      <c r="AG443" s="538">
        <v>11</v>
      </c>
      <c r="AH443" s="538">
        <v>12</v>
      </c>
      <c r="AI443" s="537"/>
      <c r="AJ443" s="569"/>
      <c r="AK443" s="507"/>
      <c r="AL443" s="507"/>
      <c r="AM443" s="507"/>
      <c r="AN443" s="557"/>
      <c r="AO443" s="510"/>
      <c r="AP443" s="510" t="e">
        <f t="shared" ca="1" si="386"/>
        <v>#NAME?</v>
      </c>
      <c r="AQ443" s="532"/>
      <c r="AR443" s="533"/>
      <c r="AS443" s="533"/>
      <c r="AT443" s="533"/>
      <c r="AU443" s="533"/>
      <c r="AV443" s="533"/>
      <c r="AW443" s="612"/>
      <c r="AX443" s="612"/>
      <c r="AY443" s="612"/>
      <c r="AZ443" s="612"/>
      <c r="BA443" s="612"/>
      <c r="BB443" s="612"/>
      <c r="BC443" s="612"/>
      <c r="BD443" s="612"/>
      <c r="BE443" s="612"/>
      <c r="BF443" s="612"/>
      <c r="BG443" s="612"/>
      <c r="BH443" s="612">
        <f t="shared" si="389"/>
        <v>0</v>
      </c>
      <c r="BI443" s="612">
        <f t="shared" si="379"/>
        <v>0</v>
      </c>
      <c r="BJ443" s="201">
        <f>AQ450-BI443</f>
        <v>0</v>
      </c>
    </row>
    <row r="444" spans="1:62" ht="12" customHeight="1">
      <c r="A444" s="52"/>
      <c r="B444" s="52"/>
      <c r="C444" s="52"/>
      <c r="D444" s="52"/>
      <c r="E444" s="52"/>
      <c r="F444" s="52"/>
      <c r="G444" s="52"/>
      <c r="H444" s="2" t="s">
        <v>394</v>
      </c>
      <c r="I444" s="260">
        <v>133</v>
      </c>
      <c r="J444" s="185">
        <v>3299</v>
      </c>
      <c r="K444" s="19" t="s">
        <v>395</v>
      </c>
      <c r="L444" s="129">
        <v>0</v>
      </c>
      <c r="M444" s="129">
        <v>0</v>
      </c>
      <c r="N444" s="130">
        <v>0</v>
      </c>
      <c r="O444" s="130">
        <v>0</v>
      </c>
      <c r="P444" s="131">
        <v>13300</v>
      </c>
      <c r="Q444" s="156">
        <v>0</v>
      </c>
      <c r="R444" s="153">
        <v>0</v>
      </c>
      <c r="S444" s="158" t="e">
        <f ca="1">__xlfn.XLOOKUP(H444,[1]Izvršenje_proračuna_po_pozicija!$B$2:$B$153,[1]Izvršenje_proračuna_po_pozicija!$E$2:$E$153,0)</f>
        <v>#NAME?</v>
      </c>
      <c r="T444" s="158"/>
      <c r="U444" s="158"/>
      <c r="V444" s="532">
        <v>0</v>
      </c>
      <c r="W444" s="532">
        <v>0</v>
      </c>
      <c r="X444" s="560">
        <v>15000</v>
      </c>
      <c r="Y444" s="561">
        <v>10000</v>
      </c>
      <c r="Z444" s="561"/>
      <c r="AA444" s="562" t="e">
        <f t="shared" ca="1" si="388"/>
        <v>#NAME?</v>
      </c>
      <c r="AB444" s="535"/>
      <c r="AC444" s="529">
        <v>13000</v>
      </c>
      <c r="AD444" s="529">
        <v>13000</v>
      </c>
      <c r="AE444" s="529"/>
      <c r="AF444" s="529"/>
      <c r="AG444" s="529"/>
      <c r="AH444" s="529"/>
      <c r="AI444" s="535"/>
      <c r="AJ444" s="561">
        <v>10000</v>
      </c>
      <c r="AK444" s="507"/>
      <c r="AL444" s="507"/>
      <c r="AM444" s="507">
        <f t="shared" si="378"/>
        <v>66.666666666666657</v>
      </c>
      <c r="AN444" s="556"/>
      <c r="AO444" s="510"/>
      <c r="AP444" s="510" t="e">
        <f t="shared" ca="1" si="386"/>
        <v>#NAME?</v>
      </c>
      <c r="AQ444" s="532"/>
      <c r="AR444" s="533"/>
      <c r="AS444" s="533"/>
      <c r="AT444" s="533"/>
      <c r="AU444" s="533"/>
      <c r="AV444" s="533"/>
      <c r="AW444" s="612"/>
      <c r="AX444" s="612"/>
      <c r="AY444" s="612"/>
      <c r="AZ444" s="612"/>
      <c r="BA444" s="612"/>
      <c r="BB444" s="612"/>
      <c r="BC444" s="612"/>
      <c r="BD444" s="612"/>
      <c r="BE444" s="612"/>
      <c r="BF444" s="612"/>
      <c r="BG444" s="612"/>
      <c r="BH444" s="612">
        <f t="shared" si="389"/>
        <v>0</v>
      </c>
      <c r="BI444" s="612">
        <f t="shared" ref="BI444:BI475" si="399">SUM(AW451:BG451)</f>
        <v>0</v>
      </c>
      <c r="BJ444" s="201">
        <f>AQ451-BI444</f>
        <v>0</v>
      </c>
    </row>
    <row r="445" spans="1:62" ht="12" customHeight="1">
      <c r="A445" s="52"/>
      <c r="B445" s="52"/>
      <c r="C445" s="52"/>
      <c r="D445" s="52"/>
      <c r="E445" s="52"/>
      <c r="F445" s="52"/>
      <c r="G445" s="52"/>
      <c r="H445" s="2">
        <v>26</v>
      </c>
      <c r="I445" s="260">
        <v>133</v>
      </c>
      <c r="J445" s="185">
        <v>3299</v>
      </c>
      <c r="K445" s="19" t="s">
        <v>396</v>
      </c>
      <c r="L445" s="156">
        <v>210762</v>
      </c>
      <c r="M445" s="156">
        <f>210762/7.5345</f>
        <v>27972.924547083414</v>
      </c>
      <c r="N445" s="156">
        <v>250378</v>
      </c>
      <c r="O445" s="156">
        <f>N445/7.5345</f>
        <v>33230.87132523724</v>
      </c>
      <c r="P445" s="156">
        <v>34000</v>
      </c>
      <c r="Q445" s="156">
        <v>55000</v>
      </c>
      <c r="R445" s="153">
        <v>53159</v>
      </c>
      <c r="S445" s="313">
        <v>89869</v>
      </c>
      <c r="T445" s="313"/>
      <c r="U445" s="313"/>
      <c r="V445" s="532">
        <v>80000</v>
      </c>
      <c r="W445" s="532">
        <v>80000</v>
      </c>
      <c r="X445" s="560">
        <v>120000</v>
      </c>
      <c r="Y445" s="561">
        <v>130000</v>
      </c>
      <c r="Z445" s="561"/>
      <c r="AA445" s="562" t="e">
        <f t="shared" ca="1" si="388"/>
        <v>#NAME?</v>
      </c>
      <c r="AB445" s="535"/>
      <c r="AC445" s="529">
        <v>35000</v>
      </c>
      <c r="AD445" s="529">
        <v>35000</v>
      </c>
      <c r="AE445" s="529">
        <f>O445/M445*100</f>
        <v>118.79655725415397</v>
      </c>
      <c r="AF445" s="529">
        <f>P445/O445*100</f>
        <v>102.31450047528139</v>
      </c>
      <c r="AG445" s="529">
        <f>Q445/P445*100</f>
        <v>161.76470588235296</v>
      </c>
      <c r="AH445" s="529">
        <f>AC445/Q445*100</f>
        <v>63.636363636363633</v>
      </c>
      <c r="AI445" s="535"/>
      <c r="AJ445" s="561">
        <v>130000</v>
      </c>
      <c r="AK445" s="507">
        <f t="shared" si="377"/>
        <v>150.49192046502003</v>
      </c>
      <c r="AL445" s="507">
        <f t="shared" si="378"/>
        <v>150</v>
      </c>
      <c r="AM445" s="507">
        <f t="shared" si="378"/>
        <v>108.33333333333333</v>
      </c>
      <c r="AN445" s="589"/>
      <c r="AO445" s="510"/>
      <c r="AP445" s="510" t="e">
        <f t="shared" ca="1" si="386"/>
        <v>#NAME?</v>
      </c>
      <c r="AQ445" s="532">
        <v>82328.88</v>
      </c>
      <c r="AR445" s="533">
        <f>V445/R445*100</f>
        <v>150.49192046502003</v>
      </c>
      <c r="AS445" s="533">
        <f t="shared" si="390"/>
        <v>100</v>
      </c>
      <c r="AT445" s="533">
        <f>W445/R445*100</f>
        <v>150.49192046502003</v>
      </c>
      <c r="AU445" s="533">
        <f>AQ445/W445*100</f>
        <v>102.9111</v>
      </c>
      <c r="AV445" s="533">
        <f>AQ445/R445*100</f>
        <v>154.87289076167724</v>
      </c>
      <c r="AW445" s="612">
        <v>46118.84</v>
      </c>
      <c r="AX445" s="612"/>
      <c r="AY445" s="612"/>
      <c r="AZ445" s="612"/>
      <c r="BA445" s="612"/>
      <c r="BB445" s="612"/>
      <c r="BC445" s="612"/>
      <c r="BD445" s="612"/>
      <c r="BE445" s="612">
        <v>34296.04</v>
      </c>
      <c r="BF445" s="612">
        <v>1914</v>
      </c>
      <c r="BG445" s="612"/>
      <c r="BH445" s="612">
        <f t="shared" si="389"/>
        <v>82328.88</v>
      </c>
      <c r="BI445" s="612">
        <f t="shared" si="399"/>
        <v>0</v>
      </c>
      <c r="BJ445" s="201"/>
    </row>
    <row r="446" spans="1:62" ht="12" customHeight="1">
      <c r="A446" s="41"/>
      <c r="B446" s="41"/>
      <c r="C446" s="41"/>
      <c r="D446" s="41"/>
      <c r="E446" s="41"/>
      <c r="F446" s="41"/>
      <c r="G446" s="41"/>
      <c r="H446" s="235"/>
      <c r="I446" s="15"/>
      <c r="J446" s="3"/>
      <c r="K446" s="83"/>
      <c r="L446" s="84"/>
      <c r="M446" s="84"/>
      <c r="N446" s="85"/>
      <c r="O446" s="85"/>
      <c r="P446" s="86"/>
      <c r="Q446" s="86"/>
      <c r="R446" s="154"/>
      <c r="S446" s="158" t="e">
        <f ca="1">__xlfn.XLOOKUP(H446,[1]Izvršenje_proračuna_po_pozicija!$B$2:$B$153,[1]Izvršenje_proračuna_po_pozicija!$E$2:$E$153,0)</f>
        <v>#NAME?</v>
      </c>
      <c r="T446" s="158"/>
      <c r="U446" s="158"/>
      <c r="V446" s="532"/>
      <c r="W446" s="532"/>
      <c r="X446" s="568"/>
      <c r="Y446" s="569"/>
      <c r="Z446" s="569"/>
      <c r="AA446" s="562" t="e">
        <f t="shared" ca="1" si="388"/>
        <v>#NAME?</v>
      </c>
      <c r="AB446" s="537"/>
      <c r="AC446" s="538"/>
      <c r="AD446" s="538"/>
      <c r="AE446" s="529"/>
      <c r="AF446" s="529"/>
      <c r="AG446" s="529"/>
      <c r="AH446" s="529"/>
      <c r="AI446" s="537"/>
      <c r="AJ446" s="569"/>
      <c r="AK446" s="507"/>
      <c r="AL446" s="507"/>
      <c r="AM446" s="507"/>
      <c r="AN446" s="557"/>
      <c r="AO446" s="510"/>
      <c r="AP446" s="510" t="e">
        <f t="shared" ca="1" si="386"/>
        <v>#NAME?</v>
      </c>
      <c r="AQ446" s="532"/>
      <c r="AR446" s="533"/>
      <c r="AS446" s="533"/>
      <c r="AT446" s="533"/>
      <c r="AU446" s="533"/>
      <c r="AV446" s="533"/>
      <c r="AW446" s="612"/>
      <c r="AX446" s="612"/>
      <c r="AY446" s="612"/>
      <c r="AZ446" s="612"/>
      <c r="BA446" s="612"/>
      <c r="BB446" s="612"/>
      <c r="BC446" s="612"/>
      <c r="BD446" s="612"/>
      <c r="BE446" s="612"/>
      <c r="BF446" s="612"/>
      <c r="BG446" s="612"/>
      <c r="BH446" s="612">
        <f t="shared" si="389"/>
        <v>0</v>
      </c>
      <c r="BI446" s="612">
        <f t="shared" si="399"/>
        <v>1500</v>
      </c>
      <c r="BJ446" s="201">
        <f>AQ453-BI446</f>
        <v>0</v>
      </c>
    </row>
    <row r="447" spans="1:62" ht="12" customHeight="1">
      <c r="A447" s="227"/>
      <c r="B447" s="227"/>
      <c r="C447" s="227"/>
      <c r="D447" s="227"/>
      <c r="E447" s="227"/>
      <c r="F447" s="227"/>
      <c r="G447" s="227"/>
      <c r="H447" s="234"/>
      <c r="I447" s="297"/>
      <c r="J447" s="228">
        <v>38</v>
      </c>
      <c r="K447" s="258" t="s">
        <v>281</v>
      </c>
      <c r="L447" s="111">
        <f t="shared" ref="L447:S447" si="400">L449+L452+L455</f>
        <v>87280</v>
      </c>
      <c r="M447" s="111">
        <f t="shared" si="400"/>
        <v>11584.046718428561</v>
      </c>
      <c r="N447" s="112">
        <f t="shared" si="400"/>
        <v>7673</v>
      </c>
      <c r="O447" s="112">
        <f t="shared" si="400"/>
        <v>1018.3821089654257</v>
      </c>
      <c r="P447" s="113">
        <f t="shared" si="400"/>
        <v>19740</v>
      </c>
      <c r="Q447" s="113">
        <f t="shared" si="400"/>
        <v>20740</v>
      </c>
      <c r="R447" s="87">
        <f t="shared" si="400"/>
        <v>200</v>
      </c>
      <c r="S447" s="89" t="e">
        <f t="shared" ca="1" si="400"/>
        <v>#NAME?</v>
      </c>
      <c r="T447" s="89"/>
      <c r="U447" s="89"/>
      <c r="V447" s="532">
        <f>V449+V452+V455</f>
        <v>9390</v>
      </c>
      <c r="W447" s="532">
        <f>W449+W452+W455</f>
        <v>9390</v>
      </c>
      <c r="X447" s="506">
        <f>X449+X452+X455</f>
        <v>12660</v>
      </c>
      <c r="Y447" s="507">
        <f>Y449+Y452+Y455</f>
        <v>8748</v>
      </c>
      <c r="Z447" s="507">
        <f>Z449+Z452+Z455</f>
        <v>0</v>
      </c>
      <c r="AA447" s="562" t="e">
        <f t="shared" ca="1" si="388"/>
        <v>#NAME?</v>
      </c>
      <c r="AB447" s="507"/>
      <c r="AC447" s="508">
        <f>AC449+AC452+AC455</f>
        <v>21450</v>
      </c>
      <c r="AD447" s="508">
        <f>AD449+AD452+AD455</f>
        <v>21450</v>
      </c>
      <c r="AE447" s="529">
        <f>O447/M447*100</f>
        <v>8.7912465627864353</v>
      </c>
      <c r="AF447" s="529"/>
      <c r="AG447" s="529"/>
      <c r="AH447" s="529"/>
      <c r="AI447" s="507"/>
      <c r="AJ447" s="507">
        <v>8748</v>
      </c>
      <c r="AK447" s="507">
        <f t="shared" si="377"/>
        <v>4695</v>
      </c>
      <c r="AL447" s="507">
        <f t="shared" si="378"/>
        <v>134.82428115015975</v>
      </c>
      <c r="AM447" s="507">
        <f t="shared" si="378"/>
        <v>69.09952606635072</v>
      </c>
      <c r="AN447" s="509"/>
      <c r="AO447" s="510"/>
      <c r="AP447" s="510" t="e">
        <f t="shared" ca="1" si="386"/>
        <v>#NAME?</v>
      </c>
      <c r="AQ447" s="532">
        <f>AQ449+AQ452+AQ455</f>
        <v>1500</v>
      </c>
      <c r="AR447" s="533">
        <f>V447/R447*100</f>
        <v>4695</v>
      </c>
      <c r="AS447" s="533">
        <f t="shared" si="390"/>
        <v>100</v>
      </c>
      <c r="AT447" s="533">
        <f>W447/R447*100</f>
        <v>4695</v>
      </c>
      <c r="AU447" s="533">
        <f>AQ447/W447*100</f>
        <v>15.974440894568689</v>
      </c>
      <c r="AV447" s="533">
        <f>AQ447/R447*100</f>
        <v>750</v>
      </c>
      <c r="AW447" s="612"/>
      <c r="AX447" s="612"/>
      <c r="AY447" s="612"/>
      <c r="AZ447" s="612"/>
      <c r="BA447" s="612"/>
      <c r="BB447" s="612"/>
      <c r="BC447" s="612"/>
      <c r="BD447" s="612"/>
      <c r="BE447" s="612"/>
      <c r="BF447" s="612"/>
      <c r="BG447" s="612"/>
      <c r="BH447" s="612">
        <f t="shared" si="389"/>
        <v>0</v>
      </c>
      <c r="BI447" s="612">
        <f t="shared" si="399"/>
        <v>0</v>
      </c>
      <c r="BJ447" s="201">
        <f>AQ454-BI447</f>
        <v>0</v>
      </c>
    </row>
    <row r="448" spans="1:62" ht="12" customHeight="1">
      <c r="A448" s="41"/>
      <c r="B448" s="41"/>
      <c r="C448" s="41"/>
      <c r="D448" s="41"/>
      <c r="E448" s="41"/>
      <c r="F448" s="41"/>
      <c r="G448" s="41"/>
      <c r="H448" s="235"/>
      <c r="I448" s="15"/>
      <c r="J448" s="3"/>
      <c r="K448" s="83"/>
      <c r="L448" s="84"/>
      <c r="M448" s="84"/>
      <c r="N448" s="85"/>
      <c r="O448" s="85"/>
      <c r="P448" s="86"/>
      <c r="Q448" s="86"/>
      <c r="R448" s="154"/>
      <c r="S448" s="158" t="e">
        <f ca="1">__xlfn.XLOOKUP(H448,[1]Izvršenje_proračuna_po_pozicija!$B$2:$B$153,[1]Izvršenje_proračuna_po_pozicija!$E$2:$E$153,0)</f>
        <v>#NAME?</v>
      </c>
      <c r="T448" s="158"/>
      <c r="U448" s="158"/>
      <c r="V448" s="532"/>
      <c r="W448" s="532"/>
      <c r="X448" s="568"/>
      <c r="Y448" s="569"/>
      <c r="Z448" s="569"/>
      <c r="AA448" s="562" t="e">
        <f t="shared" ca="1" si="388"/>
        <v>#NAME?</v>
      </c>
      <c r="AB448" s="537"/>
      <c r="AC448" s="538"/>
      <c r="AD448" s="538"/>
      <c r="AE448" s="529"/>
      <c r="AF448" s="529"/>
      <c r="AG448" s="529"/>
      <c r="AH448" s="529"/>
      <c r="AI448" s="537"/>
      <c r="AJ448" s="569"/>
      <c r="AK448" s="507"/>
      <c r="AL448" s="507"/>
      <c r="AM448" s="507"/>
      <c r="AN448" s="557"/>
      <c r="AO448" s="510"/>
      <c r="AP448" s="510" t="e">
        <f t="shared" ca="1" si="386"/>
        <v>#NAME?</v>
      </c>
      <c r="AQ448" s="532"/>
      <c r="AR448" s="533"/>
      <c r="AS448" s="533"/>
      <c r="AT448" s="533"/>
      <c r="AU448" s="533"/>
      <c r="AV448" s="533"/>
      <c r="AW448" s="612"/>
      <c r="AX448" s="612"/>
      <c r="AY448" s="612"/>
      <c r="AZ448" s="612"/>
      <c r="BA448" s="612"/>
      <c r="BB448" s="612"/>
      <c r="BC448" s="612"/>
      <c r="BD448" s="612"/>
      <c r="BE448" s="612"/>
      <c r="BF448" s="612"/>
      <c r="BG448" s="612"/>
      <c r="BH448" s="612">
        <f t="shared" si="389"/>
        <v>0</v>
      </c>
      <c r="BI448" s="612">
        <f t="shared" si="399"/>
        <v>0</v>
      </c>
      <c r="BJ448" s="201">
        <f>AQ455-BI448</f>
        <v>0</v>
      </c>
    </row>
    <row r="449" spans="1:62" ht="12" customHeight="1">
      <c r="A449" s="61"/>
      <c r="B449" s="202"/>
      <c r="C449" s="202"/>
      <c r="D449" s="202"/>
      <c r="E449" s="202"/>
      <c r="F449" s="202"/>
      <c r="G449" s="202"/>
      <c r="H449" s="288"/>
      <c r="I449" s="308"/>
      <c r="J449" s="229">
        <v>381</v>
      </c>
      <c r="K449" s="20" t="s">
        <v>397</v>
      </c>
      <c r="L449" s="111">
        <f t="shared" ref="L449:Z449" si="401">L450</f>
        <v>0</v>
      </c>
      <c r="M449" s="111">
        <f t="shared" si="401"/>
        <v>0</v>
      </c>
      <c r="N449" s="112">
        <f t="shared" si="401"/>
        <v>0</v>
      </c>
      <c r="O449" s="112">
        <f t="shared" si="401"/>
        <v>0</v>
      </c>
      <c r="P449" s="113">
        <f t="shared" si="401"/>
        <v>1700</v>
      </c>
      <c r="Q449" s="113">
        <f t="shared" si="401"/>
        <v>1700</v>
      </c>
      <c r="R449" s="87">
        <f t="shared" si="401"/>
        <v>200</v>
      </c>
      <c r="S449" s="89" t="e">
        <f t="shared" ca="1" si="401"/>
        <v>#NAME?</v>
      </c>
      <c r="T449" s="89"/>
      <c r="U449" s="89"/>
      <c r="V449" s="532">
        <f>V450</f>
        <v>0</v>
      </c>
      <c r="W449" s="532">
        <f t="shared" si="401"/>
        <v>0</v>
      </c>
      <c r="X449" s="506">
        <f t="shared" si="401"/>
        <v>2000</v>
      </c>
      <c r="Y449" s="507">
        <f t="shared" si="401"/>
        <v>2000</v>
      </c>
      <c r="Z449" s="507">
        <f t="shared" si="401"/>
        <v>0</v>
      </c>
      <c r="AA449" s="562" t="e">
        <f t="shared" ca="1" si="388"/>
        <v>#NAME?</v>
      </c>
      <c r="AB449" s="507"/>
      <c r="AC449" s="508">
        <f>AC450</f>
        <v>3000</v>
      </c>
      <c r="AD449" s="508">
        <f>AD450</f>
        <v>3000</v>
      </c>
      <c r="AE449" s="529"/>
      <c r="AF449" s="529"/>
      <c r="AG449" s="529"/>
      <c r="AH449" s="529"/>
      <c r="AI449" s="507"/>
      <c r="AJ449" s="507">
        <v>2000</v>
      </c>
      <c r="AK449" s="507">
        <f t="shared" si="377"/>
        <v>0</v>
      </c>
      <c r="AL449" s="507"/>
      <c r="AM449" s="507">
        <f t="shared" si="378"/>
        <v>100</v>
      </c>
      <c r="AN449" s="509"/>
      <c r="AO449" s="510"/>
      <c r="AP449" s="510" t="e">
        <f t="shared" ca="1" si="386"/>
        <v>#NAME?</v>
      </c>
      <c r="AQ449" s="532">
        <f>AQ450</f>
        <v>0</v>
      </c>
      <c r="AR449" s="533">
        <f>V449/R449*100</f>
        <v>0</v>
      </c>
      <c r="AS449" s="533"/>
      <c r="AT449" s="533">
        <f>W449/R449*100</f>
        <v>0</v>
      </c>
      <c r="AU449" s="533"/>
      <c r="AV449" s="533">
        <f>AQ449/R449*100</f>
        <v>0</v>
      </c>
      <c r="AW449" s="612"/>
      <c r="AX449" s="612"/>
      <c r="AY449" s="612"/>
      <c r="AZ449" s="612"/>
      <c r="BA449" s="612"/>
      <c r="BB449" s="612"/>
      <c r="BC449" s="612"/>
      <c r="BD449" s="612"/>
      <c r="BE449" s="612"/>
      <c r="BF449" s="612"/>
      <c r="BG449" s="612"/>
      <c r="BH449" s="612">
        <f t="shared" si="389"/>
        <v>0</v>
      </c>
      <c r="BI449" s="612">
        <f t="shared" si="399"/>
        <v>0</v>
      </c>
      <c r="BJ449" s="201">
        <f>AQ456-BI449</f>
        <v>0</v>
      </c>
    </row>
    <row r="450" spans="1:62" ht="12" customHeight="1">
      <c r="A450" s="52"/>
      <c r="B450" s="52"/>
      <c r="C450" s="52"/>
      <c r="D450" s="52"/>
      <c r="E450" s="52"/>
      <c r="F450" s="52"/>
      <c r="G450" s="52"/>
      <c r="H450" s="2" t="s">
        <v>398</v>
      </c>
      <c r="I450" s="260">
        <v>133</v>
      </c>
      <c r="J450" s="185">
        <v>3811</v>
      </c>
      <c r="K450" s="19" t="s">
        <v>399</v>
      </c>
      <c r="L450" s="129">
        <v>0</v>
      </c>
      <c r="M450" s="129">
        <v>0</v>
      </c>
      <c r="N450" s="130">
        <v>0</v>
      </c>
      <c r="O450" s="130">
        <v>0</v>
      </c>
      <c r="P450" s="131">
        <v>1700</v>
      </c>
      <c r="Q450" s="131">
        <v>1700</v>
      </c>
      <c r="R450" s="153">
        <v>200</v>
      </c>
      <c r="S450" s="158" t="e">
        <f ca="1">__xlfn.XLOOKUP(H450,[1]Izvršenje_proračuna_po_pozicija!$B$2:$B$153,[1]Izvršenje_proračuna_po_pozicija!$E$2:$E$153,0)</f>
        <v>#NAME?</v>
      </c>
      <c r="T450" s="158"/>
      <c r="U450" s="158"/>
      <c r="V450" s="532">
        <v>0</v>
      </c>
      <c r="W450" s="532">
        <v>0</v>
      </c>
      <c r="X450" s="560">
        <v>2000</v>
      </c>
      <c r="Y450" s="561">
        <v>2000</v>
      </c>
      <c r="Z450" s="561"/>
      <c r="AA450" s="562" t="e">
        <f t="shared" ca="1" si="388"/>
        <v>#NAME?</v>
      </c>
      <c r="AB450" s="535"/>
      <c r="AC450" s="529">
        <v>3000</v>
      </c>
      <c r="AD450" s="529">
        <v>3000</v>
      </c>
      <c r="AE450" s="529"/>
      <c r="AF450" s="529"/>
      <c r="AG450" s="529"/>
      <c r="AH450" s="529"/>
      <c r="AI450" s="535"/>
      <c r="AJ450" s="561">
        <v>2000</v>
      </c>
      <c r="AK450" s="507">
        <f t="shared" si="377"/>
        <v>0</v>
      </c>
      <c r="AL450" s="507"/>
      <c r="AM450" s="507">
        <f t="shared" si="378"/>
        <v>100</v>
      </c>
      <c r="AN450" s="556"/>
      <c r="AO450" s="510"/>
      <c r="AP450" s="510" t="e">
        <f t="shared" ca="1" si="386"/>
        <v>#NAME?</v>
      </c>
      <c r="AQ450" s="532"/>
      <c r="AR450" s="533">
        <f>V450/R450*100</f>
        <v>0</v>
      </c>
      <c r="AS450" s="533"/>
      <c r="AT450" s="533">
        <f>W450/R450*100</f>
        <v>0</v>
      </c>
      <c r="AU450" s="533"/>
      <c r="AV450" s="533">
        <f>AQ450/R450*100</f>
        <v>0</v>
      </c>
      <c r="AW450" s="612"/>
      <c r="AX450" s="612"/>
      <c r="AY450" s="612"/>
      <c r="AZ450" s="612"/>
      <c r="BA450" s="612"/>
      <c r="BB450" s="612"/>
      <c r="BC450" s="612"/>
      <c r="BD450" s="612"/>
      <c r="BE450" s="612"/>
      <c r="BF450" s="612"/>
      <c r="BG450" s="612"/>
      <c r="BH450" s="612">
        <f t="shared" si="389"/>
        <v>0</v>
      </c>
      <c r="BI450" s="612">
        <f t="shared" si="399"/>
        <v>0</v>
      </c>
      <c r="BJ450" s="201">
        <f>AQ457-BI450</f>
        <v>0</v>
      </c>
    </row>
    <row r="451" spans="1:62" ht="12" customHeight="1">
      <c r="A451" s="41"/>
      <c r="B451" s="41"/>
      <c r="C451" s="41"/>
      <c r="D451" s="41"/>
      <c r="E451" s="41"/>
      <c r="F451" s="41"/>
      <c r="G451" s="41"/>
      <c r="H451" s="235"/>
      <c r="I451" s="15"/>
      <c r="J451" s="3"/>
      <c r="K451" s="83"/>
      <c r="L451" s="84"/>
      <c r="M451" s="84"/>
      <c r="N451" s="85"/>
      <c r="O451" s="85"/>
      <c r="P451" s="86"/>
      <c r="Q451" s="86"/>
      <c r="R451" s="154"/>
      <c r="S451" s="158" t="e">
        <f ca="1">__xlfn.XLOOKUP(H451,[1]Izvršenje_proračuna_po_pozicija!$B$2:$B$153,[1]Izvršenje_proračuna_po_pozicija!$E$2:$E$153,0)</f>
        <v>#NAME?</v>
      </c>
      <c r="T451" s="158"/>
      <c r="U451" s="158"/>
      <c r="V451" s="532"/>
      <c r="W451" s="532"/>
      <c r="X451" s="568"/>
      <c r="Y451" s="569"/>
      <c r="Z451" s="569"/>
      <c r="AA451" s="562" t="e">
        <f t="shared" ca="1" si="388"/>
        <v>#NAME?</v>
      </c>
      <c r="AB451" s="537"/>
      <c r="AC451" s="538"/>
      <c r="AD451" s="538"/>
      <c r="AE451" s="529"/>
      <c r="AF451" s="529"/>
      <c r="AG451" s="529"/>
      <c r="AH451" s="529"/>
      <c r="AI451" s="537"/>
      <c r="AJ451" s="569"/>
      <c r="AK451" s="507"/>
      <c r="AL451" s="507"/>
      <c r="AM451" s="507"/>
      <c r="AN451" s="557"/>
      <c r="AO451" s="510"/>
      <c r="AP451" s="510" t="e">
        <f t="shared" ca="1" si="386"/>
        <v>#NAME?</v>
      </c>
      <c r="AQ451" s="532"/>
      <c r="AR451" s="533"/>
      <c r="AS451" s="533"/>
      <c r="AT451" s="533"/>
      <c r="AU451" s="533"/>
      <c r="AV451" s="533"/>
      <c r="AW451" s="612"/>
      <c r="AX451" s="612"/>
      <c r="AY451" s="612"/>
      <c r="AZ451" s="612"/>
      <c r="BA451" s="612"/>
      <c r="BB451" s="612"/>
      <c r="BC451" s="612"/>
      <c r="BD451" s="612"/>
      <c r="BE451" s="612"/>
      <c r="BF451" s="612"/>
      <c r="BG451" s="612"/>
      <c r="BH451" s="612">
        <f t="shared" si="389"/>
        <v>0</v>
      </c>
      <c r="BI451" s="612">
        <f t="shared" si="399"/>
        <v>0</v>
      </c>
      <c r="BJ451" s="201"/>
    </row>
    <row r="452" spans="1:62" ht="12" customHeight="1">
      <c r="A452" s="61"/>
      <c r="B452" s="202"/>
      <c r="C452" s="202"/>
      <c r="D452" s="202"/>
      <c r="E452" s="202"/>
      <c r="F452" s="202"/>
      <c r="G452" s="202"/>
      <c r="H452" s="288"/>
      <c r="I452" s="308"/>
      <c r="J452" s="229">
        <v>383</v>
      </c>
      <c r="K452" s="20" t="s">
        <v>400</v>
      </c>
      <c r="L452" s="111">
        <f t="shared" ref="L452:Z452" si="402">L453</f>
        <v>87280</v>
      </c>
      <c r="M452" s="111">
        <f t="shared" si="402"/>
        <v>11584.046718428561</v>
      </c>
      <c r="N452" s="112">
        <f t="shared" si="402"/>
        <v>7673</v>
      </c>
      <c r="O452" s="112">
        <f t="shared" si="402"/>
        <v>1018.3821089654257</v>
      </c>
      <c r="P452" s="113">
        <f t="shared" si="402"/>
        <v>4000</v>
      </c>
      <c r="Q452" s="113">
        <f t="shared" si="402"/>
        <v>12600</v>
      </c>
      <c r="R452" s="87">
        <f t="shared" si="402"/>
        <v>0</v>
      </c>
      <c r="S452" s="89" t="e">
        <f t="shared" ca="1" si="402"/>
        <v>#NAME?</v>
      </c>
      <c r="T452" s="89"/>
      <c r="U452" s="89"/>
      <c r="V452" s="532">
        <f>V453</f>
        <v>5000</v>
      </c>
      <c r="W452" s="532">
        <f t="shared" si="402"/>
        <v>5000</v>
      </c>
      <c r="X452" s="506">
        <f t="shared" si="402"/>
        <v>5000</v>
      </c>
      <c r="Y452" s="507">
        <f t="shared" si="402"/>
        <v>5000</v>
      </c>
      <c r="Z452" s="507">
        <f t="shared" si="402"/>
        <v>0</v>
      </c>
      <c r="AA452" s="562" t="e">
        <f t="shared" ca="1" si="388"/>
        <v>#NAME?</v>
      </c>
      <c r="AB452" s="507"/>
      <c r="AC452" s="508">
        <f>AC453</f>
        <v>4000</v>
      </c>
      <c r="AD452" s="508">
        <f>AD453</f>
        <v>4000</v>
      </c>
      <c r="AE452" s="529">
        <f>O452/M452*100</f>
        <v>8.7912465627864353</v>
      </c>
      <c r="AF452" s="529"/>
      <c r="AG452" s="529"/>
      <c r="AH452" s="529"/>
      <c r="AI452" s="507"/>
      <c r="AJ452" s="507">
        <v>5000</v>
      </c>
      <c r="AK452" s="507"/>
      <c r="AL452" s="507">
        <f t="shared" si="378"/>
        <v>100</v>
      </c>
      <c r="AM452" s="507">
        <f t="shared" si="378"/>
        <v>100</v>
      </c>
      <c r="AN452" s="509"/>
      <c r="AO452" s="510"/>
      <c r="AP452" s="510" t="e">
        <f t="shared" ca="1" si="386"/>
        <v>#NAME?</v>
      </c>
      <c r="AQ452" s="532">
        <f>AQ453</f>
        <v>1500</v>
      </c>
      <c r="AR452" s="533"/>
      <c r="AS452" s="533">
        <f t="shared" si="390"/>
        <v>100</v>
      </c>
      <c r="AT452" s="533"/>
      <c r="AU452" s="533">
        <f>AQ452/W452*100</f>
        <v>30</v>
      </c>
      <c r="AV452" s="533"/>
      <c r="AW452" s="612"/>
      <c r="AX452" s="612"/>
      <c r="AY452" s="612"/>
      <c r="AZ452" s="612"/>
      <c r="BA452" s="612"/>
      <c r="BB452" s="612"/>
      <c r="BC452" s="612"/>
      <c r="BD452" s="612"/>
      <c r="BE452" s="612"/>
      <c r="BF452" s="612"/>
      <c r="BG452" s="612"/>
      <c r="BH452" s="612">
        <f t="shared" si="389"/>
        <v>0</v>
      </c>
      <c r="BI452" s="612">
        <f t="shared" si="399"/>
        <v>0</v>
      </c>
      <c r="BJ452" s="201"/>
    </row>
    <row r="453" spans="1:62" ht="12" customHeight="1">
      <c r="A453" s="52"/>
      <c r="B453" s="52"/>
      <c r="C453" s="52"/>
      <c r="D453" s="52"/>
      <c r="E453" s="52"/>
      <c r="F453" s="52"/>
      <c r="G453" s="52"/>
      <c r="H453" s="2" t="s">
        <v>401</v>
      </c>
      <c r="I453" s="260">
        <v>133</v>
      </c>
      <c r="J453" s="185">
        <v>3831</v>
      </c>
      <c r="K453" s="19" t="s">
        <v>402</v>
      </c>
      <c r="L453" s="129">
        <v>87280</v>
      </c>
      <c r="M453" s="129">
        <f>87280/7.5345</f>
        <v>11584.046718428561</v>
      </c>
      <c r="N453" s="130">
        <v>7673</v>
      </c>
      <c r="O453" s="130">
        <f>N453/7.5345</f>
        <v>1018.3821089654257</v>
      </c>
      <c r="P453" s="131">
        <v>4000</v>
      </c>
      <c r="Q453" s="156">
        <v>12600</v>
      </c>
      <c r="R453" s="153">
        <v>0</v>
      </c>
      <c r="S453" s="158" t="e">
        <f ca="1">__xlfn.XLOOKUP(H453,[1]Izvršenje_proračuna_po_pozicija!$B$2:$B$153,[1]Izvršenje_proračuna_po_pozicija!$E$2:$E$153,0)</f>
        <v>#NAME?</v>
      </c>
      <c r="T453" s="158"/>
      <c r="U453" s="158"/>
      <c r="V453" s="532">
        <v>5000</v>
      </c>
      <c r="W453" s="532">
        <v>5000</v>
      </c>
      <c r="X453" s="560">
        <v>5000</v>
      </c>
      <c r="Y453" s="561">
        <v>5000</v>
      </c>
      <c r="Z453" s="561"/>
      <c r="AA453" s="562" t="e">
        <f t="shared" ca="1" si="388"/>
        <v>#NAME?</v>
      </c>
      <c r="AB453" s="535"/>
      <c r="AC453" s="529">
        <v>4000</v>
      </c>
      <c r="AD453" s="529">
        <v>4000</v>
      </c>
      <c r="AE453" s="529">
        <f>O453/M453*100</f>
        <v>8.7912465627864353</v>
      </c>
      <c r="AF453" s="529"/>
      <c r="AG453" s="529"/>
      <c r="AH453" s="529"/>
      <c r="AI453" s="535"/>
      <c r="AJ453" s="561">
        <v>5000</v>
      </c>
      <c r="AK453" s="507"/>
      <c r="AL453" s="507">
        <f t="shared" si="378"/>
        <v>100</v>
      </c>
      <c r="AM453" s="507">
        <f t="shared" si="378"/>
        <v>100</v>
      </c>
      <c r="AN453" s="556"/>
      <c r="AO453" s="510"/>
      <c r="AP453" s="510" t="e">
        <f t="shared" ca="1" si="386"/>
        <v>#NAME?</v>
      </c>
      <c r="AQ453" s="532">
        <v>1500</v>
      </c>
      <c r="AR453" s="533"/>
      <c r="AS453" s="533">
        <f t="shared" si="390"/>
        <v>100</v>
      </c>
      <c r="AT453" s="533"/>
      <c r="AU453" s="533">
        <f>AQ453/W453*100</f>
        <v>30</v>
      </c>
      <c r="AV453" s="533"/>
      <c r="AW453" s="612">
        <f>AQ453</f>
        <v>1500</v>
      </c>
      <c r="AX453" s="612"/>
      <c r="AY453" s="612"/>
      <c r="AZ453" s="612"/>
      <c r="BA453" s="612"/>
      <c r="BB453" s="612"/>
      <c r="BC453" s="612"/>
      <c r="BD453" s="612"/>
      <c r="BE453" s="612"/>
      <c r="BF453" s="612"/>
      <c r="BG453" s="612"/>
      <c r="BH453" s="612">
        <f t="shared" si="389"/>
        <v>1500</v>
      </c>
      <c r="BI453" s="612">
        <f t="shared" si="399"/>
        <v>0</v>
      </c>
      <c r="BJ453" s="201"/>
    </row>
    <row r="454" spans="1:62" ht="12" customHeight="1">
      <c r="A454" s="41"/>
      <c r="B454" s="41"/>
      <c r="C454" s="41"/>
      <c r="D454" s="41"/>
      <c r="E454" s="41"/>
      <c r="F454" s="41"/>
      <c r="G454" s="41"/>
      <c r="H454" s="235"/>
      <c r="I454" s="15"/>
      <c r="J454" s="3"/>
      <c r="K454" s="83"/>
      <c r="L454" s="84"/>
      <c r="M454" s="84"/>
      <c r="N454" s="85"/>
      <c r="O454" s="85"/>
      <c r="P454" s="86"/>
      <c r="Q454" s="86"/>
      <c r="R454" s="154"/>
      <c r="S454" s="158" t="e">
        <f ca="1">__xlfn.XLOOKUP(H454,[1]Izvršenje_proračuna_po_pozicija!$B$2:$B$153,[1]Izvršenje_proračuna_po_pozicija!$E$2:$E$153,0)</f>
        <v>#NAME?</v>
      </c>
      <c r="T454" s="158"/>
      <c r="U454" s="158"/>
      <c r="V454" s="532"/>
      <c r="W454" s="532"/>
      <c r="X454" s="568"/>
      <c r="Y454" s="569"/>
      <c r="Z454" s="569"/>
      <c r="AA454" s="562" t="e">
        <f t="shared" ca="1" si="388"/>
        <v>#NAME?</v>
      </c>
      <c r="AB454" s="537"/>
      <c r="AC454" s="538"/>
      <c r="AD454" s="538"/>
      <c r="AE454" s="529"/>
      <c r="AF454" s="529"/>
      <c r="AG454" s="529"/>
      <c r="AH454" s="529"/>
      <c r="AI454" s="537"/>
      <c r="AJ454" s="569"/>
      <c r="AK454" s="507"/>
      <c r="AL454" s="507"/>
      <c r="AM454" s="507"/>
      <c r="AN454" s="557"/>
      <c r="AO454" s="510"/>
      <c r="AP454" s="510" t="e">
        <f t="shared" ca="1" si="386"/>
        <v>#NAME?</v>
      </c>
      <c r="AQ454" s="532"/>
      <c r="AR454" s="533"/>
      <c r="AS454" s="533"/>
      <c r="AT454" s="533"/>
      <c r="AU454" s="533"/>
      <c r="AV454" s="533"/>
      <c r="AW454" s="612"/>
      <c r="AX454" s="612"/>
      <c r="AY454" s="612"/>
      <c r="AZ454" s="612"/>
      <c r="BA454" s="612"/>
      <c r="BB454" s="612"/>
      <c r="BC454" s="612"/>
      <c r="BD454" s="612"/>
      <c r="BE454" s="612"/>
      <c r="BF454" s="612"/>
      <c r="BG454" s="612"/>
      <c r="BH454" s="612">
        <f t="shared" si="389"/>
        <v>0</v>
      </c>
      <c r="BI454" s="612">
        <f t="shared" si="399"/>
        <v>0</v>
      </c>
      <c r="BJ454" s="201"/>
    </row>
    <row r="455" spans="1:62" ht="12" customHeight="1">
      <c r="A455" s="61"/>
      <c r="B455" s="61"/>
      <c r="C455" s="61"/>
      <c r="D455" s="61"/>
      <c r="E455" s="61"/>
      <c r="F455" s="61"/>
      <c r="G455" s="61"/>
      <c r="H455" s="230"/>
      <c r="I455" s="261"/>
      <c r="J455" s="229">
        <v>385</v>
      </c>
      <c r="K455" s="20" t="s">
        <v>403</v>
      </c>
      <c r="L455" s="111">
        <f t="shared" ref="L455:Z455" si="403">L456</f>
        <v>0</v>
      </c>
      <c r="M455" s="111">
        <f t="shared" si="403"/>
        <v>0</v>
      </c>
      <c r="N455" s="112">
        <f t="shared" si="403"/>
        <v>0</v>
      </c>
      <c r="O455" s="112">
        <f t="shared" si="403"/>
        <v>0</v>
      </c>
      <c r="P455" s="113">
        <f t="shared" si="403"/>
        <v>14040</v>
      </c>
      <c r="Q455" s="113">
        <f t="shared" si="403"/>
        <v>6440</v>
      </c>
      <c r="R455" s="87">
        <f t="shared" si="403"/>
        <v>0</v>
      </c>
      <c r="S455" s="89" t="e">
        <f t="shared" ca="1" si="403"/>
        <v>#NAME?</v>
      </c>
      <c r="T455" s="89"/>
      <c r="U455" s="89"/>
      <c r="V455" s="532">
        <f>V456</f>
        <v>4390</v>
      </c>
      <c r="W455" s="532">
        <f t="shared" si="403"/>
        <v>4390</v>
      </c>
      <c r="X455" s="506">
        <f t="shared" si="403"/>
        <v>5660</v>
      </c>
      <c r="Y455" s="507">
        <f t="shared" si="403"/>
        <v>1748</v>
      </c>
      <c r="Z455" s="507">
        <f t="shared" si="403"/>
        <v>0</v>
      </c>
      <c r="AA455" s="562" t="e">
        <f t="shared" ca="1" si="388"/>
        <v>#NAME?</v>
      </c>
      <c r="AB455" s="507"/>
      <c r="AC455" s="508">
        <f>AC456</f>
        <v>14450</v>
      </c>
      <c r="AD455" s="508">
        <f>AD456</f>
        <v>14450</v>
      </c>
      <c r="AE455" s="529"/>
      <c r="AF455" s="529"/>
      <c r="AG455" s="529"/>
      <c r="AH455" s="529"/>
      <c r="AI455" s="507"/>
      <c r="AJ455" s="507">
        <v>1748</v>
      </c>
      <c r="AK455" s="507"/>
      <c r="AL455" s="507">
        <f t="shared" si="378"/>
        <v>128.92938496583145</v>
      </c>
      <c r="AM455" s="507">
        <f t="shared" si="378"/>
        <v>30.883392226148409</v>
      </c>
      <c r="AN455" s="509"/>
      <c r="AO455" s="510"/>
      <c r="AP455" s="510" t="e">
        <f t="shared" ca="1" si="386"/>
        <v>#NAME?</v>
      </c>
      <c r="AQ455" s="532">
        <f>AQ456</f>
        <v>0</v>
      </c>
      <c r="AR455" s="533"/>
      <c r="AS455" s="533">
        <f t="shared" si="390"/>
        <v>100</v>
      </c>
      <c r="AT455" s="533"/>
      <c r="AU455" s="533">
        <f>AQ455/W455*100</f>
        <v>0</v>
      </c>
      <c r="AV455" s="533"/>
      <c r="AW455" s="612"/>
      <c r="AX455" s="612"/>
      <c r="AY455" s="612"/>
      <c r="AZ455" s="612"/>
      <c r="BA455" s="612"/>
      <c r="BB455" s="612"/>
      <c r="BC455" s="612"/>
      <c r="BD455" s="612"/>
      <c r="BE455" s="612"/>
      <c r="BF455" s="612"/>
      <c r="BG455" s="612"/>
      <c r="BH455" s="612">
        <f t="shared" si="389"/>
        <v>0</v>
      </c>
      <c r="BI455" s="612">
        <f t="shared" si="399"/>
        <v>0</v>
      </c>
      <c r="BJ455" s="329"/>
    </row>
    <row r="456" spans="1:62" ht="12" customHeight="1">
      <c r="A456" s="52"/>
      <c r="B456" s="52"/>
      <c r="C456" s="52"/>
      <c r="D456" s="52"/>
      <c r="E456" s="52"/>
      <c r="F456" s="52"/>
      <c r="G456" s="52"/>
      <c r="H456" s="2">
        <v>168</v>
      </c>
      <c r="I456" s="260">
        <v>133</v>
      </c>
      <c r="J456" s="185">
        <v>3851</v>
      </c>
      <c r="K456" s="19" t="s">
        <v>404</v>
      </c>
      <c r="L456" s="129">
        <v>0</v>
      </c>
      <c r="M456" s="129">
        <v>0</v>
      </c>
      <c r="N456" s="130">
        <v>0</v>
      </c>
      <c r="O456" s="130">
        <f>N456/7.5345</f>
        <v>0</v>
      </c>
      <c r="P456" s="131">
        <v>14040</v>
      </c>
      <c r="Q456" s="131">
        <v>6440</v>
      </c>
      <c r="R456" s="153">
        <v>0</v>
      </c>
      <c r="S456" s="158" t="e">
        <f ca="1">__xlfn.XLOOKUP(H456,[1]Izvršenje_proračuna_po_pozicija!$B$2:$B$153,[1]Izvršenje_proračuna_po_pozicija!$E$2:$E$153,0)</f>
        <v>#NAME?</v>
      </c>
      <c r="T456" s="158"/>
      <c r="U456" s="158"/>
      <c r="V456" s="532">
        <v>4390</v>
      </c>
      <c r="W456" s="532">
        <v>4390</v>
      </c>
      <c r="X456" s="560">
        <v>5660</v>
      </c>
      <c r="Y456" s="561">
        <v>1748</v>
      </c>
      <c r="Z456" s="561"/>
      <c r="AA456" s="562" t="e">
        <f t="shared" ca="1" si="388"/>
        <v>#NAME?</v>
      </c>
      <c r="AB456" s="535"/>
      <c r="AC456" s="529">
        <v>14450</v>
      </c>
      <c r="AD456" s="529">
        <v>14450</v>
      </c>
      <c r="AE456" s="529"/>
      <c r="AF456" s="529"/>
      <c r="AG456" s="529"/>
      <c r="AH456" s="529"/>
      <c r="AI456" s="535"/>
      <c r="AJ456" s="561">
        <v>1748</v>
      </c>
      <c r="AK456" s="507"/>
      <c r="AL456" s="507">
        <f t="shared" si="378"/>
        <v>128.92938496583145</v>
      </c>
      <c r="AM456" s="507">
        <f t="shared" si="378"/>
        <v>30.883392226148409</v>
      </c>
      <c r="AN456" s="556"/>
      <c r="AO456" s="510"/>
      <c r="AP456" s="510" t="e">
        <f t="shared" ca="1" si="386"/>
        <v>#NAME?</v>
      </c>
      <c r="AQ456" s="532"/>
      <c r="AR456" s="533"/>
      <c r="AS456" s="533">
        <f t="shared" si="390"/>
        <v>100</v>
      </c>
      <c r="AT456" s="533"/>
      <c r="AU456" s="533">
        <f>AQ456/W456*100</f>
        <v>0</v>
      </c>
      <c r="AV456" s="533"/>
      <c r="AW456" s="612"/>
      <c r="AX456" s="612"/>
      <c r="AY456" s="612"/>
      <c r="AZ456" s="612"/>
      <c r="BA456" s="612"/>
      <c r="BB456" s="612"/>
      <c r="BC456" s="612"/>
      <c r="BD456" s="612"/>
      <c r="BE456" s="612"/>
      <c r="BF456" s="612"/>
      <c r="BG456" s="612"/>
      <c r="BH456" s="612">
        <f t="shared" si="389"/>
        <v>0</v>
      </c>
      <c r="BI456" s="612">
        <f t="shared" si="399"/>
        <v>4297</v>
      </c>
      <c r="BJ456" s="201">
        <f t="shared" ref="BJ456:BJ471" si="404">AQ463-BI456</f>
        <v>0</v>
      </c>
    </row>
    <row r="457" spans="1:62" ht="12" customHeight="1">
      <c r="A457" s="41"/>
      <c r="B457" s="41"/>
      <c r="C457" s="41"/>
      <c r="D457" s="41"/>
      <c r="E457" s="41"/>
      <c r="F457" s="41"/>
      <c r="G457" s="41"/>
      <c r="H457" s="235"/>
      <c r="I457" s="15"/>
      <c r="J457" s="3"/>
      <c r="K457" s="211"/>
      <c r="L457" s="84"/>
      <c r="M457" s="84"/>
      <c r="N457" s="85"/>
      <c r="O457" s="85"/>
      <c r="P457" s="86"/>
      <c r="Q457" s="86"/>
      <c r="R457" s="154"/>
      <c r="S457" s="158" t="e">
        <f ca="1">__xlfn.XLOOKUP(H457,[1]Izvršenje_proračuna_po_pozicija!$B$2:$B$153,[1]Izvršenje_proračuna_po_pozicija!$E$2:$E$153,0)</f>
        <v>#NAME?</v>
      </c>
      <c r="T457" s="158"/>
      <c r="U457" s="158"/>
      <c r="V457" s="532"/>
      <c r="W457" s="532"/>
      <c r="X457" s="568"/>
      <c r="Y457" s="569"/>
      <c r="Z457" s="569"/>
      <c r="AA457" s="562" t="e">
        <f t="shared" ca="1" si="388"/>
        <v>#NAME?</v>
      </c>
      <c r="AB457" s="537"/>
      <c r="AC457" s="538"/>
      <c r="AD457" s="538"/>
      <c r="AE457" s="529"/>
      <c r="AF457" s="529"/>
      <c r="AG457" s="529"/>
      <c r="AH457" s="529"/>
      <c r="AI457" s="537"/>
      <c r="AJ457" s="569"/>
      <c r="AK457" s="507"/>
      <c r="AL457" s="507"/>
      <c r="AM457" s="507"/>
      <c r="AN457" s="557"/>
      <c r="AO457" s="510"/>
      <c r="AP457" s="510" t="e">
        <f t="shared" ca="1" si="386"/>
        <v>#NAME?</v>
      </c>
      <c r="AQ457" s="532"/>
      <c r="AR457" s="533"/>
      <c r="AS457" s="533"/>
      <c r="AT457" s="533"/>
      <c r="AU457" s="533"/>
      <c r="AV457" s="533"/>
      <c r="AW457" s="612"/>
      <c r="AX457" s="612"/>
      <c r="AY457" s="612"/>
      <c r="AZ457" s="612"/>
      <c r="BA457" s="612"/>
      <c r="BB457" s="612"/>
      <c r="BC457" s="612"/>
      <c r="BD457" s="612"/>
      <c r="BE457" s="612"/>
      <c r="BF457" s="612"/>
      <c r="BG457" s="612"/>
      <c r="BH457" s="612">
        <f t="shared" si="389"/>
        <v>0</v>
      </c>
      <c r="BI457" s="612">
        <f t="shared" si="399"/>
        <v>1226</v>
      </c>
      <c r="BJ457" s="201">
        <f t="shared" si="404"/>
        <v>0</v>
      </c>
    </row>
    <row r="458" spans="1:62" ht="12" customHeight="1">
      <c r="A458" s="316" t="s">
        <v>405</v>
      </c>
      <c r="B458" s="317"/>
      <c r="C458" s="317"/>
      <c r="D458" s="317"/>
      <c r="E458" s="317"/>
      <c r="F458" s="317"/>
      <c r="G458" s="317"/>
      <c r="H458" s="318"/>
      <c r="I458" s="323" t="s">
        <v>406</v>
      </c>
      <c r="J458" s="324"/>
      <c r="K458" s="325"/>
      <c r="L458" s="250">
        <f t="shared" ref="L458:S458" si="405">L460</f>
        <v>98912</v>
      </c>
      <c r="M458" s="250">
        <f t="shared" si="405"/>
        <v>13127.878425907493</v>
      </c>
      <c r="N458" s="251">
        <f t="shared" si="405"/>
        <v>43195</v>
      </c>
      <c r="O458" s="251">
        <f t="shared" si="405"/>
        <v>5732.9617094697714</v>
      </c>
      <c r="P458" s="252">
        <f t="shared" si="405"/>
        <v>25000</v>
      </c>
      <c r="Q458" s="252">
        <f t="shared" si="405"/>
        <v>17000</v>
      </c>
      <c r="R458" s="272">
        <f t="shared" si="405"/>
        <v>15763</v>
      </c>
      <c r="S458" s="273" t="e">
        <f t="shared" ca="1" si="405"/>
        <v>#NAME?</v>
      </c>
      <c r="T458" s="273"/>
      <c r="U458" s="273"/>
      <c r="V458" s="532">
        <f>V460</f>
        <v>51000</v>
      </c>
      <c r="W458" s="532">
        <f>W460</f>
        <v>51000</v>
      </c>
      <c r="X458" s="564">
        <f>X460</f>
        <v>28000</v>
      </c>
      <c r="Y458" s="565">
        <f>Y460</f>
        <v>31000</v>
      </c>
      <c r="Z458" s="565">
        <f>Z460</f>
        <v>0</v>
      </c>
      <c r="AA458" s="562" t="e">
        <f t="shared" ca="1" si="388"/>
        <v>#NAME?</v>
      </c>
      <c r="AB458" s="565"/>
      <c r="AC458" s="566">
        <f>AC460</f>
        <v>14000</v>
      </c>
      <c r="AD458" s="566">
        <f>AD460</f>
        <v>14000</v>
      </c>
      <c r="AE458" s="529">
        <f>O458/M458*100</f>
        <v>43.670131025558064</v>
      </c>
      <c r="AF458" s="529">
        <f>P458/O458*100</f>
        <v>436.07477717328402</v>
      </c>
      <c r="AG458" s="529">
        <f>Q458/P458*100</f>
        <v>68</v>
      </c>
      <c r="AH458" s="529">
        <f>AC458/Q458*100</f>
        <v>82.35294117647058</v>
      </c>
      <c r="AI458" s="565"/>
      <c r="AJ458" s="565">
        <v>31000</v>
      </c>
      <c r="AK458" s="507">
        <f t="shared" si="377"/>
        <v>323.54247287952802</v>
      </c>
      <c r="AL458" s="507">
        <f t="shared" si="378"/>
        <v>54.901960784313729</v>
      </c>
      <c r="AM458" s="507">
        <f t="shared" si="378"/>
        <v>110.71428571428572</v>
      </c>
      <c r="AN458" s="567"/>
      <c r="AO458" s="510"/>
      <c r="AP458" s="510" t="e">
        <f t="shared" ca="1" si="386"/>
        <v>#NAME?</v>
      </c>
      <c r="AQ458" s="532">
        <f>AQ460</f>
        <v>44883.509999999995</v>
      </c>
      <c r="AR458" s="533">
        <f>V458/R458*100</f>
        <v>323.54247287952802</v>
      </c>
      <c r="AS458" s="533">
        <f t="shared" si="390"/>
        <v>100</v>
      </c>
      <c r="AT458" s="533">
        <f>W458/R458*100</f>
        <v>323.54247287952802</v>
      </c>
      <c r="AU458" s="533">
        <f>AQ458/W458*100</f>
        <v>88.006882352941162</v>
      </c>
      <c r="AV458" s="533">
        <f>AQ458/R458*100</f>
        <v>284.73964346888278</v>
      </c>
      <c r="AW458" s="612"/>
      <c r="AX458" s="612"/>
      <c r="AY458" s="612"/>
      <c r="AZ458" s="612"/>
      <c r="BA458" s="612"/>
      <c r="BB458" s="612"/>
      <c r="BC458" s="612"/>
      <c r="BD458" s="612"/>
      <c r="BE458" s="612"/>
      <c r="BF458" s="612"/>
      <c r="BG458" s="612"/>
      <c r="BH458" s="612">
        <f t="shared" si="389"/>
        <v>0</v>
      </c>
      <c r="BI458" s="612">
        <f t="shared" si="399"/>
        <v>17286.759999999998</v>
      </c>
      <c r="BJ458" s="201">
        <f t="shared" si="404"/>
        <v>0</v>
      </c>
    </row>
    <row r="459" spans="1:62" ht="12" customHeight="1">
      <c r="A459" s="68"/>
      <c r="B459" s="68"/>
      <c r="C459" s="68"/>
      <c r="D459" s="68"/>
      <c r="E459" s="68"/>
      <c r="F459" s="68"/>
      <c r="G459" s="68"/>
      <c r="H459" s="319"/>
      <c r="I459" s="4"/>
      <c r="J459" s="8"/>
      <c r="K459" s="8"/>
      <c r="L459" s="84"/>
      <c r="M459" s="84"/>
      <c r="N459" s="85"/>
      <c r="O459" s="85"/>
      <c r="P459" s="86"/>
      <c r="Q459" s="86"/>
      <c r="R459" s="154"/>
      <c r="S459" s="158" t="e">
        <f ca="1">__xlfn.XLOOKUP(H459,[1]Izvršenje_proračuna_po_pozicija!$B$2:$B$153,[1]Izvršenje_proračuna_po_pozicija!$E$2:$E$153,0)</f>
        <v>#NAME?</v>
      </c>
      <c r="T459" s="158"/>
      <c r="U459" s="158"/>
      <c r="V459" s="532"/>
      <c r="W459" s="532"/>
      <c r="X459" s="568"/>
      <c r="Y459" s="569"/>
      <c r="Z459" s="569"/>
      <c r="AA459" s="562" t="e">
        <f t="shared" ca="1" si="388"/>
        <v>#NAME?</v>
      </c>
      <c r="AB459" s="537"/>
      <c r="AC459" s="538"/>
      <c r="AD459" s="538"/>
      <c r="AE459" s="529"/>
      <c r="AF459" s="529"/>
      <c r="AG459" s="529"/>
      <c r="AH459" s="529"/>
      <c r="AI459" s="537"/>
      <c r="AJ459" s="569"/>
      <c r="AK459" s="507"/>
      <c r="AL459" s="507"/>
      <c r="AM459" s="507"/>
      <c r="AN459" s="557"/>
      <c r="AO459" s="510"/>
      <c r="AP459" s="510" t="e">
        <f t="shared" ca="1" si="386"/>
        <v>#NAME?</v>
      </c>
      <c r="AQ459" s="532"/>
      <c r="AR459" s="533"/>
      <c r="AS459" s="533"/>
      <c r="AT459" s="533"/>
      <c r="AU459" s="533"/>
      <c r="AV459" s="533"/>
      <c r="AW459" s="612"/>
      <c r="AX459" s="612"/>
      <c r="AY459" s="612"/>
      <c r="AZ459" s="612"/>
      <c r="BA459" s="612"/>
      <c r="BB459" s="612"/>
      <c r="BC459" s="612"/>
      <c r="BD459" s="612"/>
      <c r="BE459" s="612"/>
      <c r="BF459" s="612"/>
      <c r="BG459" s="612"/>
      <c r="BH459" s="612">
        <f t="shared" si="389"/>
        <v>0</v>
      </c>
      <c r="BI459" s="612">
        <f t="shared" si="399"/>
        <v>2423.75</v>
      </c>
      <c r="BJ459" s="201">
        <f t="shared" si="404"/>
        <v>0</v>
      </c>
    </row>
    <row r="460" spans="1:62" ht="12" customHeight="1">
      <c r="A460" s="25"/>
      <c r="B460" s="25"/>
      <c r="C460" s="25"/>
      <c r="D460" s="25"/>
      <c r="E460" s="25"/>
      <c r="F460" s="25"/>
      <c r="G460" s="25"/>
      <c r="H460" s="285"/>
      <c r="I460" s="296"/>
      <c r="J460" s="211">
        <v>4</v>
      </c>
      <c r="K460" s="3" t="s">
        <v>407</v>
      </c>
      <c r="L460" s="111">
        <f t="shared" ref="L460:Z460" si="406">L461</f>
        <v>98912</v>
      </c>
      <c r="M460" s="111">
        <f t="shared" si="406"/>
        <v>13127.878425907493</v>
      </c>
      <c r="N460" s="112">
        <f t="shared" si="406"/>
        <v>43195</v>
      </c>
      <c r="O460" s="112">
        <f t="shared" si="406"/>
        <v>5732.9617094697714</v>
      </c>
      <c r="P460" s="113">
        <f t="shared" si="406"/>
        <v>25000</v>
      </c>
      <c r="Q460" s="113">
        <f t="shared" si="406"/>
        <v>17000</v>
      </c>
      <c r="R460" s="87">
        <f t="shared" si="406"/>
        <v>15763</v>
      </c>
      <c r="S460" s="89" t="e">
        <f t="shared" ca="1" si="406"/>
        <v>#NAME?</v>
      </c>
      <c r="T460" s="89"/>
      <c r="U460" s="89"/>
      <c r="V460" s="532">
        <f>V461</f>
        <v>51000</v>
      </c>
      <c r="W460" s="532">
        <f t="shared" si="406"/>
        <v>51000</v>
      </c>
      <c r="X460" s="506">
        <f t="shared" si="406"/>
        <v>28000</v>
      </c>
      <c r="Y460" s="507">
        <f t="shared" si="406"/>
        <v>31000</v>
      </c>
      <c r="Z460" s="507">
        <f t="shared" si="406"/>
        <v>0</v>
      </c>
      <c r="AA460" s="562" t="e">
        <f t="shared" ca="1" si="388"/>
        <v>#NAME?</v>
      </c>
      <c r="AB460" s="507"/>
      <c r="AC460" s="508">
        <f>AC461</f>
        <v>14000</v>
      </c>
      <c r="AD460" s="508">
        <f>AD461</f>
        <v>14000</v>
      </c>
      <c r="AE460" s="529">
        <f>O460/M460*100</f>
        <v>43.670131025558064</v>
      </c>
      <c r="AF460" s="529">
        <f t="shared" ref="AF460:AG463" si="407">P460/O460*100</f>
        <v>436.07477717328402</v>
      </c>
      <c r="AG460" s="529">
        <f t="shared" si="407"/>
        <v>68</v>
      </c>
      <c r="AH460" s="529">
        <f>AC460/Q460*100</f>
        <v>82.35294117647058</v>
      </c>
      <c r="AI460" s="507"/>
      <c r="AJ460" s="507">
        <v>31000</v>
      </c>
      <c r="AK460" s="507">
        <f t="shared" si="377"/>
        <v>323.54247287952802</v>
      </c>
      <c r="AL460" s="507">
        <f t="shared" si="378"/>
        <v>54.901960784313729</v>
      </c>
      <c r="AM460" s="507">
        <f t="shared" si="378"/>
        <v>110.71428571428572</v>
      </c>
      <c r="AN460" s="509"/>
      <c r="AO460" s="510"/>
      <c r="AP460" s="510" t="e">
        <f t="shared" ca="1" si="386"/>
        <v>#NAME?</v>
      </c>
      <c r="AQ460" s="532">
        <f>AQ461</f>
        <v>44883.509999999995</v>
      </c>
      <c r="AR460" s="533">
        <f>V460/R460*100</f>
        <v>323.54247287952802</v>
      </c>
      <c r="AS460" s="533">
        <f t="shared" si="390"/>
        <v>100</v>
      </c>
      <c r="AT460" s="533">
        <f>W460/R460*100</f>
        <v>323.54247287952802</v>
      </c>
      <c r="AU460" s="533">
        <f>AQ460/W460*100</f>
        <v>88.006882352941162</v>
      </c>
      <c r="AV460" s="533">
        <f>AQ460/R460*100</f>
        <v>284.73964346888278</v>
      </c>
      <c r="AW460" s="612"/>
      <c r="AX460" s="612"/>
      <c r="AY460" s="612"/>
      <c r="AZ460" s="612"/>
      <c r="BA460" s="612"/>
      <c r="BB460" s="612"/>
      <c r="BC460" s="612"/>
      <c r="BD460" s="612"/>
      <c r="BE460" s="612"/>
      <c r="BF460" s="612"/>
      <c r="BG460" s="612"/>
      <c r="BH460" s="612">
        <f t="shared" si="389"/>
        <v>0</v>
      </c>
      <c r="BI460" s="612">
        <f t="shared" si="399"/>
        <v>19650</v>
      </c>
      <c r="BJ460" s="201">
        <f t="shared" si="404"/>
        <v>0</v>
      </c>
    </row>
    <row r="461" spans="1:62" ht="12" customHeight="1">
      <c r="A461" s="227"/>
      <c r="B461" s="227"/>
      <c r="C461" s="227"/>
      <c r="D461" s="227"/>
      <c r="E461" s="227"/>
      <c r="F461" s="227"/>
      <c r="G461" s="227"/>
      <c r="H461" s="234"/>
      <c r="I461" s="297"/>
      <c r="J461" s="228">
        <v>42</v>
      </c>
      <c r="K461" s="258" t="s">
        <v>408</v>
      </c>
      <c r="L461" s="111">
        <f t="shared" ref="L461:S461" si="408">L462+L469</f>
        <v>98912</v>
      </c>
      <c r="M461" s="111">
        <f t="shared" si="408"/>
        <v>13127.878425907493</v>
      </c>
      <c r="N461" s="112">
        <f t="shared" si="408"/>
        <v>43195</v>
      </c>
      <c r="O461" s="112">
        <f t="shared" si="408"/>
        <v>5732.9617094697714</v>
      </c>
      <c r="P461" s="113">
        <f t="shared" si="408"/>
        <v>25000</v>
      </c>
      <c r="Q461" s="113">
        <f t="shared" si="408"/>
        <v>17000</v>
      </c>
      <c r="R461" s="87">
        <f t="shared" si="408"/>
        <v>15763</v>
      </c>
      <c r="S461" s="89" t="e">
        <f t="shared" ca="1" si="408"/>
        <v>#NAME?</v>
      </c>
      <c r="T461" s="89"/>
      <c r="U461" s="89"/>
      <c r="V461" s="532">
        <f>V462+V469</f>
        <v>51000</v>
      </c>
      <c r="W461" s="532">
        <f>W462+W469</f>
        <v>51000</v>
      </c>
      <c r="X461" s="506">
        <f>X462+X469</f>
        <v>28000</v>
      </c>
      <c r="Y461" s="507">
        <f>Y462+Y469</f>
        <v>31000</v>
      </c>
      <c r="Z461" s="507">
        <f>Z462+Z469</f>
        <v>0</v>
      </c>
      <c r="AA461" s="562" t="e">
        <f t="shared" ca="1" si="388"/>
        <v>#NAME?</v>
      </c>
      <c r="AB461" s="507"/>
      <c r="AC461" s="508">
        <f>AC462+AC469</f>
        <v>14000</v>
      </c>
      <c r="AD461" s="508">
        <f>AD462+AD469</f>
        <v>14000</v>
      </c>
      <c r="AE461" s="529">
        <f>O461/M461*100</f>
        <v>43.670131025558064</v>
      </c>
      <c r="AF461" s="529">
        <f t="shared" si="407"/>
        <v>436.07477717328402</v>
      </c>
      <c r="AG461" s="529">
        <f t="shared" si="407"/>
        <v>68</v>
      </c>
      <c r="AH461" s="529">
        <f>AC461/Q461*100</f>
        <v>82.35294117647058</v>
      </c>
      <c r="AI461" s="507"/>
      <c r="AJ461" s="507">
        <v>31000</v>
      </c>
      <c r="AK461" s="507">
        <f t="shared" si="377"/>
        <v>323.54247287952802</v>
      </c>
      <c r="AL461" s="507">
        <f t="shared" si="378"/>
        <v>54.901960784313729</v>
      </c>
      <c r="AM461" s="507">
        <f t="shared" si="378"/>
        <v>110.71428571428572</v>
      </c>
      <c r="AN461" s="509"/>
      <c r="AO461" s="510"/>
      <c r="AP461" s="510" t="e">
        <f t="shared" ca="1" si="386"/>
        <v>#NAME?</v>
      </c>
      <c r="AQ461" s="532">
        <f>AQ462+AQ469</f>
        <v>44883.509999999995</v>
      </c>
      <c r="AR461" s="533">
        <f>V461/R461*100</f>
        <v>323.54247287952802</v>
      </c>
      <c r="AS461" s="533">
        <f t="shared" si="390"/>
        <v>100</v>
      </c>
      <c r="AT461" s="533">
        <f>W461/R461*100</f>
        <v>323.54247287952802</v>
      </c>
      <c r="AU461" s="533">
        <f>AQ461/W461*100</f>
        <v>88.006882352941162</v>
      </c>
      <c r="AV461" s="533">
        <f>AQ461/R461*100</f>
        <v>284.73964346888278</v>
      </c>
      <c r="AW461" s="612"/>
      <c r="AX461" s="612"/>
      <c r="AY461" s="612"/>
      <c r="AZ461" s="612"/>
      <c r="BA461" s="612"/>
      <c r="BB461" s="612"/>
      <c r="BC461" s="612"/>
      <c r="BD461" s="612"/>
      <c r="BE461" s="612"/>
      <c r="BF461" s="612"/>
      <c r="BG461" s="612"/>
      <c r="BH461" s="612">
        <f t="shared" si="389"/>
        <v>0</v>
      </c>
      <c r="BI461" s="612">
        <f t="shared" si="399"/>
        <v>0</v>
      </c>
      <c r="BJ461" s="201">
        <f t="shared" si="404"/>
        <v>0</v>
      </c>
    </row>
    <row r="462" spans="1:62" ht="12" customHeight="1">
      <c r="A462" s="61"/>
      <c r="B462" s="61"/>
      <c r="C462" s="61"/>
      <c r="D462" s="61"/>
      <c r="E462" s="61"/>
      <c r="F462" s="61">
        <v>6</v>
      </c>
      <c r="G462" s="61"/>
      <c r="H462" s="230"/>
      <c r="I462" s="308"/>
      <c r="J462" s="229">
        <v>422</v>
      </c>
      <c r="K462" s="20" t="s">
        <v>409</v>
      </c>
      <c r="L462" s="111">
        <f t="shared" ref="L462:S462" si="409">L463+L464+L465+L467</f>
        <v>42662</v>
      </c>
      <c r="M462" s="111">
        <f t="shared" si="409"/>
        <v>5662.2204525847765</v>
      </c>
      <c r="N462" s="112">
        <f t="shared" si="409"/>
        <v>18870</v>
      </c>
      <c r="O462" s="112">
        <f t="shared" si="409"/>
        <v>2504.4793947839935</v>
      </c>
      <c r="P462" s="113">
        <f t="shared" si="409"/>
        <v>15000</v>
      </c>
      <c r="Q462" s="113">
        <f t="shared" si="409"/>
        <v>9000</v>
      </c>
      <c r="R462" s="87">
        <f t="shared" si="409"/>
        <v>8652</v>
      </c>
      <c r="S462" s="89" t="e">
        <f t="shared" ca="1" si="409"/>
        <v>#NAME?</v>
      </c>
      <c r="T462" s="89"/>
      <c r="U462" s="89"/>
      <c r="V462" s="532">
        <f>V463+V464+V465+V467</f>
        <v>49000</v>
      </c>
      <c r="W462" s="532">
        <f>W463+W464+W465+W467</f>
        <v>49000</v>
      </c>
      <c r="X462" s="506">
        <f>X463+X464+X465+X467</f>
        <v>24000</v>
      </c>
      <c r="Y462" s="507">
        <f>Y463+Y464+Y465+Y467</f>
        <v>27000</v>
      </c>
      <c r="Z462" s="507">
        <f>Z463+Z464+Z465+Z467</f>
        <v>0</v>
      </c>
      <c r="AA462" s="562" t="e">
        <f t="shared" ca="1" si="388"/>
        <v>#NAME?</v>
      </c>
      <c r="AB462" s="507"/>
      <c r="AC462" s="508">
        <f>AC463+AC464+AC465+AC467</f>
        <v>9000</v>
      </c>
      <c r="AD462" s="508">
        <f>AD463+AD464+AD465+AD467</f>
        <v>9000</v>
      </c>
      <c r="AE462" s="529">
        <f>O462/M462*100</f>
        <v>44.231400309408841</v>
      </c>
      <c r="AF462" s="529">
        <f t="shared" si="407"/>
        <v>598.92686804451523</v>
      </c>
      <c r="AG462" s="529">
        <f t="shared" si="407"/>
        <v>60</v>
      </c>
      <c r="AH462" s="529">
        <f>AC462/Q462*100</f>
        <v>100</v>
      </c>
      <c r="AI462" s="507"/>
      <c r="AJ462" s="507">
        <v>27000</v>
      </c>
      <c r="AK462" s="507">
        <f t="shared" si="377"/>
        <v>566.34304207119737</v>
      </c>
      <c r="AL462" s="507">
        <f t="shared" si="378"/>
        <v>48.979591836734691</v>
      </c>
      <c r="AM462" s="507">
        <f t="shared" si="378"/>
        <v>112.5</v>
      </c>
      <c r="AN462" s="509"/>
      <c r="AO462" s="510"/>
      <c r="AP462" s="510" t="e">
        <f t="shared" ca="1" si="386"/>
        <v>#NAME?</v>
      </c>
      <c r="AQ462" s="532">
        <f>AQ463+AQ464+AQ465+AQ467+AQ466</f>
        <v>44883.509999999995</v>
      </c>
      <c r="AR462" s="533">
        <f>V462/R462*100</f>
        <v>566.34304207119737</v>
      </c>
      <c r="AS462" s="533">
        <f t="shared" si="390"/>
        <v>100</v>
      </c>
      <c r="AT462" s="533">
        <f>W462/R462*100</f>
        <v>566.34304207119737</v>
      </c>
      <c r="AU462" s="533">
        <f>AQ462/W462*100</f>
        <v>91.59899999999999</v>
      </c>
      <c r="AV462" s="533">
        <f>AQ462/R462*100</f>
        <v>518.764563106796</v>
      </c>
      <c r="AW462" s="612"/>
      <c r="AX462" s="612"/>
      <c r="AY462" s="612"/>
      <c r="AZ462" s="612"/>
      <c r="BA462" s="612"/>
      <c r="BB462" s="612"/>
      <c r="BC462" s="612"/>
      <c r="BD462" s="612"/>
      <c r="BE462" s="612"/>
      <c r="BF462" s="612"/>
      <c r="BG462" s="612"/>
      <c r="BH462" s="612">
        <f t="shared" si="389"/>
        <v>0</v>
      </c>
      <c r="BI462" s="612">
        <f t="shared" si="399"/>
        <v>0</v>
      </c>
      <c r="BJ462" s="201">
        <f t="shared" si="404"/>
        <v>0</v>
      </c>
    </row>
    <row r="463" spans="1:62" ht="12" customHeight="1">
      <c r="A463" s="52"/>
      <c r="B463" s="52"/>
      <c r="C463" s="52"/>
      <c r="D463" s="52"/>
      <c r="E463" s="52"/>
      <c r="F463" s="52"/>
      <c r="G463" s="52"/>
      <c r="H463" s="2">
        <v>28</v>
      </c>
      <c r="I463" s="260">
        <v>111</v>
      </c>
      <c r="J463" s="185">
        <v>4221</v>
      </c>
      <c r="K463" s="19" t="s">
        <v>299</v>
      </c>
      <c r="L463" s="129">
        <v>32762</v>
      </c>
      <c r="M463" s="129">
        <f>32762/7.5345</f>
        <v>4348.2646492799786</v>
      </c>
      <c r="N463" s="130">
        <v>13670</v>
      </c>
      <c r="O463" s="130">
        <f>N463/7.5345</f>
        <v>1814.320791027938</v>
      </c>
      <c r="P463" s="131">
        <v>7000</v>
      </c>
      <c r="Q463" s="131">
        <v>7000</v>
      </c>
      <c r="R463" s="153">
        <v>7689</v>
      </c>
      <c r="S463" s="158">
        <v>4297</v>
      </c>
      <c r="T463" s="158"/>
      <c r="U463" s="158"/>
      <c r="V463" s="532">
        <v>7000</v>
      </c>
      <c r="W463" s="532">
        <v>7000</v>
      </c>
      <c r="X463" s="560">
        <v>8000</v>
      </c>
      <c r="Y463" s="561">
        <v>10000</v>
      </c>
      <c r="Z463" s="561"/>
      <c r="AA463" s="562" t="e">
        <f t="shared" ca="1" si="388"/>
        <v>#NAME?</v>
      </c>
      <c r="AB463" s="535"/>
      <c r="AC463" s="529">
        <v>5000</v>
      </c>
      <c r="AD463" s="529">
        <v>5000</v>
      </c>
      <c r="AE463" s="529">
        <f>O463/M463*100</f>
        <v>41.725169403577311</v>
      </c>
      <c r="AF463" s="529">
        <f t="shared" si="407"/>
        <v>385.81931236283833</v>
      </c>
      <c r="AG463" s="529">
        <f t="shared" si="407"/>
        <v>100</v>
      </c>
      <c r="AH463" s="529">
        <f>AC463/Q463*100</f>
        <v>71.428571428571431</v>
      </c>
      <c r="AI463" s="535"/>
      <c r="AJ463" s="561">
        <v>10000</v>
      </c>
      <c r="AK463" s="507">
        <f t="shared" si="377"/>
        <v>91.039146833138247</v>
      </c>
      <c r="AL463" s="507">
        <f t="shared" si="378"/>
        <v>114.28571428571428</v>
      </c>
      <c r="AM463" s="507">
        <f t="shared" si="378"/>
        <v>125</v>
      </c>
      <c r="AN463" s="556"/>
      <c r="AO463" s="510"/>
      <c r="AP463" s="510" t="e">
        <f t="shared" ca="1" si="386"/>
        <v>#NAME?</v>
      </c>
      <c r="AQ463" s="532">
        <v>4297</v>
      </c>
      <c r="AR463" s="533">
        <f>V463/R463*100</f>
        <v>91.039146833138247</v>
      </c>
      <c r="AS463" s="533">
        <f t="shared" si="390"/>
        <v>100</v>
      </c>
      <c r="AT463" s="533">
        <f>W463/R463*100</f>
        <v>91.039146833138247</v>
      </c>
      <c r="AU463" s="533">
        <f>AQ463/W463*100</f>
        <v>61.385714285714286</v>
      </c>
      <c r="AV463" s="533">
        <f>AQ463/R463*100</f>
        <v>55.885030563142145</v>
      </c>
      <c r="AW463" s="612">
        <f>AQ463</f>
        <v>4297</v>
      </c>
      <c r="AX463" s="612"/>
      <c r="AY463" s="612"/>
      <c r="AZ463" s="612"/>
      <c r="BA463" s="612"/>
      <c r="BB463" s="612"/>
      <c r="BC463" s="612"/>
      <c r="BD463" s="612"/>
      <c r="BE463" s="612"/>
      <c r="BF463" s="612"/>
      <c r="BG463" s="612"/>
      <c r="BH463" s="612">
        <f t="shared" si="389"/>
        <v>4297</v>
      </c>
      <c r="BI463" s="612">
        <f t="shared" si="399"/>
        <v>0</v>
      </c>
      <c r="BJ463" s="201">
        <f t="shared" si="404"/>
        <v>0</v>
      </c>
    </row>
    <row r="464" spans="1:62" ht="12" customHeight="1">
      <c r="A464" s="52"/>
      <c r="B464" s="52"/>
      <c r="C464" s="52"/>
      <c r="D464" s="52"/>
      <c r="E464" s="52"/>
      <c r="F464" s="52"/>
      <c r="G464" s="52"/>
      <c r="H464" s="2">
        <v>29</v>
      </c>
      <c r="I464" s="260">
        <v>111</v>
      </c>
      <c r="J464" s="185">
        <v>4222</v>
      </c>
      <c r="K464" s="19" t="s">
        <v>300</v>
      </c>
      <c r="L464" s="129">
        <v>0</v>
      </c>
      <c r="M464" s="129">
        <v>0</v>
      </c>
      <c r="N464" s="130">
        <v>0</v>
      </c>
      <c r="O464" s="130">
        <f>N464/7.5345</f>
        <v>0</v>
      </c>
      <c r="P464" s="131">
        <v>0</v>
      </c>
      <c r="Q464" s="131">
        <v>0</v>
      </c>
      <c r="R464" s="153">
        <v>0</v>
      </c>
      <c r="S464" s="158" t="e">
        <f ca="1">__xlfn.XLOOKUP(H464,[1]Izvršenje_proračuna_po_pozicija!$B$2:$B$153,[1]Izvršenje_proračuna_po_pozicija!$E$2:$E$153,0)</f>
        <v>#NAME?</v>
      </c>
      <c r="T464" s="158"/>
      <c r="U464" s="158"/>
      <c r="V464" s="532"/>
      <c r="W464" s="532"/>
      <c r="X464" s="560"/>
      <c r="Y464" s="561"/>
      <c r="Z464" s="561"/>
      <c r="AA464" s="562" t="e">
        <f t="shared" ca="1" si="388"/>
        <v>#NAME?</v>
      </c>
      <c r="AB464" s="535"/>
      <c r="AC464" s="529">
        <v>0</v>
      </c>
      <c r="AD464" s="529">
        <v>0</v>
      </c>
      <c r="AE464" s="529"/>
      <c r="AF464" s="529"/>
      <c r="AG464" s="529"/>
      <c r="AH464" s="529"/>
      <c r="AI464" s="535"/>
      <c r="AJ464" s="561"/>
      <c r="AK464" s="507"/>
      <c r="AL464" s="507"/>
      <c r="AM464" s="507"/>
      <c r="AN464" s="556"/>
      <c r="AO464" s="510"/>
      <c r="AP464" s="510" t="e">
        <f t="shared" ca="1" si="386"/>
        <v>#NAME?</v>
      </c>
      <c r="AQ464" s="532">
        <v>1226</v>
      </c>
      <c r="AR464" s="533"/>
      <c r="AS464" s="533"/>
      <c r="AT464" s="533"/>
      <c r="AU464" s="533"/>
      <c r="AV464" s="533"/>
      <c r="AW464" s="612">
        <f>AQ464</f>
        <v>1226</v>
      </c>
      <c r="AX464" s="612"/>
      <c r="AY464" s="612"/>
      <c r="AZ464" s="612"/>
      <c r="BA464" s="612"/>
      <c r="BB464" s="612"/>
      <c r="BC464" s="612"/>
      <c r="BD464" s="612"/>
      <c r="BE464" s="612"/>
      <c r="BF464" s="612"/>
      <c r="BG464" s="612"/>
      <c r="BH464" s="612">
        <f t="shared" si="389"/>
        <v>1226</v>
      </c>
      <c r="BI464" s="612">
        <f t="shared" si="399"/>
        <v>0</v>
      </c>
      <c r="BJ464" s="201">
        <f t="shared" si="404"/>
        <v>0</v>
      </c>
    </row>
    <row r="465" spans="1:62" ht="12" customHeight="1">
      <c r="A465" s="52"/>
      <c r="B465" s="52"/>
      <c r="C465" s="52"/>
      <c r="D465" s="52"/>
      <c r="E465" s="52"/>
      <c r="F465" s="52"/>
      <c r="G465" s="52"/>
      <c r="H465" s="2">
        <v>30</v>
      </c>
      <c r="I465" s="260">
        <v>111</v>
      </c>
      <c r="J465" s="185">
        <v>4223</v>
      </c>
      <c r="K465" s="19" t="s">
        <v>301</v>
      </c>
      <c r="L465" s="129">
        <v>9900</v>
      </c>
      <c r="M465" s="129">
        <f>9900/7.5345</f>
        <v>1313.9558033047979</v>
      </c>
      <c r="N465" s="130">
        <v>5200</v>
      </c>
      <c r="O465" s="130">
        <f>N465/7.5345</f>
        <v>690.15860375605541</v>
      </c>
      <c r="P465" s="131">
        <v>4000</v>
      </c>
      <c r="Q465" s="156">
        <v>0</v>
      </c>
      <c r="R465" s="153">
        <v>0</v>
      </c>
      <c r="S465" s="158">
        <v>17286</v>
      </c>
      <c r="T465" s="158"/>
      <c r="U465" s="158"/>
      <c r="V465" s="532">
        <v>22000</v>
      </c>
      <c r="W465" s="532">
        <v>22000</v>
      </c>
      <c r="X465" s="560">
        <v>6000</v>
      </c>
      <c r="Y465" s="561">
        <v>5000</v>
      </c>
      <c r="Z465" s="561"/>
      <c r="AA465" s="562" t="e">
        <f t="shared" ca="1" si="388"/>
        <v>#NAME?</v>
      </c>
      <c r="AB465" s="535"/>
      <c r="AC465" s="529"/>
      <c r="AD465" s="529"/>
      <c r="AE465" s="529">
        <f>O465/M465*100</f>
        <v>52.525252525252519</v>
      </c>
      <c r="AF465" s="529"/>
      <c r="AG465" s="529"/>
      <c r="AH465" s="529"/>
      <c r="AI465" s="535"/>
      <c r="AJ465" s="561">
        <v>5000</v>
      </c>
      <c r="AK465" s="507"/>
      <c r="AL465" s="507">
        <f t="shared" si="378"/>
        <v>27.27272727272727</v>
      </c>
      <c r="AM465" s="507">
        <f t="shared" si="378"/>
        <v>83.333333333333343</v>
      </c>
      <c r="AN465" s="556"/>
      <c r="AO465" s="510"/>
      <c r="AP465" s="510" t="e">
        <f t="shared" ca="1" si="386"/>
        <v>#NAME?</v>
      </c>
      <c r="AQ465" s="532">
        <v>17286.759999999998</v>
      </c>
      <c r="AR465" s="533"/>
      <c r="AS465" s="533"/>
      <c r="AT465" s="533"/>
      <c r="AU465" s="533">
        <f>AQ465/W465*100</f>
        <v>78.576181818181809</v>
      </c>
      <c r="AV465" s="533"/>
      <c r="AW465" s="612">
        <f>AQ465</f>
        <v>17286.759999999998</v>
      </c>
      <c r="AX465" s="612"/>
      <c r="AY465" s="612"/>
      <c r="AZ465" s="612"/>
      <c r="BA465" s="612"/>
      <c r="BB465" s="612"/>
      <c r="BC465" s="612"/>
      <c r="BD465" s="612"/>
      <c r="BE465" s="612"/>
      <c r="BF465" s="612"/>
      <c r="BG465" s="612"/>
      <c r="BH465" s="612">
        <f t="shared" si="389"/>
        <v>17286.759999999998</v>
      </c>
      <c r="BI465" s="612">
        <f t="shared" si="399"/>
        <v>0</v>
      </c>
      <c r="BJ465" s="201">
        <f t="shared" si="404"/>
        <v>0</v>
      </c>
    </row>
    <row r="466" spans="1:62" ht="12" customHeight="1">
      <c r="A466" s="52"/>
      <c r="B466" s="52"/>
      <c r="C466" s="52"/>
      <c r="D466" s="52"/>
      <c r="E466" s="52"/>
      <c r="F466" s="52"/>
      <c r="G466" s="52"/>
      <c r="H466" s="2" t="s">
        <v>410</v>
      </c>
      <c r="I466" s="260">
        <v>111</v>
      </c>
      <c r="J466" s="185">
        <v>4224</v>
      </c>
      <c r="K466" s="19" t="s">
        <v>411</v>
      </c>
      <c r="L466" s="129"/>
      <c r="M466" s="129"/>
      <c r="N466" s="130"/>
      <c r="O466" s="130">
        <f>N466/7.5345</f>
        <v>0</v>
      </c>
      <c r="P466" s="131"/>
      <c r="Q466" s="131"/>
      <c r="R466" s="153"/>
      <c r="S466" s="158" t="e">
        <f ca="1">__xlfn.XLOOKUP(H466,[1]Izvršenje_proračuna_po_pozicija!$B$2:$B$153,[1]Izvršenje_proračuna_po_pozicija!$E$2:$E$153,0)</f>
        <v>#NAME?</v>
      </c>
      <c r="T466" s="158"/>
      <c r="U466" s="158"/>
      <c r="V466" s="532">
        <v>2500</v>
      </c>
      <c r="W466" s="532">
        <v>2500</v>
      </c>
      <c r="X466" s="560">
        <v>0</v>
      </c>
      <c r="Y466" s="561">
        <v>0</v>
      </c>
      <c r="Z466" s="561"/>
      <c r="AA466" s="562" t="e">
        <f t="shared" ca="1" si="388"/>
        <v>#NAME?</v>
      </c>
      <c r="AB466" s="535"/>
      <c r="AC466" s="529"/>
      <c r="AD466" s="529"/>
      <c r="AE466" s="529"/>
      <c r="AF466" s="529"/>
      <c r="AG466" s="529"/>
      <c r="AH466" s="529"/>
      <c r="AI466" s="535"/>
      <c r="AJ466" s="561">
        <v>0</v>
      </c>
      <c r="AK466" s="507"/>
      <c r="AL466" s="507">
        <f t="shared" si="378"/>
        <v>0</v>
      </c>
      <c r="AM466" s="507"/>
      <c r="AN466" s="556"/>
      <c r="AO466" s="510"/>
      <c r="AP466" s="510" t="e">
        <f t="shared" ca="1" si="386"/>
        <v>#NAME?</v>
      </c>
      <c r="AQ466" s="532">
        <v>2423.75</v>
      </c>
      <c r="AR466" s="533"/>
      <c r="AS466" s="533"/>
      <c r="AT466" s="533"/>
      <c r="AU466" s="533">
        <f>AQ466/W466*100</f>
        <v>96.95</v>
      </c>
      <c r="AV466" s="533"/>
      <c r="AW466" s="612"/>
      <c r="AX466" s="612"/>
      <c r="AY466" s="612"/>
      <c r="AZ466" s="612"/>
      <c r="BA466" s="612"/>
      <c r="BB466" s="612"/>
      <c r="BC466" s="612"/>
      <c r="BD466" s="612"/>
      <c r="BE466" s="612"/>
      <c r="BF466" s="612">
        <f>AQ466</f>
        <v>2423.75</v>
      </c>
      <c r="BG466" s="612"/>
      <c r="BH466" s="612">
        <f t="shared" si="389"/>
        <v>2423.75</v>
      </c>
      <c r="BI466" s="612">
        <f t="shared" si="399"/>
        <v>0</v>
      </c>
      <c r="BJ466" s="201">
        <f t="shared" si="404"/>
        <v>0</v>
      </c>
    </row>
    <row r="467" spans="1:62" ht="12" customHeight="1">
      <c r="A467" s="52"/>
      <c r="B467" s="52"/>
      <c r="C467" s="52"/>
      <c r="D467" s="52"/>
      <c r="E467" s="52"/>
      <c r="F467" s="52"/>
      <c r="G467" s="52"/>
      <c r="H467" s="2" t="s">
        <v>412</v>
      </c>
      <c r="I467" s="260">
        <v>111</v>
      </c>
      <c r="J467" s="185">
        <v>4227</v>
      </c>
      <c r="K467" s="19" t="s">
        <v>413</v>
      </c>
      <c r="L467" s="129">
        <v>0</v>
      </c>
      <c r="M467" s="129">
        <v>0</v>
      </c>
      <c r="N467" s="130">
        <v>0</v>
      </c>
      <c r="O467" s="130">
        <f>N467/7.5345</f>
        <v>0</v>
      </c>
      <c r="P467" s="131">
        <v>4000</v>
      </c>
      <c r="Q467" s="156">
        <v>2000</v>
      </c>
      <c r="R467" s="153">
        <v>963</v>
      </c>
      <c r="S467" s="158" t="e">
        <f ca="1">__xlfn.XLOOKUP(H467,[1]Izvršenje_proračuna_po_pozicija!$B$2:$B$153,[1]Izvršenje_proračuna_po_pozicija!$E$2:$E$153,0)</f>
        <v>#NAME?</v>
      </c>
      <c r="T467" s="158"/>
      <c r="U467" s="158"/>
      <c r="V467" s="532">
        <v>20000</v>
      </c>
      <c r="W467" s="532">
        <v>20000</v>
      </c>
      <c r="X467" s="560">
        <v>10000</v>
      </c>
      <c r="Y467" s="561">
        <v>12000</v>
      </c>
      <c r="Z467" s="561"/>
      <c r="AA467" s="562" t="e">
        <f t="shared" ca="1" si="388"/>
        <v>#NAME?</v>
      </c>
      <c r="AB467" s="535"/>
      <c r="AC467" s="529">
        <v>4000</v>
      </c>
      <c r="AD467" s="529">
        <v>4000</v>
      </c>
      <c r="AE467" s="529"/>
      <c r="AF467" s="529" t="e">
        <f>P467/O467*100</f>
        <v>#DIV/0!</v>
      </c>
      <c r="AG467" s="529">
        <f>Q467/P467*100</f>
        <v>50</v>
      </c>
      <c r="AH467" s="529">
        <f>AC467/Q467*100</f>
        <v>200</v>
      </c>
      <c r="AI467" s="535"/>
      <c r="AJ467" s="561">
        <v>12000</v>
      </c>
      <c r="AK467" s="507">
        <f t="shared" si="377"/>
        <v>2076.8431983385253</v>
      </c>
      <c r="AL467" s="507">
        <f t="shared" si="378"/>
        <v>50</v>
      </c>
      <c r="AM467" s="507">
        <f t="shared" si="378"/>
        <v>120</v>
      </c>
      <c r="AN467" s="556"/>
      <c r="AO467" s="510"/>
      <c r="AP467" s="510" t="e">
        <f t="shared" ca="1" si="386"/>
        <v>#NAME?</v>
      </c>
      <c r="AQ467" s="532">
        <v>19650</v>
      </c>
      <c r="AR467" s="533">
        <f>V467/R467*100</f>
        <v>2076.8431983385253</v>
      </c>
      <c r="AS467" s="533">
        <f t="shared" si="390"/>
        <v>100</v>
      </c>
      <c r="AT467" s="533">
        <f>W467/R467*100</f>
        <v>2076.8431983385253</v>
      </c>
      <c r="AU467" s="533">
        <f>AQ467/W467*100</f>
        <v>98.25</v>
      </c>
      <c r="AV467" s="533">
        <f>AQ467/R467*100</f>
        <v>2040.4984423676012</v>
      </c>
      <c r="AW467" s="612">
        <f>AQ467</f>
        <v>19650</v>
      </c>
      <c r="AX467" s="612"/>
      <c r="AY467" s="612"/>
      <c r="AZ467" s="612"/>
      <c r="BA467" s="612"/>
      <c r="BB467" s="612"/>
      <c r="BC467" s="612"/>
      <c r="BD467" s="612"/>
      <c r="BE467" s="612"/>
      <c r="BF467" s="612"/>
      <c r="BG467" s="612"/>
      <c r="BH467" s="612">
        <f t="shared" si="389"/>
        <v>19650</v>
      </c>
      <c r="BI467" s="612">
        <f t="shared" si="399"/>
        <v>0</v>
      </c>
      <c r="BJ467" s="201">
        <f t="shared" si="404"/>
        <v>0</v>
      </c>
    </row>
    <row r="468" spans="1:62" ht="12" customHeight="1">
      <c r="A468" s="52"/>
      <c r="B468" s="52"/>
      <c r="C468" s="52"/>
      <c r="D468" s="52"/>
      <c r="E468" s="52"/>
      <c r="F468" s="52"/>
      <c r="G468" s="52"/>
      <c r="H468" s="2"/>
      <c r="I468" s="260"/>
      <c r="J468" s="185"/>
      <c r="K468" s="19"/>
      <c r="L468" s="129"/>
      <c r="M468" s="129"/>
      <c r="N468" s="130"/>
      <c r="O468" s="130"/>
      <c r="P468" s="131"/>
      <c r="Q468" s="131"/>
      <c r="R468" s="153"/>
      <c r="S468" s="158" t="e">
        <f ca="1">__xlfn.XLOOKUP(H468,[1]Izvršenje_proračuna_po_pozicija!$B$2:$B$153,[1]Izvršenje_proračuna_po_pozicija!$E$2:$E$153,0)</f>
        <v>#NAME?</v>
      </c>
      <c r="T468" s="158"/>
      <c r="U468" s="158"/>
      <c r="V468" s="532"/>
      <c r="W468" s="532"/>
      <c r="X468" s="560"/>
      <c r="Y468" s="561"/>
      <c r="Z468" s="561"/>
      <c r="AA468" s="562" t="e">
        <f t="shared" ca="1" si="388"/>
        <v>#NAME?</v>
      </c>
      <c r="AB468" s="535"/>
      <c r="AC468" s="529"/>
      <c r="AD468" s="529"/>
      <c r="AE468" s="529"/>
      <c r="AF468" s="529"/>
      <c r="AG468" s="529"/>
      <c r="AH468" s="529"/>
      <c r="AI468" s="535"/>
      <c r="AJ468" s="561"/>
      <c r="AK468" s="507"/>
      <c r="AL468" s="507"/>
      <c r="AM468" s="507"/>
      <c r="AN468" s="556"/>
      <c r="AO468" s="510"/>
      <c r="AP468" s="510" t="e">
        <f t="shared" ca="1" si="386"/>
        <v>#NAME?</v>
      </c>
      <c r="AQ468" s="532"/>
      <c r="AR468" s="533"/>
      <c r="AS468" s="533"/>
      <c r="AT468" s="533"/>
      <c r="AU468" s="533"/>
      <c r="AV468" s="533"/>
      <c r="AW468" s="612"/>
      <c r="AX468" s="612"/>
      <c r="AY468" s="612"/>
      <c r="AZ468" s="612"/>
      <c r="BA468" s="612"/>
      <c r="BB468" s="612"/>
      <c r="BC468" s="612"/>
      <c r="BD468" s="612"/>
      <c r="BE468" s="612"/>
      <c r="BF468" s="612"/>
      <c r="BG468" s="612"/>
      <c r="BH468" s="612">
        <f t="shared" si="389"/>
        <v>0</v>
      </c>
      <c r="BI468" s="612">
        <f t="shared" si="399"/>
        <v>0</v>
      </c>
      <c r="BJ468" s="201">
        <f t="shared" si="404"/>
        <v>0</v>
      </c>
    </row>
    <row r="469" spans="1:62" ht="12" customHeight="1">
      <c r="A469" s="61"/>
      <c r="B469" s="61"/>
      <c r="C469" s="61"/>
      <c r="D469" s="61"/>
      <c r="E469" s="61"/>
      <c r="F469" s="61"/>
      <c r="G469" s="61"/>
      <c r="H469" s="230"/>
      <c r="I469" s="261"/>
      <c r="J469" s="229">
        <v>426</v>
      </c>
      <c r="K469" s="20" t="s">
        <v>414</v>
      </c>
      <c r="L469" s="111">
        <f t="shared" ref="L469:Z469" si="410">L470</f>
        <v>56250</v>
      </c>
      <c r="M469" s="111">
        <f t="shared" si="410"/>
        <v>7465.6579733227154</v>
      </c>
      <c r="N469" s="112">
        <f t="shared" si="410"/>
        <v>24325</v>
      </c>
      <c r="O469" s="112">
        <f t="shared" si="410"/>
        <v>3228.4823146857784</v>
      </c>
      <c r="P469" s="113">
        <f t="shared" si="410"/>
        <v>10000</v>
      </c>
      <c r="Q469" s="113">
        <f t="shared" si="410"/>
        <v>8000</v>
      </c>
      <c r="R469" s="87">
        <f t="shared" si="410"/>
        <v>7111</v>
      </c>
      <c r="S469" s="89" t="e">
        <f t="shared" ca="1" si="410"/>
        <v>#NAME?</v>
      </c>
      <c r="T469" s="89"/>
      <c r="U469" s="89"/>
      <c r="V469" s="532">
        <f>V470</f>
        <v>2000</v>
      </c>
      <c r="W469" s="532">
        <f t="shared" si="410"/>
        <v>2000</v>
      </c>
      <c r="X469" s="506">
        <f t="shared" si="410"/>
        <v>4000</v>
      </c>
      <c r="Y469" s="507">
        <f t="shared" si="410"/>
        <v>4000</v>
      </c>
      <c r="Z469" s="507">
        <f t="shared" si="410"/>
        <v>0</v>
      </c>
      <c r="AA469" s="562" t="e">
        <f t="shared" ca="1" si="388"/>
        <v>#NAME?</v>
      </c>
      <c r="AB469" s="507"/>
      <c r="AC469" s="508">
        <f>AC470</f>
        <v>5000</v>
      </c>
      <c r="AD469" s="508">
        <f>AD470</f>
        <v>5000</v>
      </c>
      <c r="AE469" s="529">
        <f>O469/M469*100</f>
        <v>43.24444444444444</v>
      </c>
      <c r="AF469" s="529"/>
      <c r="AG469" s="529"/>
      <c r="AH469" s="529"/>
      <c r="AI469" s="507"/>
      <c r="AJ469" s="507">
        <v>4000</v>
      </c>
      <c r="AK469" s="507">
        <f t="shared" si="377"/>
        <v>28.125439459991565</v>
      </c>
      <c r="AL469" s="507">
        <f t="shared" si="378"/>
        <v>200</v>
      </c>
      <c r="AM469" s="507">
        <f t="shared" si="378"/>
        <v>100</v>
      </c>
      <c r="AN469" s="509"/>
      <c r="AO469" s="510"/>
      <c r="AP469" s="510" t="e">
        <f t="shared" ca="1" si="386"/>
        <v>#NAME?</v>
      </c>
      <c r="AQ469" s="532">
        <f>AQ470</f>
        <v>0</v>
      </c>
      <c r="AR469" s="533">
        <f>V469/R469*100</f>
        <v>28.125439459991565</v>
      </c>
      <c r="AS469" s="533">
        <f t="shared" si="390"/>
        <v>100</v>
      </c>
      <c r="AT469" s="533">
        <f>W469/R469*100</f>
        <v>28.125439459991565</v>
      </c>
      <c r="AU469" s="533">
        <f>AQ469/W469*100</f>
        <v>0</v>
      </c>
      <c r="AV469" s="533">
        <f>AQ469/R469*100</f>
        <v>0</v>
      </c>
      <c r="AW469" s="612"/>
      <c r="AX469" s="612"/>
      <c r="AY469" s="612"/>
      <c r="AZ469" s="612"/>
      <c r="BA469" s="612"/>
      <c r="BB469" s="612"/>
      <c r="BC469" s="612"/>
      <c r="BD469" s="612"/>
      <c r="BE469" s="612"/>
      <c r="BF469" s="612"/>
      <c r="BG469" s="612"/>
      <c r="BH469" s="612">
        <f t="shared" si="389"/>
        <v>0</v>
      </c>
      <c r="BI469" s="612">
        <f t="shared" si="399"/>
        <v>0</v>
      </c>
      <c r="BJ469" s="201">
        <f t="shared" si="404"/>
        <v>0</v>
      </c>
    </row>
    <row r="470" spans="1:62" ht="12" customHeight="1">
      <c r="A470" s="52"/>
      <c r="B470" s="52"/>
      <c r="C470" s="52"/>
      <c r="D470" s="52"/>
      <c r="E470" s="52"/>
      <c r="F470" s="52"/>
      <c r="G470" s="52"/>
      <c r="H470" s="2">
        <v>31</v>
      </c>
      <c r="I470" s="260">
        <v>111</v>
      </c>
      <c r="J470" s="185">
        <v>4262</v>
      </c>
      <c r="K470" s="19" t="s">
        <v>415</v>
      </c>
      <c r="L470" s="129">
        <v>56250</v>
      </c>
      <c r="M470" s="129">
        <f>56250/7.5345</f>
        <v>7465.6579733227154</v>
      </c>
      <c r="N470" s="130">
        <v>24325</v>
      </c>
      <c r="O470" s="130">
        <f>N470/7.5345</f>
        <v>3228.4823146857784</v>
      </c>
      <c r="P470" s="131">
        <v>10000</v>
      </c>
      <c r="Q470" s="156">
        <v>8000</v>
      </c>
      <c r="R470" s="153">
        <v>7111</v>
      </c>
      <c r="S470" s="158" t="e">
        <f ca="1">__xlfn.XLOOKUP(H470,[1]Izvršenje_proračuna_po_pozicija!$B$2:$B$153,[1]Izvršenje_proračuna_po_pozicija!$E$2:$E$153,0)</f>
        <v>#NAME?</v>
      </c>
      <c r="T470" s="158"/>
      <c r="U470" s="158"/>
      <c r="V470" s="532">
        <v>2000</v>
      </c>
      <c r="W470" s="532">
        <v>2000</v>
      </c>
      <c r="X470" s="560">
        <v>4000</v>
      </c>
      <c r="Y470" s="561">
        <v>4000</v>
      </c>
      <c r="Z470" s="561"/>
      <c r="AA470" s="562" t="e">
        <f t="shared" ca="1" si="388"/>
        <v>#NAME?</v>
      </c>
      <c r="AB470" s="535"/>
      <c r="AC470" s="529">
        <v>5000</v>
      </c>
      <c r="AD470" s="529">
        <v>5000</v>
      </c>
      <c r="AE470" s="529">
        <f>O470/M470*100</f>
        <v>43.24444444444444</v>
      </c>
      <c r="AF470" s="529"/>
      <c r="AG470" s="529"/>
      <c r="AH470" s="529"/>
      <c r="AI470" s="535"/>
      <c r="AJ470" s="561">
        <v>4000</v>
      </c>
      <c r="AK470" s="507">
        <f t="shared" si="377"/>
        <v>28.125439459991565</v>
      </c>
      <c r="AL470" s="507">
        <f t="shared" si="378"/>
        <v>200</v>
      </c>
      <c r="AM470" s="507">
        <f t="shared" si="378"/>
        <v>100</v>
      </c>
      <c r="AN470" s="556"/>
      <c r="AO470" s="510"/>
      <c r="AP470" s="510" t="e">
        <f t="shared" ca="1" si="386"/>
        <v>#NAME?</v>
      </c>
      <c r="AQ470" s="532"/>
      <c r="AR470" s="533">
        <f>V470/R470*100</f>
        <v>28.125439459991565</v>
      </c>
      <c r="AS470" s="533">
        <f t="shared" si="390"/>
        <v>100</v>
      </c>
      <c r="AT470" s="533">
        <f>W470/R470*100</f>
        <v>28.125439459991565</v>
      </c>
      <c r="AU470" s="533">
        <f>AQ470/W470*100</f>
        <v>0</v>
      </c>
      <c r="AV470" s="533">
        <f>AQ470/R470*100</f>
        <v>0</v>
      </c>
      <c r="AW470" s="612"/>
      <c r="AX470" s="612"/>
      <c r="AY470" s="612"/>
      <c r="AZ470" s="612"/>
      <c r="BA470" s="612"/>
      <c r="BB470" s="612"/>
      <c r="BC470" s="612"/>
      <c r="BD470" s="612"/>
      <c r="BE470" s="612"/>
      <c r="BF470" s="612"/>
      <c r="BG470" s="612"/>
      <c r="BH470" s="612">
        <f t="shared" si="389"/>
        <v>0</v>
      </c>
      <c r="BI470" s="612">
        <f t="shared" si="399"/>
        <v>0</v>
      </c>
      <c r="BJ470" s="201">
        <f t="shared" si="404"/>
        <v>0</v>
      </c>
    </row>
    <row r="471" spans="1:62" ht="12" customHeight="1">
      <c r="A471" s="52"/>
      <c r="B471" s="52"/>
      <c r="C471" s="52"/>
      <c r="D471" s="52"/>
      <c r="E471" s="52"/>
      <c r="F471" s="52"/>
      <c r="G471" s="52"/>
      <c r="H471" s="2"/>
      <c r="I471" s="260"/>
      <c r="J471" s="185"/>
      <c r="K471" s="19"/>
      <c r="L471" s="129"/>
      <c r="M471" s="129"/>
      <c r="N471" s="130"/>
      <c r="O471" s="130"/>
      <c r="P471" s="131"/>
      <c r="Q471" s="131"/>
      <c r="R471" s="153"/>
      <c r="S471" s="158" t="e">
        <f ca="1">__xlfn.XLOOKUP(H471,[1]Izvršenje_proračuna_po_pozicija!$B$2:$B$153,[1]Izvršenje_proračuna_po_pozicija!$E$2:$E$153,0)</f>
        <v>#NAME?</v>
      </c>
      <c r="T471" s="158"/>
      <c r="U471" s="158"/>
      <c r="V471" s="532"/>
      <c r="W471" s="532"/>
      <c r="X471" s="560"/>
      <c r="Y471" s="561"/>
      <c r="Z471" s="561"/>
      <c r="AA471" s="562" t="e">
        <f t="shared" ca="1" si="388"/>
        <v>#NAME?</v>
      </c>
      <c r="AB471" s="535"/>
      <c r="AC471" s="529"/>
      <c r="AD471" s="529"/>
      <c r="AE471" s="529"/>
      <c r="AF471" s="529"/>
      <c r="AG471" s="529"/>
      <c r="AH471" s="529"/>
      <c r="AI471" s="535"/>
      <c r="AJ471" s="561"/>
      <c r="AK471" s="507"/>
      <c r="AL471" s="507"/>
      <c r="AM471" s="507"/>
      <c r="AN471" s="556"/>
      <c r="AO471" s="510"/>
      <c r="AP471" s="510" t="e">
        <f t="shared" ca="1" si="386"/>
        <v>#NAME?</v>
      </c>
      <c r="AQ471" s="532"/>
      <c r="AR471" s="533"/>
      <c r="AS471" s="533"/>
      <c r="AT471" s="533"/>
      <c r="AU471" s="533"/>
      <c r="AV471" s="533"/>
      <c r="AW471" s="612"/>
      <c r="AX471" s="612"/>
      <c r="AY471" s="612"/>
      <c r="AZ471" s="612"/>
      <c r="BA471" s="612"/>
      <c r="BB471" s="612"/>
      <c r="BC471" s="612"/>
      <c r="BD471" s="612"/>
      <c r="BE471" s="612"/>
      <c r="BF471" s="612"/>
      <c r="BG471" s="612"/>
      <c r="BH471" s="612">
        <f t="shared" si="389"/>
        <v>0</v>
      </c>
      <c r="BI471" s="612">
        <f t="shared" si="399"/>
        <v>0</v>
      </c>
      <c r="BJ471" s="201">
        <f t="shared" si="404"/>
        <v>0</v>
      </c>
    </row>
    <row r="472" spans="1:62" ht="12" customHeight="1">
      <c r="A472" s="316" t="s">
        <v>416</v>
      </c>
      <c r="B472" s="317"/>
      <c r="C472" s="317"/>
      <c r="D472" s="317"/>
      <c r="E472" s="317"/>
      <c r="F472" s="317"/>
      <c r="G472" s="317"/>
      <c r="H472" s="318"/>
      <c r="I472" s="323" t="s">
        <v>417</v>
      </c>
      <c r="J472" s="324"/>
      <c r="K472" s="325"/>
      <c r="L472" s="250">
        <f t="shared" ref="L472:S472" si="411">L474</f>
        <v>0</v>
      </c>
      <c r="M472" s="250">
        <f t="shared" si="411"/>
        <v>0</v>
      </c>
      <c r="N472" s="251">
        <f t="shared" si="411"/>
        <v>0</v>
      </c>
      <c r="O472" s="251">
        <f t="shared" si="411"/>
        <v>0</v>
      </c>
      <c r="P472" s="252">
        <f t="shared" si="411"/>
        <v>0</v>
      </c>
      <c r="Q472" s="252">
        <f t="shared" si="411"/>
        <v>0</v>
      </c>
      <c r="R472" s="272">
        <f t="shared" si="411"/>
        <v>0</v>
      </c>
      <c r="S472" s="273" t="e">
        <f t="shared" ca="1" si="411"/>
        <v>#NAME?</v>
      </c>
      <c r="T472" s="273"/>
      <c r="U472" s="273"/>
      <c r="V472" s="532">
        <f>V474</f>
        <v>0</v>
      </c>
      <c r="W472" s="532">
        <f>W474</f>
        <v>0</v>
      </c>
      <c r="X472" s="564">
        <f>X474</f>
        <v>0</v>
      </c>
      <c r="Y472" s="565">
        <f>Y474</f>
        <v>0</v>
      </c>
      <c r="Z472" s="565">
        <f>Z474</f>
        <v>0</v>
      </c>
      <c r="AA472" s="562" t="e">
        <f t="shared" ca="1" si="388"/>
        <v>#NAME?</v>
      </c>
      <c r="AB472" s="565"/>
      <c r="AC472" s="566">
        <f>AC474</f>
        <v>0</v>
      </c>
      <c r="AD472" s="566">
        <f>AD474</f>
        <v>0</v>
      </c>
      <c r="AE472" s="529"/>
      <c r="AF472" s="529"/>
      <c r="AG472" s="529"/>
      <c r="AH472" s="529"/>
      <c r="AI472" s="565"/>
      <c r="AJ472" s="565">
        <v>0</v>
      </c>
      <c r="AK472" s="507"/>
      <c r="AL472" s="507"/>
      <c r="AM472" s="507"/>
      <c r="AN472" s="567"/>
      <c r="AO472" s="510"/>
      <c r="AP472" s="510" t="e">
        <f t="shared" ca="1" si="386"/>
        <v>#NAME?</v>
      </c>
      <c r="AQ472" s="532">
        <f>AQ474</f>
        <v>0</v>
      </c>
      <c r="AR472" s="533"/>
      <c r="AS472" s="533"/>
      <c r="AT472" s="533"/>
      <c r="AU472" s="533"/>
      <c r="AV472" s="533"/>
      <c r="AW472" s="612"/>
      <c r="AX472" s="612"/>
      <c r="AY472" s="612"/>
      <c r="AZ472" s="612"/>
      <c r="BA472" s="612"/>
      <c r="BB472" s="612"/>
      <c r="BC472" s="612"/>
      <c r="BD472" s="612"/>
      <c r="BE472" s="612"/>
      <c r="BF472" s="612"/>
      <c r="BG472" s="612"/>
      <c r="BH472" s="612">
        <f t="shared" si="389"/>
        <v>0</v>
      </c>
      <c r="BI472" s="612">
        <f t="shared" si="399"/>
        <v>0</v>
      </c>
      <c r="BJ472" s="201"/>
    </row>
    <row r="473" spans="1:62" ht="12" customHeight="1">
      <c r="A473" s="68"/>
      <c r="B473" s="68"/>
      <c r="C473" s="68"/>
      <c r="D473" s="68"/>
      <c r="E473" s="68"/>
      <c r="F473" s="68"/>
      <c r="G473" s="68"/>
      <c r="H473" s="319"/>
      <c r="I473" s="4"/>
      <c r="J473" s="8"/>
      <c r="K473" s="8"/>
      <c r="L473" s="84"/>
      <c r="M473" s="84"/>
      <c r="N473" s="85"/>
      <c r="O473" s="85"/>
      <c r="P473" s="86"/>
      <c r="Q473" s="86"/>
      <c r="R473" s="154"/>
      <c r="S473" s="158" t="e">
        <f ca="1">__xlfn.XLOOKUP(H473,[1]Izvršenje_proračuna_po_pozicija!$B$2:$B$153,[1]Izvršenje_proračuna_po_pozicija!$E$2:$E$153,0)</f>
        <v>#NAME?</v>
      </c>
      <c r="T473" s="158"/>
      <c r="U473" s="158"/>
      <c r="V473" s="532"/>
      <c r="W473" s="532"/>
      <c r="X473" s="568"/>
      <c r="Y473" s="569"/>
      <c r="Z473" s="569"/>
      <c r="AA473" s="562" t="e">
        <f t="shared" ca="1" si="388"/>
        <v>#NAME?</v>
      </c>
      <c r="AB473" s="537"/>
      <c r="AC473" s="538"/>
      <c r="AD473" s="538"/>
      <c r="AE473" s="529"/>
      <c r="AF473" s="529"/>
      <c r="AG473" s="529"/>
      <c r="AH473" s="529"/>
      <c r="AI473" s="537"/>
      <c r="AJ473" s="569"/>
      <c r="AK473" s="507"/>
      <c r="AL473" s="507"/>
      <c r="AM473" s="507"/>
      <c r="AN473" s="557"/>
      <c r="AO473" s="510"/>
      <c r="AP473" s="510" t="e">
        <f t="shared" ca="1" si="386"/>
        <v>#NAME?</v>
      </c>
      <c r="AQ473" s="532"/>
      <c r="AR473" s="533"/>
      <c r="AS473" s="533"/>
      <c r="AT473" s="533"/>
      <c r="AU473" s="533"/>
      <c r="AV473" s="533"/>
      <c r="AW473" s="612"/>
      <c r="AX473" s="612"/>
      <c r="AY473" s="612"/>
      <c r="AZ473" s="612"/>
      <c r="BA473" s="612"/>
      <c r="BB473" s="612"/>
      <c r="BC473" s="612"/>
      <c r="BD473" s="612"/>
      <c r="BE473" s="612"/>
      <c r="BF473" s="612"/>
      <c r="BG473" s="612"/>
      <c r="BH473" s="612">
        <f t="shared" si="389"/>
        <v>0</v>
      </c>
      <c r="BI473" s="612">
        <f t="shared" si="399"/>
        <v>0</v>
      </c>
      <c r="BJ473" s="201"/>
    </row>
    <row r="474" spans="1:62" ht="12" customHeight="1">
      <c r="A474" s="25"/>
      <c r="B474" s="25"/>
      <c r="C474" s="25"/>
      <c r="D474" s="25"/>
      <c r="E474" s="25"/>
      <c r="F474" s="25"/>
      <c r="G474" s="25"/>
      <c r="H474" s="285"/>
      <c r="I474" s="296"/>
      <c r="J474" s="211">
        <v>4</v>
      </c>
      <c r="K474" s="3" t="s">
        <v>407</v>
      </c>
      <c r="L474" s="111">
        <f t="shared" ref="L474:Z476" si="412">L475</f>
        <v>0</v>
      </c>
      <c r="M474" s="111">
        <f t="shared" si="412"/>
        <v>0</v>
      </c>
      <c r="N474" s="112">
        <f t="shared" si="412"/>
        <v>0</v>
      </c>
      <c r="O474" s="112">
        <f t="shared" si="412"/>
        <v>0</v>
      </c>
      <c r="P474" s="113">
        <f t="shared" si="412"/>
        <v>0</v>
      </c>
      <c r="Q474" s="113">
        <f t="shared" si="412"/>
        <v>0</v>
      </c>
      <c r="R474" s="87">
        <f t="shared" si="412"/>
        <v>0</v>
      </c>
      <c r="S474" s="89" t="e">
        <f t="shared" ca="1" si="412"/>
        <v>#NAME?</v>
      </c>
      <c r="T474" s="89"/>
      <c r="U474" s="89"/>
      <c r="V474" s="532">
        <f>V475</f>
        <v>0</v>
      </c>
      <c r="W474" s="532">
        <f t="shared" si="412"/>
        <v>0</v>
      </c>
      <c r="X474" s="506">
        <f t="shared" si="412"/>
        <v>0</v>
      </c>
      <c r="Y474" s="507">
        <f t="shared" si="412"/>
        <v>0</v>
      </c>
      <c r="Z474" s="507">
        <f t="shared" si="412"/>
        <v>0</v>
      </c>
      <c r="AA474" s="562" t="e">
        <f t="shared" ca="1" si="388"/>
        <v>#NAME?</v>
      </c>
      <c r="AB474" s="507"/>
      <c r="AC474" s="508">
        <f t="shared" ref="AC474:AD476" si="413">AC475</f>
        <v>0</v>
      </c>
      <c r="AD474" s="508">
        <f t="shared" si="413"/>
        <v>0</v>
      </c>
      <c r="AE474" s="529"/>
      <c r="AF474" s="529"/>
      <c r="AG474" s="529"/>
      <c r="AH474" s="529"/>
      <c r="AI474" s="507"/>
      <c r="AJ474" s="507">
        <v>0</v>
      </c>
      <c r="AK474" s="507"/>
      <c r="AL474" s="507"/>
      <c r="AM474" s="507"/>
      <c r="AN474" s="509"/>
      <c r="AO474" s="510"/>
      <c r="AP474" s="510" t="e">
        <f t="shared" ca="1" si="386"/>
        <v>#NAME?</v>
      </c>
      <c r="AQ474" s="532">
        <f>AQ475</f>
        <v>0</v>
      </c>
      <c r="AR474" s="533"/>
      <c r="AS474" s="533"/>
      <c r="AT474" s="533"/>
      <c r="AU474" s="533"/>
      <c r="AV474" s="533"/>
      <c r="AW474" s="612"/>
      <c r="AX474" s="612"/>
      <c r="AY474" s="612"/>
      <c r="AZ474" s="612"/>
      <c r="BA474" s="612"/>
      <c r="BB474" s="612"/>
      <c r="BC474" s="612"/>
      <c r="BD474" s="612"/>
      <c r="BE474" s="612"/>
      <c r="BF474" s="612"/>
      <c r="BG474" s="612"/>
      <c r="BH474" s="612">
        <f t="shared" si="389"/>
        <v>0</v>
      </c>
      <c r="BI474" s="612">
        <f t="shared" si="399"/>
        <v>0</v>
      </c>
      <c r="BJ474" s="201"/>
    </row>
    <row r="475" spans="1:62" ht="12" customHeight="1">
      <c r="A475" s="227"/>
      <c r="B475" s="227"/>
      <c r="C475" s="227"/>
      <c r="D475" s="227"/>
      <c r="E475" s="227"/>
      <c r="F475" s="227"/>
      <c r="G475" s="227"/>
      <c r="H475" s="234"/>
      <c r="I475" s="297"/>
      <c r="J475" s="228">
        <v>41</v>
      </c>
      <c r="K475" s="258" t="s">
        <v>418</v>
      </c>
      <c r="L475" s="111">
        <f t="shared" si="412"/>
        <v>0</v>
      </c>
      <c r="M475" s="111">
        <f t="shared" si="412"/>
        <v>0</v>
      </c>
      <c r="N475" s="112">
        <f t="shared" si="412"/>
        <v>0</v>
      </c>
      <c r="O475" s="112">
        <f t="shared" si="412"/>
        <v>0</v>
      </c>
      <c r="P475" s="113">
        <f t="shared" si="412"/>
        <v>0</v>
      </c>
      <c r="Q475" s="113">
        <f t="shared" si="412"/>
        <v>0</v>
      </c>
      <c r="R475" s="87">
        <f t="shared" si="412"/>
        <v>0</v>
      </c>
      <c r="S475" s="89" t="e">
        <f t="shared" ca="1" si="412"/>
        <v>#NAME?</v>
      </c>
      <c r="T475" s="89"/>
      <c r="U475" s="89"/>
      <c r="V475" s="532">
        <f>V476</f>
        <v>0</v>
      </c>
      <c r="W475" s="532">
        <f t="shared" si="412"/>
        <v>0</v>
      </c>
      <c r="X475" s="506">
        <f t="shared" si="412"/>
        <v>0</v>
      </c>
      <c r="Y475" s="507">
        <f t="shared" si="412"/>
        <v>0</v>
      </c>
      <c r="Z475" s="507">
        <f t="shared" si="412"/>
        <v>0</v>
      </c>
      <c r="AA475" s="562" t="e">
        <f t="shared" ca="1" si="388"/>
        <v>#NAME?</v>
      </c>
      <c r="AB475" s="507"/>
      <c r="AC475" s="508">
        <f t="shared" si="413"/>
        <v>0</v>
      </c>
      <c r="AD475" s="508">
        <f t="shared" si="413"/>
        <v>0</v>
      </c>
      <c r="AE475" s="529"/>
      <c r="AF475" s="529"/>
      <c r="AG475" s="529"/>
      <c r="AH475" s="529"/>
      <c r="AI475" s="507"/>
      <c r="AJ475" s="507">
        <v>0</v>
      </c>
      <c r="AK475" s="507"/>
      <c r="AL475" s="507"/>
      <c r="AM475" s="507"/>
      <c r="AN475" s="509"/>
      <c r="AO475" s="510"/>
      <c r="AP475" s="510" t="e">
        <f t="shared" ca="1" si="386"/>
        <v>#NAME?</v>
      </c>
      <c r="AQ475" s="532">
        <f>AQ476</f>
        <v>0</v>
      </c>
      <c r="AR475" s="533"/>
      <c r="AS475" s="533"/>
      <c r="AT475" s="533"/>
      <c r="AU475" s="533"/>
      <c r="AV475" s="533"/>
      <c r="AW475" s="612"/>
      <c r="AX475" s="612"/>
      <c r="AY475" s="612"/>
      <c r="AZ475" s="612"/>
      <c r="BA475" s="612"/>
      <c r="BB475" s="612"/>
      <c r="BC475" s="612"/>
      <c r="BD475" s="612"/>
      <c r="BE475" s="612"/>
      <c r="BF475" s="612"/>
      <c r="BG475" s="612"/>
      <c r="BH475" s="612">
        <f t="shared" si="389"/>
        <v>0</v>
      </c>
      <c r="BI475" s="612">
        <f t="shared" si="399"/>
        <v>0</v>
      </c>
      <c r="BJ475" s="201"/>
    </row>
    <row r="476" spans="1:62" ht="12" customHeight="1">
      <c r="A476" s="61"/>
      <c r="B476" s="61"/>
      <c r="C476" s="61"/>
      <c r="D476" s="61"/>
      <c r="E476" s="61"/>
      <c r="F476" s="61"/>
      <c r="G476" s="61">
        <v>7</v>
      </c>
      <c r="H476" s="230"/>
      <c r="I476" s="308"/>
      <c r="J476" s="229">
        <v>411</v>
      </c>
      <c r="K476" s="20" t="s">
        <v>419</v>
      </c>
      <c r="L476" s="111">
        <f t="shared" si="412"/>
        <v>0</v>
      </c>
      <c r="M476" s="111">
        <f t="shared" si="412"/>
        <v>0</v>
      </c>
      <c r="N476" s="112">
        <f t="shared" si="412"/>
        <v>0</v>
      </c>
      <c r="O476" s="112">
        <f t="shared" si="412"/>
        <v>0</v>
      </c>
      <c r="P476" s="113">
        <f t="shared" si="412"/>
        <v>0</v>
      </c>
      <c r="Q476" s="113">
        <f t="shared" si="412"/>
        <v>0</v>
      </c>
      <c r="R476" s="87">
        <f t="shared" si="412"/>
        <v>0</v>
      </c>
      <c r="S476" s="89" t="e">
        <f t="shared" ca="1" si="412"/>
        <v>#NAME?</v>
      </c>
      <c r="T476" s="89"/>
      <c r="U476" s="89"/>
      <c r="V476" s="532">
        <f>V477</f>
        <v>0</v>
      </c>
      <c r="W476" s="532">
        <f t="shared" si="412"/>
        <v>0</v>
      </c>
      <c r="X476" s="506">
        <f t="shared" si="412"/>
        <v>0</v>
      </c>
      <c r="Y476" s="507">
        <f t="shared" si="412"/>
        <v>0</v>
      </c>
      <c r="Z476" s="507">
        <f t="shared" si="412"/>
        <v>0</v>
      </c>
      <c r="AA476" s="562" t="e">
        <f t="shared" ca="1" si="388"/>
        <v>#NAME?</v>
      </c>
      <c r="AB476" s="507"/>
      <c r="AC476" s="508">
        <f t="shared" si="413"/>
        <v>0</v>
      </c>
      <c r="AD476" s="508">
        <f t="shared" si="413"/>
        <v>0</v>
      </c>
      <c r="AE476" s="529"/>
      <c r="AF476" s="529"/>
      <c r="AG476" s="529"/>
      <c r="AH476" s="529"/>
      <c r="AI476" s="507"/>
      <c r="AJ476" s="507">
        <v>0</v>
      </c>
      <c r="AK476" s="507"/>
      <c r="AL476" s="507"/>
      <c r="AM476" s="507"/>
      <c r="AN476" s="509"/>
      <c r="AO476" s="510"/>
      <c r="AP476" s="510" t="e">
        <f t="shared" ca="1" si="386"/>
        <v>#NAME?</v>
      </c>
      <c r="AQ476" s="532">
        <f>AQ477</f>
        <v>0</v>
      </c>
      <c r="AR476" s="533"/>
      <c r="AS476" s="533"/>
      <c r="AT476" s="533"/>
      <c r="AU476" s="533"/>
      <c r="AV476" s="533"/>
      <c r="AW476" s="612"/>
      <c r="AX476" s="612"/>
      <c r="AY476" s="612"/>
      <c r="AZ476" s="612"/>
      <c r="BA476" s="612"/>
      <c r="BB476" s="612"/>
      <c r="BC476" s="612"/>
      <c r="BD476" s="612"/>
      <c r="BE476" s="612"/>
      <c r="BF476" s="612"/>
      <c r="BG476" s="612"/>
      <c r="BH476" s="612">
        <f t="shared" si="389"/>
        <v>0</v>
      </c>
      <c r="BI476" s="612">
        <f t="shared" ref="BI476:BI506" si="414">SUM(AW483:BG483)</f>
        <v>0</v>
      </c>
      <c r="BJ476" s="201"/>
    </row>
    <row r="477" spans="1:62" ht="12" customHeight="1">
      <c r="A477" s="52"/>
      <c r="B477" s="52"/>
      <c r="C477" s="52"/>
      <c r="D477" s="52"/>
      <c r="E477" s="52"/>
      <c r="F477" s="52"/>
      <c r="G477" s="52"/>
      <c r="H477" s="2" t="s">
        <v>420</v>
      </c>
      <c r="I477" s="260">
        <v>111</v>
      </c>
      <c r="J477" s="185">
        <v>4111</v>
      </c>
      <c r="K477" s="19" t="s">
        <v>204</v>
      </c>
      <c r="L477" s="129">
        <v>0</v>
      </c>
      <c r="M477" s="129">
        <v>0</v>
      </c>
      <c r="N477" s="130">
        <v>0</v>
      </c>
      <c r="O477" s="130">
        <v>0</v>
      </c>
      <c r="P477" s="131">
        <v>0</v>
      </c>
      <c r="Q477" s="131">
        <v>0</v>
      </c>
      <c r="R477" s="153">
        <v>0</v>
      </c>
      <c r="S477" s="158" t="e">
        <f ca="1">__xlfn.XLOOKUP(H477,[1]Izvršenje_proračuna_po_pozicija!$B$2:$B$153,[1]Izvršenje_proračuna_po_pozicija!$E$2:$E$153,0)</f>
        <v>#NAME?</v>
      </c>
      <c r="T477" s="158"/>
      <c r="U477" s="158"/>
      <c r="V477" s="532"/>
      <c r="W477" s="532"/>
      <c r="X477" s="560"/>
      <c r="Y477" s="561"/>
      <c r="Z477" s="561"/>
      <c r="AA477" s="562" t="e">
        <f t="shared" ca="1" si="388"/>
        <v>#NAME?</v>
      </c>
      <c r="AB477" s="535"/>
      <c r="AC477" s="529"/>
      <c r="AD477" s="529"/>
      <c r="AE477" s="529"/>
      <c r="AF477" s="529"/>
      <c r="AG477" s="529"/>
      <c r="AH477" s="529"/>
      <c r="AI477" s="535"/>
      <c r="AJ477" s="561"/>
      <c r="AK477" s="507"/>
      <c r="AL477" s="507"/>
      <c r="AM477" s="507"/>
      <c r="AN477" s="556"/>
      <c r="AO477" s="510"/>
      <c r="AP477" s="510" t="e">
        <f t="shared" ca="1" si="386"/>
        <v>#NAME?</v>
      </c>
      <c r="AQ477" s="532"/>
      <c r="AR477" s="533"/>
      <c r="AS477" s="533"/>
      <c r="AT477" s="533"/>
      <c r="AU477" s="533"/>
      <c r="AV477" s="533"/>
      <c r="AW477" s="612"/>
      <c r="AX477" s="612"/>
      <c r="AY477" s="612"/>
      <c r="AZ477" s="612"/>
      <c r="BA477" s="612"/>
      <c r="BB477" s="612"/>
      <c r="BC477" s="612"/>
      <c r="BD477" s="612"/>
      <c r="BE477" s="612"/>
      <c r="BF477" s="612"/>
      <c r="BG477" s="612"/>
      <c r="BH477" s="612">
        <f t="shared" si="389"/>
        <v>0</v>
      </c>
      <c r="BI477" s="612">
        <f t="shared" si="414"/>
        <v>0</v>
      </c>
      <c r="BJ477" s="201">
        <f>AQ484-BI477</f>
        <v>0</v>
      </c>
    </row>
    <row r="478" spans="1:62" ht="12" customHeight="1">
      <c r="A478" s="52"/>
      <c r="B478" s="52"/>
      <c r="C478" s="52"/>
      <c r="D478" s="52"/>
      <c r="E478" s="52"/>
      <c r="F478" s="52"/>
      <c r="G478" s="52"/>
      <c r="H478" s="2"/>
      <c r="I478" s="260"/>
      <c r="J478" s="185"/>
      <c r="K478" s="19"/>
      <c r="L478" s="118"/>
      <c r="M478" s="118"/>
      <c r="N478" s="119"/>
      <c r="O478" s="119"/>
      <c r="P478" s="120"/>
      <c r="Q478" s="120"/>
      <c r="R478" s="151"/>
      <c r="S478" s="158" t="e">
        <f ca="1">__xlfn.XLOOKUP(H478,[1]Izvršenje_proračuna_po_pozicija!$B$2:$B$153,[1]Izvršenje_proračuna_po_pozicija!$E$2:$E$153,0)</f>
        <v>#NAME?</v>
      </c>
      <c r="T478" s="158"/>
      <c r="U478" s="158"/>
      <c r="V478" s="532"/>
      <c r="W478" s="532"/>
      <c r="X478" s="560"/>
      <c r="Y478" s="561"/>
      <c r="Z478" s="561"/>
      <c r="AA478" s="562" t="e">
        <f t="shared" ca="1" si="388"/>
        <v>#NAME?</v>
      </c>
      <c r="AB478" s="535"/>
      <c r="AC478" s="529"/>
      <c r="AD478" s="529"/>
      <c r="AE478" s="529"/>
      <c r="AF478" s="529"/>
      <c r="AG478" s="529"/>
      <c r="AH478" s="529"/>
      <c r="AI478" s="535"/>
      <c r="AJ478" s="561"/>
      <c r="AK478" s="507"/>
      <c r="AL478" s="507"/>
      <c r="AM478" s="507"/>
      <c r="AN478" s="556"/>
      <c r="AO478" s="510"/>
      <c r="AP478" s="510" t="e">
        <f t="shared" ca="1" si="386"/>
        <v>#NAME?</v>
      </c>
      <c r="AQ478" s="532"/>
      <c r="AR478" s="533"/>
      <c r="AS478" s="533"/>
      <c r="AT478" s="533"/>
      <c r="AU478" s="533"/>
      <c r="AV478" s="533"/>
      <c r="AW478" s="612"/>
      <c r="AX478" s="612"/>
      <c r="AY478" s="612"/>
      <c r="AZ478" s="612"/>
      <c r="BA478" s="612"/>
      <c r="BB478" s="612"/>
      <c r="BC478" s="612"/>
      <c r="BD478" s="612"/>
      <c r="BE478" s="612"/>
      <c r="BF478" s="612"/>
      <c r="BG478" s="612"/>
      <c r="BH478" s="612">
        <f t="shared" si="389"/>
        <v>0</v>
      </c>
      <c r="BI478" s="612">
        <f t="shared" si="414"/>
        <v>0</v>
      </c>
      <c r="BJ478" s="201"/>
    </row>
    <row r="479" spans="1:62" ht="12" customHeight="1">
      <c r="A479" s="320"/>
      <c r="B479" s="320"/>
      <c r="C479" s="320"/>
      <c r="D479" s="320"/>
      <c r="E479" s="320"/>
      <c r="F479" s="320"/>
      <c r="G479" s="320"/>
      <c r="H479" s="321"/>
      <c r="I479" s="326" t="s">
        <v>421</v>
      </c>
      <c r="J479" s="253"/>
      <c r="K479" s="210"/>
      <c r="L479" s="111">
        <f t="shared" ref="L479:Z479" si="415">L480</f>
        <v>199882</v>
      </c>
      <c r="M479" s="111">
        <f t="shared" si="415"/>
        <v>26528.900391532286</v>
      </c>
      <c r="N479" s="112">
        <f t="shared" si="415"/>
        <v>179210</v>
      </c>
      <c r="O479" s="112">
        <f t="shared" si="415"/>
        <v>23785.254495985133</v>
      </c>
      <c r="P479" s="113">
        <f t="shared" si="415"/>
        <v>28500</v>
      </c>
      <c r="Q479" s="113">
        <f t="shared" si="415"/>
        <v>66700</v>
      </c>
      <c r="R479" s="87">
        <f t="shared" si="415"/>
        <v>62347</v>
      </c>
      <c r="S479" s="89" t="e">
        <f t="shared" ca="1" si="415"/>
        <v>#NAME?</v>
      </c>
      <c r="T479" s="89"/>
      <c r="U479" s="89"/>
      <c r="V479" s="532">
        <f>V480</f>
        <v>78600</v>
      </c>
      <c r="W479" s="532">
        <f t="shared" si="415"/>
        <v>78600</v>
      </c>
      <c r="X479" s="506">
        <f t="shared" si="415"/>
        <v>98000</v>
      </c>
      <c r="Y479" s="507">
        <f t="shared" si="415"/>
        <v>116000</v>
      </c>
      <c r="Z479" s="507">
        <f t="shared" si="415"/>
        <v>0</v>
      </c>
      <c r="AA479" s="562" t="e">
        <f t="shared" ca="1" si="388"/>
        <v>#NAME?</v>
      </c>
      <c r="AB479" s="507"/>
      <c r="AC479" s="508">
        <f>AC480</f>
        <v>29400</v>
      </c>
      <c r="AD479" s="508">
        <f>AD480</f>
        <v>29400</v>
      </c>
      <c r="AE479" s="529">
        <f>O479/M479*100</f>
        <v>89.657898159914339</v>
      </c>
      <c r="AF479" s="529">
        <f>P479/O479*100</f>
        <v>119.82213604151555</v>
      </c>
      <c r="AG479" s="529">
        <f>Q479/P479*100</f>
        <v>234.03508771929828</v>
      </c>
      <c r="AH479" s="529">
        <f>AC479/Q479*100</f>
        <v>44.077961019490253</v>
      </c>
      <c r="AI479" s="507"/>
      <c r="AJ479" s="507">
        <v>116000</v>
      </c>
      <c r="AK479" s="507">
        <f t="shared" ref="AK479:AK518" si="416">W479/R479*100</f>
        <v>126.06861597189921</v>
      </c>
      <c r="AL479" s="507">
        <f t="shared" ref="AL479:AM518" si="417">X479/W479*100</f>
        <v>124.68193384223918</v>
      </c>
      <c r="AM479" s="507">
        <f t="shared" si="417"/>
        <v>118.36734693877551</v>
      </c>
      <c r="AN479" s="509"/>
      <c r="AO479" s="510"/>
      <c r="AP479" s="510" t="e">
        <f t="shared" ca="1" si="386"/>
        <v>#NAME?</v>
      </c>
      <c r="AQ479" s="532">
        <f>AQ480</f>
        <v>34266.990000000005</v>
      </c>
      <c r="AR479" s="533">
        <f>V479/R479*100</f>
        <v>126.06861597189921</v>
      </c>
      <c r="AS479" s="533">
        <f t="shared" si="390"/>
        <v>100</v>
      </c>
      <c r="AT479" s="533">
        <f>W479/R479*100</f>
        <v>126.06861597189921</v>
      </c>
      <c r="AU479" s="533">
        <f>AQ479/W479*100</f>
        <v>43.596679389312982</v>
      </c>
      <c r="AV479" s="533">
        <f>AQ479/R479*100</f>
        <v>54.961730315813121</v>
      </c>
      <c r="AW479" s="612"/>
      <c r="AX479" s="612"/>
      <c r="AY479" s="612"/>
      <c r="AZ479" s="612"/>
      <c r="BA479" s="612"/>
      <c r="BB479" s="612"/>
      <c r="BC479" s="612"/>
      <c r="BD479" s="612"/>
      <c r="BE479" s="612"/>
      <c r="BF479" s="612"/>
      <c r="BG479" s="612"/>
      <c r="BH479" s="612">
        <f t="shared" si="389"/>
        <v>0</v>
      </c>
      <c r="BI479" s="612">
        <f t="shared" si="414"/>
        <v>466.87</v>
      </c>
      <c r="BJ479" s="201">
        <f>AQ486-BI479</f>
        <v>0</v>
      </c>
    </row>
    <row r="480" spans="1:62" ht="12" customHeight="1">
      <c r="A480" s="282" t="s">
        <v>321</v>
      </c>
      <c r="B480" s="283"/>
      <c r="C480" s="283"/>
      <c r="D480" s="283"/>
      <c r="E480" s="283"/>
      <c r="F480" s="283"/>
      <c r="G480" s="283"/>
      <c r="H480" s="284"/>
      <c r="I480" s="295" t="s">
        <v>422</v>
      </c>
      <c r="J480" s="254"/>
      <c r="K480" s="255"/>
      <c r="L480" s="111">
        <f t="shared" ref="L480:S480" si="418">L482</f>
        <v>199882</v>
      </c>
      <c r="M480" s="111">
        <f t="shared" si="418"/>
        <v>26528.900391532286</v>
      </c>
      <c r="N480" s="112">
        <f t="shared" si="418"/>
        <v>179210</v>
      </c>
      <c r="O480" s="112">
        <f t="shared" si="418"/>
        <v>23785.254495985133</v>
      </c>
      <c r="P480" s="113">
        <f t="shared" si="418"/>
        <v>28500</v>
      </c>
      <c r="Q480" s="113">
        <f t="shared" si="418"/>
        <v>66700</v>
      </c>
      <c r="R480" s="87">
        <f t="shared" si="418"/>
        <v>62347</v>
      </c>
      <c r="S480" s="89" t="e">
        <f t="shared" ca="1" si="418"/>
        <v>#NAME?</v>
      </c>
      <c r="T480" s="89"/>
      <c r="U480" s="89"/>
      <c r="V480" s="532">
        <f>V482</f>
        <v>78600</v>
      </c>
      <c r="W480" s="532">
        <f>W482</f>
        <v>78600</v>
      </c>
      <c r="X480" s="506">
        <f>X482</f>
        <v>98000</v>
      </c>
      <c r="Y480" s="507">
        <f>Y482</f>
        <v>116000</v>
      </c>
      <c r="Z480" s="507">
        <f>Z482</f>
        <v>0</v>
      </c>
      <c r="AA480" s="562" t="e">
        <f t="shared" ca="1" si="388"/>
        <v>#NAME?</v>
      </c>
      <c r="AB480" s="507"/>
      <c r="AC480" s="508">
        <f>AC482</f>
        <v>29400</v>
      </c>
      <c r="AD480" s="508">
        <f>AD482</f>
        <v>29400</v>
      </c>
      <c r="AE480" s="529">
        <f>O480/M480*100</f>
        <v>89.657898159914339</v>
      </c>
      <c r="AF480" s="529">
        <f>P480/O480*100</f>
        <v>119.82213604151555</v>
      </c>
      <c r="AG480" s="529">
        <f>Q480/P480*100</f>
        <v>234.03508771929828</v>
      </c>
      <c r="AH480" s="529">
        <f>AC480/Q480*100</f>
        <v>44.077961019490253</v>
      </c>
      <c r="AI480" s="507"/>
      <c r="AJ480" s="507">
        <v>116000</v>
      </c>
      <c r="AK480" s="507">
        <f t="shared" si="416"/>
        <v>126.06861597189921</v>
      </c>
      <c r="AL480" s="507">
        <f t="shared" si="417"/>
        <v>124.68193384223918</v>
      </c>
      <c r="AM480" s="507">
        <f t="shared" si="417"/>
        <v>118.36734693877551</v>
      </c>
      <c r="AN480" s="509"/>
      <c r="AO480" s="510"/>
      <c r="AP480" s="510" t="e">
        <f t="shared" ca="1" si="386"/>
        <v>#NAME?</v>
      </c>
      <c r="AQ480" s="532">
        <f>AQ482</f>
        <v>34266.990000000005</v>
      </c>
      <c r="AR480" s="533">
        <f>V480/R480*100</f>
        <v>126.06861597189921</v>
      </c>
      <c r="AS480" s="533">
        <f t="shared" si="390"/>
        <v>100</v>
      </c>
      <c r="AT480" s="533">
        <f>W480/R480*100</f>
        <v>126.06861597189921</v>
      </c>
      <c r="AU480" s="533">
        <f>AQ480/W480*100</f>
        <v>43.596679389312982</v>
      </c>
      <c r="AV480" s="533">
        <f>AQ480/R480*100</f>
        <v>54.961730315813121</v>
      </c>
      <c r="AW480" s="612"/>
      <c r="AX480" s="612"/>
      <c r="AY480" s="612"/>
      <c r="AZ480" s="612"/>
      <c r="BA480" s="612"/>
      <c r="BB480" s="612"/>
      <c r="BC480" s="612"/>
      <c r="BD480" s="612"/>
      <c r="BE480" s="612"/>
      <c r="BF480" s="612"/>
      <c r="BG480" s="612"/>
      <c r="BH480" s="612">
        <f t="shared" si="389"/>
        <v>0</v>
      </c>
      <c r="BI480" s="612">
        <f t="shared" si="414"/>
        <v>0</v>
      </c>
      <c r="BJ480" s="201">
        <f>AQ487-BI480</f>
        <v>0</v>
      </c>
    </row>
    <row r="481" spans="1:62" ht="12" customHeight="1">
      <c r="A481" s="41"/>
      <c r="B481" s="41"/>
      <c r="C481" s="41"/>
      <c r="D481" s="41"/>
      <c r="E481" s="41"/>
      <c r="F481" s="41"/>
      <c r="G481" s="41"/>
      <c r="H481" s="235"/>
      <c r="I481" s="15"/>
      <c r="J481" s="3"/>
      <c r="K481" s="83"/>
      <c r="L481" s="84">
        <v>1</v>
      </c>
      <c r="M481" s="84">
        <v>2</v>
      </c>
      <c r="N481" s="85">
        <v>3</v>
      </c>
      <c r="O481" s="85">
        <v>4</v>
      </c>
      <c r="P481" s="86">
        <v>5</v>
      </c>
      <c r="Q481" s="86">
        <v>6</v>
      </c>
      <c r="R481" s="154"/>
      <c r="S481" s="158" t="e">
        <f ca="1">__xlfn.XLOOKUP(H481,[1]Izvršenje_proračuna_po_pozicija!$B$2:$B$153,[1]Izvršenje_proračuna_po_pozicija!$E$2:$E$153,0)</f>
        <v>#NAME?</v>
      </c>
      <c r="T481" s="158"/>
      <c r="U481" s="158"/>
      <c r="V481" s="532"/>
      <c r="W481" s="532"/>
      <c r="X481" s="568"/>
      <c r="Y481" s="569"/>
      <c r="Z481" s="569"/>
      <c r="AA481" s="562" t="e">
        <f t="shared" ca="1" si="388"/>
        <v>#NAME?</v>
      </c>
      <c r="AB481" s="537"/>
      <c r="AC481" s="538">
        <v>7</v>
      </c>
      <c r="AD481" s="538">
        <v>8</v>
      </c>
      <c r="AE481" s="538">
        <v>9</v>
      </c>
      <c r="AF481" s="538">
        <v>10</v>
      </c>
      <c r="AG481" s="538">
        <v>11</v>
      </c>
      <c r="AH481" s="538">
        <v>12</v>
      </c>
      <c r="AI481" s="537"/>
      <c r="AJ481" s="569"/>
      <c r="AK481" s="507"/>
      <c r="AL481" s="507"/>
      <c r="AM481" s="507"/>
      <c r="AN481" s="557"/>
      <c r="AO481" s="510"/>
      <c r="AP481" s="510" t="e">
        <f t="shared" ca="1" si="386"/>
        <v>#NAME?</v>
      </c>
      <c r="AQ481" s="532"/>
      <c r="AR481" s="533"/>
      <c r="AS481" s="533"/>
      <c r="AT481" s="533"/>
      <c r="AU481" s="533"/>
      <c r="AV481" s="533"/>
      <c r="AW481" s="612"/>
      <c r="AX481" s="612"/>
      <c r="AY481" s="612"/>
      <c r="AZ481" s="612"/>
      <c r="BA481" s="612"/>
      <c r="BB481" s="612"/>
      <c r="BC481" s="612"/>
      <c r="BD481" s="612"/>
      <c r="BE481" s="612"/>
      <c r="BF481" s="612"/>
      <c r="BG481" s="612"/>
      <c r="BH481" s="612">
        <f t="shared" si="389"/>
        <v>0</v>
      </c>
      <c r="BI481" s="612">
        <f t="shared" si="414"/>
        <v>0</v>
      </c>
      <c r="BJ481" s="201"/>
    </row>
    <row r="482" spans="1:62" ht="12" customHeight="1">
      <c r="A482" s="25"/>
      <c r="B482" s="25"/>
      <c r="C482" s="25"/>
      <c r="D482" s="25"/>
      <c r="E482" s="25"/>
      <c r="F482" s="25"/>
      <c r="G482" s="25"/>
      <c r="H482" s="285"/>
      <c r="I482" s="296"/>
      <c r="J482" s="211">
        <v>3</v>
      </c>
      <c r="K482" s="3" t="s">
        <v>220</v>
      </c>
      <c r="L482" s="111">
        <f t="shared" ref="L482:Z482" si="419">L483</f>
        <v>199882</v>
      </c>
      <c r="M482" s="111">
        <f t="shared" si="419"/>
        <v>26528.900391532286</v>
      </c>
      <c r="N482" s="112">
        <f t="shared" si="419"/>
        <v>179210</v>
      </c>
      <c r="O482" s="112">
        <f t="shared" si="419"/>
        <v>23785.254495985133</v>
      </c>
      <c r="P482" s="113">
        <f t="shared" si="419"/>
        <v>28500</v>
      </c>
      <c r="Q482" s="113">
        <f t="shared" si="419"/>
        <v>66700</v>
      </c>
      <c r="R482" s="87">
        <f t="shared" si="419"/>
        <v>62347</v>
      </c>
      <c r="S482" s="89" t="e">
        <f t="shared" ca="1" si="419"/>
        <v>#NAME?</v>
      </c>
      <c r="T482" s="89"/>
      <c r="U482" s="89"/>
      <c r="V482" s="532">
        <f>V483</f>
        <v>78600</v>
      </c>
      <c r="W482" s="532">
        <f t="shared" si="419"/>
        <v>78600</v>
      </c>
      <c r="X482" s="506">
        <f t="shared" si="419"/>
        <v>98000</v>
      </c>
      <c r="Y482" s="507">
        <f t="shared" si="419"/>
        <v>116000</v>
      </c>
      <c r="Z482" s="507">
        <f t="shared" si="419"/>
        <v>0</v>
      </c>
      <c r="AA482" s="562" t="e">
        <f t="shared" ca="1" si="388"/>
        <v>#NAME?</v>
      </c>
      <c r="AB482" s="507"/>
      <c r="AC482" s="508">
        <f>AC483</f>
        <v>29400</v>
      </c>
      <c r="AD482" s="508">
        <f>AD483</f>
        <v>29400</v>
      </c>
      <c r="AE482" s="529">
        <f>O482/M482*100</f>
        <v>89.657898159914339</v>
      </c>
      <c r="AF482" s="529">
        <f>P482/O482*100</f>
        <v>119.82213604151555</v>
      </c>
      <c r="AG482" s="529">
        <f>Q482/P482*100</f>
        <v>234.03508771929828</v>
      </c>
      <c r="AH482" s="529">
        <f>AC482/Q482*100</f>
        <v>44.077961019490253</v>
      </c>
      <c r="AI482" s="507"/>
      <c r="AJ482" s="507">
        <v>116000</v>
      </c>
      <c r="AK482" s="507">
        <f t="shared" si="416"/>
        <v>126.06861597189921</v>
      </c>
      <c r="AL482" s="507">
        <f t="shared" si="417"/>
        <v>124.68193384223918</v>
      </c>
      <c r="AM482" s="507">
        <f t="shared" si="417"/>
        <v>118.36734693877551</v>
      </c>
      <c r="AN482" s="509"/>
      <c r="AO482" s="510"/>
      <c r="AP482" s="510" t="e">
        <f t="shared" ca="1" si="386"/>
        <v>#NAME?</v>
      </c>
      <c r="AQ482" s="532">
        <f>AQ483</f>
        <v>34266.990000000005</v>
      </c>
      <c r="AR482" s="533">
        <f>V482/R482*100</f>
        <v>126.06861597189921</v>
      </c>
      <c r="AS482" s="533">
        <f t="shared" si="390"/>
        <v>100</v>
      </c>
      <c r="AT482" s="533">
        <f>W482/R482*100</f>
        <v>126.06861597189921</v>
      </c>
      <c r="AU482" s="533">
        <f>AQ482/W482*100</f>
        <v>43.596679389312982</v>
      </c>
      <c r="AV482" s="533">
        <f>AQ482/R482*100</f>
        <v>54.961730315813121</v>
      </c>
      <c r="AW482" s="612"/>
      <c r="AX482" s="612"/>
      <c r="AY482" s="612"/>
      <c r="AZ482" s="612"/>
      <c r="BA482" s="612"/>
      <c r="BB482" s="612"/>
      <c r="BC482" s="612"/>
      <c r="BD482" s="612"/>
      <c r="BE482" s="612"/>
      <c r="BF482" s="612"/>
      <c r="BG482" s="612"/>
      <c r="BH482" s="612">
        <f t="shared" si="389"/>
        <v>0</v>
      </c>
      <c r="BI482" s="612">
        <f t="shared" si="414"/>
        <v>9747.94</v>
      </c>
      <c r="BJ482" s="201">
        <f t="shared" ref="BJ482:BJ487" si="420">AQ489-BI482</f>
        <v>0</v>
      </c>
    </row>
    <row r="483" spans="1:62" ht="12" customHeight="1">
      <c r="A483" s="227"/>
      <c r="B483" s="227"/>
      <c r="C483" s="227"/>
      <c r="D483" s="227"/>
      <c r="E483" s="227"/>
      <c r="F483" s="227"/>
      <c r="G483" s="227"/>
      <c r="H483" s="234"/>
      <c r="I483" s="297"/>
      <c r="J483" s="228">
        <v>34</v>
      </c>
      <c r="K483" s="258" t="s">
        <v>260</v>
      </c>
      <c r="L483" s="111">
        <f t="shared" ref="L483:S483" si="421">L485+L488</f>
        <v>199882</v>
      </c>
      <c r="M483" s="111">
        <f t="shared" si="421"/>
        <v>26528.900391532286</v>
      </c>
      <c r="N483" s="112">
        <f t="shared" si="421"/>
        <v>179210</v>
      </c>
      <c r="O483" s="112">
        <f t="shared" si="421"/>
        <v>23785.254495985133</v>
      </c>
      <c r="P483" s="113">
        <f t="shared" si="421"/>
        <v>28500</v>
      </c>
      <c r="Q483" s="113">
        <f t="shared" si="421"/>
        <v>66700</v>
      </c>
      <c r="R483" s="87">
        <f t="shared" si="421"/>
        <v>62347</v>
      </c>
      <c r="S483" s="89" t="e">
        <f t="shared" ca="1" si="421"/>
        <v>#NAME?</v>
      </c>
      <c r="T483" s="89"/>
      <c r="U483" s="89"/>
      <c r="V483" s="532">
        <f>V485+V488</f>
        <v>78600</v>
      </c>
      <c r="W483" s="532">
        <f>W485+W488</f>
        <v>78600</v>
      </c>
      <c r="X483" s="506">
        <f>X485+X488</f>
        <v>98000</v>
      </c>
      <c r="Y483" s="507">
        <f>Y485+Y488</f>
        <v>116000</v>
      </c>
      <c r="Z483" s="507">
        <f>Z485+Z488</f>
        <v>0</v>
      </c>
      <c r="AA483" s="562" t="e">
        <f t="shared" ca="1" si="388"/>
        <v>#NAME?</v>
      </c>
      <c r="AB483" s="507"/>
      <c r="AC483" s="508">
        <f>AC485+AC488</f>
        <v>29400</v>
      </c>
      <c r="AD483" s="508">
        <f>AD485+AD488</f>
        <v>29400</v>
      </c>
      <c r="AE483" s="529">
        <f>O483/M483*100</f>
        <v>89.657898159914339</v>
      </c>
      <c r="AF483" s="529">
        <f>P483/O483*100</f>
        <v>119.82213604151555</v>
      </c>
      <c r="AG483" s="529">
        <f>Q483/P483*100</f>
        <v>234.03508771929828</v>
      </c>
      <c r="AH483" s="529">
        <f>AC483/Q483*100</f>
        <v>44.077961019490253</v>
      </c>
      <c r="AI483" s="507"/>
      <c r="AJ483" s="507">
        <v>116000</v>
      </c>
      <c r="AK483" s="507">
        <f t="shared" si="416"/>
        <v>126.06861597189921</v>
      </c>
      <c r="AL483" s="507">
        <f t="shared" si="417"/>
        <v>124.68193384223918</v>
      </c>
      <c r="AM483" s="507">
        <f t="shared" si="417"/>
        <v>118.36734693877551</v>
      </c>
      <c r="AN483" s="509"/>
      <c r="AO483" s="510"/>
      <c r="AP483" s="510" t="e">
        <f t="shared" ref="AP483:AP546" ca="1" si="422">__xlfn.ISFORMULA(X483)</f>
        <v>#NAME?</v>
      </c>
      <c r="AQ483" s="532">
        <f>AQ485+AQ488</f>
        <v>34266.990000000005</v>
      </c>
      <c r="AR483" s="533">
        <f>V483/R483*100</f>
        <v>126.06861597189921</v>
      </c>
      <c r="AS483" s="533">
        <f t="shared" si="390"/>
        <v>100</v>
      </c>
      <c r="AT483" s="533">
        <f>W483/R483*100</f>
        <v>126.06861597189921</v>
      </c>
      <c r="AU483" s="533">
        <f>AQ483/W483*100</f>
        <v>43.596679389312982</v>
      </c>
      <c r="AV483" s="533">
        <f>AQ483/R483*100</f>
        <v>54.961730315813121</v>
      </c>
      <c r="AW483" s="612"/>
      <c r="AX483" s="612"/>
      <c r="AY483" s="612"/>
      <c r="AZ483" s="612"/>
      <c r="BA483" s="612"/>
      <c r="BB483" s="612"/>
      <c r="BC483" s="612"/>
      <c r="BD483" s="612"/>
      <c r="BE483" s="612"/>
      <c r="BF483" s="612"/>
      <c r="BG483" s="612"/>
      <c r="BH483" s="612">
        <f t="shared" si="389"/>
        <v>0</v>
      </c>
      <c r="BI483" s="612">
        <f t="shared" si="414"/>
        <v>571.34</v>
      </c>
      <c r="BJ483" s="201">
        <f t="shared" si="420"/>
        <v>0</v>
      </c>
    </row>
    <row r="484" spans="1:62" ht="12" customHeight="1">
      <c r="A484" s="25"/>
      <c r="B484" s="25"/>
      <c r="C484" s="25"/>
      <c r="D484" s="25"/>
      <c r="E484" s="25"/>
      <c r="F484" s="25"/>
      <c r="G484" s="25"/>
      <c r="H484" s="285"/>
      <c r="I484" s="296"/>
      <c r="J484" s="211"/>
      <c r="K484" s="3"/>
      <c r="L484" s="111"/>
      <c r="M484" s="111"/>
      <c r="N484" s="112"/>
      <c r="O484" s="112"/>
      <c r="P484" s="113"/>
      <c r="Q484" s="113"/>
      <c r="R484" s="87"/>
      <c r="S484" s="158" t="e">
        <f ca="1">__xlfn.XLOOKUP(H484,[1]Izvršenje_proračuna_po_pozicija!$B$2:$B$153,[1]Izvršenje_proračuna_po_pozicija!$E$2:$E$153,0)</f>
        <v>#NAME?</v>
      </c>
      <c r="T484" s="158"/>
      <c r="U484" s="158"/>
      <c r="V484" s="532"/>
      <c r="W484" s="532"/>
      <c r="X484" s="563"/>
      <c r="Y484" s="562"/>
      <c r="Z484" s="562"/>
      <c r="AA484" s="562" t="e">
        <f t="shared" ca="1" si="388"/>
        <v>#NAME?</v>
      </c>
      <c r="AB484" s="507"/>
      <c r="AC484" s="508"/>
      <c r="AD484" s="508"/>
      <c r="AE484" s="529"/>
      <c r="AF484" s="529"/>
      <c r="AG484" s="529"/>
      <c r="AH484" s="529"/>
      <c r="AI484" s="507"/>
      <c r="AJ484" s="562"/>
      <c r="AK484" s="507"/>
      <c r="AL484" s="507"/>
      <c r="AM484" s="507"/>
      <c r="AN484" s="509"/>
      <c r="AO484" s="510"/>
      <c r="AP484" s="510" t="e">
        <f t="shared" ca="1" si="422"/>
        <v>#NAME?</v>
      </c>
      <c r="AQ484" s="532"/>
      <c r="AR484" s="533"/>
      <c r="AS484" s="533"/>
      <c r="AT484" s="533"/>
      <c r="AU484" s="533"/>
      <c r="AV484" s="533"/>
      <c r="AW484" s="612"/>
      <c r="AX484" s="612"/>
      <c r="AY484" s="612"/>
      <c r="AZ484" s="612"/>
      <c r="BA484" s="612"/>
      <c r="BB484" s="612"/>
      <c r="BC484" s="612"/>
      <c r="BD484" s="612"/>
      <c r="BE484" s="612"/>
      <c r="BF484" s="612"/>
      <c r="BG484" s="612"/>
      <c r="BH484" s="612">
        <f t="shared" si="389"/>
        <v>0</v>
      </c>
      <c r="BI484" s="612">
        <f t="shared" si="414"/>
        <v>23454.36</v>
      </c>
      <c r="BJ484" s="201">
        <f t="shared" si="420"/>
        <v>0</v>
      </c>
    </row>
    <row r="485" spans="1:62" ht="12" customHeight="1">
      <c r="A485" s="322"/>
      <c r="B485" s="202"/>
      <c r="C485" s="202"/>
      <c r="D485" s="202"/>
      <c r="E485" s="202"/>
      <c r="F485" s="202"/>
      <c r="G485" s="202"/>
      <c r="H485" s="288"/>
      <c r="I485" s="308"/>
      <c r="J485" s="327">
        <v>342</v>
      </c>
      <c r="K485" s="328" t="s">
        <v>423</v>
      </c>
      <c r="L485" s="111">
        <f t="shared" ref="L485:Z485" si="423">L486</f>
        <v>14909</v>
      </c>
      <c r="M485" s="111">
        <f t="shared" si="423"/>
        <v>1978.7643506536597</v>
      </c>
      <c r="N485" s="112">
        <f t="shared" si="423"/>
        <v>14777</v>
      </c>
      <c r="O485" s="112">
        <f t="shared" si="423"/>
        <v>1961.244939942929</v>
      </c>
      <c r="P485" s="113">
        <f t="shared" si="423"/>
        <v>2700</v>
      </c>
      <c r="Q485" s="113">
        <f t="shared" si="423"/>
        <v>2700</v>
      </c>
      <c r="R485" s="87">
        <f t="shared" si="423"/>
        <v>382</v>
      </c>
      <c r="S485" s="89" t="e">
        <f t="shared" ca="1" si="423"/>
        <v>#NAME?</v>
      </c>
      <c r="T485" s="89"/>
      <c r="U485" s="89"/>
      <c r="V485" s="532">
        <f>V486</f>
        <v>600</v>
      </c>
      <c r="W485" s="532">
        <f t="shared" si="423"/>
        <v>600</v>
      </c>
      <c r="X485" s="506">
        <f t="shared" si="423"/>
        <v>1000</v>
      </c>
      <c r="Y485" s="507">
        <f t="shared" si="423"/>
        <v>1000</v>
      </c>
      <c r="Z485" s="507">
        <f t="shared" si="423"/>
        <v>0</v>
      </c>
      <c r="AA485" s="562" t="e">
        <f t="shared" ref="AA485:AA548" ca="1" si="424">__xlfn.ISFORMULA(R485)</f>
        <v>#NAME?</v>
      </c>
      <c r="AB485" s="507"/>
      <c r="AC485" s="508">
        <f>AC486</f>
        <v>2700</v>
      </c>
      <c r="AD485" s="508">
        <f>AD486</f>
        <v>2700</v>
      </c>
      <c r="AE485" s="529">
        <f>O485/M485*100</f>
        <v>99.114628747736262</v>
      </c>
      <c r="AF485" s="529">
        <f>P485/O485*100</f>
        <v>137.66765920010829</v>
      </c>
      <c r="AG485" s="529">
        <f>Q485/P485*100</f>
        <v>100</v>
      </c>
      <c r="AH485" s="529">
        <f>AC485/Q485*100</f>
        <v>100</v>
      </c>
      <c r="AI485" s="507"/>
      <c r="AJ485" s="507">
        <v>1000</v>
      </c>
      <c r="AK485" s="507">
        <f t="shared" si="416"/>
        <v>157.06806282722513</v>
      </c>
      <c r="AL485" s="507">
        <f t="shared" si="417"/>
        <v>166.66666666666669</v>
      </c>
      <c r="AM485" s="507">
        <f t="shared" si="417"/>
        <v>100</v>
      </c>
      <c r="AN485" s="509"/>
      <c r="AO485" s="510"/>
      <c r="AP485" s="510" t="e">
        <f t="shared" ca="1" si="422"/>
        <v>#NAME?</v>
      </c>
      <c r="AQ485" s="532">
        <f>AQ486</f>
        <v>466.87</v>
      </c>
      <c r="AR485" s="533">
        <f>V485/R485*100</f>
        <v>157.06806282722513</v>
      </c>
      <c r="AS485" s="533">
        <f t="shared" si="390"/>
        <v>100</v>
      </c>
      <c r="AT485" s="533">
        <f>W485/R485*100</f>
        <v>157.06806282722513</v>
      </c>
      <c r="AU485" s="533">
        <f>AQ485/W485*100</f>
        <v>77.811666666666667</v>
      </c>
      <c r="AV485" s="533">
        <f>AQ485/R485*100</f>
        <v>122.217277486911</v>
      </c>
      <c r="AW485" s="612"/>
      <c r="AX485" s="612"/>
      <c r="AY485" s="612"/>
      <c r="AZ485" s="612"/>
      <c r="BA485" s="612"/>
      <c r="BB485" s="612"/>
      <c r="BC485" s="612"/>
      <c r="BD485" s="612"/>
      <c r="BE485" s="612"/>
      <c r="BF485" s="612"/>
      <c r="BG485" s="612"/>
      <c r="BH485" s="612">
        <f t="shared" ref="BH485:BH548" si="425">SUM(AW485:BG485)</f>
        <v>0</v>
      </c>
      <c r="BI485" s="612">
        <f t="shared" si="414"/>
        <v>0</v>
      </c>
      <c r="BJ485" s="201">
        <f t="shared" si="420"/>
        <v>0</v>
      </c>
    </row>
    <row r="486" spans="1:62" ht="12" customHeight="1">
      <c r="A486" s="52"/>
      <c r="B486" s="52"/>
      <c r="C486" s="52"/>
      <c r="D486" s="52"/>
      <c r="E486" s="52"/>
      <c r="F486" s="52"/>
      <c r="G486" s="52"/>
      <c r="H486" s="2" t="s">
        <v>424</v>
      </c>
      <c r="I486" s="260"/>
      <c r="J486" s="185">
        <v>3423</v>
      </c>
      <c r="K486" s="19" t="s">
        <v>262</v>
      </c>
      <c r="L486" s="129">
        <v>14909</v>
      </c>
      <c r="M486" s="129">
        <f>14909/7.5345</f>
        <v>1978.7643506536597</v>
      </c>
      <c r="N486" s="130">
        <v>14777</v>
      </c>
      <c r="O486" s="130">
        <f>N486/7.5345</f>
        <v>1961.244939942929</v>
      </c>
      <c r="P486" s="131">
        <v>2700</v>
      </c>
      <c r="Q486" s="131">
        <v>2700</v>
      </c>
      <c r="R486" s="153">
        <v>382</v>
      </c>
      <c r="S486" s="158" t="e">
        <f ca="1">__xlfn.XLOOKUP(H486,[1]Izvršenje_proračuna_po_pozicija!$B$2:$B$153,[1]Izvršenje_proračuna_po_pozicija!$E$2:$E$153,0)</f>
        <v>#NAME?</v>
      </c>
      <c r="T486" s="158"/>
      <c r="U486" s="158"/>
      <c r="V486" s="532">
        <v>600</v>
      </c>
      <c r="W486" s="532">
        <v>600</v>
      </c>
      <c r="X486" s="560">
        <v>1000</v>
      </c>
      <c r="Y486" s="561">
        <v>1000</v>
      </c>
      <c r="Z486" s="561"/>
      <c r="AA486" s="562" t="e">
        <f t="shared" ca="1" si="424"/>
        <v>#NAME?</v>
      </c>
      <c r="AB486" s="535"/>
      <c r="AC486" s="529">
        <v>2700</v>
      </c>
      <c r="AD486" s="529">
        <v>2700</v>
      </c>
      <c r="AE486" s="529">
        <f>O486/M486*100</f>
        <v>99.114628747736262</v>
      </c>
      <c r="AF486" s="529">
        <f>P486/O486*100</f>
        <v>137.66765920010829</v>
      </c>
      <c r="AG486" s="529">
        <f>Q486/P486*100</f>
        <v>100</v>
      </c>
      <c r="AH486" s="529">
        <f>AC486/Q486*100</f>
        <v>100</v>
      </c>
      <c r="AI486" s="535"/>
      <c r="AJ486" s="561">
        <v>1000</v>
      </c>
      <c r="AK486" s="507">
        <f t="shared" si="416"/>
        <v>157.06806282722513</v>
      </c>
      <c r="AL486" s="507">
        <f t="shared" si="417"/>
        <v>166.66666666666669</v>
      </c>
      <c r="AM486" s="507">
        <f t="shared" si="417"/>
        <v>100</v>
      </c>
      <c r="AN486" s="556"/>
      <c r="AO486" s="510"/>
      <c r="AP486" s="510" t="e">
        <f t="shared" ca="1" si="422"/>
        <v>#NAME?</v>
      </c>
      <c r="AQ486" s="532">
        <v>466.87</v>
      </c>
      <c r="AR486" s="533">
        <f>V486/R486*100</f>
        <v>157.06806282722513</v>
      </c>
      <c r="AS486" s="533">
        <f t="shared" si="390"/>
        <v>100</v>
      </c>
      <c r="AT486" s="533">
        <f>W486/R486*100</f>
        <v>157.06806282722513</v>
      </c>
      <c r="AU486" s="533">
        <f>AQ486/W486*100</f>
        <v>77.811666666666667</v>
      </c>
      <c r="AV486" s="533">
        <f>AQ486/R486*100</f>
        <v>122.217277486911</v>
      </c>
      <c r="AW486" s="612">
        <f>AQ486</f>
        <v>466.87</v>
      </c>
      <c r="AX486" s="612"/>
      <c r="AY486" s="612"/>
      <c r="AZ486" s="612"/>
      <c r="BA486" s="612"/>
      <c r="BB486" s="612"/>
      <c r="BC486" s="612"/>
      <c r="BD486" s="612"/>
      <c r="BE486" s="612"/>
      <c r="BF486" s="612"/>
      <c r="BG486" s="612"/>
      <c r="BH486" s="612">
        <f t="shared" si="425"/>
        <v>466.87</v>
      </c>
      <c r="BI486" s="612">
        <f t="shared" si="414"/>
        <v>26.48</v>
      </c>
      <c r="BJ486" s="201">
        <f t="shared" si="420"/>
        <v>0</v>
      </c>
    </row>
    <row r="487" spans="1:62" ht="12" customHeight="1">
      <c r="A487" s="68"/>
      <c r="B487" s="68"/>
      <c r="C487" s="68"/>
      <c r="D487" s="68"/>
      <c r="E487" s="68"/>
      <c r="F487" s="68"/>
      <c r="G487" s="68"/>
      <c r="H487" s="319"/>
      <c r="I487" s="4"/>
      <c r="J487" s="8"/>
      <c r="K487" s="8"/>
      <c r="L487" s="84"/>
      <c r="M487" s="84"/>
      <c r="N487" s="85"/>
      <c r="O487" s="85"/>
      <c r="P487" s="86"/>
      <c r="Q487" s="86"/>
      <c r="R487" s="154"/>
      <c r="S487" s="158" t="e">
        <f ca="1">__xlfn.XLOOKUP(H487,[1]Izvršenje_proračuna_po_pozicija!$B$2:$B$153,[1]Izvršenje_proračuna_po_pozicija!$E$2:$E$153,0)</f>
        <v>#NAME?</v>
      </c>
      <c r="T487" s="158"/>
      <c r="U487" s="158"/>
      <c r="V487" s="532"/>
      <c r="W487" s="532"/>
      <c r="X487" s="568"/>
      <c r="Y487" s="569"/>
      <c r="Z487" s="569"/>
      <c r="AA487" s="562" t="e">
        <f t="shared" ca="1" si="424"/>
        <v>#NAME?</v>
      </c>
      <c r="AB487" s="537"/>
      <c r="AC487" s="538"/>
      <c r="AD487" s="538"/>
      <c r="AE487" s="529"/>
      <c r="AF487" s="529"/>
      <c r="AG487" s="529"/>
      <c r="AH487" s="529"/>
      <c r="AI487" s="537"/>
      <c r="AJ487" s="569"/>
      <c r="AK487" s="507"/>
      <c r="AL487" s="507"/>
      <c r="AM487" s="507"/>
      <c r="AN487" s="557"/>
      <c r="AO487" s="510"/>
      <c r="AP487" s="510" t="e">
        <f t="shared" ca="1" si="422"/>
        <v>#NAME?</v>
      </c>
      <c r="AQ487" s="532"/>
      <c r="AR487" s="533"/>
      <c r="AS487" s="533"/>
      <c r="AT487" s="533"/>
      <c r="AU487" s="533"/>
      <c r="AV487" s="533"/>
      <c r="AW487" s="612"/>
      <c r="AX487" s="612"/>
      <c r="AY487" s="612"/>
      <c r="AZ487" s="612"/>
      <c r="BA487" s="612"/>
      <c r="BB487" s="612"/>
      <c r="BC487" s="612"/>
      <c r="BD487" s="612"/>
      <c r="BE487" s="612"/>
      <c r="BF487" s="612"/>
      <c r="BG487" s="612"/>
      <c r="BH487" s="612">
        <f t="shared" si="425"/>
        <v>0</v>
      </c>
      <c r="BI487" s="612">
        <f t="shared" si="414"/>
        <v>0</v>
      </c>
      <c r="BJ487" s="201">
        <f t="shared" si="420"/>
        <v>0</v>
      </c>
    </row>
    <row r="488" spans="1:62" ht="12" customHeight="1">
      <c r="A488" s="61"/>
      <c r="B488" s="61"/>
      <c r="C488" s="61"/>
      <c r="D488" s="61"/>
      <c r="E488" s="61"/>
      <c r="F488" s="61"/>
      <c r="G488" s="61"/>
      <c r="H488" s="230"/>
      <c r="I488" s="261"/>
      <c r="J488" s="229">
        <v>343</v>
      </c>
      <c r="K488" s="20" t="s">
        <v>425</v>
      </c>
      <c r="L488" s="111">
        <f t="shared" ref="L488:S488" si="426">L489+L490+L491+L492+L493</f>
        <v>184973</v>
      </c>
      <c r="M488" s="111">
        <f t="shared" si="426"/>
        <v>24550.136040878628</v>
      </c>
      <c r="N488" s="112">
        <f t="shared" si="426"/>
        <v>164433</v>
      </c>
      <c r="O488" s="112">
        <f t="shared" si="426"/>
        <v>21824.009556042205</v>
      </c>
      <c r="P488" s="113">
        <f t="shared" si="426"/>
        <v>25800</v>
      </c>
      <c r="Q488" s="113">
        <f t="shared" si="426"/>
        <v>64000</v>
      </c>
      <c r="R488" s="87">
        <f t="shared" si="426"/>
        <v>61965</v>
      </c>
      <c r="S488" s="89" t="e">
        <f t="shared" ca="1" si="426"/>
        <v>#NAME?</v>
      </c>
      <c r="T488" s="89"/>
      <c r="U488" s="89"/>
      <c r="V488" s="532">
        <f>V489+V490+V491+V492+V493</f>
        <v>78000</v>
      </c>
      <c r="W488" s="532">
        <f>W489+W490+W491+W492+W493</f>
        <v>78000</v>
      </c>
      <c r="X488" s="506">
        <f>X489+X490+X491+X492+X493</f>
        <v>97000</v>
      </c>
      <c r="Y488" s="507">
        <f>Y489+Y490+Y491+Y492+Y493</f>
        <v>115000</v>
      </c>
      <c r="Z488" s="507">
        <f>Z489+Z490+Z491+Z492+Z493</f>
        <v>0</v>
      </c>
      <c r="AA488" s="562" t="e">
        <f t="shared" ca="1" si="424"/>
        <v>#NAME?</v>
      </c>
      <c r="AB488" s="507"/>
      <c r="AC488" s="508">
        <f>AC489+AC490+AC491+AC492+AC493</f>
        <v>26700</v>
      </c>
      <c r="AD488" s="508">
        <f>AD489+AD490+AD491+AD492+AD493</f>
        <v>26700</v>
      </c>
      <c r="AE488" s="529">
        <f>O488/M488*100</f>
        <v>88.895676666324263</v>
      </c>
      <c r="AF488" s="529">
        <f>P488/O488*100</f>
        <v>118.21842330918977</v>
      </c>
      <c r="AG488" s="529">
        <f>Q488/P488*100</f>
        <v>248.06201550387595</v>
      </c>
      <c r="AH488" s="529">
        <f>AC488/Q488*100</f>
        <v>41.71875</v>
      </c>
      <c r="AI488" s="507"/>
      <c r="AJ488" s="507">
        <v>115000</v>
      </c>
      <c r="AK488" s="507">
        <f t="shared" si="416"/>
        <v>125.87751149842654</v>
      </c>
      <c r="AL488" s="507">
        <f t="shared" si="417"/>
        <v>124.35897435897436</v>
      </c>
      <c r="AM488" s="507">
        <f t="shared" si="417"/>
        <v>118.55670103092784</v>
      </c>
      <c r="AN488" s="509"/>
      <c r="AO488" s="510"/>
      <c r="AP488" s="510" t="e">
        <f t="shared" ca="1" si="422"/>
        <v>#NAME?</v>
      </c>
      <c r="AQ488" s="532">
        <f>AQ489+AQ490+AQ491+AQ492+AQ493</f>
        <v>33800.120000000003</v>
      </c>
      <c r="AR488" s="533">
        <f>V488/R488*100</f>
        <v>125.87751149842654</v>
      </c>
      <c r="AS488" s="533">
        <f>W488/V488*100</f>
        <v>100</v>
      </c>
      <c r="AT488" s="533">
        <f>W488/R488*100</f>
        <v>125.87751149842654</v>
      </c>
      <c r="AU488" s="533">
        <f>AQ488/W488*100</f>
        <v>43.333487179487186</v>
      </c>
      <c r="AV488" s="533">
        <f>AQ488/R488*100</f>
        <v>54.547115307028157</v>
      </c>
      <c r="AW488" s="612"/>
      <c r="AX488" s="612"/>
      <c r="AY488" s="612"/>
      <c r="AZ488" s="612"/>
      <c r="BA488" s="612"/>
      <c r="BB488" s="612"/>
      <c r="BC488" s="612"/>
      <c r="BD488" s="612"/>
      <c r="BE488" s="612"/>
      <c r="BF488" s="612"/>
      <c r="BG488" s="612"/>
      <c r="BH488" s="612">
        <f t="shared" si="425"/>
        <v>0</v>
      </c>
      <c r="BI488" s="612">
        <f t="shared" si="414"/>
        <v>0</v>
      </c>
      <c r="BJ488" s="201"/>
    </row>
    <row r="489" spans="1:62" ht="12" customHeight="1">
      <c r="A489" s="52"/>
      <c r="B489" s="52"/>
      <c r="C489" s="52"/>
      <c r="D489" s="52"/>
      <c r="E489" s="52"/>
      <c r="F489" s="52"/>
      <c r="G489" s="52"/>
      <c r="H489" s="2">
        <v>27</v>
      </c>
      <c r="I489" s="260">
        <v>112</v>
      </c>
      <c r="J489" s="185">
        <v>3431</v>
      </c>
      <c r="K489" s="19" t="s">
        <v>426</v>
      </c>
      <c r="L489" s="129">
        <v>48866</v>
      </c>
      <c r="M489" s="129">
        <f>48866/7.5345</f>
        <v>6485.632755989116</v>
      </c>
      <c r="N489" s="130">
        <v>42694</v>
      </c>
      <c r="O489" s="130">
        <f>N489/7.5345</f>
        <v>5666.4675824540445</v>
      </c>
      <c r="P489" s="131">
        <v>6000</v>
      </c>
      <c r="Q489" s="156">
        <v>7000</v>
      </c>
      <c r="R489" s="153">
        <v>7983</v>
      </c>
      <c r="S489" s="158">
        <v>7326</v>
      </c>
      <c r="T489" s="158"/>
      <c r="U489" s="158"/>
      <c r="V489" s="532">
        <v>9000</v>
      </c>
      <c r="W489" s="532">
        <v>9000</v>
      </c>
      <c r="X489" s="560">
        <v>10000</v>
      </c>
      <c r="Y489" s="561">
        <v>11000</v>
      </c>
      <c r="Z489" s="561"/>
      <c r="AA489" s="562" t="e">
        <f t="shared" ca="1" si="424"/>
        <v>#NAME?</v>
      </c>
      <c r="AB489" s="535"/>
      <c r="AC489" s="529">
        <v>6000</v>
      </c>
      <c r="AD489" s="529">
        <v>6000</v>
      </c>
      <c r="AE489" s="529">
        <f>O489/M489*100</f>
        <v>87.369541194286427</v>
      </c>
      <c r="AF489" s="529">
        <f>P489/O489*100</f>
        <v>105.88607298449431</v>
      </c>
      <c r="AG489" s="529">
        <f>Q489/P489*100</f>
        <v>116.66666666666667</v>
      </c>
      <c r="AH489" s="529">
        <f>AC489/Q489*100</f>
        <v>85.714285714285708</v>
      </c>
      <c r="AI489" s="535"/>
      <c r="AJ489" s="561">
        <v>11000</v>
      </c>
      <c r="AK489" s="507">
        <f t="shared" si="416"/>
        <v>112.73957158962796</v>
      </c>
      <c r="AL489" s="507">
        <f t="shared" si="417"/>
        <v>111.11111111111111</v>
      </c>
      <c r="AM489" s="507">
        <f t="shared" si="417"/>
        <v>110.00000000000001</v>
      </c>
      <c r="AN489" s="556"/>
      <c r="AO489" s="510"/>
      <c r="AP489" s="510" t="e">
        <f t="shared" ca="1" si="422"/>
        <v>#NAME?</v>
      </c>
      <c r="AQ489" s="532">
        <v>9747.94</v>
      </c>
      <c r="AR489" s="533">
        <f>V489/R489*100</f>
        <v>112.73957158962796</v>
      </c>
      <c r="AS489" s="533">
        <f>W489/V489*100</f>
        <v>100</v>
      </c>
      <c r="AT489" s="533">
        <f>W489/R489*100</f>
        <v>112.73957158962796</v>
      </c>
      <c r="AU489" s="533">
        <f>AQ489/W489*100</f>
        <v>108.31044444444444</v>
      </c>
      <c r="AV489" s="533">
        <f>AQ489/R489*100</f>
        <v>122.10873105348867</v>
      </c>
      <c r="AW489" s="612">
        <f>AQ489</f>
        <v>9747.94</v>
      </c>
      <c r="AX489" s="612"/>
      <c r="AY489" s="612"/>
      <c r="AZ489" s="612"/>
      <c r="BA489" s="612"/>
      <c r="BB489" s="612"/>
      <c r="BC489" s="612"/>
      <c r="BD489" s="612"/>
      <c r="BE489" s="612"/>
      <c r="BF489" s="612"/>
      <c r="BG489" s="612"/>
      <c r="BH489" s="612">
        <f t="shared" si="425"/>
        <v>9747.94</v>
      </c>
      <c r="BI489" s="612">
        <f t="shared" si="414"/>
        <v>0</v>
      </c>
      <c r="BJ489" s="201">
        <f t="shared" ref="BJ489:BJ495" si="427">AQ496-BI489</f>
        <v>0</v>
      </c>
    </row>
    <row r="490" spans="1:62" ht="12" customHeight="1">
      <c r="A490" s="52"/>
      <c r="B490" s="52"/>
      <c r="C490" s="52"/>
      <c r="D490" s="52"/>
      <c r="E490" s="52"/>
      <c r="F490" s="52"/>
      <c r="G490" s="52"/>
      <c r="H490" s="2" t="s">
        <v>427</v>
      </c>
      <c r="I490" s="260">
        <v>112</v>
      </c>
      <c r="J490" s="185">
        <v>3433</v>
      </c>
      <c r="K490" s="19" t="s">
        <v>428</v>
      </c>
      <c r="L490" s="129">
        <v>57488</v>
      </c>
      <c r="M490" s="129">
        <f>57488/7.5345</f>
        <v>7629.9688101400225</v>
      </c>
      <c r="N490" s="130">
        <v>2530</v>
      </c>
      <c r="O490" s="130">
        <f>N490/7.5345</f>
        <v>335.78870528900387</v>
      </c>
      <c r="P490" s="131">
        <v>4000</v>
      </c>
      <c r="Q490" s="131">
        <v>4000</v>
      </c>
      <c r="R490" s="153">
        <v>537</v>
      </c>
      <c r="S490" s="158" t="e">
        <f ca="1">__xlfn.XLOOKUP(H490,[1]Izvršenje_proračuna_po_pozicija!$B$2:$B$153,[1]Izvršenje_proračuna_po_pozicija!$E$2:$E$153,0)</f>
        <v>#NAME?</v>
      </c>
      <c r="T490" s="158"/>
      <c r="U490" s="158"/>
      <c r="V490" s="532">
        <v>4000</v>
      </c>
      <c r="W490" s="532">
        <v>4000</v>
      </c>
      <c r="X490" s="560">
        <v>4000</v>
      </c>
      <c r="Y490" s="561">
        <v>4000</v>
      </c>
      <c r="Z490" s="561"/>
      <c r="AA490" s="562" t="e">
        <f t="shared" ca="1" si="424"/>
        <v>#NAME?</v>
      </c>
      <c r="AB490" s="535"/>
      <c r="AC490" s="529">
        <v>4000</v>
      </c>
      <c r="AD490" s="529">
        <v>4000</v>
      </c>
      <c r="AE490" s="529">
        <f>O490/M490*100</f>
        <v>4.4009184525466178</v>
      </c>
      <c r="AF490" s="529"/>
      <c r="AG490" s="529"/>
      <c r="AH490" s="529"/>
      <c r="AI490" s="535"/>
      <c r="AJ490" s="561">
        <v>4000</v>
      </c>
      <c r="AK490" s="507">
        <f t="shared" si="416"/>
        <v>744.87895716946002</v>
      </c>
      <c r="AL490" s="507">
        <f t="shared" si="417"/>
        <v>100</v>
      </c>
      <c r="AM490" s="507">
        <f t="shared" si="417"/>
        <v>100</v>
      </c>
      <c r="AN490" s="556"/>
      <c r="AO490" s="510"/>
      <c r="AP490" s="510" t="e">
        <f t="shared" ca="1" si="422"/>
        <v>#NAME?</v>
      </c>
      <c r="AQ490" s="532">
        <v>571.34</v>
      </c>
      <c r="AR490" s="533">
        <f>V490/R490*100</f>
        <v>744.87895716946002</v>
      </c>
      <c r="AS490" s="533">
        <f>W490/V490*100</f>
        <v>100</v>
      </c>
      <c r="AT490" s="533">
        <f>W490/R490*100</f>
        <v>744.87895716946002</v>
      </c>
      <c r="AU490" s="533">
        <f>AQ490/W490*100</f>
        <v>14.283500000000002</v>
      </c>
      <c r="AV490" s="533">
        <f>AQ490/R490*100</f>
        <v>106.39478584729983</v>
      </c>
      <c r="AW490" s="612">
        <f>AQ490</f>
        <v>571.34</v>
      </c>
      <c r="AX490" s="612"/>
      <c r="AY490" s="612"/>
      <c r="AZ490" s="612"/>
      <c r="BA490" s="612"/>
      <c r="BB490" s="612"/>
      <c r="BC490" s="612"/>
      <c r="BD490" s="612"/>
      <c r="BE490" s="612"/>
      <c r="BF490" s="612"/>
      <c r="BG490" s="612"/>
      <c r="BH490" s="612">
        <f t="shared" si="425"/>
        <v>571.34</v>
      </c>
      <c r="BI490" s="612">
        <f t="shared" si="414"/>
        <v>0</v>
      </c>
      <c r="BJ490" s="201">
        <f t="shared" si="427"/>
        <v>0</v>
      </c>
    </row>
    <row r="491" spans="1:62" ht="12" customHeight="1">
      <c r="A491" s="52"/>
      <c r="B491" s="52"/>
      <c r="C491" s="52"/>
      <c r="D491" s="52"/>
      <c r="E491" s="52"/>
      <c r="F491" s="52"/>
      <c r="G491" s="52"/>
      <c r="H491" s="2" t="s">
        <v>429</v>
      </c>
      <c r="I491" s="260">
        <v>112</v>
      </c>
      <c r="J491" s="185">
        <v>3434</v>
      </c>
      <c r="K491" s="19" t="s">
        <v>430</v>
      </c>
      <c r="L491" s="129">
        <v>72619</v>
      </c>
      <c r="M491" s="129">
        <f>72619/7.5345</f>
        <v>9638.1976242617293</v>
      </c>
      <c r="N491" s="130">
        <v>111771</v>
      </c>
      <c r="O491" s="130">
        <f>N491/7.5345</f>
        <v>14834.561019311168</v>
      </c>
      <c r="P491" s="131">
        <v>13100</v>
      </c>
      <c r="Q491" s="156">
        <v>18000</v>
      </c>
      <c r="R491" s="153">
        <v>18226</v>
      </c>
      <c r="S491" s="158" t="e">
        <f ca="1">__xlfn.XLOOKUP(H491,[1]Izvršenje_proračuna_po_pozicija!$B$2:$B$153,[1]Izvršenje_proračuna_po_pozicija!$E$2:$E$153,0)</f>
        <v>#NAME?</v>
      </c>
      <c r="T491" s="158"/>
      <c r="U491" s="158"/>
      <c r="V491" s="532">
        <v>23000</v>
      </c>
      <c r="W491" s="532">
        <v>23000</v>
      </c>
      <c r="X491" s="560">
        <v>28000</v>
      </c>
      <c r="Y491" s="561">
        <v>35000</v>
      </c>
      <c r="Z491" s="561"/>
      <c r="AA491" s="562" t="e">
        <f t="shared" ca="1" si="424"/>
        <v>#NAME?</v>
      </c>
      <c r="AB491" s="535"/>
      <c r="AC491" s="529">
        <v>14000</v>
      </c>
      <c r="AD491" s="529">
        <v>14000</v>
      </c>
      <c r="AE491" s="529">
        <f>O491/M491*100</f>
        <v>153.91426486181302</v>
      </c>
      <c r="AF491" s="529"/>
      <c r="AG491" s="529"/>
      <c r="AH491" s="529"/>
      <c r="AI491" s="535"/>
      <c r="AJ491" s="561">
        <v>35000</v>
      </c>
      <c r="AK491" s="507">
        <f t="shared" si="416"/>
        <v>126.19335015911335</v>
      </c>
      <c r="AL491" s="507">
        <f t="shared" si="417"/>
        <v>121.73913043478262</v>
      </c>
      <c r="AM491" s="507">
        <f t="shared" si="417"/>
        <v>125</v>
      </c>
      <c r="AN491" s="556"/>
      <c r="AO491" s="510"/>
      <c r="AP491" s="510" t="e">
        <f t="shared" ca="1" si="422"/>
        <v>#NAME?</v>
      </c>
      <c r="AQ491" s="532">
        <v>23454.36</v>
      </c>
      <c r="AR491" s="533">
        <f>V491/R491*100</f>
        <v>126.19335015911335</v>
      </c>
      <c r="AS491" s="533">
        <f>W491/V491*100</f>
        <v>100</v>
      </c>
      <c r="AT491" s="533">
        <f>W491/R491*100</f>
        <v>126.19335015911335</v>
      </c>
      <c r="AU491" s="533">
        <f>AQ491/W491*100</f>
        <v>101.97547826086956</v>
      </c>
      <c r="AV491" s="533">
        <f>AQ491/R491*100</f>
        <v>128.68627235816965</v>
      </c>
      <c r="AW491" s="612">
        <f>AQ491</f>
        <v>23454.36</v>
      </c>
      <c r="AX491" s="612"/>
      <c r="AY491" s="612"/>
      <c r="AZ491" s="612"/>
      <c r="BA491" s="612"/>
      <c r="BB491" s="612"/>
      <c r="BC491" s="612"/>
      <c r="BD491" s="612"/>
      <c r="BE491" s="612"/>
      <c r="BF491" s="612"/>
      <c r="BG491" s="612"/>
      <c r="BH491" s="612">
        <f t="shared" si="425"/>
        <v>23454.36</v>
      </c>
      <c r="BI491" s="612">
        <f t="shared" si="414"/>
        <v>0</v>
      </c>
      <c r="BJ491" s="201">
        <f t="shared" si="427"/>
        <v>0</v>
      </c>
    </row>
    <row r="492" spans="1:62" ht="12" customHeight="1">
      <c r="A492" s="52"/>
      <c r="B492" s="52"/>
      <c r="C492" s="52"/>
      <c r="D492" s="52"/>
      <c r="E492" s="52"/>
      <c r="F492" s="52"/>
      <c r="G492" s="52"/>
      <c r="H492" s="2" t="s">
        <v>431</v>
      </c>
      <c r="I492" s="260">
        <v>112</v>
      </c>
      <c r="J492" s="185">
        <v>3434</v>
      </c>
      <c r="K492" s="19" t="s">
        <v>432</v>
      </c>
      <c r="L492" s="129">
        <v>0</v>
      </c>
      <c r="M492" s="129">
        <v>0</v>
      </c>
      <c r="N492" s="130">
        <v>0</v>
      </c>
      <c r="O492" s="130">
        <f>N492/7.5345</f>
        <v>0</v>
      </c>
      <c r="P492" s="131">
        <v>0</v>
      </c>
      <c r="Q492" s="131">
        <v>0</v>
      </c>
      <c r="R492" s="153">
        <v>0</v>
      </c>
      <c r="S492" s="158" t="e">
        <f ca="1">__xlfn.XLOOKUP(H492,[1]Izvršenje_proračuna_po_pozicija!$B$2:$B$153,[1]Izvršenje_proračuna_po_pozicija!$E$2:$E$153,0)</f>
        <v>#NAME?</v>
      </c>
      <c r="T492" s="158"/>
      <c r="U492" s="158"/>
      <c r="V492" s="532"/>
      <c r="W492" s="532"/>
      <c r="X492" s="560"/>
      <c r="Y492" s="561"/>
      <c r="Z492" s="561"/>
      <c r="AA492" s="562" t="e">
        <f t="shared" ca="1" si="424"/>
        <v>#NAME?</v>
      </c>
      <c r="AB492" s="535"/>
      <c r="AC492" s="529">
        <v>0</v>
      </c>
      <c r="AD492" s="529">
        <v>0</v>
      </c>
      <c r="AE492" s="529"/>
      <c r="AF492" s="529"/>
      <c r="AG492" s="529"/>
      <c r="AH492" s="529"/>
      <c r="AI492" s="535"/>
      <c r="AJ492" s="561"/>
      <c r="AK492" s="507"/>
      <c r="AL492" s="507"/>
      <c r="AM492" s="507"/>
      <c r="AN492" s="556"/>
      <c r="AO492" s="510"/>
      <c r="AP492" s="510" t="e">
        <f t="shared" ca="1" si="422"/>
        <v>#NAME?</v>
      </c>
      <c r="AQ492" s="532"/>
      <c r="AR492" s="533"/>
      <c r="AS492" s="533"/>
      <c r="AT492" s="533"/>
      <c r="AU492" s="533"/>
      <c r="AV492" s="533"/>
      <c r="AW492" s="612">
        <f>AQ492</f>
        <v>0</v>
      </c>
      <c r="AX492" s="612"/>
      <c r="AY492" s="612"/>
      <c r="AZ492" s="612"/>
      <c r="BA492" s="612"/>
      <c r="BB492" s="612"/>
      <c r="BC492" s="612"/>
      <c r="BD492" s="612"/>
      <c r="BE492" s="612"/>
      <c r="BF492" s="612"/>
      <c r="BG492" s="612"/>
      <c r="BH492" s="612">
        <f t="shared" si="425"/>
        <v>0</v>
      </c>
      <c r="BI492" s="612">
        <f t="shared" si="414"/>
        <v>0</v>
      </c>
      <c r="BJ492" s="201">
        <f t="shared" si="427"/>
        <v>0</v>
      </c>
    </row>
    <row r="493" spans="1:62" ht="12" customHeight="1">
      <c r="A493" s="52"/>
      <c r="B493" s="52"/>
      <c r="C493" s="52"/>
      <c r="D493" s="52"/>
      <c r="E493" s="52"/>
      <c r="F493" s="52"/>
      <c r="G493" s="52"/>
      <c r="H493" s="2" t="s">
        <v>433</v>
      </c>
      <c r="I493" s="260">
        <v>112</v>
      </c>
      <c r="J493" s="185">
        <v>3434</v>
      </c>
      <c r="K493" s="19" t="s">
        <v>434</v>
      </c>
      <c r="L493" s="129">
        <v>6000</v>
      </c>
      <c r="M493" s="129">
        <f>6000/7.5345</f>
        <v>796.33685048775624</v>
      </c>
      <c r="N493" s="130">
        <v>7438</v>
      </c>
      <c r="O493" s="130">
        <f>N493/7.5345</f>
        <v>987.19224898798848</v>
      </c>
      <c r="P493" s="131">
        <v>2700</v>
      </c>
      <c r="Q493" s="156">
        <v>35000</v>
      </c>
      <c r="R493" s="153">
        <v>35219</v>
      </c>
      <c r="S493" s="158" t="e">
        <f ca="1">__xlfn.XLOOKUP(H493,[1]Izvršenje_proračuna_po_pozicija!$B$2:$B$153,[1]Izvršenje_proračuna_po_pozicija!$E$2:$E$153,0)</f>
        <v>#NAME?</v>
      </c>
      <c r="T493" s="158"/>
      <c r="U493" s="158"/>
      <c r="V493" s="532">
        <v>42000</v>
      </c>
      <c r="W493" s="532">
        <v>42000</v>
      </c>
      <c r="X493" s="560">
        <v>55000</v>
      </c>
      <c r="Y493" s="561">
        <v>65000</v>
      </c>
      <c r="Z493" s="561"/>
      <c r="AA493" s="562" t="e">
        <f t="shared" ca="1" si="424"/>
        <v>#NAME?</v>
      </c>
      <c r="AB493" s="535"/>
      <c r="AC493" s="529">
        <v>2700</v>
      </c>
      <c r="AD493" s="529">
        <v>2700</v>
      </c>
      <c r="AE493" s="529">
        <f>O493/M493*100</f>
        <v>123.96666666666667</v>
      </c>
      <c r="AF493" s="529"/>
      <c r="AG493" s="529"/>
      <c r="AH493" s="529"/>
      <c r="AI493" s="535"/>
      <c r="AJ493" s="561">
        <v>65000</v>
      </c>
      <c r="AK493" s="507">
        <f t="shared" si="416"/>
        <v>119.2538118629149</v>
      </c>
      <c r="AL493" s="507">
        <f t="shared" si="417"/>
        <v>130.95238095238096</v>
      </c>
      <c r="AM493" s="507">
        <f t="shared" si="417"/>
        <v>118.18181818181819</v>
      </c>
      <c r="AN493" s="556"/>
      <c r="AO493" s="510"/>
      <c r="AP493" s="510" t="e">
        <f t="shared" ca="1" si="422"/>
        <v>#NAME?</v>
      </c>
      <c r="AQ493" s="532">
        <v>26.48</v>
      </c>
      <c r="AR493" s="533">
        <f>V493/R493*100</f>
        <v>119.2538118629149</v>
      </c>
      <c r="AS493" s="533">
        <f>W493/V493*100</f>
        <v>100</v>
      </c>
      <c r="AT493" s="533">
        <f>W493/R493*100</f>
        <v>119.2538118629149</v>
      </c>
      <c r="AU493" s="533">
        <f>AQ493/W493*100</f>
        <v>6.3047619047619047E-2</v>
      </c>
      <c r="AV493" s="533">
        <f>AQ493/R493*100</f>
        <v>7.5186689003094928E-2</v>
      </c>
      <c r="AW493" s="612">
        <f>AQ493</f>
        <v>26.48</v>
      </c>
      <c r="AX493" s="612"/>
      <c r="AY493" s="612"/>
      <c r="AZ493" s="612"/>
      <c r="BA493" s="612"/>
      <c r="BB493" s="612"/>
      <c r="BC493" s="612"/>
      <c r="BD493" s="612"/>
      <c r="BE493" s="612"/>
      <c r="BF493" s="612"/>
      <c r="BG493" s="612"/>
      <c r="BH493" s="612">
        <f t="shared" si="425"/>
        <v>26.48</v>
      </c>
      <c r="BI493" s="612">
        <f t="shared" si="414"/>
        <v>0</v>
      </c>
      <c r="BJ493" s="201">
        <f t="shared" si="427"/>
        <v>0</v>
      </c>
    </row>
    <row r="494" spans="1:62" ht="12" customHeight="1">
      <c r="A494" s="41"/>
      <c r="B494" s="41"/>
      <c r="C494" s="41"/>
      <c r="D494" s="41"/>
      <c r="E494" s="41"/>
      <c r="F494" s="41"/>
      <c r="G494" s="41"/>
      <c r="H494" s="235"/>
      <c r="I494" s="15"/>
      <c r="J494" s="3"/>
      <c r="K494" s="83"/>
      <c r="L494" s="84"/>
      <c r="M494" s="84"/>
      <c r="N494" s="85"/>
      <c r="O494" s="85"/>
      <c r="P494" s="86"/>
      <c r="Q494" s="86"/>
      <c r="R494" s="154"/>
      <c r="S494" s="158" t="e">
        <f ca="1">__xlfn.XLOOKUP(H494,[1]Izvršenje_proračuna_po_pozicija!$B$2:$B$153,[1]Izvršenje_proračuna_po_pozicija!$E$2:$E$153,0)</f>
        <v>#NAME?</v>
      </c>
      <c r="T494" s="158"/>
      <c r="U494" s="158"/>
      <c r="V494" s="532"/>
      <c r="W494" s="532"/>
      <c r="X494" s="568"/>
      <c r="Y494" s="569"/>
      <c r="Z494" s="569"/>
      <c r="AA494" s="562" t="e">
        <f t="shared" ca="1" si="424"/>
        <v>#NAME?</v>
      </c>
      <c r="AB494" s="537"/>
      <c r="AC494" s="538"/>
      <c r="AD494" s="538"/>
      <c r="AE494" s="529"/>
      <c r="AF494" s="529"/>
      <c r="AG494" s="529"/>
      <c r="AH494" s="529"/>
      <c r="AI494" s="537"/>
      <c r="AJ494" s="569"/>
      <c r="AK494" s="507"/>
      <c r="AL494" s="507"/>
      <c r="AM494" s="507"/>
      <c r="AN494" s="557"/>
      <c r="AO494" s="510"/>
      <c r="AP494" s="510" t="e">
        <f t="shared" ca="1" si="422"/>
        <v>#NAME?</v>
      </c>
      <c r="AQ494" s="532"/>
      <c r="AR494" s="533"/>
      <c r="AS494" s="533"/>
      <c r="AT494" s="533"/>
      <c r="AU494" s="533"/>
      <c r="AV494" s="533"/>
      <c r="AW494" s="612"/>
      <c r="AX494" s="612"/>
      <c r="AY494" s="612"/>
      <c r="AZ494" s="612"/>
      <c r="BA494" s="612"/>
      <c r="BB494" s="612"/>
      <c r="BC494" s="612"/>
      <c r="BD494" s="612"/>
      <c r="BE494" s="612"/>
      <c r="BF494" s="612"/>
      <c r="BG494" s="612"/>
      <c r="BH494" s="612">
        <f t="shared" si="425"/>
        <v>0</v>
      </c>
      <c r="BI494" s="612">
        <f t="shared" si="414"/>
        <v>0</v>
      </c>
      <c r="BJ494" s="201">
        <f t="shared" si="427"/>
        <v>0</v>
      </c>
    </row>
    <row r="495" spans="1:62" ht="12" customHeight="1">
      <c r="A495" s="320"/>
      <c r="B495" s="320"/>
      <c r="C495" s="320"/>
      <c r="D495" s="320"/>
      <c r="E495" s="320"/>
      <c r="F495" s="320"/>
      <c r="G495" s="320"/>
      <c r="H495" s="321"/>
      <c r="I495" s="326" t="s">
        <v>435</v>
      </c>
      <c r="J495" s="253"/>
      <c r="K495" s="210"/>
      <c r="L495" s="111">
        <f t="shared" ref="L495:S495" si="428">L496+L503+L520</f>
        <v>609673</v>
      </c>
      <c r="M495" s="111">
        <f t="shared" si="428"/>
        <v>80917.512774570307</v>
      </c>
      <c r="N495" s="112">
        <f t="shared" si="428"/>
        <v>1049986</v>
      </c>
      <c r="O495" s="112">
        <f t="shared" si="428"/>
        <v>139357.09071603956</v>
      </c>
      <c r="P495" s="113">
        <f t="shared" si="428"/>
        <v>142700</v>
      </c>
      <c r="Q495" s="113">
        <f t="shared" si="428"/>
        <v>204200</v>
      </c>
      <c r="R495" s="87">
        <f t="shared" si="428"/>
        <v>200252</v>
      </c>
      <c r="S495" s="89" t="e">
        <f t="shared" ca="1" si="428"/>
        <v>#NAME?</v>
      </c>
      <c r="T495" s="89"/>
      <c r="U495" s="89"/>
      <c r="V495" s="532">
        <f>V496+V503+V520</f>
        <v>199200</v>
      </c>
      <c r="W495" s="532">
        <f>W496+W503+W520</f>
        <v>199200</v>
      </c>
      <c r="X495" s="506">
        <f>X496+X503+X520</f>
        <v>144400</v>
      </c>
      <c r="Y495" s="507">
        <f>Y496+Y503+Y520</f>
        <v>155000</v>
      </c>
      <c r="Z495" s="507">
        <f>Z496+Z503+Z520</f>
        <v>0</v>
      </c>
      <c r="AA495" s="562" t="e">
        <f t="shared" ca="1" si="424"/>
        <v>#NAME?</v>
      </c>
      <c r="AB495" s="507"/>
      <c r="AC495" s="508">
        <f>AC496+AC503+AC520</f>
        <v>143500</v>
      </c>
      <c r="AD495" s="508">
        <f>AD496+AD503+AD520</f>
        <v>143500</v>
      </c>
      <c r="AE495" s="529">
        <f>O495/M495*100</f>
        <v>172.22117430163385</v>
      </c>
      <c r="AF495" s="529">
        <f>P495/O495*100</f>
        <v>102.39880817458517</v>
      </c>
      <c r="AG495" s="529">
        <f>Q495/P495*100</f>
        <v>143.09740714786267</v>
      </c>
      <c r="AH495" s="529">
        <f>AC495/Q495*100</f>
        <v>70.274240940254657</v>
      </c>
      <c r="AI495" s="507"/>
      <c r="AJ495" s="507">
        <v>155000</v>
      </c>
      <c r="AK495" s="507">
        <f t="shared" si="416"/>
        <v>99.47466192597328</v>
      </c>
      <c r="AL495" s="507">
        <f t="shared" si="417"/>
        <v>72.489959839357425</v>
      </c>
      <c r="AM495" s="507">
        <f t="shared" si="417"/>
        <v>107.34072022160666</v>
      </c>
      <c r="AN495" s="509"/>
      <c r="AO495" s="510"/>
      <c r="AP495" s="510" t="e">
        <f t="shared" ca="1" si="422"/>
        <v>#NAME?</v>
      </c>
      <c r="AQ495" s="532">
        <f>AQ496+AQ503+AQ520</f>
        <v>192622.64</v>
      </c>
      <c r="AR495" s="533">
        <f>V495/R495*100</f>
        <v>99.47466192597328</v>
      </c>
      <c r="AS495" s="533">
        <f>W495/V495*100</f>
        <v>100</v>
      </c>
      <c r="AT495" s="533">
        <f>W495/R495*100</f>
        <v>99.47466192597328</v>
      </c>
      <c r="AU495" s="533">
        <f>AQ495/W495*100</f>
        <v>96.698112449799197</v>
      </c>
      <c r="AV495" s="533">
        <f>AQ495/R495*100</f>
        <v>96.190120448235234</v>
      </c>
      <c r="AW495" s="612"/>
      <c r="AX495" s="612"/>
      <c r="AY495" s="612"/>
      <c r="AZ495" s="612"/>
      <c r="BA495" s="612"/>
      <c r="BB495" s="612"/>
      <c r="BC495" s="612"/>
      <c r="BD495" s="612"/>
      <c r="BE495" s="612"/>
      <c r="BF495" s="612"/>
      <c r="BG495" s="612"/>
      <c r="BH495" s="612">
        <f t="shared" si="425"/>
        <v>0</v>
      </c>
      <c r="BI495" s="612">
        <f t="shared" si="414"/>
        <v>0</v>
      </c>
      <c r="BJ495" s="201">
        <f t="shared" si="427"/>
        <v>0</v>
      </c>
    </row>
    <row r="496" spans="1:62" ht="12" customHeight="1">
      <c r="A496" s="282" t="s">
        <v>321</v>
      </c>
      <c r="B496" s="283"/>
      <c r="C496" s="283"/>
      <c r="D496" s="283"/>
      <c r="E496" s="283"/>
      <c r="F496" s="283"/>
      <c r="G496" s="283"/>
      <c r="H496" s="284"/>
      <c r="I496" s="295" t="s">
        <v>436</v>
      </c>
      <c r="J496" s="254"/>
      <c r="K496" s="255"/>
      <c r="L496" s="111">
        <f t="shared" ref="L496:S496" si="429">L498</f>
        <v>0</v>
      </c>
      <c r="M496" s="111">
        <f t="shared" si="429"/>
        <v>0</v>
      </c>
      <c r="N496" s="112">
        <f t="shared" si="429"/>
        <v>0</v>
      </c>
      <c r="O496" s="112">
        <f t="shared" si="429"/>
        <v>0</v>
      </c>
      <c r="P496" s="113">
        <f t="shared" si="429"/>
        <v>0</v>
      </c>
      <c r="Q496" s="113">
        <f t="shared" si="429"/>
        <v>0</v>
      </c>
      <c r="R496" s="87">
        <f t="shared" si="429"/>
        <v>0</v>
      </c>
      <c r="S496" s="89" t="e">
        <f t="shared" ca="1" si="429"/>
        <v>#NAME?</v>
      </c>
      <c r="T496" s="89"/>
      <c r="U496" s="89"/>
      <c r="V496" s="532">
        <f>V498</f>
        <v>0</v>
      </c>
      <c r="W496" s="532">
        <f>W498</f>
        <v>0</v>
      </c>
      <c r="X496" s="506">
        <f>X498</f>
        <v>0</v>
      </c>
      <c r="Y496" s="507">
        <f>Y498</f>
        <v>0</v>
      </c>
      <c r="Z496" s="507">
        <f>Z498</f>
        <v>0</v>
      </c>
      <c r="AA496" s="562" t="e">
        <f t="shared" ca="1" si="424"/>
        <v>#NAME?</v>
      </c>
      <c r="AB496" s="507"/>
      <c r="AC496" s="508">
        <f>AC498</f>
        <v>0</v>
      </c>
      <c r="AD496" s="508">
        <f>AD498</f>
        <v>0</v>
      </c>
      <c r="AE496" s="529"/>
      <c r="AF496" s="529"/>
      <c r="AG496" s="529"/>
      <c r="AH496" s="529"/>
      <c r="AI496" s="507"/>
      <c r="AJ496" s="507">
        <v>0</v>
      </c>
      <c r="AK496" s="507"/>
      <c r="AL496" s="507"/>
      <c r="AM496" s="507"/>
      <c r="AN496" s="509"/>
      <c r="AO496" s="510"/>
      <c r="AP496" s="510" t="e">
        <f t="shared" ca="1" si="422"/>
        <v>#NAME?</v>
      </c>
      <c r="AQ496" s="532">
        <f>AQ498</f>
        <v>0</v>
      </c>
      <c r="AR496" s="533"/>
      <c r="AS496" s="533"/>
      <c r="AT496" s="533"/>
      <c r="AU496" s="533"/>
      <c r="AV496" s="533"/>
      <c r="AW496" s="612"/>
      <c r="AX496" s="612"/>
      <c r="AY496" s="612"/>
      <c r="AZ496" s="612"/>
      <c r="BA496" s="612"/>
      <c r="BB496" s="612"/>
      <c r="BC496" s="612"/>
      <c r="BD496" s="612"/>
      <c r="BE496" s="612"/>
      <c r="BF496" s="612"/>
      <c r="BG496" s="612"/>
      <c r="BH496" s="612">
        <f t="shared" si="425"/>
        <v>0</v>
      </c>
      <c r="BI496" s="612">
        <f t="shared" si="414"/>
        <v>0</v>
      </c>
      <c r="BJ496" s="201"/>
    </row>
    <row r="497" spans="1:62" ht="12" customHeight="1">
      <c r="A497" s="41"/>
      <c r="B497" s="41"/>
      <c r="C497" s="41"/>
      <c r="D497" s="41"/>
      <c r="E497" s="41"/>
      <c r="F497" s="41"/>
      <c r="G497" s="41"/>
      <c r="H497" s="235"/>
      <c r="I497" s="15"/>
      <c r="J497" s="3"/>
      <c r="K497" s="83"/>
      <c r="L497" s="84"/>
      <c r="M497" s="84"/>
      <c r="N497" s="85"/>
      <c r="O497" s="85"/>
      <c r="P497" s="86"/>
      <c r="Q497" s="86"/>
      <c r="R497" s="154"/>
      <c r="S497" s="158" t="e">
        <f ca="1">__xlfn.XLOOKUP(H497,[1]Izvršenje_proračuna_po_pozicija!$B$2:$B$153,[1]Izvršenje_proračuna_po_pozicija!$E$2:$E$153,0)</f>
        <v>#NAME?</v>
      </c>
      <c r="T497" s="158"/>
      <c r="U497" s="158"/>
      <c r="V497" s="532"/>
      <c r="W497" s="532"/>
      <c r="X497" s="568"/>
      <c r="Y497" s="569"/>
      <c r="Z497" s="569"/>
      <c r="AA497" s="562" t="e">
        <f t="shared" ca="1" si="424"/>
        <v>#NAME?</v>
      </c>
      <c r="AB497" s="537"/>
      <c r="AC497" s="538"/>
      <c r="AD497" s="538"/>
      <c r="AE497" s="529"/>
      <c r="AF497" s="529"/>
      <c r="AG497" s="529"/>
      <c r="AH497" s="529"/>
      <c r="AI497" s="537"/>
      <c r="AJ497" s="569"/>
      <c r="AK497" s="507"/>
      <c r="AL497" s="507"/>
      <c r="AM497" s="507"/>
      <c r="AN497" s="557"/>
      <c r="AO497" s="510"/>
      <c r="AP497" s="510" t="e">
        <f t="shared" ca="1" si="422"/>
        <v>#NAME?</v>
      </c>
      <c r="AQ497" s="532"/>
      <c r="AR497" s="533"/>
      <c r="AS497" s="533"/>
      <c r="AT497" s="533"/>
      <c r="AU497" s="533"/>
      <c r="AV497" s="533"/>
      <c r="AW497" s="612"/>
      <c r="AX497" s="612"/>
      <c r="AY497" s="612"/>
      <c r="AZ497" s="612"/>
      <c r="BA497" s="612"/>
      <c r="BB497" s="612"/>
      <c r="BC497" s="612"/>
      <c r="BD497" s="612"/>
      <c r="BE497" s="612"/>
      <c r="BF497" s="612"/>
      <c r="BG497" s="612"/>
      <c r="BH497" s="612">
        <f t="shared" si="425"/>
        <v>0</v>
      </c>
      <c r="BI497" s="612">
        <f t="shared" si="414"/>
        <v>0</v>
      </c>
      <c r="BJ497" s="201">
        <f>AQ504-BI497</f>
        <v>0</v>
      </c>
    </row>
    <row r="498" spans="1:62" ht="12" customHeight="1">
      <c r="A498" s="25"/>
      <c r="B498" s="25"/>
      <c r="C498" s="25"/>
      <c r="D498" s="25"/>
      <c r="E498" s="25"/>
      <c r="F498" s="25"/>
      <c r="G498" s="25"/>
      <c r="H498" s="285"/>
      <c r="I498" s="296"/>
      <c r="J498" s="211">
        <v>3</v>
      </c>
      <c r="K498" s="3" t="s">
        <v>220</v>
      </c>
      <c r="L498" s="111">
        <f t="shared" ref="L498:Z500" si="430">L499</f>
        <v>0</v>
      </c>
      <c r="M498" s="111">
        <f t="shared" si="430"/>
        <v>0</v>
      </c>
      <c r="N498" s="112">
        <f t="shared" si="430"/>
        <v>0</v>
      </c>
      <c r="O498" s="112">
        <f t="shared" si="430"/>
        <v>0</v>
      </c>
      <c r="P498" s="113">
        <f t="shared" si="430"/>
        <v>0</v>
      </c>
      <c r="Q498" s="113">
        <f t="shared" si="430"/>
        <v>0</v>
      </c>
      <c r="R498" s="87">
        <f t="shared" si="430"/>
        <v>0</v>
      </c>
      <c r="S498" s="89" t="e">
        <f t="shared" ca="1" si="430"/>
        <v>#NAME?</v>
      </c>
      <c r="T498" s="89"/>
      <c r="U498" s="89"/>
      <c r="V498" s="532">
        <f>V499</f>
        <v>0</v>
      </c>
      <c r="W498" s="532">
        <f t="shared" si="430"/>
        <v>0</v>
      </c>
      <c r="X498" s="506">
        <f t="shared" si="430"/>
        <v>0</v>
      </c>
      <c r="Y498" s="507">
        <f t="shared" si="430"/>
        <v>0</v>
      </c>
      <c r="Z498" s="507">
        <f t="shared" si="430"/>
        <v>0</v>
      </c>
      <c r="AA498" s="562" t="e">
        <f t="shared" ca="1" si="424"/>
        <v>#NAME?</v>
      </c>
      <c r="AB498" s="507"/>
      <c r="AC498" s="508">
        <f t="shared" ref="AC498:AD500" si="431">AC499</f>
        <v>0</v>
      </c>
      <c r="AD498" s="508">
        <f t="shared" si="431"/>
        <v>0</v>
      </c>
      <c r="AE498" s="529"/>
      <c r="AF498" s="529"/>
      <c r="AG498" s="529"/>
      <c r="AH498" s="529"/>
      <c r="AI498" s="507"/>
      <c r="AJ498" s="507">
        <v>0</v>
      </c>
      <c r="AK498" s="507"/>
      <c r="AL498" s="507"/>
      <c r="AM498" s="507"/>
      <c r="AN498" s="509"/>
      <c r="AO498" s="510"/>
      <c r="AP498" s="510" t="e">
        <f t="shared" ca="1" si="422"/>
        <v>#NAME?</v>
      </c>
      <c r="AQ498" s="532">
        <f>AQ499</f>
        <v>0</v>
      </c>
      <c r="AR498" s="533"/>
      <c r="AS498" s="533"/>
      <c r="AT498" s="533"/>
      <c r="AU498" s="533"/>
      <c r="AV498" s="533"/>
      <c r="AW498" s="612"/>
      <c r="AX498" s="612"/>
      <c r="AY498" s="612"/>
      <c r="AZ498" s="612"/>
      <c r="BA498" s="612"/>
      <c r="BB498" s="612"/>
      <c r="BC498" s="612"/>
      <c r="BD498" s="612"/>
      <c r="BE498" s="612"/>
      <c r="BF498" s="612"/>
      <c r="BG498" s="612"/>
      <c r="BH498" s="612">
        <f t="shared" si="425"/>
        <v>0</v>
      </c>
      <c r="BI498" s="612">
        <f t="shared" si="414"/>
        <v>0</v>
      </c>
      <c r="BJ498" s="201"/>
    </row>
    <row r="499" spans="1:62" ht="12" customHeight="1">
      <c r="A499" s="227"/>
      <c r="B499" s="227"/>
      <c r="C499" s="227"/>
      <c r="D499" s="227"/>
      <c r="E499" s="227"/>
      <c r="F499" s="227"/>
      <c r="G499" s="227"/>
      <c r="H499" s="234"/>
      <c r="I499" s="297"/>
      <c r="J499" s="228">
        <v>32</v>
      </c>
      <c r="K499" s="258" t="s">
        <v>229</v>
      </c>
      <c r="L499" s="111">
        <f t="shared" si="430"/>
        <v>0</v>
      </c>
      <c r="M499" s="111">
        <f t="shared" si="430"/>
        <v>0</v>
      </c>
      <c r="N499" s="112">
        <f t="shared" si="430"/>
        <v>0</v>
      </c>
      <c r="O499" s="112">
        <f t="shared" si="430"/>
        <v>0</v>
      </c>
      <c r="P499" s="113">
        <f t="shared" si="430"/>
        <v>0</v>
      </c>
      <c r="Q499" s="113">
        <f t="shared" si="430"/>
        <v>0</v>
      </c>
      <c r="R499" s="87">
        <f t="shared" si="430"/>
        <v>0</v>
      </c>
      <c r="S499" s="89" t="e">
        <f t="shared" ca="1" si="430"/>
        <v>#NAME?</v>
      </c>
      <c r="T499" s="89"/>
      <c r="U499" s="89"/>
      <c r="V499" s="532">
        <f>V500</f>
        <v>0</v>
      </c>
      <c r="W499" s="532">
        <f t="shared" si="430"/>
        <v>0</v>
      </c>
      <c r="X499" s="506">
        <f t="shared" si="430"/>
        <v>0</v>
      </c>
      <c r="Y499" s="507">
        <f t="shared" si="430"/>
        <v>0</v>
      </c>
      <c r="Z499" s="507">
        <f t="shared" si="430"/>
        <v>0</v>
      </c>
      <c r="AA499" s="562" t="e">
        <f t="shared" ca="1" si="424"/>
        <v>#NAME?</v>
      </c>
      <c r="AB499" s="507"/>
      <c r="AC499" s="508">
        <f t="shared" si="431"/>
        <v>0</v>
      </c>
      <c r="AD499" s="508">
        <f t="shared" si="431"/>
        <v>0</v>
      </c>
      <c r="AE499" s="529"/>
      <c r="AF499" s="529"/>
      <c r="AG499" s="529"/>
      <c r="AH499" s="529"/>
      <c r="AI499" s="507"/>
      <c r="AJ499" s="507">
        <v>0</v>
      </c>
      <c r="AK499" s="507"/>
      <c r="AL499" s="507"/>
      <c r="AM499" s="507"/>
      <c r="AN499" s="509"/>
      <c r="AO499" s="510"/>
      <c r="AP499" s="510" t="e">
        <f t="shared" ca="1" si="422"/>
        <v>#NAME?</v>
      </c>
      <c r="AQ499" s="532">
        <f>AQ500</f>
        <v>0</v>
      </c>
      <c r="AR499" s="533"/>
      <c r="AS499" s="533"/>
      <c r="AT499" s="533"/>
      <c r="AU499" s="533"/>
      <c r="AV499" s="533"/>
      <c r="AW499" s="612"/>
      <c r="AX499" s="612"/>
      <c r="AY499" s="612"/>
      <c r="AZ499" s="612"/>
      <c r="BA499" s="612"/>
      <c r="BB499" s="612"/>
      <c r="BC499" s="612"/>
      <c r="BD499" s="612"/>
      <c r="BE499" s="612"/>
      <c r="BF499" s="612"/>
      <c r="BG499" s="612"/>
      <c r="BH499" s="612">
        <f t="shared" si="425"/>
        <v>0</v>
      </c>
      <c r="BI499" s="612">
        <f t="shared" si="414"/>
        <v>0</v>
      </c>
      <c r="BJ499" s="201">
        <f>AQ506-BI499</f>
        <v>0</v>
      </c>
    </row>
    <row r="500" spans="1:62" ht="12" customHeight="1">
      <c r="A500" s="61"/>
      <c r="B500" s="61"/>
      <c r="C500" s="61"/>
      <c r="D500" s="61"/>
      <c r="E500" s="61"/>
      <c r="F500" s="61"/>
      <c r="G500" s="61"/>
      <c r="H500" s="230"/>
      <c r="I500" s="261"/>
      <c r="J500" s="229">
        <v>323</v>
      </c>
      <c r="K500" s="20" t="s">
        <v>437</v>
      </c>
      <c r="L500" s="111">
        <f t="shared" si="430"/>
        <v>0</v>
      </c>
      <c r="M500" s="111">
        <f t="shared" si="430"/>
        <v>0</v>
      </c>
      <c r="N500" s="112">
        <f t="shared" si="430"/>
        <v>0</v>
      </c>
      <c r="O500" s="112">
        <f t="shared" si="430"/>
        <v>0</v>
      </c>
      <c r="P500" s="113">
        <f t="shared" si="430"/>
        <v>0</v>
      </c>
      <c r="Q500" s="113">
        <f t="shared" si="430"/>
        <v>0</v>
      </c>
      <c r="R500" s="87">
        <f t="shared" si="430"/>
        <v>0</v>
      </c>
      <c r="S500" s="89" t="e">
        <f t="shared" ca="1" si="430"/>
        <v>#NAME?</v>
      </c>
      <c r="T500" s="89"/>
      <c r="U500" s="89"/>
      <c r="V500" s="532">
        <f>V501</f>
        <v>0</v>
      </c>
      <c r="W500" s="532">
        <f t="shared" si="430"/>
        <v>0</v>
      </c>
      <c r="X500" s="506">
        <f t="shared" si="430"/>
        <v>0</v>
      </c>
      <c r="Y500" s="507">
        <f t="shared" si="430"/>
        <v>0</v>
      </c>
      <c r="Z500" s="507">
        <f t="shared" si="430"/>
        <v>0</v>
      </c>
      <c r="AA500" s="562" t="e">
        <f t="shared" ca="1" si="424"/>
        <v>#NAME?</v>
      </c>
      <c r="AB500" s="507"/>
      <c r="AC500" s="508">
        <f t="shared" si="431"/>
        <v>0</v>
      </c>
      <c r="AD500" s="508">
        <f t="shared" si="431"/>
        <v>0</v>
      </c>
      <c r="AE500" s="529"/>
      <c r="AF500" s="529"/>
      <c r="AG500" s="529"/>
      <c r="AH500" s="529"/>
      <c r="AI500" s="507"/>
      <c r="AJ500" s="507">
        <v>0</v>
      </c>
      <c r="AK500" s="507"/>
      <c r="AL500" s="507"/>
      <c r="AM500" s="507"/>
      <c r="AN500" s="509"/>
      <c r="AO500" s="510"/>
      <c r="AP500" s="510" t="e">
        <f t="shared" ca="1" si="422"/>
        <v>#NAME?</v>
      </c>
      <c r="AQ500" s="532">
        <f>AQ501</f>
        <v>0</v>
      </c>
      <c r="AR500" s="533"/>
      <c r="AS500" s="533"/>
      <c r="AT500" s="533"/>
      <c r="AU500" s="533"/>
      <c r="AV500" s="533"/>
      <c r="AW500" s="612"/>
      <c r="AX500" s="612"/>
      <c r="AY500" s="612"/>
      <c r="AZ500" s="612"/>
      <c r="BA500" s="612"/>
      <c r="BB500" s="612"/>
      <c r="BC500" s="612"/>
      <c r="BD500" s="612"/>
      <c r="BE500" s="612"/>
      <c r="BF500" s="612"/>
      <c r="BG500" s="612"/>
      <c r="BH500" s="612">
        <f t="shared" si="425"/>
        <v>0</v>
      </c>
      <c r="BI500" s="612">
        <f t="shared" si="414"/>
        <v>0</v>
      </c>
      <c r="BJ500" s="201"/>
    </row>
    <row r="501" spans="1:62" ht="12" customHeight="1">
      <c r="A501" s="52"/>
      <c r="B501" s="52"/>
      <c r="C501" s="52"/>
      <c r="D501" s="52"/>
      <c r="E501" s="52"/>
      <c r="F501" s="52"/>
      <c r="G501" s="52"/>
      <c r="H501" s="2">
        <v>119</v>
      </c>
      <c r="I501" s="260">
        <v>310</v>
      </c>
      <c r="J501" s="185">
        <v>3239</v>
      </c>
      <c r="K501" s="19" t="s">
        <v>438</v>
      </c>
      <c r="L501" s="129">
        <v>0</v>
      </c>
      <c r="M501" s="129">
        <v>0</v>
      </c>
      <c r="N501" s="130">
        <v>0</v>
      </c>
      <c r="O501" s="130">
        <v>0</v>
      </c>
      <c r="P501" s="131">
        <v>0</v>
      </c>
      <c r="Q501" s="131">
        <v>0</v>
      </c>
      <c r="R501" s="153">
        <v>0</v>
      </c>
      <c r="S501" s="158" t="e">
        <f ca="1">__xlfn.XLOOKUP(H501,[1]Izvršenje_proračuna_po_pozicija!$B$2:$B$153,[1]Izvršenje_proračuna_po_pozicija!$E$2:$E$153,0)</f>
        <v>#NAME?</v>
      </c>
      <c r="T501" s="158"/>
      <c r="U501" s="158"/>
      <c r="V501" s="532"/>
      <c r="W501" s="532"/>
      <c r="X501" s="560"/>
      <c r="Y501" s="561"/>
      <c r="Z501" s="561"/>
      <c r="AA501" s="562" t="e">
        <f t="shared" ca="1" si="424"/>
        <v>#NAME?</v>
      </c>
      <c r="AB501" s="535"/>
      <c r="AC501" s="529">
        <v>0</v>
      </c>
      <c r="AD501" s="529">
        <v>0</v>
      </c>
      <c r="AE501" s="529"/>
      <c r="AF501" s="529"/>
      <c r="AG501" s="529"/>
      <c r="AH501" s="529"/>
      <c r="AI501" s="535"/>
      <c r="AJ501" s="561"/>
      <c r="AK501" s="507"/>
      <c r="AL501" s="507"/>
      <c r="AM501" s="507"/>
      <c r="AN501" s="556"/>
      <c r="AO501" s="510"/>
      <c r="AP501" s="510" t="e">
        <f t="shared" ca="1" si="422"/>
        <v>#NAME?</v>
      </c>
      <c r="AQ501" s="532"/>
      <c r="AR501" s="533"/>
      <c r="AS501" s="533"/>
      <c r="AT501" s="533"/>
      <c r="AU501" s="533"/>
      <c r="AV501" s="533"/>
      <c r="AW501" s="612"/>
      <c r="AX501" s="612"/>
      <c r="AY501" s="612"/>
      <c r="AZ501" s="612"/>
      <c r="BA501" s="612"/>
      <c r="BB501" s="612"/>
      <c r="BC501" s="612"/>
      <c r="BD501" s="612"/>
      <c r="BE501" s="612"/>
      <c r="BF501" s="612"/>
      <c r="BG501" s="612"/>
      <c r="BH501" s="612">
        <f t="shared" si="425"/>
        <v>0</v>
      </c>
      <c r="BI501" s="612">
        <f t="shared" si="414"/>
        <v>0</v>
      </c>
      <c r="BJ501" s="201"/>
    </row>
    <row r="502" spans="1:62" ht="12" customHeight="1">
      <c r="A502" s="68"/>
      <c r="B502" s="68"/>
      <c r="C502" s="68"/>
      <c r="D502" s="68"/>
      <c r="E502" s="68"/>
      <c r="F502" s="68"/>
      <c r="G502" s="68"/>
      <c r="H502" s="281"/>
      <c r="I502" s="256"/>
      <c r="J502" s="211"/>
      <c r="K502" s="69"/>
      <c r="L502" s="175"/>
      <c r="M502" s="175"/>
      <c r="N502" s="176"/>
      <c r="O502" s="176"/>
      <c r="P502" s="177"/>
      <c r="Q502" s="177"/>
      <c r="R502" s="212"/>
      <c r="S502" s="158" t="e">
        <f ca="1">__xlfn.XLOOKUP(H502,[1]Izvršenje_proračuna_po_pozicija!$B$2:$B$153,[1]Izvršenje_proračuna_po_pozicija!$E$2:$E$153,0)</f>
        <v>#NAME?</v>
      </c>
      <c r="T502" s="158"/>
      <c r="U502" s="158"/>
      <c r="V502" s="532"/>
      <c r="W502" s="532"/>
      <c r="X502" s="563"/>
      <c r="Y502" s="562"/>
      <c r="Z502" s="562"/>
      <c r="AA502" s="562" t="e">
        <f t="shared" ca="1" si="424"/>
        <v>#NAME?</v>
      </c>
      <c r="AB502" s="507"/>
      <c r="AC502" s="508"/>
      <c r="AD502" s="508"/>
      <c r="AE502" s="529"/>
      <c r="AF502" s="529"/>
      <c r="AG502" s="529"/>
      <c r="AH502" s="529"/>
      <c r="AI502" s="507"/>
      <c r="AJ502" s="562"/>
      <c r="AK502" s="507"/>
      <c r="AL502" s="507"/>
      <c r="AM502" s="507"/>
      <c r="AN502" s="509"/>
      <c r="AO502" s="510"/>
      <c r="AP502" s="510" t="e">
        <f t="shared" ca="1" si="422"/>
        <v>#NAME?</v>
      </c>
      <c r="AQ502" s="532"/>
      <c r="AR502" s="533"/>
      <c r="AS502" s="533"/>
      <c r="AT502" s="533"/>
      <c r="AU502" s="533"/>
      <c r="AV502" s="533"/>
      <c r="AW502" s="612"/>
      <c r="AX502" s="612"/>
      <c r="AY502" s="612"/>
      <c r="AZ502" s="612"/>
      <c r="BA502" s="612"/>
      <c r="BB502" s="612"/>
      <c r="BC502" s="612"/>
      <c r="BD502" s="612"/>
      <c r="BE502" s="612"/>
      <c r="BF502" s="612"/>
      <c r="BG502" s="612"/>
      <c r="BH502" s="612">
        <f t="shared" si="425"/>
        <v>0</v>
      </c>
      <c r="BI502" s="612">
        <f t="shared" si="414"/>
        <v>2769.5</v>
      </c>
      <c r="BJ502" s="201">
        <f>AQ509-BI502</f>
        <v>0</v>
      </c>
    </row>
    <row r="503" spans="1:62" ht="12" customHeight="1">
      <c r="A503" s="282" t="s">
        <v>356</v>
      </c>
      <c r="B503" s="283"/>
      <c r="C503" s="283"/>
      <c r="D503" s="283"/>
      <c r="E503" s="283"/>
      <c r="F503" s="283"/>
      <c r="G503" s="283"/>
      <c r="H503" s="284"/>
      <c r="I503" s="295" t="s">
        <v>439</v>
      </c>
      <c r="J503" s="254"/>
      <c r="K503" s="255"/>
      <c r="L503" s="111">
        <f t="shared" ref="L503:S503" si="432">L505</f>
        <v>609673</v>
      </c>
      <c r="M503" s="111">
        <f t="shared" si="432"/>
        <v>80917.512774570307</v>
      </c>
      <c r="N503" s="112">
        <f t="shared" si="432"/>
        <v>1049986</v>
      </c>
      <c r="O503" s="112">
        <f t="shared" si="432"/>
        <v>139357.09071603956</v>
      </c>
      <c r="P503" s="113">
        <f t="shared" si="432"/>
        <v>142700</v>
      </c>
      <c r="Q503" s="113">
        <f t="shared" si="432"/>
        <v>204200</v>
      </c>
      <c r="R503" s="87">
        <f t="shared" si="432"/>
        <v>200252</v>
      </c>
      <c r="S503" s="89" t="e">
        <f t="shared" ca="1" si="432"/>
        <v>#NAME?</v>
      </c>
      <c r="T503" s="89"/>
      <c r="U503" s="89"/>
      <c r="V503" s="532">
        <f>V505</f>
        <v>199200</v>
      </c>
      <c r="W503" s="532">
        <f>W505</f>
        <v>199200</v>
      </c>
      <c r="X503" s="506">
        <f>X505</f>
        <v>144400</v>
      </c>
      <c r="Y503" s="507">
        <f>Y505</f>
        <v>155000</v>
      </c>
      <c r="Z503" s="507">
        <f>Z505</f>
        <v>0</v>
      </c>
      <c r="AA503" s="562" t="e">
        <f t="shared" ca="1" si="424"/>
        <v>#NAME?</v>
      </c>
      <c r="AB503" s="507"/>
      <c r="AC503" s="508">
        <f>AC505</f>
        <v>143500</v>
      </c>
      <c r="AD503" s="508">
        <f>AD505</f>
        <v>143500</v>
      </c>
      <c r="AE503" s="529">
        <f>O503/M503*100</f>
        <v>172.22117430163385</v>
      </c>
      <c r="AF503" s="529">
        <f>P503/O503*100</f>
        <v>102.39880817458517</v>
      </c>
      <c r="AG503" s="529">
        <f>Q503/P503*100</f>
        <v>143.09740714786267</v>
      </c>
      <c r="AH503" s="529">
        <f>AC503/Q503*100</f>
        <v>70.274240940254657</v>
      </c>
      <c r="AI503" s="507"/>
      <c r="AJ503" s="507">
        <v>155000</v>
      </c>
      <c r="AK503" s="507">
        <f t="shared" si="416"/>
        <v>99.47466192597328</v>
      </c>
      <c r="AL503" s="507">
        <f t="shared" si="417"/>
        <v>72.489959839357425</v>
      </c>
      <c r="AM503" s="507">
        <f t="shared" si="417"/>
        <v>107.34072022160666</v>
      </c>
      <c r="AN503" s="509"/>
      <c r="AO503" s="510"/>
      <c r="AP503" s="510" t="e">
        <f t="shared" ca="1" si="422"/>
        <v>#NAME?</v>
      </c>
      <c r="AQ503" s="532">
        <f>AQ505</f>
        <v>192622.64</v>
      </c>
      <c r="AR503" s="533">
        <f>V503/R503*100</f>
        <v>99.47466192597328</v>
      </c>
      <c r="AS503" s="533">
        <f>W503/V503*100</f>
        <v>100</v>
      </c>
      <c r="AT503" s="533">
        <f>W503/R503*100</f>
        <v>99.47466192597328</v>
      </c>
      <c r="AU503" s="533">
        <f>AQ503/W503*100</f>
        <v>96.698112449799197</v>
      </c>
      <c r="AV503" s="533">
        <f>AQ503/R503*100</f>
        <v>96.190120448235234</v>
      </c>
      <c r="AW503" s="612"/>
      <c r="AX503" s="612"/>
      <c r="AY503" s="612"/>
      <c r="AZ503" s="612"/>
      <c r="BA503" s="612"/>
      <c r="BB503" s="612"/>
      <c r="BC503" s="612"/>
      <c r="BD503" s="612"/>
      <c r="BE503" s="612"/>
      <c r="BF503" s="612"/>
      <c r="BG503" s="612"/>
      <c r="BH503" s="612">
        <f t="shared" si="425"/>
        <v>0</v>
      </c>
      <c r="BI503" s="612">
        <f t="shared" si="414"/>
        <v>0</v>
      </c>
      <c r="BJ503" s="201">
        <f>AQ510-BI503</f>
        <v>0</v>
      </c>
    </row>
    <row r="504" spans="1:62" ht="12" customHeight="1">
      <c r="A504" s="52"/>
      <c r="B504" s="52"/>
      <c r="C504" s="52"/>
      <c r="D504" s="52"/>
      <c r="E504" s="52"/>
      <c r="F504" s="52"/>
      <c r="G504" s="52"/>
      <c r="H504" s="2"/>
      <c r="I504" s="260"/>
      <c r="J504" s="185"/>
      <c r="K504" s="19"/>
      <c r="L504" s="118"/>
      <c r="M504" s="118"/>
      <c r="N504" s="119"/>
      <c r="O504" s="119"/>
      <c r="P504" s="120"/>
      <c r="Q504" s="120"/>
      <c r="R504" s="151"/>
      <c r="S504" s="158" t="e">
        <f ca="1">__xlfn.XLOOKUP(H504,[1]Izvršenje_proračuna_po_pozicija!$B$2:$B$153,[1]Izvršenje_proračuna_po_pozicija!$E$2:$E$153,0)</f>
        <v>#NAME?</v>
      </c>
      <c r="T504" s="158"/>
      <c r="U504" s="158"/>
      <c r="V504" s="532"/>
      <c r="W504" s="532"/>
      <c r="X504" s="560"/>
      <c r="Y504" s="561"/>
      <c r="Z504" s="561"/>
      <c r="AA504" s="562" t="e">
        <f t="shared" ca="1" si="424"/>
        <v>#NAME?</v>
      </c>
      <c r="AB504" s="535"/>
      <c r="AC504" s="529"/>
      <c r="AD504" s="529"/>
      <c r="AE504" s="529"/>
      <c r="AF504" s="529"/>
      <c r="AG504" s="529"/>
      <c r="AH504" s="529"/>
      <c r="AI504" s="535"/>
      <c r="AJ504" s="561"/>
      <c r="AK504" s="507"/>
      <c r="AL504" s="507"/>
      <c r="AM504" s="507"/>
      <c r="AN504" s="556"/>
      <c r="AO504" s="510"/>
      <c r="AP504" s="510" t="e">
        <f t="shared" ca="1" si="422"/>
        <v>#NAME?</v>
      </c>
      <c r="AQ504" s="532"/>
      <c r="AR504" s="533"/>
      <c r="AS504" s="533"/>
      <c r="AT504" s="533"/>
      <c r="AU504" s="533"/>
      <c r="AV504" s="533"/>
      <c r="AW504" s="612"/>
      <c r="AX504" s="612"/>
      <c r="AY504" s="612"/>
      <c r="AZ504" s="612"/>
      <c r="BA504" s="612"/>
      <c r="BB504" s="612"/>
      <c r="BC504" s="612"/>
      <c r="BD504" s="612"/>
      <c r="BE504" s="612"/>
      <c r="BF504" s="612"/>
      <c r="BG504" s="612"/>
      <c r="BH504" s="612">
        <f t="shared" si="425"/>
        <v>0</v>
      </c>
      <c r="BI504" s="612">
        <f t="shared" si="414"/>
        <v>0</v>
      </c>
      <c r="BJ504" s="201">
        <f>AQ511-BI504</f>
        <v>0</v>
      </c>
    </row>
    <row r="505" spans="1:62" ht="12" customHeight="1">
      <c r="A505" s="25"/>
      <c r="B505" s="25"/>
      <c r="C505" s="25"/>
      <c r="D505" s="25"/>
      <c r="E505" s="25"/>
      <c r="F505" s="25"/>
      <c r="G505" s="25"/>
      <c r="H505" s="285"/>
      <c r="I505" s="296"/>
      <c r="J505" s="211">
        <v>3</v>
      </c>
      <c r="K505" s="3" t="s">
        <v>220</v>
      </c>
      <c r="L505" s="111">
        <f t="shared" ref="L505:S505" si="433">L507+L512</f>
        <v>609673</v>
      </c>
      <c r="M505" s="111">
        <f t="shared" si="433"/>
        <v>80917.512774570307</v>
      </c>
      <c r="N505" s="112">
        <f t="shared" si="433"/>
        <v>1049986</v>
      </c>
      <c r="O505" s="112">
        <f t="shared" si="433"/>
        <v>139357.09071603956</v>
      </c>
      <c r="P505" s="113">
        <f t="shared" si="433"/>
        <v>142700</v>
      </c>
      <c r="Q505" s="113">
        <f t="shared" si="433"/>
        <v>204200</v>
      </c>
      <c r="R505" s="87">
        <f t="shared" si="433"/>
        <v>200252</v>
      </c>
      <c r="S505" s="89" t="e">
        <f t="shared" ca="1" si="433"/>
        <v>#NAME?</v>
      </c>
      <c r="T505" s="89"/>
      <c r="U505" s="89"/>
      <c r="V505" s="532">
        <f>V507+V512</f>
        <v>199200</v>
      </c>
      <c r="W505" s="532">
        <f>W507+W512</f>
        <v>199200</v>
      </c>
      <c r="X505" s="506">
        <f>X507+X512</f>
        <v>144400</v>
      </c>
      <c r="Y505" s="507">
        <f>Y507+Y512</f>
        <v>155000</v>
      </c>
      <c r="Z505" s="507">
        <f>Z507+Z512</f>
        <v>0</v>
      </c>
      <c r="AA505" s="562" t="e">
        <f t="shared" ca="1" si="424"/>
        <v>#NAME?</v>
      </c>
      <c r="AB505" s="507"/>
      <c r="AC505" s="508">
        <f>AC507+AC512</f>
        <v>143500</v>
      </c>
      <c r="AD505" s="508">
        <f>AD507+AD512</f>
        <v>143500</v>
      </c>
      <c r="AE505" s="529">
        <f>O505/M505*100</f>
        <v>172.22117430163385</v>
      </c>
      <c r="AF505" s="529">
        <f>P505/O505*100</f>
        <v>102.39880817458517</v>
      </c>
      <c r="AG505" s="529">
        <f>Q505/P505*100</f>
        <v>143.09740714786267</v>
      </c>
      <c r="AH505" s="529">
        <f>AC505/Q505*100</f>
        <v>70.274240940254657</v>
      </c>
      <c r="AI505" s="507"/>
      <c r="AJ505" s="507">
        <v>155000</v>
      </c>
      <c r="AK505" s="507">
        <f t="shared" si="416"/>
        <v>99.47466192597328</v>
      </c>
      <c r="AL505" s="507">
        <f t="shared" si="417"/>
        <v>72.489959839357425</v>
      </c>
      <c r="AM505" s="507">
        <f t="shared" si="417"/>
        <v>107.34072022160666</v>
      </c>
      <c r="AN505" s="509"/>
      <c r="AO505" s="510"/>
      <c r="AP505" s="510" t="e">
        <f t="shared" ca="1" si="422"/>
        <v>#NAME?</v>
      </c>
      <c r="AQ505" s="532">
        <f>AQ507+AQ512</f>
        <v>192622.64</v>
      </c>
      <c r="AR505" s="533">
        <f>V505/R505*100</f>
        <v>99.47466192597328</v>
      </c>
      <c r="AS505" s="533">
        <f>W505/V505*100</f>
        <v>100</v>
      </c>
      <c r="AT505" s="533">
        <f>W505/R505*100</f>
        <v>99.47466192597328</v>
      </c>
      <c r="AU505" s="533">
        <f>AQ505/W505*100</f>
        <v>96.698112449799197</v>
      </c>
      <c r="AV505" s="533">
        <f>AQ505/R505*100</f>
        <v>96.190120448235234</v>
      </c>
      <c r="AW505" s="612"/>
      <c r="AX505" s="612"/>
      <c r="AY505" s="612"/>
      <c r="AZ505" s="612"/>
      <c r="BA505" s="612"/>
      <c r="BB505" s="612"/>
      <c r="BC505" s="612"/>
      <c r="BD505" s="612"/>
      <c r="BE505" s="612"/>
      <c r="BF505" s="612"/>
      <c r="BG505" s="612"/>
      <c r="BH505" s="612">
        <f t="shared" si="425"/>
        <v>0</v>
      </c>
      <c r="BI505" s="612">
        <f t="shared" si="414"/>
        <v>189853.14</v>
      </c>
      <c r="BJ505" s="201"/>
    </row>
    <row r="506" spans="1:62" ht="12" customHeight="1">
      <c r="A506" s="41"/>
      <c r="B506" s="41"/>
      <c r="C506" s="41"/>
      <c r="D506" s="41"/>
      <c r="E506" s="41"/>
      <c r="F506" s="41"/>
      <c r="G506" s="41"/>
      <c r="H506" s="235"/>
      <c r="I506" s="15"/>
      <c r="J506" s="3"/>
      <c r="K506" s="83"/>
      <c r="L506" s="84"/>
      <c r="M506" s="84"/>
      <c r="N506" s="85"/>
      <c r="O506" s="85"/>
      <c r="P506" s="86"/>
      <c r="Q506" s="86"/>
      <c r="R506" s="154"/>
      <c r="S506" s="158" t="e">
        <f ca="1">__xlfn.XLOOKUP(H506,[1]Izvršenje_proračuna_po_pozicija!$B$2:$B$153,[1]Izvršenje_proračuna_po_pozicija!$E$2:$E$153,0)</f>
        <v>#NAME?</v>
      </c>
      <c r="T506" s="158"/>
      <c r="U506" s="158"/>
      <c r="V506" s="532"/>
      <c r="W506" s="532"/>
      <c r="X506" s="568"/>
      <c r="Y506" s="569"/>
      <c r="Z506" s="569"/>
      <c r="AA506" s="562" t="e">
        <f t="shared" ca="1" si="424"/>
        <v>#NAME?</v>
      </c>
      <c r="AB506" s="537"/>
      <c r="AC506" s="538"/>
      <c r="AD506" s="538"/>
      <c r="AE506" s="529"/>
      <c r="AF506" s="529"/>
      <c r="AG506" s="529"/>
      <c r="AH506" s="529"/>
      <c r="AI506" s="537"/>
      <c r="AJ506" s="569"/>
      <c r="AK506" s="507"/>
      <c r="AL506" s="507"/>
      <c r="AM506" s="507"/>
      <c r="AN506" s="557"/>
      <c r="AO506" s="510"/>
      <c r="AP506" s="510" t="e">
        <f t="shared" ca="1" si="422"/>
        <v>#NAME?</v>
      </c>
      <c r="AQ506" s="532"/>
      <c r="AR506" s="533"/>
      <c r="AS506" s="533"/>
      <c r="AT506" s="533"/>
      <c r="AU506" s="533"/>
      <c r="AV506" s="533"/>
      <c r="AW506" s="612"/>
      <c r="AX506" s="612"/>
      <c r="AY506" s="612"/>
      <c r="AZ506" s="612"/>
      <c r="BA506" s="612"/>
      <c r="BB506" s="612"/>
      <c r="BC506" s="612"/>
      <c r="BD506" s="612"/>
      <c r="BE506" s="612"/>
      <c r="BF506" s="612"/>
      <c r="BG506" s="612"/>
      <c r="BH506" s="612">
        <f t="shared" si="425"/>
        <v>0</v>
      </c>
      <c r="BI506" s="612">
        <f t="shared" si="414"/>
        <v>189853.14</v>
      </c>
      <c r="BJ506" s="201"/>
    </row>
    <row r="507" spans="1:62" ht="12" customHeight="1">
      <c r="A507" s="227"/>
      <c r="B507" s="227"/>
      <c r="C507" s="227"/>
      <c r="D507" s="227"/>
      <c r="E507" s="227"/>
      <c r="F507" s="227"/>
      <c r="G507" s="227"/>
      <c r="H507" s="234"/>
      <c r="I507" s="297"/>
      <c r="J507" s="228">
        <v>32</v>
      </c>
      <c r="K507" s="258" t="s">
        <v>229</v>
      </c>
      <c r="L507" s="111">
        <f t="shared" ref="L507:Z507" si="434">L508</f>
        <v>9625</v>
      </c>
      <c r="M507" s="111">
        <f t="shared" si="434"/>
        <v>1277.4570309907756</v>
      </c>
      <c r="N507" s="112">
        <f t="shared" si="434"/>
        <v>17250</v>
      </c>
      <c r="O507" s="112">
        <f t="shared" si="434"/>
        <v>2289.4684451522994</v>
      </c>
      <c r="P507" s="113">
        <f t="shared" si="434"/>
        <v>5500</v>
      </c>
      <c r="Q507" s="113">
        <f t="shared" si="434"/>
        <v>5500</v>
      </c>
      <c r="R507" s="87">
        <f t="shared" si="434"/>
        <v>1530</v>
      </c>
      <c r="S507" s="89" t="e">
        <f t="shared" ca="1" si="434"/>
        <v>#NAME?</v>
      </c>
      <c r="T507" s="89"/>
      <c r="U507" s="89"/>
      <c r="V507" s="532">
        <f>V508</f>
        <v>2800</v>
      </c>
      <c r="W507" s="532">
        <f t="shared" si="434"/>
        <v>2800</v>
      </c>
      <c r="X507" s="506">
        <f t="shared" si="434"/>
        <v>6000</v>
      </c>
      <c r="Y507" s="507">
        <f t="shared" si="434"/>
        <v>6000</v>
      </c>
      <c r="Z507" s="507">
        <f t="shared" si="434"/>
        <v>0</v>
      </c>
      <c r="AA507" s="562" t="e">
        <f t="shared" ca="1" si="424"/>
        <v>#NAME?</v>
      </c>
      <c r="AB507" s="507"/>
      <c r="AC507" s="508">
        <f>AC508</f>
        <v>6000</v>
      </c>
      <c r="AD507" s="508">
        <f>AD508</f>
        <v>6000</v>
      </c>
      <c r="AE507" s="529">
        <f>O507/M507*100</f>
        <v>179.22077922077924</v>
      </c>
      <c r="AF507" s="529">
        <f t="shared" ref="AF507:AG509" si="435">P507/O507*100</f>
        <v>240.23043478260871</v>
      </c>
      <c r="AG507" s="529">
        <f t="shared" si="435"/>
        <v>100</v>
      </c>
      <c r="AH507" s="529">
        <f>AC507/Q507*100</f>
        <v>109.09090909090908</v>
      </c>
      <c r="AI507" s="507"/>
      <c r="AJ507" s="507">
        <v>6000</v>
      </c>
      <c r="AK507" s="507">
        <f t="shared" si="416"/>
        <v>183.00653594771242</v>
      </c>
      <c r="AL507" s="507">
        <f t="shared" si="417"/>
        <v>214.28571428571428</v>
      </c>
      <c r="AM507" s="507">
        <f t="shared" si="417"/>
        <v>100</v>
      </c>
      <c r="AN507" s="509"/>
      <c r="AO507" s="510"/>
      <c r="AP507" s="510" t="e">
        <f t="shared" ca="1" si="422"/>
        <v>#NAME?</v>
      </c>
      <c r="AQ507" s="532">
        <f>AQ508</f>
        <v>2769.5</v>
      </c>
      <c r="AR507" s="533">
        <f>V507/R507*100</f>
        <v>183.00653594771242</v>
      </c>
      <c r="AS507" s="533">
        <f>W507/V507*100</f>
        <v>100</v>
      </c>
      <c r="AT507" s="533">
        <f>W507/R507*100</f>
        <v>183.00653594771242</v>
      </c>
      <c r="AU507" s="533">
        <f>AQ507/W507*100</f>
        <v>98.910714285714292</v>
      </c>
      <c r="AV507" s="533">
        <f>AQ507/R507*100</f>
        <v>181.01307189542484</v>
      </c>
      <c r="AW507" s="612"/>
      <c r="AX507" s="612"/>
      <c r="AY507" s="612"/>
      <c r="AZ507" s="612"/>
      <c r="BA507" s="612"/>
      <c r="BB507" s="612"/>
      <c r="BC507" s="612"/>
      <c r="BD507" s="612"/>
      <c r="BE507" s="612"/>
      <c r="BF507" s="612"/>
      <c r="BG507" s="612"/>
      <c r="BH507" s="612">
        <f t="shared" si="425"/>
        <v>0</v>
      </c>
      <c r="BI507" s="612"/>
      <c r="BJ507" s="201"/>
    </row>
    <row r="508" spans="1:62" ht="12" customHeight="1">
      <c r="A508" s="61"/>
      <c r="B508" s="61"/>
      <c r="C508" s="61"/>
      <c r="D508" s="61"/>
      <c r="E508" s="61"/>
      <c r="F508" s="61"/>
      <c r="G508" s="61"/>
      <c r="H508" s="230"/>
      <c r="I508" s="261"/>
      <c r="J508" s="229">
        <v>329</v>
      </c>
      <c r="K508" s="20" t="s">
        <v>440</v>
      </c>
      <c r="L508" s="111">
        <f t="shared" ref="L508:S508" si="436">L509+L510</f>
        <v>9625</v>
      </c>
      <c r="M508" s="111">
        <f t="shared" si="436"/>
        <v>1277.4570309907756</v>
      </c>
      <c r="N508" s="112">
        <f t="shared" si="436"/>
        <v>17250</v>
      </c>
      <c r="O508" s="112">
        <f t="shared" si="436"/>
        <v>2289.4684451522994</v>
      </c>
      <c r="P508" s="113">
        <f t="shared" si="436"/>
        <v>5500</v>
      </c>
      <c r="Q508" s="113">
        <f t="shared" si="436"/>
        <v>5500</v>
      </c>
      <c r="R508" s="87">
        <f t="shared" si="436"/>
        <v>1530</v>
      </c>
      <c r="S508" s="89" t="e">
        <f t="shared" ca="1" si="436"/>
        <v>#NAME?</v>
      </c>
      <c r="T508" s="89"/>
      <c r="U508" s="89"/>
      <c r="V508" s="532">
        <f>V509+V510</f>
        <v>2800</v>
      </c>
      <c r="W508" s="532">
        <f>W509+W510</f>
        <v>2800</v>
      </c>
      <c r="X508" s="506">
        <f>X509+X510</f>
        <v>6000</v>
      </c>
      <c r="Y508" s="507">
        <f>Y509+Y510</f>
        <v>6000</v>
      </c>
      <c r="Z508" s="507">
        <f>Z509+Z510</f>
        <v>0</v>
      </c>
      <c r="AA508" s="562" t="e">
        <f t="shared" ca="1" si="424"/>
        <v>#NAME?</v>
      </c>
      <c r="AB508" s="507"/>
      <c r="AC508" s="508">
        <f>AC509+AC510</f>
        <v>6000</v>
      </c>
      <c r="AD508" s="508">
        <f>AD509+AD510</f>
        <v>6000</v>
      </c>
      <c r="AE508" s="529">
        <f>O508/M508*100</f>
        <v>179.22077922077924</v>
      </c>
      <c r="AF508" s="529">
        <f t="shared" si="435"/>
        <v>240.23043478260871</v>
      </c>
      <c r="AG508" s="529">
        <f t="shared" si="435"/>
        <v>100</v>
      </c>
      <c r="AH508" s="529">
        <f>AC508/Q508*100</f>
        <v>109.09090909090908</v>
      </c>
      <c r="AI508" s="507"/>
      <c r="AJ508" s="507">
        <v>6000</v>
      </c>
      <c r="AK508" s="507">
        <f t="shared" si="416"/>
        <v>183.00653594771242</v>
      </c>
      <c r="AL508" s="507">
        <f t="shared" si="417"/>
        <v>214.28571428571428</v>
      </c>
      <c r="AM508" s="507">
        <f t="shared" si="417"/>
        <v>100</v>
      </c>
      <c r="AN508" s="509"/>
      <c r="AO508" s="510"/>
      <c r="AP508" s="510" t="e">
        <f t="shared" ca="1" si="422"/>
        <v>#NAME?</v>
      </c>
      <c r="AQ508" s="532">
        <f>AQ509+AQ510</f>
        <v>2769.5</v>
      </c>
      <c r="AR508" s="533">
        <f>V508/R508*100</f>
        <v>183.00653594771242</v>
      </c>
      <c r="AS508" s="533">
        <f>W508/V508*100</f>
        <v>100</v>
      </c>
      <c r="AT508" s="533">
        <f>W508/R508*100</f>
        <v>183.00653594771242</v>
      </c>
      <c r="AU508" s="533">
        <f>AQ508/W508*100</f>
        <v>98.910714285714292</v>
      </c>
      <c r="AV508" s="533">
        <f>AQ508/R508*100</f>
        <v>181.01307189542484</v>
      </c>
      <c r="AW508" s="612"/>
      <c r="AX508" s="612"/>
      <c r="AY508" s="612"/>
      <c r="AZ508" s="612"/>
      <c r="BA508" s="612"/>
      <c r="BB508" s="612"/>
      <c r="BC508" s="612"/>
      <c r="BD508" s="612"/>
      <c r="BE508" s="612"/>
      <c r="BF508" s="612"/>
      <c r="BG508" s="612"/>
      <c r="BH508" s="612">
        <f t="shared" si="425"/>
        <v>0</v>
      </c>
      <c r="BI508" s="612">
        <f t="shared" ref="BI508:BI571" si="437">SUM(AW515:BG515)</f>
        <v>189853.14</v>
      </c>
      <c r="BJ508" s="201"/>
    </row>
    <row r="509" spans="1:62" ht="12" customHeight="1">
      <c r="A509" s="52"/>
      <c r="B509" s="52"/>
      <c r="C509" s="52"/>
      <c r="D509" s="52"/>
      <c r="E509" s="52"/>
      <c r="F509" s="52"/>
      <c r="G509" s="52"/>
      <c r="H509" s="2" t="s">
        <v>441</v>
      </c>
      <c r="I509" s="260">
        <v>320</v>
      </c>
      <c r="J509" s="185">
        <v>3299</v>
      </c>
      <c r="K509" s="19" t="s">
        <v>442</v>
      </c>
      <c r="L509" s="129">
        <v>9625</v>
      </c>
      <c r="M509" s="129">
        <f>9625/7.5345</f>
        <v>1277.4570309907756</v>
      </c>
      <c r="N509" s="130">
        <v>17250</v>
      </c>
      <c r="O509" s="130">
        <f>N509/7.5345</f>
        <v>2289.4684451522994</v>
      </c>
      <c r="P509" s="131">
        <v>2800</v>
      </c>
      <c r="Q509" s="131">
        <v>2800</v>
      </c>
      <c r="R509" s="153">
        <v>1530</v>
      </c>
      <c r="S509" s="158" t="e">
        <f ca="1">__xlfn.XLOOKUP(H509,[1]Izvršenje_proračuna_po_pozicija!$B$2:$B$153,[1]Izvršenje_proračuna_po_pozicija!$E$2:$E$153,0)</f>
        <v>#NAME?</v>
      </c>
      <c r="T509" s="158"/>
      <c r="U509" s="158"/>
      <c r="V509" s="532">
        <v>2800</v>
      </c>
      <c r="W509" s="532">
        <v>2800</v>
      </c>
      <c r="X509" s="560">
        <v>3000</v>
      </c>
      <c r="Y509" s="561">
        <v>3000</v>
      </c>
      <c r="Z509" s="561"/>
      <c r="AA509" s="562" t="e">
        <f t="shared" ca="1" si="424"/>
        <v>#NAME?</v>
      </c>
      <c r="AB509" s="535"/>
      <c r="AC509" s="529">
        <v>3000</v>
      </c>
      <c r="AD509" s="529">
        <v>3000</v>
      </c>
      <c r="AE509" s="529">
        <f>O509/M509*100</f>
        <v>179.22077922077924</v>
      </c>
      <c r="AF509" s="529">
        <f t="shared" si="435"/>
        <v>122.2991304347826</v>
      </c>
      <c r="AG509" s="529">
        <f t="shared" si="435"/>
        <v>100</v>
      </c>
      <c r="AH509" s="529">
        <f>AC509/Q509*100</f>
        <v>107.14285714285714</v>
      </c>
      <c r="AI509" s="535"/>
      <c r="AJ509" s="561">
        <v>3000</v>
      </c>
      <c r="AK509" s="507">
        <f t="shared" si="416"/>
        <v>183.00653594771242</v>
      </c>
      <c r="AL509" s="507">
        <f t="shared" si="417"/>
        <v>107.14285714285714</v>
      </c>
      <c r="AM509" s="507">
        <f t="shared" si="417"/>
        <v>100</v>
      </c>
      <c r="AN509" s="556"/>
      <c r="AO509" s="510"/>
      <c r="AP509" s="510" t="e">
        <f t="shared" ca="1" si="422"/>
        <v>#NAME?</v>
      </c>
      <c r="AQ509" s="532">
        <v>2769.5</v>
      </c>
      <c r="AR509" s="533">
        <f>V509/R509*100</f>
        <v>183.00653594771242</v>
      </c>
      <c r="AS509" s="533">
        <f>W509/V509*100</f>
        <v>100</v>
      </c>
      <c r="AT509" s="533">
        <f>W509/R509*100</f>
        <v>183.00653594771242</v>
      </c>
      <c r="AU509" s="533">
        <f>AQ509/W509*100</f>
        <v>98.910714285714292</v>
      </c>
      <c r="AV509" s="533">
        <f>AQ509/R509*100</f>
        <v>181.01307189542484</v>
      </c>
      <c r="AW509" s="612">
        <f>AQ509</f>
        <v>2769.5</v>
      </c>
      <c r="AX509" s="612"/>
      <c r="AY509" s="612"/>
      <c r="AZ509" s="612"/>
      <c r="BA509" s="612"/>
      <c r="BB509" s="612"/>
      <c r="BC509" s="612"/>
      <c r="BD509" s="612"/>
      <c r="BE509" s="612"/>
      <c r="BF509" s="612"/>
      <c r="BG509" s="612"/>
      <c r="BH509" s="612">
        <f t="shared" si="425"/>
        <v>2769.5</v>
      </c>
      <c r="BI509" s="612">
        <f t="shared" si="437"/>
        <v>130000</v>
      </c>
      <c r="BJ509" s="201">
        <f t="shared" ref="BJ509:BJ529" si="438">AQ516-BI509</f>
        <v>0</v>
      </c>
    </row>
    <row r="510" spans="1:62" ht="12" customHeight="1">
      <c r="A510" s="52"/>
      <c r="B510" s="52"/>
      <c r="C510" s="52"/>
      <c r="D510" s="52"/>
      <c r="E510" s="52"/>
      <c r="F510" s="52"/>
      <c r="G510" s="52"/>
      <c r="H510" s="2" t="s">
        <v>443</v>
      </c>
      <c r="I510" s="260">
        <v>320</v>
      </c>
      <c r="J510" s="185">
        <v>3299</v>
      </c>
      <c r="K510" s="19" t="s">
        <v>444</v>
      </c>
      <c r="L510" s="129">
        <v>0</v>
      </c>
      <c r="M510" s="129">
        <v>0</v>
      </c>
      <c r="N510" s="130">
        <v>0</v>
      </c>
      <c r="O510" s="130">
        <f>N510/7.5345</f>
        <v>0</v>
      </c>
      <c r="P510" s="131">
        <v>2700</v>
      </c>
      <c r="Q510" s="131">
        <v>2700</v>
      </c>
      <c r="R510" s="153">
        <v>0</v>
      </c>
      <c r="S510" s="158" t="e">
        <f ca="1">__xlfn.XLOOKUP(H510,[1]Izvršenje_proračuna_po_pozicija!$B$2:$B$153,[1]Izvršenje_proračuna_po_pozicija!$E$2:$E$153,0)</f>
        <v>#NAME?</v>
      </c>
      <c r="T510" s="158"/>
      <c r="U510" s="158"/>
      <c r="V510" s="532">
        <v>0</v>
      </c>
      <c r="W510" s="532">
        <v>0</v>
      </c>
      <c r="X510" s="560">
        <v>3000</v>
      </c>
      <c r="Y510" s="561">
        <v>3000</v>
      </c>
      <c r="Z510" s="561"/>
      <c r="AA510" s="562" t="e">
        <f t="shared" ca="1" si="424"/>
        <v>#NAME?</v>
      </c>
      <c r="AB510" s="535"/>
      <c r="AC510" s="529">
        <v>3000</v>
      </c>
      <c r="AD510" s="529">
        <v>3000</v>
      </c>
      <c r="AE510" s="529"/>
      <c r="AF510" s="529"/>
      <c r="AG510" s="529"/>
      <c r="AH510" s="529"/>
      <c r="AI510" s="535"/>
      <c r="AJ510" s="561">
        <v>3000</v>
      </c>
      <c r="AK510" s="507"/>
      <c r="AL510" s="507"/>
      <c r="AM510" s="507">
        <f t="shared" si="417"/>
        <v>100</v>
      </c>
      <c r="AN510" s="556"/>
      <c r="AO510" s="510"/>
      <c r="AP510" s="510" t="e">
        <f t="shared" ca="1" si="422"/>
        <v>#NAME?</v>
      </c>
      <c r="AQ510" s="532"/>
      <c r="AR510" s="533"/>
      <c r="AS510" s="533"/>
      <c r="AT510" s="533"/>
      <c r="AU510" s="533"/>
      <c r="AV510" s="533"/>
      <c r="AW510" s="612"/>
      <c r="AX510" s="612"/>
      <c r="AY510" s="612"/>
      <c r="AZ510" s="612"/>
      <c r="BA510" s="612"/>
      <c r="BB510" s="612"/>
      <c r="BC510" s="612"/>
      <c r="BD510" s="612"/>
      <c r="BE510" s="612"/>
      <c r="BF510" s="612"/>
      <c r="BG510" s="612"/>
      <c r="BH510" s="612">
        <f t="shared" si="425"/>
        <v>0</v>
      </c>
      <c r="BI510" s="612">
        <f t="shared" si="437"/>
        <v>51853.14</v>
      </c>
      <c r="BJ510" s="201">
        <f t="shared" si="438"/>
        <v>0</v>
      </c>
    </row>
    <row r="511" spans="1:62" ht="12" customHeight="1">
      <c r="A511" s="52"/>
      <c r="B511" s="52"/>
      <c r="C511" s="52"/>
      <c r="D511" s="52"/>
      <c r="E511" s="52"/>
      <c r="F511" s="52"/>
      <c r="G511" s="52"/>
      <c r="H511" s="2"/>
      <c r="I511" s="260"/>
      <c r="J511" s="185"/>
      <c r="K511" s="19"/>
      <c r="L511" s="129"/>
      <c r="M511" s="129"/>
      <c r="N511" s="130"/>
      <c r="O511" s="130"/>
      <c r="P511" s="131"/>
      <c r="Q511" s="131"/>
      <c r="R511" s="153"/>
      <c r="S511" s="158" t="e">
        <f ca="1">__xlfn.XLOOKUP(H511,[1]Izvršenje_proračuna_po_pozicija!$B$2:$B$153,[1]Izvršenje_proračuna_po_pozicija!$E$2:$E$153,0)</f>
        <v>#NAME?</v>
      </c>
      <c r="T511" s="158"/>
      <c r="U511" s="158"/>
      <c r="V511" s="532"/>
      <c r="W511" s="532"/>
      <c r="X511" s="560"/>
      <c r="Y511" s="561"/>
      <c r="Z511" s="561"/>
      <c r="AA511" s="562" t="e">
        <f t="shared" ca="1" si="424"/>
        <v>#NAME?</v>
      </c>
      <c r="AB511" s="535"/>
      <c r="AC511" s="529"/>
      <c r="AD511" s="529"/>
      <c r="AE511" s="529"/>
      <c r="AF511" s="529"/>
      <c r="AG511" s="529"/>
      <c r="AH511" s="529"/>
      <c r="AI511" s="535"/>
      <c r="AJ511" s="561"/>
      <c r="AK511" s="507"/>
      <c r="AL511" s="507"/>
      <c r="AM511" s="507"/>
      <c r="AN511" s="556"/>
      <c r="AO511" s="510"/>
      <c r="AP511" s="510" t="e">
        <f t="shared" ca="1" si="422"/>
        <v>#NAME?</v>
      </c>
      <c r="AQ511" s="532"/>
      <c r="AR511" s="533"/>
      <c r="AS511" s="533"/>
      <c r="AT511" s="533"/>
      <c r="AU511" s="533"/>
      <c r="AV511" s="533"/>
      <c r="AW511" s="612"/>
      <c r="AX511" s="612"/>
      <c r="AY511" s="612"/>
      <c r="AZ511" s="612"/>
      <c r="BA511" s="612"/>
      <c r="BB511" s="612"/>
      <c r="BC511" s="612"/>
      <c r="BD511" s="612"/>
      <c r="BE511" s="612"/>
      <c r="BF511" s="612"/>
      <c r="BG511" s="612"/>
      <c r="BH511" s="612">
        <f t="shared" si="425"/>
        <v>0</v>
      </c>
      <c r="BI511" s="612">
        <f t="shared" si="437"/>
        <v>8000</v>
      </c>
      <c r="BJ511" s="201">
        <f t="shared" si="438"/>
        <v>0</v>
      </c>
    </row>
    <row r="512" spans="1:62" ht="12" customHeight="1">
      <c r="A512" s="227"/>
      <c r="B512" s="227"/>
      <c r="C512" s="227"/>
      <c r="D512" s="227"/>
      <c r="E512" s="227"/>
      <c r="F512" s="227"/>
      <c r="G512" s="227"/>
      <c r="H512" s="234"/>
      <c r="I512" s="297"/>
      <c r="J512" s="228">
        <v>38</v>
      </c>
      <c r="K512" s="258" t="s">
        <v>281</v>
      </c>
      <c r="L512" s="111">
        <f t="shared" ref="L512:AD514" si="439">L513</f>
        <v>600048</v>
      </c>
      <c r="M512" s="111">
        <f t="shared" si="439"/>
        <v>79640.055743579534</v>
      </c>
      <c r="N512" s="112">
        <f t="shared" si="439"/>
        <v>1032736</v>
      </c>
      <c r="O512" s="112">
        <f t="shared" si="439"/>
        <v>137067.62227088725</v>
      </c>
      <c r="P512" s="113">
        <f t="shared" si="439"/>
        <v>137200</v>
      </c>
      <c r="Q512" s="113">
        <f t="shared" si="439"/>
        <v>198700</v>
      </c>
      <c r="R512" s="87">
        <f t="shared" si="439"/>
        <v>198722</v>
      </c>
      <c r="S512" s="89" t="e">
        <f t="shared" ca="1" si="439"/>
        <v>#NAME?</v>
      </c>
      <c r="T512" s="89"/>
      <c r="U512" s="89"/>
      <c r="V512" s="532">
        <f>V513</f>
        <v>196400</v>
      </c>
      <c r="W512" s="532">
        <f t="shared" si="439"/>
        <v>196400</v>
      </c>
      <c r="X512" s="506">
        <f t="shared" si="439"/>
        <v>138400</v>
      </c>
      <c r="Y512" s="507">
        <f t="shared" si="439"/>
        <v>149000</v>
      </c>
      <c r="Z512" s="507">
        <f t="shared" si="439"/>
        <v>0</v>
      </c>
      <c r="AA512" s="562" t="e">
        <f t="shared" ca="1" si="424"/>
        <v>#NAME?</v>
      </c>
      <c r="AB512" s="507"/>
      <c r="AC512" s="508">
        <f t="shared" si="439"/>
        <v>137500</v>
      </c>
      <c r="AD512" s="508">
        <f t="shared" si="439"/>
        <v>137500</v>
      </c>
      <c r="AE512" s="529">
        <f t="shared" ref="AE512:AE518" si="440">O512/M512*100</f>
        <v>172.1088979548303</v>
      </c>
      <c r="AF512" s="529">
        <f t="shared" ref="AF512:AG518" si="441">P512/O512*100</f>
        <v>100.09657840919655</v>
      </c>
      <c r="AG512" s="529">
        <f t="shared" si="441"/>
        <v>144.82507288629739</v>
      </c>
      <c r="AH512" s="529">
        <f t="shared" ref="AH512:AH518" si="442">AC512/Q512*100</f>
        <v>69.199798691494721</v>
      </c>
      <c r="AI512" s="507"/>
      <c r="AJ512" s="507">
        <v>149000</v>
      </c>
      <c r="AK512" s="507">
        <f t="shared" si="416"/>
        <v>98.831533499058992</v>
      </c>
      <c r="AL512" s="507">
        <f t="shared" si="417"/>
        <v>70.468431771894089</v>
      </c>
      <c r="AM512" s="507">
        <f t="shared" si="417"/>
        <v>107.65895953757226</v>
      </c>
      <c r="AN512" s="509"/>
      <c r="AO512" s="510"/>
      <c r="AP512" s="510" t="e">
        <f t="shared" ca="1" si="422"/>
        <v>#NAME?</v>
      </c>
      <c r="AQ512" s="532">
        <f>AQ513</f>
        <v>189853.14</v>
      </c>
      <c r="AR512" s="532">
        <f t="shared" ref="AR512:BG514" si="443">AR513</f>
        <v>305.99055774843396</v>
      </c>
      <c r="AS512" s="532">
        <f t="shared" si="443"/>
        <v>300</v>
      </c>
      <c r="AT512" s="532">
        <f t="shared" si="443"/>
        <v>305.99055774843396</v>
      </c>
      <c r="AU512" s="532">
        <f t="shared" si="443"/>
        <v>284.64006075533661</v>
      </c>
      <c r="AV512" s="532">
        <f t="shared" si="443"/>
        <v>293.39849547864787</v>
      </c>
      <c r="AW512" s="612">
        <f t="shared" si="443"/>
        <v>189853.14</v>
      </c>
      <c r="AX512" s="612">
        <f t="shared" si="443"/>
        <v>0</v>
      </c>
      <c r="AY512" s="612">
        <f t="shared" si="443"/>
        <v>0</v>
      </c>
      <c r="AZ512" s="612">
        <f t="shared" si="443"/>
        <v>0</v>
      </c>
      <c r="BA512" s="612">
        <f t="shared" si="443"/>
        <v>0</v>
      </c>
      <c r="BB512" s="612">
        <f t="shared" si="443"/>
        <v>0</v>
      </c>
      <c r="BC512" s="612">
        <f t="shared" si="443"/>
        <v>0</v>
      </c>
      <c r="BD512" s="612">
        <f t="shared" si="443"/>
        <v>0</v>
      </c>
      <c r="BE512" s="612">
        <f t="shared" si="443"/>
        <v>0</v>
      </c>
      <c r="BF512" s="612">
        <f t="shared" si="443"/>
        <v>0</v>
      </c>
      <c r="BG512" s="612">
        <f t="shared" si="443"/>
        <v>0</v>
      </c>
      <c r="BH512" s="612">
        <f t="shared" si="425"/>
        <v>189853.14</v>
      </c>
      <c r="BI512" s="612">
        <f t="shared" si="437"/>
        <v>0</v>
      </c>
      <c r="BJ512" s="201">
        <f t="shared" si="438"/>
        <v>0</v>
      </c>
    </row>
    <row r="513" spans="1:62" ht="12" customHeight="1">
      <c r="A513" s="61"/>
      <c r="B513" s="202"/>
      <c r="C513" s="202"/>
      <c r="D513" s="202"/>
      <c r="E513" s="202"/>
      <c r="F513" s="202">
        <v>6</v>
      </c>
      <c r="G513" s="202"/>
      <c r="H513" s="288"/>
      <c r="I513" s="308"/>
      <c r="J513" s="229">
        <v>381</v>
      </c>
      <c r="K513" s="20" t="s">
        <v>397</v>
      </c>
      <c r="L513" s="111">
        <f t="shared" si="439"/>
        <v>600048</v>
      </c>
      <c r="M513" s="111">
        <f t="shared" si="439"/>
        <v>79640.055743579534</v>
      </c>
      <c r="N513" s="112">
        <f t="shared" si="439"/>
        <v>1032736</v>
      </c>
      <c r="O513" s="112">
        <f t="shared" si="439"/>
        <v>137067.62227088725</v>
      </c>
      <c r="P513" s="113">
        <f t="shared" si="439"/>
        <v>137200</v>
      </c>
      <c r="Q513" s="113">
        <f t="shared" si="439"/>
        <v>198700</v>
      </c>
      <c r="R513" s="87">
        <f t="shared" si="439"/>
        <v>198722</v>
      </c>
      <c r="S513" s="89" t="e">
        <f t="shared" ca="1" si="439"/>
        <v>#NAME?</v>
      </c>
      <c r="T513" s="89"/>
      <c r="U513" s="89"/>
      <c r="V513" s="532">
        <f>V514</f>
        <v>196400</v>
      </c>
      <c r="W513" s="532">
        <f t="shared" si="439"/>
        <v>196400</v>
      </c>
      <c r="X513" s="506">
        <f t="shared" si="439"/>
        <v>138400</v>
      </c>
      <c r="Y513" s="507">
        <f t="shared" si="439"/>
        <v>149000</v>
      </c>
      <c r="Z513" s="507">
        <f t="shared" si="439"/>
        <v>0</v>
      </c>
      <c r="AA513" s="562" t="e">
        <f t="shared" ca="1" si="424"/>
        <v>#NAME?</v>
      </c>
      <c r="AB513" s="507"/>
      <c r="AC513" s="508">
        <f t="shared" si="439"/>
        <v>137500</v>
      </c>
      <c r="AD513" s="508">
        <f t="shared" si="439"/>
        <v>137500</v>
      </c>
      <c r="AE513" s="529">
        <f t="shared" si="440"/>
        <v>172.1088979548303</v>
      </c>
      <c r="AF513" s="529">
        <f t="shared" si="441"/>
        <v>100.09657840919655</v>
      </c>
      <c r="AG513" s="529">
        <f t="shared" si="441"/>
        <v>144.82507288629739</v>
      </c>
      <c r="AH513" s="529">
        <f t="shared" si="442"/>
        <v>69.199798691494721</v>
      </c>
      <c r="AI513" s="507"/>
      <c r="AJ513" s="507">
        <v>149000</v>
      </c>
      <c r="AK513" s="507">
        <f t="shared" si="416"/>
        <v>98.831533499058992</v>
      </c>
      <c r="AL513" s="507">
        <f t="shared" si="417"/>
        <v>70.468431771894089</v>
      </c>
      <c r="AM513" s="507">
        <f t="shared" si="417"/>
        <v>107.65895953757226</v>
      </c>
      <c r="AN513" s="509"/>
      <c r="AO513" s="510"/>
      <c r="AP513" s="510" t="e">
        <f t="shared" ca="1" si="422"/>
        <v>#NAME?</v>
      </c>
      <c r="AQ513" s="532">
        <f>AQ514</f>
        <v>189853.14</v>
      </c>
      <c r="AR513" s="532">
        <f t="shared" si="443"/>
        <v>305.99055774843396</v>
      </c>
      <c r="AS513" s="532">
        <f t="shared" si="443"/>
        <v>300</v>
      </c>
      <c r="AT513" s="532">
        <f t="shared" si="443"/>
        <v>305.99055774843396</v>
      </c>
      <c r="AU513" s="532">
        <f t="shared" si="443"/>
        <v>284.64006075533661</v>
      </c>
      <c r="AV513" s="532">
        <f t="shared" si="443"/>
        <v>293.39849547864787</v>
      </c>
      <c r="AW513" s="612">
        <f t="shared" si="443"/>
        <v>189853.14</v>
      </c>
      <c r="AX513" s="612">
        <f t="shared" si="443"/>
        <v>0</v>
      </c>
      <c r="AY513" s="612">
        <f t="shared" si="443"/>
        <v>0</v>
      </c>
      <c r="AZ513" s="612">
        <f t="shared" si="443"/>
        <v>0</v>
      </c>
      <c r="BA513" s="612">
        <f t="shared" si="443"/>
        <v>0</v>
      </c>
      <c r="BB513" s="612">
        <f t="shared" si="443"/>
        <v>0</v>
      </c>
      <c r="BC513" s="612">
        <f t="shared" si="443"/>
        <v>0</v>
      </c>
      <c r="BD513" s="612">
        <f t="shared" si="443"/>
        <v>0</v>
      </c>
      <c r="BE513" s="612">
        <f t="shared" si="443"/>
        <v>0</v>
      </c>
      <c r="BF513" s="612">
        <f t="shared" si="443"/>
        <v>0</v>
      </c>
      <c r="BG513" s="612">
        <f t="shared" si="443"/>
        <v>0</v>
      </c>
      <c r="BH513" s="612">
        <f t="shared" si="425"/>
        <v>189853.14</v>
      </c>
      <c r="BI513" s="612">
        <f t="shared" si="437"/>
        <v>0</v>
      </c>
      <c r="BJ513" s="201">
        <f t="shared" si="438"/>
        <v>0</v>
      </c>
    </row>
    <row r="514" spans="1:62" ht="12" customHeight="1">
      <c r="A514" s="52"/>
      <c r="B514" s="52"/>
      <c r="C514" s="52"/>
      <c r="D514" s="52"/>
      <c r="E514" s="52"/>
      <c r="F514" s="52"/>
      <c r="G514" s="52"/>
      <c r="H514" s="236"/>
      <c r="I514" s="266"/>
      <c r="J514" s="267">
        <v>3811</v>
      </c>
      <c r="K514" s="268" t="s">
        <v>282</v>
      </c>
      <c r="L514" s="238">
        <f t="shared" si="439"/>
        <v>600048</v>
      </c>
      <c r="M514" s="238">
        <f t="shared" si="439"/>
        <v>79640.055743579534</v>
      </c>
      <c r="N514" s="239">
        <f t="shared" si="439"/>
        <v>1032736</v>
      </c>
      <c r="O514" s="239">
        <f t="shared" si="439"/>
        <v>137067.62227088725</v>
      </c>
      <c r="P514" s="240">
        <f t="shared" si="439"/>
        <v>137200</v>
      </c>
      <c r="Q514" s="240">
        <f t="shared" si="439"/>
        <v>198700</v>
      </c>
      <c r="R514" s="95">
        <f t="shared" si="439"/>
        <v>198722</v>
      </c>
      <c r="S514" s="97" t="e">
        <f t="shared" ca="1" si="439"/>
        <v>#NAME?</v>
      </c>
      <c r="T514" s="97"/>
      <c r="U514" s="97"/>
      <c r="V514" s="532">
        <f>V515</f>
        <v>196400</v>
      </c>
      <c r="W514" s="532">
        <f t="shared" si="439"/>
        <v>196400</v>
      </c>
      <c r="X514" s="513">
        <f t="shared" si="439"/>
        <v>138400</v>
      </c>
      <c r="Y514" s="514">
        <f t="shared" si="439"/>
        <v>149000</v>
      </c>
      <c r="Z514" s="514">
        <f t="shared" si="439"/>
        <v>0</v>
      </c>
      <c r="AA514" s="562" t="e">
        <f t="shared" ca="1" si="424"/>
        <v>#NAME?</v>
      </c>
      <c r="AB514" s="514"/>
      <c r="AC514" s="515">
        <f t="shared" si="439"/>
        <v>137500</v>
      </c>
      <c r="AD514" s="515">
        <f t="shared" si="439"/>
        <v>137500</v>
      </c>
      <c r="AE514" s="529">
        <f t="shared" si="440"/>
        <v>172.1088979548303</v>
      </c>
      <c r="AF514" s="529">
        <f t="shared" si="441"/>
        <v>100.09657840919655</v>
      </c>
      <c r="AG514" s="529">
        <f t="shared" si="441"/>
        <v>144.82507288629739</v>
      </c>
      <c r="AH514" s="529">
        <f t="shared" si="442"/>
        <v>69.199798691494721</v>
      </c>
      <c r="AI514" s="514"/>
      <c r="AJ514" s="514">
        <v>149000</v>
      </c>
      <c r="AK514" s="507">
        <f t="shared" si="416"/>
        <v>98.831533499058992</v>
      </c>
      <c r="AL514" s="507">
        <f t="shared" si="417"/>
        <v>70.468431771894089</v>
      </c>
      <c r="AM514" s="507">
        <f t="shared" si="417"/>
        <v>107.65895953757226</v>
      </c>
      <c r="AN514" s="516"/>
      <c r="AO514" s="510"/>
      <c r="AP514" s="510" t="e">
        <f t="shared" ca="1" si="422"/>
        <v>#NAME?</v>
      </c>
      <c r="AQ514" s="532">
        <f>AQ515</f>
        <v>189853.14</v>
      </c>
      <c r="AR514" s="532">
        <f t="shared" si="443"/>
        <v>305.99055774843396</v>
      </c>
      <c r="AS514" s="532">
        <f t="shared" si="443"/>
        <v>300</v>
      </c>
      <c r="AT514" s="532">
        <f t="shared" si="443"/>
        <v>305.99055774843396</v>
      </c>
      <c r="AU514" s="532">
        <f t="shared" si="443"/>
        <v>284.64006075533661</v>
      </c>
      <c r="AV514" s="532">
        <f t="shared" si="443"/>
        <v>293.39849547864787</v>
      </c>
      <c r="AW514" s="612">
        <f t="shared" si="443"/>
        <v>189853.14</v>
      </c>
      <c r="AX514" s="612">
        <f t="shared" si="443"/>
        <v>0</v>
      </c>
      <c r="AY514" s="612">
        <f t="shared" si="443"/>
        <v>0</v>
      </c>
      <c r="AZ514" s="612">
        <f t="shared" si="443"/>
        <v>0</v>
      </c>
      <c r="BA514" s="612">
        <f t="shared" si="443"/>
        <v>0</v>
      </c>
      <c r="BB514" s="612">
        <f t="shared" si="443"/>
        <v>0</v>
      </c>
      <c r="BC514" s="612">
        <f t="shared" si="443"/>
        <v>0</v>
      </c>
      <c r="BD514" s="612">
        <f t="shared" si="443"/>
        <v>0</v>
      </c>
      <c r="BE514" s="612">
        <f t="shared" si="443"/>
        <v>0</v>
      </c>
      <c r="BF514" s="612">
        <f t="shared" si="443"/>
        <v>0</v>
      </c>
      <c r="BG514" s="612">
        <f t="shared" si="443"/>
        <v>0</v>
      </c>
      <c r="BH514" s="612">
        <f t="shared" si="425"/>
        <v>189853.14</v>
      </c>
      <c r="BI514" s="612">
        <f t="shared" si="437"/>
        <v>0</v>
      </c>
      <c r="BJ514" s="201">
        <f t="shared" si="438"/>
        <v>0</v>
      </c>
    </row>
    <row r="515" spans="1:62" ht="12" customHeight="1">
      <c r="A515" s="52"/>
      <c r="B515" s="52"/>
      <c r="C515" s="52"/>
      <c r="D515" s="52"/>
      <c r="E515" s="52"/>
      <c r="F515" s="52"/>
      <c r="G515" s="52"/>
      <c r="H515" s="2">
        <v>158</v>
      </c>
      <c r="I515" s="289">
        <v>320</v>
      </c>
      <c r="J515" s="185">
        <v>3811</v>
      </c>
      <c r="K515" s="19" t="s">
        <v>445</v>
      </c>
      <c r="L515" s="111">
        <f t="shared" ref="L515:S515" si="444">L516+L517+L518</f>
        <v>600048</v>
      </c>
      <c r="M515" s="111">
        <f t="shared" si="444"/>
        <v>79640.055743579534</v>
      </c>
      <c r="N515" s="112">
        <f t="shared" si="444"/>
        <v>1032736</v>
      </c>
      <c r="O515" s="112">
        <f t="shared" si="444"/>
        <v>137067.62227088725</v>
      </c>
      <c r="P515" s="113">
        <f t="shared" si="444"/>
        <v>137200</v>
      </c>
      <c r="Q515" s="113">
        <f t="shared" si="444"/>
        <v>198700</v>
      </c>
      <c r="R515" s="87">
        <f t="shared" si="444"/>
        <v>198722</v>
      </c>
      <c r="S515" s="89" t="e">
        <f t="shared" ca="1" si="444"/>
        <v>#NAME?</v>
      </c>
      <c r="T515" s="89"/>
      <c r="U515" s="89"/>
      <c r="V515" s="532">
        <f>V516+V517+V518</f>
        <v>196400</v>
      </c>
      <c r="W515" s="532">
        <f>W516+W517+W518</f>
        <v>196400</v>
      </c>
      <c r="X515" s="506">
        <f>X516+X517+X518</f>
        <v>138400</v>
      </c>
      <c r="Y515" s="507">
        <f>Y516+Y517+Y518</f>
        <v>149000</v>
      </c>
      <c r="Z515" s="507">
        <f>Z516+Z517+Z518</f>
        <v>0</v>
      </c>
      <c r="AA515" s="562" t="e">
        <f t="shared" ca="1" si="424"/>
        <v>#NAME?</v>
      </c>
      <c r="AB515" s="507"/>
      <c r="AC515" s="508">
        <f>AC516+AC517+AC518</f>
        <v>137500</v>
      </c>
      <c r="AD515" s="508">
        <f>AD516+AD517+AD518</f>
        <v>137500</v>
      </c>
      <c r="AE515" s="529">
        <f t="shared" si="440"/>
        <v>172.1088979548303</v>
      </c>
      <c r="AF515" s="529">
        <f t="shared" si="441"/>
        <v>100.09657840919655</v>
      </c>
      <c r="AG515" s="529">
        <f t="shared" si="441"/>
        <v>144.82507288629739</v>
      </c>
      <c r="AH515" s="529">
        <f t="shared" si="442"/>
        <v>69.199798691494721</v>
      </c>
      <c r="AI515" s="507"/>
      <c r="AJ515" s="507">
        <v>149000</v>
      </c>
      <c r="AK515" s="507">
        <f t="shared" si="416"/>
        <v>98.831533499058992</v>
      </c>
      <c r="AL515" s="507">
        <f t="shared" si="417"/>
        <v>70.468431771894089</v>
      </c>
      <c r="AM515" s="507">
        <f t="shared" si="417"/>
        <v>107.65895953757226</v>
      </c>
      <c r="AN515" s="509"/>
      <c r="AO515" s="510"/>
      <c r="AP515" s="510" t="e">
        <f t="shared" ca="1" si="422"/>
        <v>#NAME?</v>
      </c>
      <c r="AQ515" s="532">
        <f>AQ516+AQ517+AQ518</f>
        <v>189853.14</v>
      </c>
      <c r="AR515" s="532">
        <f t="shared" ref="AR515:BG515" si="445">AR516+AR517+AR518</f>
        <v>305.99055774843396</v>
      </c>
      <c r="AS515" s="532">
        <f t="shared" si="445"/>
        <v>300</v>
      </c>
      <c r="AT515" s="532">
        <f t="shared" si="445"/>
        <v>305.99055774843396</v>
      </c>
      <c r="AU515" s="532">
        <f t="shared" si="445"/>
        <v>284.64006075533661</v>
      </c>
      <c r="AV515" s="532">
        <f t="shared" si="445"/>
        <v>293.39849547864787</v>
      </c>
      <c r="AW515" s="612">
        <f t="shared" si="445"/>
        <v>189853.14</v>
      </c>
      <c r="AX515" s="612">
        <f t="shared" si="445"/>
        <v>0</v>
      </c>
      <c r="AY515" s="612">
        <f t="shared" si="445"/>
        <v>0</v>
      </c>
      <c r="AZ515" s="612">
        <f t="shared" si="445"/>
        <v>0</v>
      </c>
      <c r="BA515" s="612">
        <f t="shared" si="445"/>
        <v>0</v>
      </c>
      <c r="BB515" s="612">
        <f t="shared" si="445"/>
        <v>0</v>
      </c>
      <c r="BC515" s="612">
        <f t="shared" si="445"/>
        <v>0</v>
      </c>
      <c r="BD515" s="612">
        <f t="shared" si="445"/>
        <v>0</v>
      </c>
      <c r="BE515" s="612">
        <f t="shared" si="445"/>
        <v>0</v>
      </c>
      <c r="BF515" s="612">
        <f t="shared" si="445"/>
        <v>0</v>
      </c>
      <c r="BG515" s="612">
        <f t="shared" si="445"/>
        <v>0</v>
      </c>
      <c r="BH515" s="612">
        <f t="shared" si="425"/>
        <v>189853.14</v>
      </c>
      <c r="BI515" s="612">
        <f t="shared" si="437"/>
        <v>0</v>
      </c>
      <c r="BJ515" s="201">
        <f t="shared" si="438"/>
        <v>0</v>
      </c>
    </row>
    <row r="516" spans="1:62" ht="12" customHeight="1">
      <c r="A516" s="52"/>
      <c r="B516" s="52"/>
      <c r="C516" s="52"/>
      <c r="D516" s="52"/>
      <c r="E516" s="52"/>
      <c r="F516" s="52"/>
      <c r="G516" s="52"/>
      <c r="H516" s="2" t="s">
        <v>446</v>
      </c>
      <c r="I516" s="289">
        <v>320</v>
      </c>
      <c r="J516" s="185">
        <v>3811</v>
      </c>
      <c r="K516" s="19" t="s">
        <v>447</v>
      </c>
      <c r="L516" s="129">
        <v>358000</v>
      </c>
      <c r="M516" s="129">
        <f>358000/7.5345</f>
        <v>47514.765412436122</v>
      </c>
      <c r="N516" s="130">
        <v>375000</v>
      </c>
      <c r="O516" s="130">
        <f>N516/7.5345</f>
        <v>49771.053155484769</v>
      </c>
      <c r="P516" s="131">
        <v>60700</v>
      </c>
      <c r="Q516" s="156">
        <v>105000</v>
      </c>
      <c r="R516" s="153">
        <v>105000</v>
      </c>
      <c r="S516" s="158" t="e">
        <f ca="1">__xlfn.XLOOKUP(H516,[1]Izvršenje_proračuna_po_pozicija!$B$2:$B$153,[1]Izvršenje_proračuna_po_pozicija!$E$2:$E$153,0)</f>
        <v>#NAME?</v>
      </c>
      <c r="T516" s="158"/>
      <c r="U516" s="158"/>
      <c r="V516" s="532">
        <v>130000</v>
      </c>
      <c r="W516" s="532">
        <v>130000</v>
      </c>
      <c r="X516" s="560">
        <v>130000</v>
      </c>
      <c r="Y516" s="561">
        <v>140000</v>
      </c>
      <c r="Z516" s="561"/>
      <c r="AA516" s="562" t="e">
        <f t="shared" ca="1" si="424"/>
        <v>#NAME?</v>
      </c>
      <c r="AB516" s="535"/>
      <c r="AC516" s="529">
        <v>61000</v>
      </c>
      <c r="AD516" s="529">
        <v>61000</v>
      </c>
      <c r="AE516" s="529">
        <f t="shared" si="440"/>
        <v>104.74860335195532</v>
      </c>
      <c r="AF516" s="529">
        <f t="shared" si="441"/>
        <v>121.95844</v>
      </c>
      <c r="AG516" s="529">
        <f t="shared" si="441"/>
        <v>172.98187808896211</v>
      </c>
      <c r="AH516" s="529">
        <f t="shared" si="442"/>
        <v>58.095238095238102</v>
      </c>
      <c r="AI516" s="535"/>
      <c r="AJ516" s="561">
        <v>140000</v>
      </c>
      <c r="AK516" s="507">
        <f t="shared" si="416"/>
        <v>123.80952380952381</v>
      </c>
      <c r="AL516" s="507">
        <f t="shared" si="417"/>
        <v>100</v>
      </c>
      <c r="AM516" s="507">
        <f t="shared" si="417"/>
        <v>107.69230769230769</v>
      </c>
      <c r="AN516" s="556"/>
      <c r="AO516" s="510"/>
      <c r="AP516" s="510" t="e">
        <f t="shared" ca="1" si="422"/>
        <v>#NAME?</v>
      </c>
      <c r="AQ516" s="532">
        <v>130000</v>
      </c>
      <c r="AR516" s="533">
        <f>V516/R516*100</f>
        <v>123.80952380952381</v>
      </c>
      <c r="AS516" s="533">
        <f>W516/V516*100</f>
        <v>100</v>
      </c>
      <c r="AT516" s="533">
        <f>W516/R516*100</f>
        <v>123.80952380952381</v>
      </c>
      <c r="AU516" s="533">
        <f>AQ516/W516*100</f>
        <v>100</v>
      </c>
      <c r="AV516" s="533">
        <f>AQ516/R516*100</f>
        <v>123.80952380952381</v>
      </c>
      <c r="AW516" s="612">
        <f>AQ516</f>
        <v>130000</v>
      </c>
      <c r="AX516" s="612"/>
      <c r="AY516" s="612"/>
      <c r="AZ516" s="612"/>
      <c r="BA516" s="612"/>
      <c r="BB516" s="612"/>
      <c r="BC516" s="612"/>
      <c r="BD516" s="612"/>
      <c r="BE516" s="612"/>
      <c r="BF516" s="612"/>
      <c r="BG516" s="612"/>
      <c r="BH516" s="612">
        <f t="shared" si="425"/>
        <v>130000</v>
      </c>
      <c r="BI516" s="612">
        <f t="shared" si="437"/>
        <v>0</v>
      </c>
      <c r="BJ516" s="201">
        <f t="shared" si="438"/>
        <v>0</v>
      </c>
    </row>
    <row r="517" spans="1:62" ht="12" customHeight="1">
      <c r="A517" s="52"/>
      <c r="B517" s="52"/>
      <c r="C517" s="52"/>
      <c r="D517" s="52"/>
      <c r="E517" s="52"/>
      <c r="F517" s="52"/>
      <c r="G517" s="52"/>
      <c r="H517" s="2" t="s">
        <v>448</v>
      </c>
      <c r="I517" s="289">
        <v>320</v>
      </c>
      <c r="J517" s="185">
        <v>3811</v>
      </c>
      <c r="K517" s="19" t="s">
        <v>449</v>
      </c>
      <c r="L517" s="129">
        <v>217048</v>
      </c>
      <c r="M517" s="129">
        <f>217048/7.5345</f>
        <v>28807.220120777754</v>
      </c>
      <c r="N517" s="130">
        <v>607736</v>
      </c>
      <c r="O517" s="130">
        <f>N517/7.5345</f>
        <v>80660.42869467118</v>
      </c>
      <c r="P517" s="131">
        <v>69200</v>
      </c>
      <c r="Q517" s="156">
        <v>86400</v>
      </c>
      <c r="R517" s="153">
        <v>86422</v>
      </c>
      <c r="S517" s="158" t="e">
        <f ca="1">__xlfn.XLOOKUP(H517,[1]Izvršenje_proračuna_po_pozicija!$B$2:$B$153,[1]Izvršenje_proračuna_po_pozicija!$E$2:$E$153,0)</f>
        <v>#NAME?</v>
      </c>
      <c r="T517" s="158"/>
      <c r="U517" s="158"/>
      <c r="V517" s="532">
        <v>58000</v>
      </c>
      <c r="W517" s="532">
        <v>58000</v>
      </c>
      <c r="X517" s="560"/>
      <c r="Y517" s="561"/>
      <c r="Z517" s="561"/>
      <c r="AA517" s="562" t="e">
        <f t="shared" ca="1" si="424"/>
        <v>#NAME?</v>
      </c>
      <c r="AB517" s="535"/>
      <c r="AC517" s="529">
        <v>69200</v>
      </c>
      <c r="AD517" s="529">
        <v>69200</v>
      </c>
      <c r="AE517" s="529">
        <f t="shared" si="440"/>
        <v>280.00073716412959</v>
      </c>
      <c r="AF517" s="529">
        <f t="shared" si="441"/>
        <v>85.791758263456501</v>
      </c>
      <c r="AG517" s="529">
        <f t="shared" si="441"/>
        <v>124.85549132947978</v>
      </c>
      <c r="AH517" s="529">
        <f t="shared" si="442"/>
        <v>80.092592592592595</v>
      </c>
      <c r="AI517" s="535"/>
      <c r="AJ517" s="561"/>
      <c r="AK517" s="507">
        <f t="shared" si="416"/>
        <v>67.112540788225218</v>
      </c>
      <c r="AL517" s="507">
        <f t="shared" si="417"/>
        <v>0</v>
      </c>
      <c r="AM517" s="507"/>
      <c r="AN517" s="556"/>
      <c r="AO517" s="510"/>
      <c r="AP517" s="510" t="e">
        <f t="shared" ca="1" si="422"/>
        <v>#NAME?</v>
      </c>
      <c r="AQ517" s="532">
        <v>51853.14</v>
      </c>
      <c r="AR517" s="533">
        <f>V517/R517*100</f>
        <v>67.112540788225218</v>
      </c>
      <c r="AS517" s="533">
        <f>W517/V517*100</f>
        <v>100</v>
      </c>
      <c r="AT517" s="533">
        <f>W517/R517*100</f>
        <v>67.112540788225218</v>
      </c>
      <c r="AU517" s="533">
        <f>AQ517/W517*100</f>
        <v>89.401965517241379</v>
      </c>
      <c r="AV517" s="533">
        <f>AQ517/R517*100</f>
        <v>59.999930573233662</v>
      </c>
      <c r="AW517" s="612">
        <f>AQ517</f>
        <v>51853.14</v>
      </c>
      <c r="AX517" s="612"/>
      <c r="AY517" s="612"/>
      <c r="AZ517" s="612"/>
      <c r="BA517" s="612"/>
      <c r="BB517" s="612"/>
      <c r="BC517" s="612"/>
      <c r="BD517" s="612"/>
      <c r="BE517" s="612"/>
      <c r="BF517" s="612"/>
      <c r="BG517" s="612"/>
      <c r="BH517" s="612">
        <f t="shared" si="425"/>
        <v>51853.14</v>
      </c>
      <c r="BI517" s="612">
        <f t="shared" si="437"/>
        <v>0</v>
      </c>
      <c r="BJ517" s="201">
        <f t="shared" si="438"/>
        <v>0</v>
      </c>
    </row>
    <row r="518" spans="1:62" ht="12" customHeight="1">
      <c r="A518" s="52"/>
      <c r="B518" s="52"/>
      <c r="C518" s="52"/>
      <c r="D518" s="52"/>
      <c r="E518" s="52"/>
      <c r="F518" s="52"/>
      <c r="G518" s="52"/>
      <c r="H518" s="2" t="s">
        <v>450</v>
      </c>
      <c r="I518" s="289">
        <v>320</v>
      </c>
      <c r="J518" s="185">
        <v>3811</v>
      </c>
      <c r="K518" s="19" t="s">
        <v>451</v>
      </c>
      <c r="L518" s="129">
        <v>25000</v>
      </c>
      <c r="M518" s="129">
        <f>25000/7.5345</f>
        <v>3318.0702103656513</v>
      </c>
      <c r="N518" s="130">
        <v>50000</v>
      </c>
      <c r="O518" s="130">
        <f>N518/7.5345</f>
        <v>6636.1404207313026</v>
      </c>
      <c r="P518" s="131">
        <v>7300</v>
      </c>
      <c r="Q518" s="131">
        <v>7300</v>
      </c>
      <c r="R518" s="153">
        <v>7300</v>
      </c>
      <c r="S518" s="158" t="e">
        <f ca="1">__xlfn.XLOOKUP(H518,[1]Izvršenje_proračuna_po_pozicija!$B$2:$B$153,[1]Izvršenje_proračuna_po_pozicija!$E$2:$E$153,0)</f>
        <v>#NAME?</v>
      </c>
      <c r="T518" s="158"/>
      <c r="U518" s="158"/>
      <c r="V518" s="532">
        <v>8400</v>
      </c>
      <c r="W518" s="532">
        <v>8400</v>
      </c>
      <c r="X518" s="560">
        <v>8400</v>
      </c>
      <c r="Y518" s="561">
        <v>9000</v>
      </c>
      <c r="Z518" s="561"/>
      <c r="AA518" s="562" t="e">
        <f t="shared" ca="1" si="424"/>
        <v>#NAME?</v>
      </c>
      <c r="AB518" s="535"/>
      <c r="AC518" s="529">
        <v>7300</v>
      </c>
      <c r="AD518" s="529">
        <v>7300</v>
      </c>
      <c r="AE518" s="529">
        <f t="shared" si="440"/>
        <v>200</v>
      </c>
      <c r="AF518" s="529">
        <f t="shared" si="441"/>
        <v>110.00369999999999</v>
      </c>
      <c r="AG518" s="529">
        <f t="shared" si="441"/>
        <v>100</v>
      </c>
      <c r="AH518" s="529">
        <f t="shared" si="442"/>
        <v>100</v>
      </c>
      <c r="AI518" s="535"/>
      <c r="AJ518" s="561">
        <v>9000</v>
      </c>
      <c r="AK518" s="507">
        <f t="shared" si="416"/>
        <v>115.06849315068493</v>
      </c>
      <c r="AL518" s="507">
        <f t="shared" si="417"/>
        <v>100</v>
      </c>
      <c r="AM518" s="507">
        <f t="shared" si="417"/>
        <v>107.14285714285714</v>
      </c>
      <c r="AN518" s="556"/>
      <c r="AO518" s="510"/>
      <c r="AP518" s="510" t="e">
        <f t="shared" ca="1" si="422"/>
        <v>#NAME?</v>
      </c>
      <c r="AQ518" s="532">
        <v>8000</v>
      </c>
      <c r="AR518" s="533">
        <f>V518/R518*100</f>
        <v>115.06849315068493</v>
      </c>
      <c r="AS518" s="533">
        <f>W518/V518*100</f>
        <v>100</v>
      </c>
      <c r="AT518" s="533">
        <f>W518/R518*100</f>
        <v>115.06849315068493</v>
      </c>
      <c r="AU518" s="533">
        <f>AQ518/W518*100</f>
        <v>95.238095238095227</v>
      </c>
      <c r="AV518" s="533">
        <f>AQ518/R518*100</f>
        <v>109.58904109589041</v>
      </c>
      <c r="AW518" s="612">
        <f>AQ518</f>
        <v>8000</v>
      </c>
      <c r="AX518" s="612"/>
      <c r="AY518" s="612"/>
      <c r="AZ518" s="612"/>
      <c r="BA518" s="612"/>
      <c r="BB518" s="612"/>
      <c r="BC518" s="612"/>
      <c r="BD518" s="612"/>
      <c r="BE518" s="612"/>
      <c r="BF518" s="612"/>
      <c r="BG518" s="612"/>
      <c r="BH518" s="612">
        <f t="shared" si="425"/>
        <v>8000</v>
      </c>
      <c r="BI518" s="612">
        <f t="shared" si="437"/>
        <v>0</v>
      </c>
      <c r="BJ518" s="201">
        <f t="shared" si="438"/>
        <v>0</v>
      </c>
    </row>
    <row r="519" spans="1:62" ht="12" customHeight="1">
      <c r="A519" s="41"/>
      <c r="B519" s="41"/>
      <c r="C519" s="41"/>
      <c r="D519" s="41"/>
      <c r="E519" s="41"/>
      <c r="F519" s="41"/>
      <c r="G519" s="41"/>
      <c r="H519" s="235"/>
      <c r="I519" s="15"/>
      <c r="J519" s="3"/>
      <c r="K519" s="83"/>
      <c r="L519" s="84">
        <v>1</v>
      </c>
      <c r="M519" s="84">
        <v>2</v>
      </c>
      <c r="N519" s="85">
        <v>3</v>
      </c>
      <c r="O519" s="85">
        <v>4</v>
      </c>
      <c r="P519" s="86">
        <v>5</v>
      </c>
      <c r="Q519" s="86">
        <v>6</v>
      </c>
      <c r="R519" s="154"/>
      <c r="S519" s="158" t="e">
        <f ca="1">__xlfn.XLOOKUP(H519,[1]Izvršenje_proračuna_po_pozicija!$B$2:$B$153,[1]Izvršenje_proračuna_po_pozicija!$E$2:$E$153,0)</f>
        <v>#NAME?</v>
      </c>
      <c r="T519" s="158"/>
      <c r="U519" s="158"/>
      <c r="V519" s="532"/>
      <c r="W519" s="532"/>
      <c r="X519" s="568"/>
      <c r="Y519" s="569"/>
      <c r="Z519" s="569"/>
      <c r="AA519" s="562" t="e">
        <f t="shared" ca="1" si="424"/>
        <v>#NAME?</v>
      </c>
      <c r="AB519" s="537"/>
      <c r="AC519" s="538">
        <v>7</v>
      </c>
      <c r="AD519" s="538">
        <v>8</v>
      </c>
      <c r="AE519" s="538">
        <v>9</v>
      </c>
      <c r="AF519" s="538">
        <v>10</v>
      </c>
      <c r="AG519" s="538">
        <v>11</v>
      </c>
      <c r="AH519" s="538">
        <v>12</v>
      </c>
      <c r="AI519" s="537"/>
      <c r="AJ519" s="569"/>
      <c r="AK519" s="507"/>
      <c r="AL519" s="507"/>
      <c r="AM519" s="507"/>
      <c r="AN519" s="557"/>
      <c r="AO519" s="510"/>
      <c r="AP519" s="510" t="e">
        <f t="shared" ca="1" si="422"/>
        <v>#NAME?</v>
      </c>
      <c r="AQ519" s="532"/>
      <c r="AR519" s="533"/>
      <c r="AS519" s="533"/>
      <c r="AT519" s="533"/>
      <c r="AU519" s="533"/>
      <c r="AV519" s="533"/>
      <c r="AW519" s="612"/>
      <c r="AX519" s="612"/>
      <c r="AY519" s="612"/>
      <c r="AZ519" s="612"/>
      <c r="BA519" s="612"/>
      <c r="BB519" s="612"/>
      <c r="BC519" s="612"/>
      <c r="BD519" s="612"/>
      <c r="BE519" s="612"/>
      <c r="BF519" s="612"/>
      <c r="BG519" s="612"/>
      <c r="BH519" s="612">
        <f t="shared" si="425"/>
        <v>0</v>
      </c>
      <c r="BI519" s="612">
        <f t="shared" si="437"/>
        <v>0</v>
      </c>
      <c r="BJ519" s="201">
        <f t="shared" si="438"/>
        <v>0</v>
      </c>
    </row>
    <row r="520" spans="1:62" ht="12" customHeight="1">
      <c r="A520" s="282" t="s">
        <v>405</v>
      </c>
      <c r="B520" s="283"/>
      <c r="C520" s="283"/>
      <c r="D520" s="283"/>
      <c r="E520" s="283"/>
      <c r="F520" s="283"/>
      <c r="G520" s="283"/>
      <c r="H520" s="318"/>
      <c r="I520" s="331" t="s">
        <v>452</v>
      </c>
      <c r="J520" s="332"/>
      <c r="K520" s="123"/>
      <c r="L520" s="250">
        <f t="shared" ref="L520:S520" si="446">L522</f>
        <v>0</v>
      </c>
      <c r="M520" s="250">
        <f t="shared" si="446"/>
        <v>0</v>
      </c>
      <c r="N520" s="251">
        <f t="shared" si="446"/>
        <v>0</v>
      </c>
      <c r="O520" s="251">
        <f t="shared" si="446"/>
        <v>0</v>
      </c>
      <c r="P520" s="252">
        <f t="shared" si="446"/>
        <v>0</v>
      </c>
      <c r="Q520" s="252">
        <f t="shared" si="446"/>
        <v>0</v>
      </c>
      <c r="R520" s="272">
        <f t="shared" si="446"/>
        <v>0</v>
      </c>
      <c r="S520" s="273" t="e">
        <f t="shared" ca="1" si="446"/>
        <v>#NAME?</v>
      </c>
      <c r="T520" s="273"/>
      <c r="U520" s="273"/>
      <c r="V520" s="532">
        <f>V522</f>
        <v>0</v>
      </c>
      <c r="W520" s="532">
        <f>W522</f>
        <v>0</v>
      </c>
      <c r="X520" s="564">
        <f>X522</f>
        <v>0</v>
      </c>
      <c r="Y520" s="565">
        <f>Y522</f>
        <v>0</v>
      </c>
      <c r="Z520" s="565">
        <f>Z522</f>
        <v>0</v>
      </c>
      <c r="AA520" s="562" t="e">
        <f t="shared" ca="1" si="424"/>
        <v>#NAME?</v>
      </c>
      <c r="AB520" s="565"/>
      <c r="AC520" s="566">
        <f>AC522</f>
        <v>0</v>
      </c>
      <c r="AD520" s="566">
        <f>AD522</f>
        <v>0</v>
      </c>
      <c r="AE520" s="529"/>
      <c r="AF520" s="529"/>
      <c r="AG520" s="529"/>
      <c r="AH520" s="529"/>
      <c r="AI520" s="565"/>
      <c r="AJ520" s="565">
        <v>0</v>
      </c>
      <c r="AK520" s="507"/>
      <c r="AL520" s="507"/>
      <c r="AM520" s="507"/>
      <c r="AN520" s="567"/>
      <c r="AO520" s="510"/>
      <c r="AP520" s="510" t="e">
        <f t="shared" ca="1" si="422"/>
        <v>#NAME?</v>
      </c>
      <c r="AQ520" s="532">
        <f>AQ522</f>
        <v>0</v>
      </c>
      <c r="AR520" s="533"/>
      <c r="AS520" s="533"/>
      <c r="AT520" s="533"/>
      <c r="AU520" s="533"/>
      <c r="AV520" s="533"/>
      <c r="AW520" s="612"/>
      <c r="AX520" s="612"/>
      <c r="AY520" s="612"/>
      <c r="AZ520" s="612"/>
      <c r="BA520" s="612"/>
      <c r="BB520" s="612"/>
      <c r="BC520" s="612"/>
      <c r="BD520" s="612"/>
      <c r="BE520" s="612"/>
      <c r="BF520" s="612"/>
      <c r="BG520" s="612"/>
      <c r="BH520" s="612">
        <f t="shared" si="425"/>
        <v>0</v>
      </c>
      <c r="BI520" s="612">
        <f t="shared" si="437"/>
        <v>0</v>
      </c>
      <c r="BJ520" s="201">
        <f t="shared" si="438"/>
        <v>0</v>
      </c>
    </row>
    <row r="521" spans="1:62" ht="12" customHeight="1">
      <c r="A521" s="68"/>
      <c r="B521" s="68"/>
      <c r="C521" s="68"/>
      <c r="D521" s="68"/>
      <c r="E521" s="68"/>
      <c r="F521" s="68"/>
      <c r="G521" s="68"/>
      <c r="H521" s="281"/>
      <c r="I521" s="333"/>
      <c r="J521" s="8"/>
      <c r="K521" s="69"/>
      <c r="L521" s="175"/>
      <c r="M521" s="175"/>
      <c r="N521" s="176"/>
      <c r="O521" s="176"/>
      <c r="P521" s="177"/>
      <c r="Q521" s="177"/>
      <c r="R521" s="212"/>
      <c r="S521" s="158" t="e">
        <f ca="1">__xlfn.XLOOKUP(H521,[1]Izvršenje_proračuna_po_pozicija!$B$2:$B$153,[1]Izvršenje_proračuna_po_pozicija!$E$2:$E$153,0)</f>
        <v>#NAME?</v>
      </c>
      <c r="T521" s="158"/>
      <c r="U521" s="158"/>
      <c r="V521" s="532"/>
      <c r="W521" s="532"/>
      <c r="X521" s="563"/>
      <c r="Y521" s="562"/>
      <c r="Z521" s="562"/>
      <c r="AA521" s="562" t="e">
        <f t="shared" ca="1" si="424"/>
        <v>#NAME?</v>
      </c>
      <c r="AB521" s="507"/>
      <c r="AC521" s="508"/>
      <c r="AD521" s="508"/>
      <c r="AE521" s="529"/>
      <c r="AF521" s="529"/>
      <c r="AG521" s="529"/>
      <c r="AH521" s="529"/>
      <c r="AI521" s="507"/>
      <c r="AJ521" s="562"/>
      <c r="AK521" s="507"/>
      <c r="AL521" s="507"/>
      <c r="AM521" s="507"/>
      <c r="AN521" s="509"/>
      <c r="AO521" s="510"/>
      <c r="AP521" s="510" t="e">
        <f t="shared" ca="1" si="422"/>
        <v>#NAME?</v>
      </c>
      <c r="AQ521" s="532"/>
      <c r="AR521" s="533"/>
      <c r="AS521" s="533"/>
      <c r="AT521" s="533"/>
      <c r="AU521" s="533"/>
      <c r="AV521" s="533"/>
      <c r="AW521" s="612"/>
      <c r="AX521" s="612"/>
      <c r="AY521" s="612"/>
      <c r="AZ521" s="612"/>
      <c r="BA521" s="612"/>
      <c r="BB521" s="612"/>
      <c r="BC521" s="612"/>
      <c r="BD521" s="612"/>
      <c r="BE521" s="612"/>
      <c r="BF521" s="612"/>
      <c r="BG521" s="612"/>
      <c r="BH521" s="612">
        <f t="shared" si="425"/>
        <v>0</v>
      </c>
      <c r="BI521" s="612">
        <f t="shared" si="437"/>
        <v>0</v>
      </c>
      <c r="BJ521" s="201">
        <f t="shared" si="438"/>
        <v>0</v>
      </c>
    </row>
    <row r="522" spans="1:62" ht="12" customHeight="1">
      <c r="A522" s="25"/>
      <c r="B522" s="25"/>
      <c r="C522" s="25"/>
      <c r="D522" s="25"/>
      <c r="E522" s="25"/>
      <c r="F522" s="25"/>
      <c r="G522" s="25"/>
      <c r="H522" s="285"/>
      <c r="I522" s="296"/>
      <c r="J522" s="211">
        <v>4</v>
      </c>
      <c r="K522" s="3" t="s">
        <v>453</v>
      </c>
      <c r="L522" s="111">
        <f t="shared" ref="L522:AD524" si="447">L523</f>
        <v>0</v>
      </c>
      <c r="M522" s="111">
        <f t="shared" si="447"/>
        <v>0</v>
      </c>
      <c r="N522" s="112">
        <f t="shared" si="447"/>
        <v>0</v>
      </c>
      <c r="O522" s="112">
        <f t="shared" si="447"/>
        <v>0</v>
      </c>
      <c r="P522" s="113">
        <f t="shared" si="447"/>
        <v>0</v>
      </c>
      <c r="Q522" s="113">
        <f t="shared" si="447"/>
        <v>0</v>
      </c>
      <c r="R522" s="87">
        <f t="shared" si="447"/>
        <v>0</v>
      </c>
      <c r="S522" s="89" t="e">
        <f t="shared" ca="1" si="447"/>
        <v>#NAME?</v>
      </c>
      <c r="T522" s="89"/>
      <c r="U522" s="89"/>
      <c r="V522" s="532">
        <f>V523</f>
        <v>0</v>
      </c>
      <c r="W522" s="532">
        <f t="shared" si="447"/>
        <v>0</v>
      </c>
      <c r="X522" s="506">
        <f t="shared" si="447"/>
        <v>0</v>
      </c>
      <c r="Y522" s="507">
        <f t="shared" si="447"/>
        <v>0</v>
      </c>
      <c r="Z522" s="507">
        <f t="shared" si="447"/>
        <v>0</v>
      </c>
      <c r="AA522" s="562" t="e">
        <f t="shared" ca="1" si="424"/>
        <v>#NAME?</v>
      </c>
      <c r="AB522" s="507"/>
      <c r="AC522" s="508">
        <f t="shared" si="447"/>
        <v>0</v>
      </c>
      <c r="AD522" s="508">
        <f t="shared" si="447"/>
        <v>0</v>
      </c>
      <c r="AE522" s="529"/>
      <c r="AF522" s="529"/>
      <c r="AG522" s="529"/>
      <c r="AH522" s="529"/>
      <c r="AI522" s="507"/>
      <c r="AJ522" s="507">
        <v>0</v>
      </c>
      <c r="AK522" s="507"/>
      <c r="AL522" s="507"/>
      <c r="AM522" s="507"/>
      <c r="AN522" s="509"/>
      <c r="AO522" s="510"/>
      <c r="AP522" s="510" t="e">
        <f t="shared" ca="1" si="422"/>
        <v>#NAME?</v>
      </c>
      <c r="AQ522" s="532">
        <f>AQ523</f>
        <v>0</v>
      </c>
      <c r="AR522" s="533"/>
      <c r="AS522" s="533"/>
      <c r="AT522" s="533"/>
      <c r="AU522" s="533"/>
      <c r="AV522" s="533"/>
      <c r="AW522" s="612"/>
      <c r="AX522" s="612"/>
      <c r="AY522" s="612"/>
      <c r="AZ522" s="612"/>
      <c r="BA522" s="612"/>
      <c r="BB522" s="612"/>
      <c r="BC522" s="612"/>
      <c r="BD522" s="612"/>
      <c r="BE522" s="612"/>
      <c r="BF522" s="612"/>
      <c r="BG522" s="612"/>
      <c r="BH522" s="612">
        <f t="shared" si="425"/>
        <v>0</v>
      </c>
      <c r="BI522" s="612">
        <f t="shared" si="437"/>
        <v>0</v>
      </c>
      <c r="BJ522" s="201">
        <f t="shared" si="438"/>
        <v>0</v>
      </c>
    </row>
    <row r="523" spans="1:62" ht="12" customHeight="1">
      <c r="A523" s="227"/>
      <c r="B523" s="227"/>
      <c r="C523" s="227"/>
      <c r="D523" s="227"/>
      <c r="E523" s="227"/>
      <c r="F523" s="227"/>
      <c r="G523" s="227"/>
      <c r="H523" s="234"/>
      <c r="I523" s="297"/>
      <c r="J523" s="228">
        <v>42</v>
      </c>
      <c r="K523" s="258" t="s">
        <v>454</v>
      </c>
      <c r="L523" s="111">
        <f t="shared" si="447"/>
        <v>0</v>
      </c>
      <c r="M523" s="111">
        <f t="shared" si="447"/>
        <v>0</v>
      </c>
      <c r="N523" s="112">
        <f t="shared" si="447"/>
        <v>0</v>
      </c>
      <c r="O523" s="112">
        <f t="shared" si="447"/>
        <v>0</v>
      </c>
      <c r="P523" s="113">
        <f t="shared" si="447"/>
        <v>0</v>
      </c>
      <c r="Q523" s="113">
        <f t="shared" si="447"/>
        <v>0</v>
      </c>
      <c r="R523" s="87">
        <f t="shared" si="447"/>
        <v>0</v>
      </c>
      <c r="S523" s="89" t="e">
        <f t="shared" ca="1" si="447"/>
        <v>#NAME?</v>
      </c>
      <c r="T523" s="89"/>
      <c r="U523" s="89"/>
      <c r="V523" s="532">
        <f>V524</f>
        <v>0</v>
      </c>
      <c r="W523" s="532">
        <f t="shared" si="447"/>
        <v>0</v>
      </c>
      <c r="X523" s="506">
        <f t="shared" si="447"/>
        <v>0</v>
      </c>
      <c r="Y523" s="507">
        <f t="shared" si="447"/>
        <v>0</v>
      </c>
      <c r="Z523" s="507">
        <f t="shared" si="447"/>
        <v>0</v>
      </c>
      <c r="AA523" s="562" t="e">
        <f t="shared" ca="1" si="424"/>
        <v>#NAME?</v>
      </c>
      <c r="AB523" s="507"/>
      <c r="AC523" s="508">
        <f t="shared" si="447"/>
        <v>0</v>
      </c>
      <c r="AD523" s="508">
        <f t="shared" si="447"/>
        <v>0</v>
      </c>
      <c r="AE523" s="529"/>
      <c r="AF523" s="529"/>
      <c r="AG523" s="529"/>
      <c r="AH523" s="529"/>
      <c r="AI523" s="507"/>
      <c r="AJ523" s="507">
        <v>0</v>
      </c>
      <c r="AK523" s="507"/>
      <c r="AL523" s="507"/>
      <c r="AM523" s="507"/>
      <c r="AN523" s="509"/>
      <c r="AO523" s="510"/>
      <c r="AP523" s="510" t="e">
        <f t="shared" ca="1" si="422"/>
        <v>#NAME?</v>
      </c>
      <c r="AQ523" s="532">
        <f>AQ524</f>
        <v>0</v>
      </c>
      <c r="AR523" s="533"/>
      <c r="AS523" s="533"/>
      <c r="AT523" s="533"/>
      <c r="AU523" s="533"/>
      <c r="AV523" s="533"/>
      <c r="AW523" s="612"/>
      <c r="AX523" s="612"/>
      <c r="AY523" s="612"/>
      <c r="AZ523" s="612"/>
      <c r="BA523" s="612"/>
      <c r="BB523" s="612"/>
      <c r="BC523" s="612"/>
      <c r="BD523" s="612"/>
      <c r="BE523" s="612"/>
      <c r="BF523" s="612"/>
      <c r="BG523" s="612"/>
      <c r="BH523" s="612">
        <f t="shared" si="425"/>
        <v>0</v>
      </c>
      <c r="BI523" s="612">
        <f t="shared" si="437"/>
        <v>0</v>
      </c>
      <c r="BJ523" s="201">
        <f t="shared" si="438"/>
        <v>0</v>
      </c>
    </row>
    <row r="524" spans="1:62" ht="12" customHeight="1">
      <c r="A524" s="61"/>
      <c r="B524" s="61"/>
      <c r="C524" s="61"/>
      <c r="D524" s="61"/>
      <c r="E524" s="61"/>
      <c r="F524" s="61"/>
      <c r="G524" s="61"/>
      <c r="H524" s="230"/>
      <c r="I524" s="261"/>
      <c r="J524" s="229">
        <v>421</v>
      </c>
      <c r="K524" s="20" t="s">
        <v>455</v>
      </c>
      <c r="L524" s="111">
        <f t="shared" si="447"/>
        <v>0</v>
      </c>
      <c r="M524" s="111">
        <f t="shared" si="447"/>
        <v>0</v>
      </c>
      <c r="N524" s="112">
        <f t="shared" si="447"/>
        <v>0</v>
      </c>
      <c r="O524" s="112">
        <f t="shared" si="447"/>
        <v>0</v>
      </c>
      <c r="P524" s="113">
        <f t="shared" si="447"/>
        <v>0</v>
      </c>
      <c r="Q524" s="113">
        <f t="shared" si="447"/>
        <v>0</v>
      </c>
      <c r="R524" s="87">
        <f t="shared" si="447"/>
        <v>0</v>
      </c>
      <c r="S524" s="89" t="e">
        <f t="shared" ca="1" si="447"/>
        <v>#NAME?</v>
      </c>
      <c r="T524" s="89"/>
      <c r="U524" s="89"/>
      <c r="V524" s="532">
        <f>V525</f>
        <v>0</v>
      </c>
      <c r="W524" s="532">
        <f t="shared" si="447"/>
        <v>0</v>
      </c>
      <c r="X524" s="506">
        <f t="shared" si="447"/>
        <v>0</v>
      </c>
      <c r="Y524" s="507">
        <f t="shared" si="447"/>
        <v>0</v>
      </c>
      <c r="Z524" s="507">
        <f t="shared" si="447"/>
        <v>0</v>
      </c>
      <c r="AA524" s="562" t="e">
        <f t="shared" ca="1" si="424"/>
        <v>#NAME?</v>
      </c>
      <c r="AB524" s="507"/>
      <c r="AC524" s="508">
        <f t="shared" si="447"/>
        <v>0</v>
      </c>
      <c r="AD524" s="508">
        <f t="shared" si="447"/>
        <v>0</v>
      </c>
      <c r="AE524" s="529"/>
      <c r="AF524" s="529"/>
      <c r="AG524" s="529"/>
      <c r="AH524" s="529"/>
      <c r="AI524" s="507"/>
      <c r="AJ524" s="507">
        <v>0</v>
      </c>
      <c r="AK524" s="507"/>
      <c r="AL524" s="507"/>
      <c r="AM524" s="507"/>
      <c r="AN524" s="509"/>
      <c r="AO524" s="510"/>
      <c r="AP524" s="510" t="e">
        <f t="shared" ca="1" si="422"/>
        <v>#NAME?</v>
      </c>
      <c r="AQ524" s="532">
        <f>AQ525</f>
        <v>0</v>
      </c>
      <c r="AR524" s="533"/>
      <c r="AS524" s="533"/>
      <c r="AT524" s="533"/>
      <c r="AU524" s="533"/>
      <c r="AV524" s="533"/>
      <c r="AW524" s="612"/>
      <c r="AX524" s="612"/>
      <c r="AY524" s="612"/>
      <c r="AZ524" s="612"/>
      <c r="BA524" s="612"/>
      <c r="BB524" s="612"/>
      <c r="BC524" s="612"/>
      <c r="BD524" s="612"/>
      <c r="BE524" s="612"/>
      <c r="BF524" s="612"/>
      <c r="BG524" s="612"/>
      <c r="BH524" s="612">
        <f t="shared" si="425"/>
        <v>0</v>
      </c>
      <c r="BI524" s="612">
        <f t="shared" si="437"/>
        <v>0</v>
      </c>
      <c r="BJ524" s="201">
        <f t="shared" si="438"/>
        <v>0</v>
      </c>
    </row>
    <row r="525" spans="1:62" ht="12" customHeight="1">
      <c r="A525" s="52"/>
      <c r="B525" s="52"/>
      <c r="C525" s="52"/>
      <c r="D525" s="52"/>
      <c r="E525" s="52"/>
      <c r="F525" s="52"/>
      <c r="G525" s="52"/>
      <c r="H525" s="2">
        <v>183</v>
      </c>
      <c r="I525" s="260">
        <v>320</v>
      </c>
      <c r="J525" s="185">
        <v>4212</v>
      </c>
      <c r="K525" s="19" t="s">
        <v>456</v>
      </c>
      <c r="L525" s="129">
        <v>0</v>
      </c>
      <c r="M525" s="129">
        <v>0</v>
      </c>
      <c r="N525" s="130">
        <v>0</v>
      </c>
      <c r="O525" s="130">
        <v>0</v>
      </c>
      <c r="P525" s="131">
        <v>0</v>
      </c>
      <c r="Q525" s="131">
        <v>0</v>
      </c>
      <c r="R525" s="153">
        <v>0</v>
      </c>
      <c r="S525" s="158" t="e">
        <f ca="1">__xlfn.XLOOKUP(H525,[1]Izvršenje_proračuna_po_pozicija!$B$2:$B$153,[1]Izvršenje_proračuna_po_pozicija!$E$2:$E$153,0)</f>
        <v>#NAME?</v>
      </c>
      <c r="T525" s="158"/>
      <c r="U525" s="158"/>
      <c r="V525" s="532"/>
      <c r="W525" s="532"/>
      <c r="X525" s="560"/>
      <c r="Y525" s="561"/>
      <c r="Z525" s="561"/>
      <c r="AA525" s="562" t="e">
        <f t="shared" ca="1" si="424"/>
        <v>#NAME?</v>
      </c>
      <c r="AB525" s="535"/>
      <c r="AC525" s="529">
        <v>0</v>
      </c>
      <c r="AD525" s="529">
        <v>0</v>
      </c>
      <c r="AE525" s="529"/>
      <c r="AF525" s="529"/>
      <c r="AG525" s="529"/>
      <c r="AH525" s="529"/>
      <c r="AI525" s="535"/>
      <c r="AJ525" s="561"/>
      <c r="AK525" s="507"/>
      <c r="AL525" s="507"/>
      <c r="AM525" s="507"/>
      <c r="AN525" s="556"/>
      <c r="AO525" s="510"/>
      <c r="AP525" s="510" t="e">
        <f t="shared" ca="1" si="422"/>
        <v>#NAME?</v>
      </c>
      <c r="AQ525" s="532"/>
      <c r="AR525" s="533"/>
      <c r="AS525" s="533"/>
      <c r="AT525" s="533"/>
      <c r="AU525" s="533"/>
      <c r="AV525" s="533"/>
      <c r="AW525" s="612"/>
      <c r="AX525" s="612"/>
      <c r="AY525" s="612"/>
      <c r="AZ525" s="612"/>
      <c r="BA525" s="612"/>
      <c r="BB525" s="612"/>
      <c r="BC525" s="612"/>
      <c r="BD525" s="612"/>
      <c r="BE525" s="612"/>
      <c r="BF525" s="612"/>
      <c r="BG525" s="612"/>
      <c r="BH525" s="612">
        <f t="shared" si="425"/>
        <v>0</v>
      </c>
      <c r="BI525" s="612">
        <f t="shared" si="437"/>
        <v>0</v>
      </c>
      <c r="BJ525" s="201">
        <f t="shared" si="438"/>
        <v>0</v>
      </c>
    </row>
    <row r="526" spans="1:62" ht="12" customHeight="1">
      <c r="A526" s="68"/>
      <c r="B526" s="68"/>
      <c r="C526" s="68"/>
      <c r="D526" s="68"/>
      <c r="E526" s="68"/>
      <c r="F526" s="68"/>
      <c r="G526" s="68"/>
      <c r="H526" s="319"/>
      <c r="I526" s="4"/>
      <c r="J526" s="8"/>
      <c r="K526" s="8"/>
      <c r="L526" s="84"/>
      <c r="M526" s="84"/>
      <c r="N526" s="85"/>
      <c r="O526" s="85"/>
      <c r="P526" s="86"/>
      <c r="Q526" s="86"/>
      <c r="R526" s="154"/>
      <c r="S526" s="158" t="e">
        <f ca="1">__xlfn.XLOOKUP(H526,[1]Izvršenje_proračuna_po_pozicija!$B$2:$B$153,[1]Izvršenje_proračuna_po_pozicija!$E$2:$E$153,0)</f>
        <v>#NAME?</v>
      </c>
      <c r="T526" s="158"/>
      <c r="U526" s="158"/>
      <c r="V526" s="532"/>
      <c r="W526" s="532"/>
      <c r="X526" s="568"/>
      <c r="Y526" s="569"/>
      <c r="Z526" s="569"/>
      <c r="AA526" s="562" t="e">
        <f t="shared" ca="1" si="424"/>
        <v>#NAME?</v>
      </c>
      <c r="AB526" s="537"/>
      <c r="AC526" s="538"/>
      <c r="AD526" s="538"/>
      <c r="AE526" s="529"/>
      <c r="AF526" s="529"/>
      <c r="AG526" s="529"/>
      <c r="AH526" s="529"/>
      <c r="AI526" s="537"/>
      <c r="AJ526" s="569"/>
      <c r="AK526" s="507"/>
      <c r="AL526" s="507"/>
      <c r="AM526" s="507"/>
      <c r="AN526" s="557"/>
      <c r="AO526" s="510"/>
      <c r="AP526" s="510" t="e">
        <f t="shared" ca="1" si="422"/>
        <v>#NAME?</v>
      </c>
      <c r="AQ526" s="532"/>
      <c r="AR526" s="533"/>
      <c r="AS526" s="533"/>
      <c r="AT526" s="533"/>
      <c r="AU526" s="533"/>
      <c r="AV526" s="533"/>
      <c r="AW526" s="612"/>
      <c r="AX526" s="612"/>
      <c r="AY526" s="612"/>
      <c r="AZ526" s="612"/>
      <c r="BA526" s="612"/>
      <c r="BB526" s="612"/>
      <c r="BC526" s="612"/>
      <c r="BD526" s="612"/>
      <c r="BE526" s="612"/>
      <c r="BF526" s="612"/>
      <c r="BG526" s="612"/>
      <c r="BH526" s="612">
        <f t="shared" si="425"/>
        <v>0</v>
      </c>
      <c r="BI526" s="612">
        <f t="shared" si="437"/>
        <v>0</v>
      </c>
      <c r="BJ526" s="201">
        <f t="shared" si="438"/>
        <v>0</v>
      </c>
    </row>
    <row r="527" spans="1:62" ht="12" customHeight="1">
      <c r="A527" s="320"/>
      <c r="B527" s="320"/>
      <c r="C527" s="320"/>
      <c r="D527" s="320"/>
      <c r="E527" s="320"/>
      <c r="F527" s="320"/>
      <c r="G527" s="320"/>
      <c r="H527" s="330"/>
      <c r="I527" s="334" t="s">
        <v>457</v>
      </c>
      <c r="J527" s="335"/>
      <c r="K527" s="336"/>
      <c r="L527" s="250">
        <f t="shared" ref="L527:Z527" si="448">L528</f>
        <v>0</v>
      </c>
      <c r="M527" s="250">
        <f t="shared" si="448"/>
        <v>0</v>
      </c>
      <c r="N527" s="251">
        <f t="shared" si="448"/>
        <v>0</v>
      </c>
      <c r="O527" s="251">
        <f t="shared" si="448"/>
        <v>0</v>
      </c>
      <c r="P527" s="252">
        <f t="shared" si="448"/>
        <v>0</v>
      </c>
      <c r="Q527" s="252">
        <f t="shared" si="448"/>
        <v>0</v>
      </c>
      <c r="R527" s="272">
        <f t="shared" si="448"/>
        <v>0</v>
      </c>
      <c r="S527" s="273" t="e">
        <f t="shared" ca="1" si="448"/>
        <v>#NAME?</v>
      </c>
      <c r="T527" s="273"/>
      <c r="U527" s="273"/>
      <c r="V527" s="532">
        <f>V528</f>
        <v>0</v>
      </c>
      <c r="W527" s="532">
        <f t="shared" si="448"/>
        <v>0</v>
      </c>
      <c r="X527" s="564">
        <f t="shared" si="448"/>
        <v>7000</v>
      </c>
      <c r="Y527" s="565">
        <f t="shared" si="448"/>
        <v>7000</v>
      </c>
      <c r="Z527" s="565">
        <f t="shared" si="448"/>
        <v>0</v>
      </c>
      <c r="AA527" s="562" t="e">
        <f t="shared" ca="1" si="424"/>
        <v>#NAME?</v>
      </c>
      <c r="AB527" s="565"/>
      <c r="AC527" s="566">
        <f>AC528</f>
        <v>5000</v>
      </c>
      <c r="AD527" s="566">
        <f>AD528</f>
        <v>5000</v>
      </c>
      <c r="AE527" s="529"/>
      <c r="AF527" s="529"/>
      <c r="AG527" s="529"/>
      <c r="AH527" s="529"/>
      <c r="AI527" s="565"/>
      <c r="AJ527" s="565">
        <v>7000</v>
      </c>
      <c r="AK527" s="507"/>
      <c r="AL527" s="507"/>
      <c r="AM527" s="507">
        <f t="shared" ref="AM527:AM535" si="449">Y527/X527*100</f>
        <v>100</v>
      </c>
      <c r="AN527" s="567"/>
      <c r="AO527" s="510"/>
      <c r="AP527" s="510" t="e">
        <f t="shared" ca="1" si="422"/>
        <v>#NAME?</v>
      </c>
      <c r="AQ527" s="532">
        <f>AQ528</f>
        <v>0</v>
      </c>
      <c r="AR527" s="533"/>
      <c r="AS527" s="533"/>
      <c r="AT527" s="533"/>
      <c r="AU527" s="533"/>
      <c r="AV527" s="533"/>
      <c r="AW527" s="612"/>
      <c r="AX527" s="612"/>
      <c r="AY527" s="612"/>
      <c r="AZ527" s="612"/>
      <c r="BA527" s="612"/>
      <c r="BB527" s="612"/>
      <c r="BC527" s="612"/>
      <c r="BD527" s="612"/>
      <c r="BE527" s="612"/>
      <c r="BF527" s="612"/>
      <c r="BG527" s="612"/>
      <c r="BH527" s="612">
        <f t="shared" si="425"/>
        <v>0</v>
      </c>
      <c r="BI527" s="612">
        <f t="shared" si="437"/>
        <v>0</v>
      </c>
      <c r="BJ527" s="201">
        <f t="shared" si="438"/>
        <v>0</v>
      </c>
    </row>
    <row r="528" spans="1:62" ht="12" customHeight="1">
      <c r="A528" s="282" t="s">
        <v>321</v>
      </c>
      <c r="B528" s="283"/>
      <c r="C528" s="283"/>
      <c r="D528" s="283"/>
      <c r="E528" s="283"/>
      <c r="F528" s="283"/>
      <c r="G528" s="283"/>
      <c r="H528" s="284"/>
      <c r="I528" s="337" t="s">
        <v>458</v>
      </c>
      <c r="J528" s="338"/>
      <c r="K528" s="123"/>
      <c r="L528" s="111">
        <f t="shared" ref="L528:S528" si="450">L530</f>
        <v>0</v>
      </c>
      <c r="M528" s="111">
        <f t="shared" si="450"/>
        <v>0</v>
      </c>
      <c r="N528" s="112">
        <f t="shared" si="450"/>
        <v>0</v>
      </c>
      <c r="O528" s="112">
        <f t="shared" si="450"/>
        <v>0</v>
      </c>
      <c r="P528" s="113">
        <f t="shared" si="450"/>
        <v>0</v>
      </c>
      <c r="Q528" s="113">
        <f t="shared" si="450"/>
        <v>0</v>
      </c>
      <c r="R528" s="87">
        <f t="shared" si="450"/>
        <v>0</v>
      </c>
      <c r="S528" s="89" t="e">
        <f t="shared" ca="1" si="450"/>
        <v>#NAME?</v>
      </c>
      <c r="T528" s="89"/>
      <c r="U528" s="89"/>
      <c r="V528" s="532">
        <f>V530</f>
        <v>0</v>
      </c>
      <c r="W528" s="532">
        <f>W530</f>
        <v>0</v>
      </c>
      <c r="X528" s="506">
        <f>X530</f>
        <v>7000</v>
      </c>
      <c r="Y528" s="507">
        <f>Y530</f>
        <v>7000</v>
      </c>
      <c r="Z528" s="507">
        <f>Z530</f>
        <v>0</v>
      </c>
      <c r="AA528" s="562" t="e">
        <f t="shared" ca="1" si="424"/>
        <v>#NAME?</v>
      </c>
      <c r="AB528" s="507"/>
      <c r="AC528" s="508">
        <f>AC530</f>
        <v>5000</v>
      </c>
      <c r="AD528" s="508">
        <f>AD530</f>
        <v>5000</v>
      </c>
      <c r="AE528" s="529"/>
      <c r="AF528" s="529"/>
      <c r="AG528" s="529"/>
      <c r="AH528" s="529"/>
      <c r="AI528" s="507"/>
      <c r="AJ528" s="507">
        <v>7000</v>
      </c>
      <c r="AK528" s="507"/>
      <c r="AL528" s="507"/>
      <c r="AM528" s="507">
        <f t="shared" si="449"/>
        <v>100</v>
      </c>
      <c r="AN528" s="509"/>
      <c r="AO528" s="510"/>
      <c r="AP528" s="510" t="e">
        <f t="shared" ca="1" si="422"/>
        <v>#NAME?</v>
      </c>
      <c r="AQ528" s="532">
        <f>AQ530</f>
        <v>0</v>
      </c>
      <c r="AR528" s="533"/>
      <c r="AS528" s="533"/>
      <c r="AT528" s="533"/>
      <c r="AU528" s="533"/>
      <c r="AV528" s="533"/>
      <c r="AW528" s="612"/>
      <c r="AX528" s="612"/>
      <c r="AY528" s="612"/>
      <c r="AZ528" s="612"/>
      <c r="BA528" s="612"/>
      <c r="BB528" s="612"/>
      <c r="BC528" s="612"/>
      <c r="BD528" s="612"/>
      <c r="BE528" s="612"/>
      <c r="BF528" s="612"/>
      <c r="BG528" s="612"/>
      <c r="BH528" s="612">
        <f t="shared" si="425"/>
        <v>0</v>
      </c>
      <c r="BI528" s="612">
        <f t="shared" si="437"/>
        <v>0</v>
      </c>
      <c r="BJ528" s="201">
        <f t="shared" si="438"/>
        <v>0</v>
      </c>
    </row>
    <row r="529" spans="1:62" ht="12" customHeight="1">
      <c r="A529" s="68"/>
      <c r="B529" s="68"/>
      <c r="C529" s="68"/>
      <c r="D529" s="68"/>
      <c r="E529" s="68"/>
      <c r="F529" s="68"/>
      <c r="G529" s="68"/>
      <c r="H529" s="319"/>
      <c r="I529" s="4"/>
      <c r="J529" s="8"/>
      <c r="K529" s="8"/>
      <c r="L529" s="84"/>
      <c r="M529" s="84"/>
      <c r="N529" s="85"/>
      <c r="O529" s="85"/>
      <c r="P529" s="86"/>
      <c r="Q529" s="86"/>
      <c r="R529" s="154"/>
      <c r="S529" s="158" t="e">
        <f ca="1">__xlfn.XLOOKUP(H529,[1]Izvršenje_proračuna_po_pozicija!$B$2:$B$153,[1]Izvršenje_proračuna_po_pozicija!$E$2:$E$153,0)</f>
        <v>#NAME?</v>
      </c>
      <c r="T529" s="158"/>
      <c r="U529" s="158"/>
      <c r="V529" s="532"/>
      <c r="W529" s="532"/>
      <c r="X529" s="568"/>
      <c r="Y529" s="569"/>
      <c r="Z529" s="569"/>
      <c r="AA529" s="562" t="e">
        <f t="shared" ca="1" si="424"/>
        <v>#NAME?</v>
      </c>
      <c r="AB529" s="537"/>
      <c r="AC529" s="538"/>
      <c r="AD529" s="538"/>
      <c r="AE529" s="529"/>
      <c r="AF529" s="529"/>
      <c r="AG529" s="529"/>
      <c r="AH529" s="529"/>
      <c r="AI529" s="537"/>
      <c r="AJ529" s="569"/>
      <c r="AK529" s="507"/>
      <c r="AL529" s="507"/>
      <c r="AM529" s="507"/>
      <c r="AN529" s="557"/>
      <c r="AO529" s="510"/>
      <c r="AP529" s="510" t="e">
        <f t="shared" ca="1" si="422"/>
        <v>#NAME?</v>
      </c>
      <c r="AQ529" s="532"/>
      <c r="AR529" s="533"/>
      <c r="AS529" s="533"/>
      <c r="AT529" s="533"/>
      <c r="AU529" s="533"/>
      <c r="AV529" s="533"/>
      <c r="AW529" s="612"/>
      <c r="AX529" s="612"/>
      <c r="AY529" s="612"/>
      <c r="AZ529" s="612"/>
      <c r="BA529" s="612"/>
      <c r="BB529" s="612"/>
      <c r="BC529" s="612"/>
      <c r="BD529" s="612"/>
      <c r="BE529" s="612"/>
      <c r="BF529" s="612"/>
      <c r="BG529" s="612"/>
      <c r="BH529" s="612">
        <f t="shared" si="425"/>
        <v>0</v>
      </c>
      <c r="BI529" s="612">
        <f t="shared" si="437"/>
        <v>0</v>
      </c>
      <c r="BJ529" s="201">
        <f t="shared" si="438"/>
        <v>0</v>
      </c>
    </row>
    <row r="530" spans="1:62" ht="12" customHeight="1">
      <c r="A530" s="25"/>
      <c r="B530" s="25"/>
      <c r="C530" s="25"/>
      <c r="D530" s="25"/>
      <c r="E530" s="25"/>
      <c r="F530" s="25"/>
      <c r="G530" s="25"/>
      <c r="H530" s="285"/>
      <c r="I530" s="260"/>
      <c r="J530" s="211">
        <v>3</v>
      </c>
      <c r="K530" s="3" t="s">
        <v>220</v>
      </c>
      <c r="L530" s="111">
        <f t="shared" ref="L530:S531" si="451">L531</f>
        <v>0</v>
      </c>
      <c r="M530" s="111">
        <f t="shared" si="451"/>
        <v>0</v>
      </c>
      <c r="N530" s="112">
        <f t="shared" si="451"/>
        <v>0</v>
      </c>
      <c r="O530" s="112">
        <f t="shared" si="451"/>
        <v>0</v>
      </c>
      <c r="P530" s="113">
        <f t="shared" si="451"/>
        <v>0</v>
      </c>
      <c r="Q530" s="113">
        <f t="shared" si="451"/>
        <v>0</v>
      </c>
      <c r="R530" s="87">
        <f t="shared" si="451"/>
        <v>0</v>
      </c>
      <c r="S530" s="89" t="e">
        <f t="shared" ca="1" si="451"/>
        <v>#NAME?</v>
      </c>
      <c r="T530" s="89"/>
      <c r="U530" s="89"/>
      <c r="V530" s="532">
        <f>V531</f>
        <v>0</v>
      </c>
      <c r="W530" s="532">
        <f t="shared" ref="W530:Z531" si="452">W531</f>
        <v>0</v>
      </c>
      <c r="X530" s="506">
        <f t="shared" si="452"/>
        <v>7000</v>
      </c>
      <c r="Y530" s="507">
        <f t="shared" si="452"/>
        <v>7000</v>
      </c>
      <c r="Z530" s="507">
        <f t="shared" si="452"/>
        <v>0</v>
      </c>
      <c r="AA530" s="562" t="e">
        <f t="shared" ca="1" si="424"/>
        <v>#NAME?</v>
      </c>
      <c r="AB530" s="507"/>
      <c r="AC530" s="508">
        <f>AC531</f>
        <v>5000</v>
      </c>
      <c r="AD530" s="508">
        <f>AD531</f>
        <v>5000</v>
      </c>
      <c r="AE530" s="529"/>
      <c r="AF530" s="529"/>
      <c r="AG530" s="529"/>
      <c r="AH530" s="529"/>
      <c r="AI530" s="507"/>
      <c r="AJ530" s="507">
        <v>7000</v>
      </c>
      <c r="AK530" s="507"/>
      <c r="AL530" s="507"/>
      <c r="AM530" s="507">
        <f t="shared" si="449"/>
        <v>100</v>
      </c>
      <c r="AN530" s="509"/>
      <c r="AO530" s="510"/>
      <c r="AP530" s="510" t="e">
        <f t="shared" ca="1" si="422"/>
        <v>#NAME?</v>
      </c>
      <c r="AQ530" s="532">
        <f>AQ531</f>
        <v>0</v>
      </c>
      <c r="AR530" s="533"/>
      <c r="AS530" s="533"/>
      <c r="AT530" s="533"/>
      <c r="AU530" s="533"/>
      <c r="AV530" s="533"/>
      <c r="AW530" s="612"/>
      <c r="AX530" s="612"/>
      <c r="AY530" s="612"/>
      <c r="AZ530" s="612"/>
      <c r="BA530" s="612"/>
      <c r="BB530" s="612"/>
      <c r="BC530" s="612"/>
      <c r="BD530" s="612"/>
      <c r="BE530" s="612"/>
      <c r="BF530" s="612"/>
      <c r="BG530" s="612"/>
      <c r="BH530" s="612">
        <f t="shared" si="425"/>
        <v>0</v>
      </c>
      <c r="BI530" s="612">
        <f t="shared" si="437"/>
        <v>0</v>
      </c>
      <c r="BJ530" s="201"/>
    </row>
    <row r="531" spans="1:62" ht="12" customHeight="1">
      <c r="A531" s="227"/>
      <c r="B531" s="227"/>
      <c r="C531" s="227"/>
      <c r="D531" s="227"/>
      <c r="E531" s="227"/>
      <c r="F531" s="227"/>
      <c r="G531" s="227"/>
      <c r="H531" s="234"/>
      <c r="I531" s="339"/>
      <c r="J531" s="228">
        <v>35</v>
      </c>
      <c r="K531" s="258" t="s">
        <v>268</v>
      </c>
      <c r="L531" s="111">
        <f t="shared" si="451"/>
        <v>0</v>
      </c>
      <c r="M531" s="111">
        <f t="shared" si="451"/>
        <v>0</v>
      </c>
      <c r="N531" s="112">
        <f t="shared" si="451"/>
        <v>0</v>
      </c>
      <c r="O531" s="112">
        <f t="shared" si="451"/>
        <v>0</v>
      </c>
      <c r="P531" s="113">
        <f t="shared" si="451"/>
        <v>0</v>
      </c>
      <c r="Q531" s="113">
        <f t="shared" si="451"/>
        <v>0</v>
      </c>
      <c r="R531" s="87">
        <f t="shared" si="451"/>
        <v>0</v>
      </c>
      <c r="S531" s="89" t="e">
        <f t="shared" ca="1" si="451"/>
        <v>#NAME?</v>
      </c>
      <c r="T531" s="89"/>
      <c r="U531" s="89"/>
      <c r="V531" s="532">
        <f>V532</f>
        <v>0</v>
      </c>
      <c r="W531" s="532">
        <f t="shared" si="452"/>
        <v>0</v>
      </c>
      <c r="X531" s="506">
        <f t="shared" si="452"/>
        <v>7000</v>
      </c>
      <c r="Y531" s="507">
        <f t="shared" si="452"/>
        <v>7000</v>
      </c>
      <c r="Z531" s="507">
        <f t="shared" si="452"/>
        <v>0</v>
      </c>
      <c r="AA531" s="562" t="e">
        <f t="shared" ca="1" si="424"/>
        <v>#NAME?</v>
      </c>
      <c r="AB531" s="507"/>
      <c r="AC531" s="508">
        <f>AC532</f>
        <v>5000</v>
      </c>
      <c r="AD531" s="508">
        <f>AD532</f>
        <v>5000</v>
      </c>
      <c r="AE531" s="529"/>
      <c r="AF531" s="529"/>
      <c r="AG531" s="529"/>
      <c r="AH531" s="529"/>
      <c r="AI531" s="507"/>
      <c r="AJ531" s="507">
        <v>7000</v>
      </c>
      <c r="AK531" s="507"/>
      <c r="AL531" s="507"/>
      <c r="AM531" s="507">
        <f t="shared" si="449"/>
        <v>100</v>
      </c>
      <c r="AN531" s="509"/>
      <c r="AO531" s="510"/>
      <c r="AP531" s="510" t="e">
        <f t="shared" ca="1" si="422"/>
        <v>#NAME?</v>
      </c>
      <c r="AQ531" s="532">
        <f>AQ532</f>
        <v>0</v>
      </c>
      <c r="AR531" s="533"/>
      <c r="AS531" s="533"/>
      <c r="AT531" s="533"/>
      <c r="AU531" s="533"/>
      <c r="AV531" s="533"/>
      <c r="AW531" s="612"/>
      <c r="AX531" s="612"/>
      <c r="AY531" s="612"/>
      <c r="AZ531" s="612"/>
      <c r="BA531" s="612"/>
      <c r="BB531" s="612"/>
      <c r="BC531" s="612"/>
      <c r="BD531" s="612"/>
      <c r="BE531" s="612"/>
      <c r="BF531" s="612"/>
      <c r="BG531" s="612"/>
      <c r="BH531" s="612">
        <f t="shared" si="425"/>
        <v>0</v>
      </c>
      <c r="BI531" s="612">
        <f t="shared" si="437"/>
        <v>0</v>
      </c>
      <c r="BJ531" s="201"/>
    </row>
    <row r="532" spans="1:62" ht="12" customHeight="1">
      <c r="A532" s="61"/>
      <c r="B532" s="61"/>
      <c r="C532" s="61"/>
      <c r="D532" s="61"/>
      <c r="E532" s="61"/>
      <c r="F532" s="61"/>
      <c r="G532" s="61"/>
      <c r="H532" s="230"/>
      <c r="I532" s="261"/>
      <c r="J532" s="229">
        <v>352</v>
      </c>
      <c r="K532" s="20" t="s">
        <v>459</v>
      </c>
      <c r="L532" s="111">
        <f t="shared" ref="L532:S532" si="453">L533+L534+L535</f>
        <v>0</v>
      </c>
      <c r="M532" s="111">
        <f t="shared" si="453"/>
        <v>0</v>
      </c>
      <c r="N532" s="112">
        <f t="shared" si="453"/>
        <v>0</v>
      </c>
      <c r="O532" s="112">
        <f t="shared" si="453"/>
        <v>0</v>
      </c>
      <c r="P532" s="113">
        <f t="shared" si="453"/>
        <v>0</v>
      </c>
      <c r="Q532" s="113">
        <f t="shared" si="453"/>
        <v>0</v>
      </c>
      <c r="R532" s="87">
        <f t="shared" si="453"/>
        <v>0</v>
      </c>
      <c r="S532" s="89" t="e">
        <f t="shared" ca="1" si="453"/>
        <v>#NAME?</v>
      </c>
      <c r="T532" s="89"/>
      <c r="U532" s="89"/>
      <c r="V532" s="532">
        <f>V533+V534+V535</f>
        <v>0</v>
      </c>
      <c r="W532" s="532">
        <f>W533+W534+W535</f>
        <v>0</v>
      </c>
      <c r="X532" s="506">
        <f>X533+X534+X535</f>
        <v>7000</v>
      </c>
      <c r="Y532" s="507">
        <f>Y533+Y534+Y535</f>
        <v>7000</v>
      </c>
      <c r="Z532" s="507">
        <f>Z533+Z534+Z535</f>
        <v>0</v>
      </c>
      <c r="AA532" s="562" t="e">
        <f t="shared" ca="1" si="424"/>
        <v>#NAME?</v>
      </c>
      <c r="AB532" s="507"/>
      <c r="AC532" s="508">
        <f>AC533+AC534+AC535</f>
        <v>5000</v>
      </c>
      <c r="AD532" s="508">
        <f>AD533+AD534+AD535</f>
        <v>5000</v>
      </c>
      <c r="AE532" s="529"/>
      <c r="AF532" s="529"/>
      <c r="AG532" s="529"/>
      <c r="AH532" s="529"/>
      <c r="AI532" s="507"/>
      <c r="AJ532" s="507">
        <v>7000</v>
      </c>
      <c r="AK532" s="507"/>
      <c r="AL532" s="507"/>
      <c r="AM532" s="507">
        <f t="shared" si="449"/>
        <v>100</v>
      </c>
      <c r="AN532" s="509"/>
      <c r="AO532" s="510"/>
      <c r="AP532" s="510" t="e">
        <f t="shared" ca="1" si="422"/>
        <v>#NAME?</v>
      </c>
      <c r="AQ532" s="532">
        <f>AQ533+AQ534+AQ535</f>
        <v>0</v>
      </c>
      <c r="AR532" s="533"/>
      <c r="AS532" s="533"/>
      <c r="AT532" s="533"/>
      <c r="AU532" s="533"/>
      <c r="AV532" s="533"/>
      <c r="AW532" s="612"/>
      <c r="AX532" s="612"/>
      <c r="AY532" s="612"/>
      <c r="AZ532" s="612"/>
      <c r="BA532" s="612"/>
      <c r="BB532" s="612"/>
      <c r="BC532" s="612"/>
      <c r="BD532" s="612"/>
      <c r="BE532" s="612"/>
      <c r="BF532" s="612"/>
      <c r="BG532" s="612"/>
      <c r="BH532" s="612">
        <f t="shared" si="425"/>
        <v>0</v>
      </c>
      <c r="BI532" s="612">
        <f t="shared" si="437"/>
        <v>0</v>
      </c>
      <c r="BJ532" s="201"/>
    </row>
    <row r="533" spans="1:62" ht="12" customHeight="1">
      <c r="A533" s="52"/>
      <c r="B533" s="52"/>
      <c r="C533" s="52"/>
      <c r="D533" s="52"/>
      <c r="E533" s="52"/>
      <c r="F533" s="52"/>
      <c r="G533" s="52"/>
      <c r="H533" s="2">
        <v>175</v>
      </c>
      <c r="I533" s="260">
        <v>421</v>
      </c>
      <c r="J533" s="185">
        <v>3523</v>
      </c>
      <c r="K533" s="19" t="s">
        <v>460</v>
      </c>
      <c r="L533" s="129">
        <v>0</v>
      </c>
      <c r="M533" s="129">
        <v>0</v>
      </c>
      <c r="N533" s="130">
        <v>0</v>
      </c>
      <c r="O533" s="130">
        <v>0</v>
      </c>
      <c r="P533" s="131">
        <v>0</v>
      </c>
      <c r="Q533" s="131">
        <v>0</v>
      </c>
      <c r="R533" s="153">
        <v>0</v>
      </c>
      <c r="S533" s="158" t="e">
        <f ca="1">__xlfn.XLOOKUP(H533,[1]Izvršenje_proračuna_po_pozicija!$B$2:$B$153,[1]Izvršenje_proračuna_po_pozicija!$E$2:$E$153,0)</f>
        <v>#NAME?</v>
      </c>
      <c r="T533" s="158"/>
      <c r="U533" s="158"/>
      <c r="V533" s="532"/>
      <c r="W533" s="532"/>
      <c r="X533" s="560"/>
      <c r="Y533" s="561"/>
      <c r="Z533" s="561"/>
      <c r="AA533" s="562" t="e">
        <f t="shared" ca="1" si="424"/>
        <v>#NAME?</v>
      </c>
      <c r="AB533" s="535"/>
      <c r="AC533" s="529">
        <v>0</v>
      </c>
      <c r="AD533" s="529">
        <v>0</v>
      </c>
      <c r="AE533" s="529"/>
      <c r="AF533" s="529"/>
      <c r="AG533" s="529"/>
      <c r="AH533" s="529"/>
      <c r="AI533" s="535"/>
      <c r="AJ533" s="561"/>
      <c r="AK533" s="507"/>
      <c r="AL533" s="507"/>
      <c r="AM533" s="507"/>
      <c r="AN533" s="556"/>
      <c r="AO533" s="510"/>
      <c r="AP533" s="510" t="e">
        <f t="shared" ca="1" si="422"/>
        <v>#NAME?</v>
      </c>
      <c r="AQ533" s="532"/>
      <c r="AR533" s="533"/>
      <c r="AS533" s="533"/>
      <c r="AT533" s="533"/>
      <c r="AU533" s="533"/>
      <c r="AV533" s="533"/>
      <c r="AW533" s="612"/>
      <c r="AX533" s="612"/>
      <c r="AY533" s="612"/>
      <c r="AZ533" s="612"/>
      <c r="BA533" s="612"/>
      <c r="BB533" s="612"/>
      <c r="BC533" s="612"/>
      <c r="BD533" s="612"/>
      <c r="BE533" s="612"/>
      <c r="BF533" s="612"/>
      <c r="BG533" s="612"/>
      <c r="BH533" s="612">
        <f t="shared" si="425"/>
        <v>0</v>
      </c>
      <c r="BI533" s="612">
        <f t="shared" si="437"/>
        <v>0</v>
      </c>
      <c r="BJ533" s="201"/>
    </row>
    <row r="534" spans="1:62" ht="12" customHeight="1">
      <c r="A534" s="52"/>
      <c r="B534" s="52"/>
      <c r="C534" s="52"/>
      <c r="D534" s="52"/>
      <c r="E534" s="52"/>
      <c r="F534" s="52"/>
      <c r="G534" s="52"/>
      <c r="H534" s="2" t="s">
        <v>461</v>
      </c>
      <c r="I534" s="260">
        <v>421</v>
      </c>
      <c r="J534" s="185">
        <v>3523</v>
      </c>
      <c r="K534" s="340" t="s">
        <v>462</v>
      </c>
      <c r="L534" s="129"/>
      <c r="M534" s="129"/>
      <c r="N534" s="130"/>
      <c r="O534" s="130"/>
      <c r="P534" s="131"/>
      <c r="Q534" s="131"/>
      <c r="R534" s="153"/>
      <c r="S534" s="158" t="e">
        <f ca="1">__xlfn.XLOOKUP(H534,[1]Izvršenje_proračuna_po_pozicija!$B$2:$B$153,[1]Izvršenje_proračuna_po_pozicija!$E$2:$E$153,0)</f>
        <v>#NAME?</v>
      </c>
      <c r="T534" s="158"/>
      <c r="U534" s="158"/>
      <c r="V534" s="532"/>
      <c r="W534" s="532"/>
      <c r="X534" s="560"/>
      <c r="Y534" s="561"/>
      <c r="Z534" s="561"/>
      <c r="AA534" s="562" t="e">
        <f t="shared" ca="1" si="424"/>
        <v>#NAME?</v>
      </c>
      <c r="AB534" s="535"/>
      <c r="AC534" s="529"/>
      <c r="AD534" s="529"/>
      <c r="AE534" s="529"/>
      <c r="AF534" s="529"/>
      <c r="AG534" s="529"/>
      <c r="AH534" s="529"/>
      <c r="AI534" s="535"/>
      <c r="AJ534" s="561"/>
      <c r="AK534" s="507"/>
      <c r="AL534" s="507"/>
      <c r="AM534" s="507"/>
      <c r="AN534" s="556"/>
      <c r="AO534" s="510"/>
      <c r="AP534" s="510" t="e">
        <f t="shared" ca="1" si="422"/>
        <v>#NAME?</v>
      </c>
      <c r="AQ534" s="532"/>
      <c r="AR534" s="533"/>
      <c r="AS534" s="533"/>
      <c r="AT534" s="533"/>
      <c r="AU534" s="533"/>
      <c r="AV534" s="533"/>
      <c r="AW534" s="612"/>
      <c r="AX534" s="612"/>
      <c r="AY534" s="612"/>
      <c r="AZ534" s="612"/>
      <c r="BA534" s="612"/>
      <c r="BB534" s="612"/>
      <c r="BC534" s="612"/>
      <c r="BD534" s="612"/>
      <c r="BE534" s="612"/>
      <c r="BF534" s="612"/>
      <c r="BG534" s="612"/>
      <c r="BH534" s="612">
        <f t="shared" si="425"/>
        <v>0</v>
      </c>
      <c r="BI534" s="612">
        <f t="shared" si="437"/>
        <v>0</v>
      </c>
      <c r="BJ534" s="201"/>
    </row>
    <row r="535" spans="1:62" ht="12" customHeight="1">
      <c r="A535" s="52"/>
      <c r="B535" s="52"/>
      <c r="C535" s="52"/>
      <c r="D535" s="52"/>
      <c r="E535" s="52"/>
      <c r="F535" s="52"/>
      <c r="G535" s="52"/>
      <c r="H535" s="2" t="s">
        <v>463</v>
      </c>
      <c r="I535" s="260">
        <v>442</v>
      </c>
      <c r="J535" s="185">
        <v>3523</v>
      </c>
      <c r="K535" s="340" t="s">
        <v>464</v>
      </c>
      <c r="L535" s="129">
        <v>0</v>
      </c>
      <c r="M535" s="129">
        <v>0</v>
      </c>
      <c r="N535" s="130">
        <v>0</v>
      </c>
      <c r="O535" s="130">
        <v>0</v>
      </c>
      <c r="P535" s="131">
        <v>0</v>
      </c>
      <c r="Q535" s="131">
        <v>0</v>
      </c>
      <c r="R535" s="153">
        <v>0</v>
      </c>
      <c r="S535" s="158" t="e">
        <f ca="1">__xlfn.XLOOKUP(H535,[1]Izvršenje_proračuna_po_pozicija!$B$2:$B$153,[1]Izvršenje_proračuna_po_pozicija!$E$2:$E$153,0)</f>
        <v>#NAME?</v>
      </c>
      <c r="T535" s="158"/>
      <c r="U535" s="158"/>
      <c r="V535" s="532">
        <v>0</v>
      </c>
      <c r="W535" s="532">
        <v>0</v>
      </c>
      <c r="X535" s="560">
        <v>7000</v>
      </c>
      <c r="Y535" s="561">
        <v>7000</v>
      </c>
      <c r="Z535" s="561"/>
      <c r="AA535" s="562" t="e">
        <f t="shared" ca="1" si="424"/>
        <v>#NAME?</v>
      </c>
      <c r="AB535" s="535"/>
      <c r="AC535" s="529">
        <v>5000</v>
      </c>
      <c r="AD535" s="529">
        <v>5000</v>
      </c>
      <c r="AE535" s="529"/>
      <c r="AF535" s="529"/>
      <c r="AG535" s="529"/>
      <c r="AH535" s="529"/>
      <c r="AI535" s="535"/>
      <c r="AJ535" s="561">
        <v>7000</v>
      </c>
      <c r="AK535" s="507"/>
      <c r="AL535" s="507"/>
      <c r="AM535" s="507">
        <f t="shared" si="449"/>
        <v>100</v>
      </c>
      <c r="AN535" s="556"/>
      <c r="AO535" s="510"/>
      <c r="AP535" s="510" t="e">
        <f t="shared" ca="1" si="422"/>
        <v>#NAME?</v>
      </c>
      <c r="AQ535" s="532"/>
      <c r="AR535" s="533"/>
      <c r="AS535" s="533"/>
      <c r="AT535" s="533"/>
      <c r="AU535" s="533"/>
      <c r="AV535" s="533"/>
      <c r="AW535" s="612"/>
      <c r="AX535" s="612"/>
      <c r="AY535" s="612"/>
      <c r="AZ535" s="612"/>
      <c r="BA535" s="612"/>
      <c r="BB535" s="612"/>
      <c r="BC535" s="612"/>
      <c r="BD535" s="612"/>
      <c r="BE535" s="612"/>
      <c r="BF535" s="612"/>
      <c r="BG535" s="612"/>
      <c r="BH535" s="612">
        <f t="shared" si="425"/>
        <v>0</v>
      </c>
      <c r="BI535" s="612">
        <f t="shared" si="437"/>
        <v>0</v>
      </c>
      <c r="BJ535" s="201">
        <f t="shared" ref="BJ535:BJ548" si="454">AQ542-BI535</f>
        <v>0</v>
      </c>
    </row>
    <row r="536" spans="1:62" ht="12" customHeight="1">
      <c r="A536" s="41"/>
      <c r="B536" s="41"/>
      <c r="C536" s="41"/>
      <c r="D536" s="41"/>
      <c r="E536" s="41"/>
      <c r="F536" s="41"/>
      <c r="G536" s="41"/>
      <c r="H536" s="235"/>
      <c r="I536" s="15"/>
      <c r="J536" s="3"/>
      <c r="K536" s="83"/>
      <c r="L536" s="84"/>
      <c r="M536" s="84"/>
      <c r="N536" s="85"/>
      <c r="O536" s="85"/>
      <c r="P536" s="86"/>
      <c r="Q536" s="86"/>
      <c r="R536" s="154"/>
      <c r="S536" s="158" t="e">
        <f ca="1">__xlfn.XLOOKUP(H536,[1]Izvršenje_proračuna_po_pozicija!$B$2:$B$153,[1]Izvršenje_proračuna_po_pozicija!$E$2:$E$153,0)</f>
        <v>#NAME?</v>
      </c>
      <c r="T536" s="158"/>
      <c r="U536" s="158"/>
      <c r="V536" s="532"/>
      <c r="W536" s="532"/>
      <c r="X536" s="568"/>
      <c r="Y536" s="569"/>
      <c r="Z536" s="569"/>
      <c r="AA536" s="562" t="e">
        <f t="shared" ca="1" si="424"/>
        <v>#NAME?</v>
      </c>
      <c r="AB536" s="537"/>
      <c r="AC536" s="538"/>
      <c r="AD536" s="538"/>
      <c r="AE536" s="529"/>
      <c r="AF536" s="529"/>
      <c r="AG536" s="529"/>
      <c r="AH536" s="529"/>
      <c r="AI536" s="537"/>
      <c r="AJ536" s="569"/>
      <c r="AK536" s="507"/>
      <c r="AL536" s="507"/>
      <c r="AM536" s="507"/>
      <c r="AN536" s="557"/>
      <c r="AO536" s="510"/>
      <c r="AP536" s="510" t="e">
        <f t="shared" ca="1" si="422"/>
        <v>#NAME?</v>
      </c>
      <c r="AQ536" s="532"/>
      <c r="AR536" s="533"/>
      <c r="AS536" s="533"/>
      <c r="AT536" s="533"/>
      <c r="AU536" s="533"/>
      <c r="AV536" s="533"/>
      <c r="AW536" s="612"/>
      <c r="AX536" s="612"/>
      <c r="AY536" s="612"/>
      <c r="AZ536" s="612"/>
      <c r="BA536" s="612"/>
      <c r="BB536" s="612"/>
      <c r="BC536" s="612"/>
      <c r="BD536" s="612"/>
      <c r="BE536" s="612"/>
      <c r="BF536" s="612"/>
      <c r="BG536" s="612"/>
      <c r="BH536" s="612">
        <f t="shared" si="425"/>
        <v>0</v>
      </c>
      <c r="BI536" s="612">
        <f t="shared" si="437"/>
        <v>0</v>
      </c>
      <c r="BJ536" s="201">
        <f t="shared" si="454"/>
        <v>0</v>
      </c>
    </row>
    <row r="537" spans="1:62" ht="12" customHeight="1">
      <c r="A537" s="320"/>
      <c r="B537" s="320"/>
      <c r="C537" s="320"/>
      <c r="D537" s="320"/>
      <c r="E537" s="320"/>
      <c r="F537" s="320"/>
      <c r="G537" s="320"/>
      <c r="H537" s="321"/>
      <c r="I537" s="341" t="s">
        <v>465</v>
      </c>
      <c r="J537" s="342"/>
      <c r="K537" s="126"/>
      <c r="L537" s="111">
        <f t="shared" ref="L537:S537" si="455">L538+L564+L572+L590</f>
        <v>6499069</v>
      </c>
      <c r="M537" s="111">
        <f t="shared" si="455"/>
        <v>862574.68976043526</v>
      </c>
      <c r="N537" s="112">
        <f t="shared" si="455"/>
        <v>5699999</v>
      </c>
      <c r="O537" s="112">
        <f t="shared" si="455"/>
        <v>756519.87524056004</v>
      </c>
      <c r="P537" s="113">
        <f t="shared" si="455"/>
        <v>902000</v>
      </c>
      <c r="Q537" s="113">
        <f t="shared" si="455"/>
        <v>900000</v>
      </c>
      <c r="R537" s="87">
        <f t="shared" si="455"/>
        <v>869598</v>
      </c>
      <c r="S537" s="89" t="e">
        <f t="shared" ca="1" si="455"/>
        <v>#NAME?</v>
      </c>
      <c r="T537" s="89"/>
      <c r="U537" s="89"/>
      <c r="V537" s="532">
        <f>V538+V564+V572+V590</f>
        <v>1150000</v>
      </c>
      <c r="W537" s="532">
        <f>W538+W564+W572+W590</f>
        <v>1112927</v>
      </c>
      <c r="X537" s="506">
        <f>X538+X564+X572+X590</f>
        <v>1695000</v>
      </c>
      <c r="Y537" s="507">
        <f>Y538+Y564+Y572+Y590</f>
        <v>2218000</v>
      </c>
      <c r="Z537" s="507">
        <f>Z538+Z564+Z572+Z590</f>
        <v>0</v>
      </c>
      <c r="AA537" s="562" t="e">
        <f t="shared" ca="1" si="424"/>
        <v>#NAME?</v>
      </c>
      <c r="AB537" s="507"/>
      <c r="AC537" s="508">
        <f>AC538+AC564+AC572+AC590</f>
        <v>858000</v>
      </c>
      <c r="AD537" s="508">
        <f>AD538+AD564+AD572+AD590</f>
        <v>858000</v>
      </c>
      <c r="AE537" s="529">
        <f>O537/M537*100</f>
        <v>87.7048543414449</v>
      </c>
      <c r="AF537" s="529">
        <f>P537/O537*100</f>
        <v>119.23017881231208</v>
      </c>
      <c r="AG537" s="529">
        <f>Q537/P537*100</f>
        <v>99.77827050997783</v>
      </c>
      <c r="AH537" s="529">
        <f>AC537/Q537*100</f>
        <v>95.333333333333343</v>
      </c>
      <c r="AI537" s="507"/>
      <c r="AJ537" s="507">
        <v>2218000</v>
      </c>
      <c r="AK537" s="507">
        <f t="shared" ref="AK537:AK595" si="456">W537/R537*100</f>
        <v>127.98178008689072</v>
      </c>
      <c r="AL537" s="507">
        <f t="shared" ref="AL537:AL595" si="457">X537/W537*100</f>
        <v>152.30109432155029</v>
      </c>
      <c r="AM537" s="507">
        <f>Y537/X537*100</f>
        <v>130.85545722713866</v>
      </c>
      <c r="AN537" s="509"/>
      <c r="AO537" s="510"/>
      <c r="AP537" s="510" t="e">
        <f t="shared" ca="1" si="422"/>
        <v>#NAME?</v>
      </c>
      <c r="AQ537" s="532">
        <f>AQ538+AQ564+AQ572+AQ590</f>
        <v>993604.97</v>
      </c>
      <c r="AR537" s="533">
        <f>V537/R537*100</f>
        <v>132.24501436295853</v>
      </c>
      <c r="AS537" s="533">
        <f>W537/V537*100</f>
        <v>96.77626086956522</v>
      </c>
      <c r="AT537" s="533">
        <f>W537/R537*100</f>
        <v>127.98178008689072</v>
      </c>
      <c r="AU537" s="533">
        <f>AQ537/W537*100</f>
        <v>89.278539383086226</v>
      </c>
      <c r="AV537" s="533">
        <f>AQ537/R537*100</f>
        <v>114.26026393804953</v>
      </c>
      <c r="AW537" s="612"/>
      <c r="AX537" s="612"/>
      <c r="AY537" s="612"/>
      <c r="AZ537" s="612"/>
      <c r="BA537" s="612"/>
      <c r="BB537" s="612"/>
      <c r="BC537" s="612"/>
      <c r="BD537" s="612"/>
      <c r="BE537" s="612"/>
      <c r="BF537" s="612"/>
      <c r="BG537" s="612"/>
      <c r="BH537" s="612">
        <f t="shared" si="425"/>
        <v>0</v>
      </c>
      <c r="BI537" s="612">
        <f t="shared" si="437"/>
        <v>0</v>
      </c>
      <c r="BJ537" s="201">
        <f t="shared" si="454"/>
        <v>0</v>
      </c>
    </row>
    <row r="538" spans="1:62" ht="12" customHeight="1">
      <c r="A538" s="282" t="s">
        <v>321</v>
      </c>
      <c r="B538" s="283"/>
      <c r="C538" s="283"/>
      <c r="D538" s="283"/>
      <c r="E538" s="283"/>
      <c r="F538" s="283"/>
      <c r="G538" s="283"/>
      <c r="H538" s="284"/>
      <c r="I538" s="337" t="s">
        <v>466</v>
      </c>
      <c r="J538" s="338"/>
      <c r="K538" s="123"/>
      <c r="L538" s="111">
        <f t="shared" ref="L538:S538" si="458">L540</f>
        <v>936314</v>
      </c>
      <c r="M538" s="111">
        <f t="shared" si="458"/>
        <v>124270.22363793217</v>
      </c>
      <c r="N538" s="112">
        <f t="shared" si="458"/>
        <v>813850</v>
      </c>
      <c r="O538" s="112">
        <f t="shared" si="458"/>
        <v>108016.45762824341</v>
      </c>
      <c r="P538" s="113">
        <f t="shared" si="458"/>
        <v>142000</v>
      </c>
      <c r="Q538" s="113">
        <f t="shared" si="458"/>
        <v>139000</v>
      </c>
      <c r="R538" s="87">
        <f t="shared" si="458"/>
        <v>123990</v>
      </c>
      <c r="S538" s="89" t="e">
        <f t="shared" ca="1" si="458"/>
        <v>#NAME?</v>
      </c>
      <c r="T538" s="89"/>
      <c r="U538" s="89"/>
      <c r="V538" s="532">
        <f>V540</f>
        <v>245000</v>
      </c>
      <c r="W538" s="532">
        <f>W540</f>
        <v>245000</v>
      </c>
      <c r="X538" s="506">
        <f>X540</f>
        <v>235000</v>
      </c>
      <c r="Y538" s="507">
        <f>Y540</f>
        <v>433000</v>
      </c>
      <c r="Z538" s="507">
        <f>Z540</f>
        <v>0</v>
      </c>
      <c r="AA538" s="562" t="e">
        <f t="shared" ca="1" si="424"/>
        <v>#NAME?</v>
      </c>
      <c r="AB538" s="507"/>
      <c r="AC538" s="508">
        <f>AC540</f>
        <v>155000</v>
      </c>
      <c r="AD538" s="508">
        <f>AD540</f>
        <v>155000</v>
      </c>
      <c r="AE538" s="529">
        <f>O538/M538*100</f>
        <v>86.920627054599208</v>
      </c>
      <c r="AF538" s="529">
        <f>P538/O538*100</f>
        <v>131.46144866990232</v>
      </c>
      <c r="AG538" s="529">
        <f>Q538/P538*100</f>
        <v>97.887323943661968</v>
      </c>
      <c r="AH538" s="529">
        <f>AC538/Q538*100</f>
        <v>111.51079136690647</v>
      </c>
      <c r="AI538" s="507"/>
      <c r="AJ538" s="507">
        <v>433000</v>
      </c>
      <c r="AK538" s="507">
        <f t="shared" si="456"/>
        <v>197.59658036938464</v>
      </c>
      <c r="AL538" s="507">
        <f t="shared" si="457"/>
        <v>95.918367346938766</v>
      </c>
      <c r="AM538" s="507">
        <f>Y538/X538*100</f>
        <v>184.25531914893617</v>
      </c>
      <c r="AN538" s="509"/>
      <c r="AO538" s="510"/>
      <c r="AP538" s="510" t="e">
        <f t="shared" ca="1" si="422"/>
        <v>#NAME?</v>
      </c>
      <c r="AQ538" s="532">
        <f>AQ540</f>
        <v>233687.61000000002</v>
      </c>
      <c r="AR538" s="533">
        <f>V538/R538*100</f>
        <v>197.59658036938464</v>
      </c>
      <c r="AS538" s="533">
        <f>W538/V538*100</f>
        <v>100</v>
      </c>
      <c r="AT538" s="533">
        <f>W538/R538*100</f>
        <v>197.59658036938464</v>
      </c>
      <c r="AU538" s="533">
        <f>AQ538/W538*100</f>
        <v>95.382697959183687</v>
      </c>
      <c r="AV538" s="533">
        <f>AQ538/R538*100</f>
        <v>188.47294943140577</v>
      </c>
      <c r="AW538" s="612"/>
      <c r="AX538" s="612"/>
      <c r="AY538" s="612"/>
      <c r="AZ538" s="612"/>
      <c r="BA538" s="612"/>
      <c r="BB538" s="612"/>
      <c r="BC538" s="612"/>
      <c r="BD538" s="612"/>
      <c r="BE538" s="612"/>
      <c r="BF538" s="612"/>
      <c r="BG538" s="612"/>
      <c r="BH538" s="612">
        <f t="shared" si="425"/>
        <v>0</v>
      </c>
      <c r="BI538" s="612">
        <f t="shared" si="437"/>
        <v>0</v>
      </c>
      <c r="BJ538" s="201">
        <f t="shared" si="454"/>
        <v>0</v>
      </c>
    </row>
    <row r="539" spans="1:62" ht="12" customHeight="1">
      <c r="A539" s="52"/>
      <c r="B539" s="52"/>
      <c r="C539" s="52"/>
      <c r="D539" s="52"/>
      <c r="E539" s="52"/>
      <c r="F539" s="52"/>
      <c r="G539" s="52"/>
      <c r="H539" s="2"/>
      <c r="I539" s="260"/>
      <c r="J539" s="185"/>
      <c r="K539" s="19"/>
      <c r="L539" s="118"/>
      <c r="M539" s="118"/>
      <c r="N539" s="119"/>
      <c r="O539" s="119"/>
      <c r="P539" s="120"/>
      <c r="Q539" s="120"/>
      <c r="R539" s="151"/>
      <c r="S539" s="158" t="e">
        <f ca="1">__xlfn.XLOOKUP(H539,[1]Izvršenje_proračuna_po_pozicija!$B$2:$B$153,[1]Izvršenje_proračuna_po_pozicija!$E$2:$E$153,0)</f>
        <v>#NAME?</v>
      </c>
      <c r="T539" s="158"/>
      <c r="U539" s="158"/>
      <c r="V539" s="532"/>
      <c r="W539" s="532"/>
      <c r="X539" s="560"/>
      <c r="Y539" s="561"/>
      <c r="Z539" s="561"/>
      <c r="AA539" s="562" t="e">
        <f t="shared" ca="1" si="424"/>
        <v>#NAME?</v>
      </c>
      <c r="AB539" s="535"/>
      <c r="AC539" s="529"/>
      <c r="AD539" s="529"/>
      <c r="AE539" s="529"/>
      <c r="AF539" s="529"/>
      <c r="AG539" s="529"/>
      <c r="AH539" s="529"/>
      <c r="AI539" s="535"/>
      <c r="AJ539" s="561"/>
      <c r="AK539" s="507"/>
      <c r="AL539" s="507"/>
      <c r="AM539" s="507"/>
      <c r="AN539" s="556"/>
      <c r="AO539" s="510"/>
      <c r="AP539" s="510" t="e">
        <f t="shared" ca="1" si="422"/>
        <v>#NAME?</v>
      </c>
      <c r="AQ539" s="532"/>
      <c r="AR539" s="533"/>
      <c r="AS539" s="533"/>
      <c r="AT539" s="533"/>
      <c r="AU539" s="533"/>
      <c r="AV539" s="533"/>
      <c r="AW539" s="612"/>
      <c r="AX539" s="612"/>
      <c r="AY539" s="612"/>
      <c r="AZ539" s="612"/>
      <c r="BA539" s="612"/>
      <c r="BB539" s="612"/>
      <c r="BC539" s="612"/>
      <c r="BD539" s="612"/>
      <c r="BE539" s="612"/>
      <c r="BF539" s="612"/>
      <c r="BG539" s="612"/>
      <c r="BH539" s="612">
        <f t="shared" si="425"/>
        <v>0</v>
      </c>
      <c r="BI539" s="612">
        <f t="shared" si="437"/>
        <v>0</v>
      </c>
      <c r="BJ539" s="201">
        <f t="shared" si="454"/>
        <v>0</v>
      </c>
    </row>
    <row r="540" spans="1:62" ht="12" customHeight="1">
      <c r="A540" s="25"/>
      <c r="B540" s="25"/>
      <c r="C540" s="25"/>
      <c r="D540" s="25"/>
      <c r="E540" s="25"/>
      <c r="F540" s="25"/>
      <c r="G540" s="25"/>
      <c r="H540" s="285"/>
      <c r="I540" s="296"/>
      <c r="J540" s="211">
        <v>3</v>
      </c>
      <c r="K540" s="3" t="s">
        <v>220</v>
      </c>
      <c r="L540" s="111">
        <f t="shared" ref="L540:Z540" si="459">L541</f>
        <v>936314</v>
      </c>
      <c r="M540" s="111">
        <f t="shared" si="459"/>
        <v>124270.22363793217</v>
      </c>
      <c r="N540" s="112">
        <f t="shared" si="459"/>
        <v>813850</v>
      </c>
      <c r="O540" s="112">
        <f t="shared" si="459"/>
        <v>108016.45762824341</v>
      </c>
      <c r="P540" s="113">
        <f t="shared" si="459"/>
        <v>142000</v>
      </c>
      <c r="Q540" s="113">
        <f t="shared" si="459"/>
        <v>139000</v>
      </c>
      <c r="R540" s="87">
        <f t="shared" si="459"/>
        <v>123990</v>
      </c>
      <c r="S540" s="89" t="e">
        <f t="shared" ca="1" si="459"/>
        <v>#NAME?</v>
      </c>
      <c r="T540" s="89"/>
      <c r="U540" s="89"/>
      <c r="V540" s="532">
        <f>V541</f>
        <v>245000</v>
      </c>
      <c r="W540" s="532">
        <f t="shared" si="459"/>
        <v>245000</v>
      </c>
      <c r="X540" s="506">
        <f t="shared" si="459"/>
        <v>235000</v>
      </c>
      <c r="Y540" s="507">
        <f t="shared" si="459"/>
        <v>433000</v>
      </c>
      <c r="Z540" s="507">
        <f t="shared" si="459"/>
        <v>0</v>
      </c>
      <c r="AA540" s="562" t="e">
        <f t="shared" ca="1" si="424"/>
        <v>#NAME?</v>
      </c>
      <c r="AB540" s="507"/>
      <c r="AC540" s="508">
        <f>AC541</f>
        <v>155000</v>
      </c>
      <c r="AD540" s="508">
        <f>AD541</f>
        <v>155000</v>
      </c>
      <c r="AE540" s="529">
        <f>O540/M540*100</f>
        <v>86.920627054599208</v>
      </c>
      <c r="AF540" s="529">
        <f>P540/O540*100</f>
        <v>131.46144866990232</v>
      </c>
      <c r="AG540" s="529">
        <f>Q540/P540*100</f>
        <v>97.887323943661968</v>
      </c>
      <c r="AH540" s="529">
        <f>AC540/Q540*100</f>
        <v>111.51079136690647</v>
      </c>
      <c r="AI540" s="507"/>
      <c r="AJ540" s="507">
        <v>433000</v>
      </c>
      <c r="AK540" s="507">
        <f t="shared" si="456"/>
        <v>197.59658036938464</v>
      </c>
      <c r="AL540" s="507">
        <f t="shared" si="457"/>
        <v>95.918367346938766</v>
      </c>
      <c r="AM540" s="507">
        <f>Y540/X540*100</f>
        <v>184.25531914893617</v>
      </c>
      <c r="AN540" s="509"/>
      <c r="AO540" s="510"/>
      <c r="AP540" s="510" t="e">
        <f t="shared" ca="1" si="422"/>
        <v>#NAME?</v>
      </c>
      <c r="AQ540" s="532">
        <f>AQ541</f>
        <v>233687.61000000002</v>
      </c>
      <c r="AR540" s="533">
        <f>V540/R540*100</f>
        <v>197.59658036938464</v>
      </c>
      <c r="AS540" s="533">
        <f>W540/V540*100</f>
        <v>100</v>
      </c>
      <c r="AT540" s="533">
        <f>W540/R540*100</f>
        <v>197.59658036938464</v>
      </c>
      <c r="AU540" s="533">
        <f>AQ540/W540*100</f>
        <v>95.382697959183687</v>
      </c>
      <c r="AV540" s="533">
        <f>AQ540/R540*100</f>
        <v>188.47294943140577</v>
      </c>
      <c r="AW540" s="612"/>
      <c r="AX540" s="612"/>
      <c r="AY540" s="612"/>
      <c r="AZ540" s="612"/>
      <c r="BA540" s="612"/>
      <c r="BB540" s="612"/>
      <c r="BC540" s="612"/>
      <c r="BD540" s="612"/>
      <c r="BE540" s="612"/>
      <c r="BF540" s="612"/>
      <c r="BG540" s="612"/>
      <c r="BH540" s="612">
        <f t="shared" si="425"/>
        <v>0</v>
      </c>
      <c r="BI540" s="612">
        <f t="shared" si="437"/>
        <v>0</v>
      </c>
      <c r="BJ540" s="201">
        <f t="shared" si="454"/>
        <v>0</v>
      </c>
    </row>
    <row r="541" spans="1:62" ht="12" customHeight="1">
      <c r="A541" s="227"/>
      <c r="B541" s="227"/>
      <c r="C541" s="227"/>
      <c r="D541" s="227"/>
      <c r="E541" s="227"/>
      <c r="F541" s="227"/>
      <c r="G541" s="227"/>
      <c r="H541" s="234"/>
      <c r="I541" s="297"/>
      <c r="J541" s="228">
        <v>32</v>
      </c>
      <c r="K541" s="258" t="s">
        <v>229</v>
      </c>
      <c r="L541" s="111">
        <f t="shared" ref="L541:S541" si="460">L543+L556</f>
        <v>936314</v>
      </c>
      <c r="M541" s="111">
        <f t="shared" si="460"/>
        <v>124270.22363793217</v>
      </c>
      <c r="N541" s="112">
        <f t="shared" si="460"/>
        <v>813850</v>
      </c>
      <c r="O541" s="112">
        <f t="shared" si="460"/>
        <v>108016.45762824341</v>
      </c>
      <c r="P541" s="113">
        <f t="shared" si="460"/>
        <v>142000</v>
      </c>
      <c r="Q541" s="113">
        <f t="shared" si="460"/>
        <v>139000</v>
      </c>
      <c r="R541" s="87">
        <f t="shared" si="460"/>
        <v>123990</v>
      </c>
      <c r="S541" s="89" t="e">
        <f t="shared" ca="1" si="460"/>
        <v>#NAME?</v>
      </c>
      <c r="T541" s="89"/>
      <c r="U541" s="89"/>
      <c r="V541" s="532">
        <f>V543+V556</f>
        <v>245000</v>
      </c>
      <c r="W541" s="532">
        <f>W543+W556</f>
        <v>245000</v>
      </c>
      <c r="X541" s="506">
        <f>X543+X556</f>
        <v>235000</v>
      </c>
      <c r="Y541" s="507">
        <f>Y543+Y556</f>
        <v>433000</v>
      </c>
      <c r="Z541" s="507">
        <f>Z543+Z556</f>
        <v>0</v>
      </c>
      <c r="AA541" s="562" t="e">
        <f t="shared" ca="1" si="424"/>
        <v>#NAME?</v>
      </c>
      <c r="AB541" s="507"/>
      <c r="AC541" s="508">
        <f>AC543+AC556</f>
        <v>155000</v>
      </c>
      <c r="AD541" s="508">
        <f>AD543+AD556</f>
        <v>155000</v>
      </c>
      <c r="AE541" s="529">
        <f>O541/M541*100</f>
        <v>86.920627054599208</v>
      </c>
      <c r="AF541" s="529">
        <f>P541/O541*100</f>
        <v>131.46144866990232</v>
      </c>
      <c r="AG541" s="529">
        <f>Q541/P541*100</f>
        <v>97.887323943661968</v>
      </c>
      <c r="AH541" s="529">
        <f>AC541/Q541*100</f>
        <v>111.51079136690647</v>
      </c>
      <c r="AI541" s="507"/>
      <c r="AJ541" s="507">
        <v>433000</v>
      </c>
      <c r="AK541" s="507">
        <f t="shared" si="456"/>
        <v>197.59658036938464</v>
      </c>
      <c r="AL541" s="507">
        <f t="shared" si="457"/>
        <v>95.918367346938766</v>
      </c>
      <c r="AM541" s="507">
        <f>Y541/X541*100</f>
        <v>184.25531914893617</v>
      </c>
      <c r="AN541" s="509"/>
      <c r="AO541" s="510"/>
      <c r="AP541" s="510" t="e">
        <f t="shared" ca="1" si="422"/>
        <v>#NAME?</v>
      </c>
      <c r="AQ541" s="532">
        <f>AQ543+AQ556</f>
        <v>233687.61000000002</v>
      </c>
      <c r="AR541" s="533">
        <f>V541/R541*100</f>
        <v>197.59658036938464</v>
      </c>
      <c r="AS541" s="533">
        <f>W541/V541*100</f>
        <v>100</v>
      </c>
      <c r="AT541" s="533">
        <f>W541/R541*100</f>
        <v>197.59658036938464</v>
      </c>
      <c r="AU541" s="533">
        <f>AQ541/W541*100</f>
        <v>95.382697959183687</v>
      </c>
      <c r="AV541" s="533">
        <f>AQ541/R541*100</f>
        <v>188.47294943140577</v>
      </c>
      <c r="AW541" s="612"/>
      <c r="AX541" s="612"/>
      <c r="AY541" s="612"/>
      <c r="AZ541" s="612"/>
      <c r="BA541" s="612"/>
      <c r="BB541" s="612"/>
      <c r="BC541" s="612"/>
      <c r="BD541" s="612"/>
      <c r="BE541" s="612"/>
      <c r="BF541" s="612"/>
      <c r="BG541" s="612"/>
      <c r="BH541" s="612">
        <f t="shared" si="425"/>
        <v>0</v>
      </c>
      <c r="BI541" s="612">
        <f t="shared" si="437"/>
        <v>0</v>
      </c>
      <c r="BJ541" s="201">
        <f t="shared" si="454"/>
        <v>0</v>
      </c>
    </row>
    <row r="542" spans="1:62" ht="12" customHeight="1">
      <c r="A542" s="25"/>
      <c r="B542" s="25"/>
      <c r="C542" s="25"/>
      <c r="D542" s="25"/>
      <c r="E542" s="25"/>
      <c r="F542" s="25"/>
      <c r="G542" s="25"/>
      <c r="H542" s="285"/>
      <c r="I542" s="296"/>
      <c r="J542" s="211"/>
      <c r="K542" s="3"/>
      <c r="L542" s="111"/>
      <c r="M542" s="111"/>
      <c r="N542" s="112"/>
      <c r="O542" s="112"/>
      <c r="P542" s="113"/>
      <c r="Q542" s="113"/>
      <c r="R542" s="87"/>
      <c r="S542" s="158" t="e">
        <f ca="1">__xlfn.XLOOKUP(H542,[1]Izvršenje_proračuna_po_pozicija!$B$2:$B$153,[1]Izvršenje_proračuna_po_pozicija!$E$2:$E$153,0)</f>
        <v>#NAME?</v>
      </c>
      <c r="T542" s="158"/>
      <c r="U542" s="158"/>
      <c r="V542" s="532"/>
      <c r="W542" s="532"/>
      <c r="X542" s="563"/>
      <c r="Y542" s="562"/>
      <c r="Z542" s="562"/>
      <c r="AA542" s="562" t="e">
        <f t="shared" ca="1" si="424"/>
        <v>#NAME?</v>
      </c>
      <c r="AB542" s="507"/>
      <c r="AC542" s="508"/>
      <c r="AD542" s="508"/>
      <c r="AE542" s="529"/>
      <c r="AF542" s="529"/>
      <c r="AG542" s="529"/>
      <c r="AH542" s="529"/>
      <c r="AI542" s="507"/>
      <c r="AJ542" s="562"/>
      <c r="AK542" s="507"/>
      <c r="AL542" s="507"/>
      <c r="AM542" s="507"/>
      <c r="AN542" s="509"/>
      <c r="AO542" s="510"/>
      <c r="AP542" s="510" t="e">
        <f t="shared" ca="1" si="422"/>
        <v>#NAME?</v>
      </c>
      <c r="AQ542" s="532"/>
      <c r="AR542" s="533"/>
      <c r="AS542" s="533"/>
      <c r="AT542" s="533"/>
      <c r="AU542" s="533"/>
      <c r="AV542" s="533"/>
      <c r="AW542" s="612"/>
      <c r="AX542" s="612"/>
      <c r="AY542" s="612"/>
      <c r="AZ542" s="612"/>
      <c r="BA542" s="612"/>
      <c r="BB542" s="612"/>
      <c r="BC542" s="612"/>
      <c r="BD542" s="612"/>
      <c r="BE542" s="612"/>
      <c r="BF542" s="612"/>
      <c r="BG542" s="612"/>
      <c r="BH542" s="612">
        <f t="shared" si="425"/>
        <v>0</v>
      </c>
      <c r="BI542" s="612">
        <f t="shared" si="437"/>
        <v>0</v>
      </c>
      <c r="BJ542" s="201">
        <f t="shared" si="454"/>
        <v>0</v>
      </c>
    </row>
    <row r="543" spans="1:62" ht="12" customHeight="1">
      <c r="A543" s="61"/>
      <c r="B543" s="61"/>
      <c r="C543" s="61"/>
      <c r="D543" s="61"/>
      <c r="E543" s="61"/>
      <c r="F543" s="61"/>
      <c r="G543" s="61"/>
      <c r="H543" s="230"/>
      <c r="I543" s="261"/>
      <c r="J543" s="229">
        <v>322</v>
      </c>
      <c r="K543" s="20" t="s">
        <v>467</v>
      </c>
      <c r="L543" s="111">
        <f t="shared" ref="L543:S543" si="461">L544+L545+L546+L547+L548+L549+L550+L551+L552+L553+L554</f>
        <v>0</v>
      </c>
      <c r="M543" s="111">
        <f t="shared" si="461"/>
        <v>0</v>
      </c>
      <c r="N543" s="112">
        <f t="shared" si="461"/>
        <v>50486</v>
      </c>
      <c r="O543" s="112">
        <f t="shared" si="461"/>
        <v>6700.6437056208106</v>
      </c>
      <c r="P543" s="113">
        <f t="shared" si="461"/>
        <v>15000</v>
      </c>
      <c r="Q543" s="113">
        <f t="shared" si="461"/>
        <v>7000</v>
      </c>
      <c r="R543" s="87">
        <f t="shared" si="461"/>
        <v>1954</v>
      </c>
      <c r="S543" s="89" t="e">
        <f t="shared" ca="1" si="461"/>
        <v>#NAME?</v>
      </c>
      <c r="T543" s="89"/>
      <c r="U543" s="89"/>
      <c r="V543" s="532">
        <f>V544+V545+V546+V547+V548+V549+V550+V551+V552+V553+V554</f>
        <v>3000</v>
      </c>
      <c r="W543" s="532">
        <f>W544+W545+W546+W547+W548+W549+W550+W551+W552+W553+W554</f>
        <v>3000</v>
      </c>
      <c r="X543" s="506">
        <f>X544+X545+X546+X547+X548+X549+X550+X551+X552+X553+X554</f>
        <v>15000</v>
      </c>
      <c r="Y543" s="507">
        <f>Y544+Y545+Y546+Y547+Y548+Y549+Y550+Y551+Y552+Y553+Y554</f>
        <v>18000</v>
      </c>
      <c r="Z543" s="507">
        <f>Z544+Z545+Z546+Z547+Z548+Z549+Z550+Z551+Z552+Z553+Z554</f>
        <v>0</v>
      </c>
      <c r="AA543" s="562" t="e">
        <f t="shared" ca="1" si="424"/>
        <v>#NAME?</v>
      </c>
      <c r="AB543" s="507"/>
      <c r="AC543" s="508">
        <f>AC544+AC545+AC546+AC547+AC548+AC549+AC550+AC551+AC552+AC553+AC554</f>
        <v>20000</v>
      </c>
      <c r="AD543" s="508">
        <f>AD544+AD545+AD546+AD547+AD548+AD549+AD550+AD551+AD552+AD553+AD554</f>
        <v>20000</v>
      </c>
      <c r="AE543" s="529"/>
      <c r="AF543" s="529"/>
      <c r="AG543" s="529"/>
      <c r="AH543" s="529"/>
      <c r="AI543" s="507"/>
      <c r="AJ543" s="507">
        <v>18000</v>
      </c>
      <c r="AK543" s="507">
        <f t="shared" si="456"/>
        <v>153.5312180143296</v>
      </c>
      <c r="AL543" s="507">
        <f t="shared" si="457"/>
        <v>500</v>
      </c>
      <c r="AM543" s="507">
        <f>Y543/X543*100</f>
        <v>120</v>
      </c>
      <c r="AN543" s="509"/>
      <c r="AO543" s="510"/>
      <c r="AP543" s="510" t="e">
        <f t="shared" ca="1" si="422"/>
        <v>#NAME?</v>
      </c>
      <c r="AQ543" s="532">
        <f>AQ544+AQ545+AQ546+AQ547+AQ548+AQ549+AQ550+AQ551+AQ552+AQ553+AQ554</f>
        <v>0</v>
      </c>
      <c r="AR543" s="533">
        <f>V543/R543*100</f>
        <v>153.5312180143296</v>
      </c>
      <c r="AS543" s="533">
        <f>W543/V543*100</f>
        <v>100</v>
      </c>
      <c r="AT543" s="533">
        <f>W543/R543*100</f>
        <v>153.5312180143296</v>
      </c>
      <c r="AU543" s="533">
        <f>AQ543/W543*100</f>
        <v>0</v>
      </c>
      <c r="AV543" s="533">
        <f>AQ543/R543*100</f>
        <v>0</v>
      </c>
      <c r="AW543" s="612"/>
      <c r="AX543" s="612"/>
      <c r="AY543" s="612"/>
      <c r="AZ543" s="612"/>
      <c r="BA543" s="612"/>
      <c r="BB543" s="612"/>
      <c r="BC543" s="612"/>
      <c r="BD543" s="612"/>
      <c r="BE543" s="612"/>
      <c r="BF543" s="612"/>
      <c r="BG543" s="612"/>
      <c r="BH543" s="612">
        <f t="shared" si="425"/>
        <v>0</v>
      </c>
      <c r="BI543" s="612">
        <f t="shared" si="437"/>
        <v>0</v>
      </c>
      <c r="BJ543" s="201">
        <f t="shared" si="454"/>
        <v>0</v>
      </c>
    </row>
    <row r="544" spans="1:62" ht="12" customHeight="1">
      <c r="A544" s="52"/>
      <c r="B544" s="52"/>
      <c r="C544" s="52"/>
      <c r="D544" s="52"/>
      <c r="E544" s="52"/>
      <c r="F544" s="52"/>
      <c r="G544" s="52"/>
      <c r="H544" s="2" t="s">
        <v>468</v>
      </c>
      <c r="I544" s="260">
        <v>451</v>
      </c>
      <c r="J544" s="185">
        <v>3224</v>
      </c>
      <c r="K544" s="19" t="s">
        <v>469</v>
      </c>
      <c r="L544" s="129">
        <v>0</v>
      </c>
      <c r="M544" s="129">
        <v>0</v>
      </c>
      <c r="N544" s="130">
        <v>50486</v>
      </c>
      <c r="O544" s="130">
        <f>N544/7.5345</f>
        <v>6700.6437056208106</v>
      </c>
      <c r="P544" s="131">
        <v>15000</v>
      </c>
      <c r="Q544" s="156">
        <v>7000</v>
      </c>
      <c r="R544" s="153">
        <v>666</v>
      </c>
      <c r="S544" s="158" t="e">
        <f ca="1">__xlfn.XLOOKUP(H544,[1]Izvršenje_proračuna_po_pozicija!$B$2:$B$153,[1]Izvršenje_proračuna_po_pozicija!$E$2:$E$153,0)</f>
        <v>#NAME?</v>
      </c>
      <c r="T544" s="158"/>
      <c r="U544" s="158"/>
      <c r="V544" s="532">
        <v>3000</v>
      </c>
      <c r="W544" s="532">
        <v>3000</v>
      </c>
      <c r="X544" s="560">
        <v>15000</v>
      </c>
      <c r="Y544" s="561">
        <v>18000</v>
      </c>
      <c r="Z544" s="561"/>
      <c r="AA544" s="562" t="e">
        <f t="shared" ca="1" si="424"/>
        <v>#NAME?</v>
      </c>
      <c r="AB544" s="535"/>
      <c r="AC544" s="529">
        <v>20000</v>
      </c>
      <c r="AD544" s="529">
        <v>20000</v>
      </c>
      <c r="AE544" s="529"/>
      <c r="AF544" s="529"/>
      <c r="AG544" s="529"/>
      <c r="AH544" s="529"/>
      <c r="AI544" s="535"/>
      <c r="AJ544" s="561">
        <v>18000</v>
      </c>
      <c r="AK544" s="507">
        <f t="shared" si="456"/>
        <v>450.45045045045049</v>
      </c>
      <c r="AL544" s="507">
        <f t="shared" si="457"/>
        <v>500</v>
      </c>
      <c r="AM544" s="507">
        <f>Y544/X544*100</f>
        <v>120</v>
      </c>
      <c r="AN544" s="556"/>
      <c r="AO544" s="510"/>
      <c r="AP544" s="510" t="e">
        <f t="shared" ca="1" si="422"/>
        <v>#NAME?</v>
      </c>
      <c r="AQ544" s="532"/>
      <c r="AR544" s="533">
        <f>V544/R544*100</f>
        <v>450.45045045045049</v>
      </c>
      <c r="AS544" s="533">
        <f>W544/V544*100</f>
        <v>100</v>
      </c>
      <c r="AT544" s="533">
        <f>W544/R544*100</f>
        <v>450.45045045045049</v>
      </c>
      <c r="AU544" s="533">
        <f>AQ544/W544*100</f>
        <v>0</v>
      </c>
      <c r="AV544" s="533">
        <f>AQ544/R544*100</f>
        <v>0</v>
      </c>
      <c r="AW544" s="612"/>
      <c r="AX544" s="612"/>
      <c r="AY544" s="612"/>
      <c r="AZ544" s="612"/>
      <c r="BA544" s="612"/>
      <c r="BB544" s="612"/>
      <c r="BC544" s="612"/>
      <c r="BD544" s="612"/>
      <c r="BE544" s="612"/>
      <c r="BF544" s="612"/>
      <c r="BG544" s="612"/>
      <c r="BH544" s="612">
        <f t="shared" si="425"/>
        <v>0</v>
      </c>
      <c r="BI544" s="612">
        <f t="shared" si="437"/>
        <v>0</v>
      </c>
      <c r="BJ544" s="201">
        <f t="shared" si="454"/>
        <v>0</v>
      </c>
    </row>
    <row r="545" spans="1:62" ht="12" customHeight="1">
      <c r="A545" s="52"/>
      <c r="B545" s="52"/>
      <c r="C545" s="52"/>
      <c r="D545" s="52"/>
      <c r="E545" s="52"/>
      <c r="F545" s="52"/>
      <c r="G545" s="52"/>
      <c r="H545" s="2">
        <v>78</v>
      </c>
      <c r="I545" s="260">
        <v>451</v>
      </c>
      <c r="J545" s="185">
        <v>3224</v>
      </c>
      <c r="K545" s="19" t="s">
        <v>470</v>
      </c>
      <c r="L545" s="129">
        <v>0</v>
      </c>
      <c r="M545" s="129">
        <v>0</v>
      </c>
      <c r="N545" s="130">
        <v>0</v>
      </c>
      <c r="O545" s="130">
        <v>0</v>
      </c>
      <c r="P545" s="131">
        <v>0</v>
      </c>
      <c r="Q545" s="131">
        <v>0</v>
      </c>
      <c r="R545" s="153">
        <v>0</v>
      </c>
      <c r="S545" s="158" t="e">
        <f ca="1">__xlfn.XLOOKUP(H545,[1]Izvršenje_proračuna_po_pozicija!$B$2:$B$153,[1]Izvršenje_proračuna_po_pozicija!$E$2:$E$153,0)</f>
        <v>#NAME?</v>
      </c>
      <c r="T545" s="158"/>
      <c r="U545" s="158"/>
      <c r="V545" s="532"/>
      <c r="W545" s="532"/>
      <c r="X545" s="560"/>
      <c r="Y545" s="561"/>
      <c r="Z545" s="561"/>
      <c r="AA545" s="562" t="e">
        <f t="shared" ca="1" si="424"/>
        <v>#NAME?</v>
      </c>
      <c r="AB545" s="535"/>
      <c r="AC545" s="529">
        <v>0</v>
      </c>
      <c r="AD545" s="529">
        <v>0</v>
      </c>
      <c r="AE545" s="529"/>
      <c r="AF545" s="529"/>
      <c r="AG545" s="529"/>
      <c r="AH545" s="529"/>
      <c r="AI545" s="535"/>
      <c r="AJ545" s="561"/>
      <c r="AK545" s="507"/>
      <c r="AL545" s="507"/>
      <c r="AM545" s="507"/>
      <c r="AN545" s="556"/>
      <c r="AO545" s="510"/>
      <c r="AP545" s="510" t="e">
        <f t="shared" ca="1" si="422"/>
        <v>#NAME?</v>
      </c>
      <c r="AQ545" s="532"/>
      <c r="AR545" s="533"/>
      <c r="AS545" s="533"/>
      <c r="AT545" s="533"/>
      <c r="AU545" s="533"/>
      <c r="AV545" s="533"/>
      <c r="AW545" s="612"/>
      <c r="AX545" s="612"/>
      <c r="AY545" s="612"/>
      <c r="AZ545" s="612"/>
      <c r="BA545" s="612"/>
      <c r="BB545" s="612"/>
      <c r="BC545" s="612"/>
      <c r="BD545" s="612"/>
      <c r="BE545" s="612"/>
      <c r="BF545" s="612"/>
      <c r="BG545" s="612"/>
      <c r="BH545" s="612">
        <f t="shared" si="425"/>
        <v>0</v>
      </c>
      <c r="BI545" s="612">
        <f t="shared" si="437"/>
        <v>0</v>
      </c>
      <c r="BJ545" s="201">
        <f t="shared" si="454"/>
        <v>0</v>
      </c>
    </row>
    <row r="546" spans="1:62" ht="12" customHeight="1">
      <c r="A546" s="52"/>
      <c r="B546" s="52"/>
      <c r="C546" s="52"/>
      <c r="D546" s="52"/>
      <c r="E546" s="52"/>
      <c r="F546" s="52"/>
      <c r="G546" s="52"/>
      <c r="H546" s="2">
        <v>79</v>
      </c>
      <c r="I546" s="260">
        <v>451</v>
      </c>
      <c r="J546" s="185">
        <v>3224</v>
      </c>
      <c r="K546" s="19" t="s">
        <v>471</v>
      </c>
      <c r="L546" s="129">
        <v>0</v>
      </c>
      <c r="M546" s="129">
        <v>0</v>
      </c>
      <c r="N546" s="130">
        <v>0</v>
      </c>
      <c r="O546" s="130">
        <v>0</v>
      </c>
      <c r="P546" s="131">
        <v>0</v>
      </c>
      <c r="Q546" s="131">
        <v>0</v>
      </c>
      <c r="R546" s="153">
        <v>0</v>
      </c>
      <c r="S546" s="158" t="e">
        <f ca="1">__xlfn.XLOOKUP(H546,[1]Izvršenje_proračuna_po_pozicija!$B$2:$B$153,[1]Izvršenje_proračuna_po_pozicija!$E$2:$E$153,0)</f>
        <v>#NAME?</v>
      </c>
      <c r="T546" s="158"/>
      <c r="U546" s="158"/>
      <c r="V546" s="532"/>
      <c r="W546" s="532"/>
      <c r="X546" s="560"/>
      <c r="Y546" s="561"/>
      <c r="Z546" s="561"/>
      <c r="AA546" s="562" t="e">
        <f t="shared" ca="1" si="424"/>
        <v>#NAME?</v>
      </c>
      <c r="AB546" s="535"/>
      <c r="AC546" s="529">
        <v>0</v>
      </c>
      <c r="AD546" s="529">
        <v>0</v>
      </c>
      <c r="AE546" s="529"/>
      <c r="AF546" s="529"/>
      <c r="AG546" s="529"/>
      <c r="AH546" s="529"/>
      <c r="AI546" s="535"/>
      <c r="AJ546" s="561"/>
      <c r="AK546" s="507"/>
      <c r="AL546" s="507"/>
      <c r="AM546" s="507"/>
      <c r="AN546" s="556"/>
      <c r="AO546" s="510"/>
      <c r="AP546" s="510" t="e">
        <f t="shared" ca="1" si="422"/>
        <v>#NAME?</v>
      </c>
      <c r="AQ546" s="532"/>
      <c r="AR546" s="533"/>
      <c r="AS546" s="533"/>
      <c r="AT546" s="533"/>
      <c r="AU546" s="533"/>
      <c r="AV546" s="533"/>
      <c r="AW546" s="612"/>
      <c r="AX546" s="612"/>
      <c r="AY546" s="612"/>
      <c r="AZ546" s="612"/>
      <c r="BA546" s="612"/>
      <c r="BB546" s="612"/>
      <c r="BC546" s="612"/>
      <c r="BD546" s="612"/>
      <c r="BE546" s="612"/>
      <c r="BF546" s="612"/>
      <c r="BG546" s="612"/>
      <c r="BH546" s="612">
        <f t="shared" si="425"/>
        <v>0</v>
      </c>
      <c r="BI546" s="612">
        <f t="shared" si="437"/>
        <v>0</v>
      </c>
      <c r="BJ546" s="201">
        <f t="shared" si="454"/>
        <v>0</v>
      </c>
    </row>
    <row r="547" spans="1:62" ht="12" customHeight="1">
      <c r="A547" s="52"/>
      <c r="B547" s="52"/>
      <c r="C547" s="52"/>
      <c r="D547" s="52"/>
      <c r="E547" s="52"/>
      <c r="F547" s="52"/>
      <c r="G547" s="52"/>
      <c r="H547" s="2">
        <v>80</v>
      </c>
      <c r="I547" s="260">
        <v>451</v>
      </c>
      <c r="J547" s="185">
        <v>3224</v>
      </c>
      <c r="K547" s="19" t="s">
        <v>472</v>
      </c>
      <c r="L547" s="129">
        <v>0</v>
      </c>
      <c r="M547" s="129">
        <v>0</v>
      </c>
      <c r="N547" s="130">
        <v>0</v>
      </c>
      <c r="O547" s="130">
        <v>0</v>
      </c>
      <c r="P547" s="131">
        <v>0</v>
      </c>
      <c r="Q547" s="131">
        <v>0</v>
      </c>
      <c r="R547" s="153">
        <v>0</v>
      </c>
      <c r="S547" s="158" t="e">
        <f ca="1">__xlfn.XLOOKUP(H547,[1]Izvršenje_proračuna_po_pozicija!$B$2:$B$153,[1]Izvršenje_proračuna_po_pozicija!$E$2:$E$153,0)</f>
        <v>#NAME?</v>
      </c>
      <c r="T547" s="158"/>
      <c r="U547" s="158"/>
      <c r="V547" s="532"/>
      <c r="W547" s="532"/>
      <c r="X547" s="560"/>
      <c r="Y547" s="561"/>
      <c r="Z547" s="561"/>
      <c r="AA547" s="562" t="e">
        <f t="shared" ca="1" si="424"/>
        <v>#NAME?</v>
      </c>
      <c r="AB547" s="535"/>
      <c r="AC547" s="529">
        <v>0</v>
      </c>
      <c r="AD547" s="529">
        <v>0</v>
      </c>
      <c r="AE547" s="529"/>
      <c r="AF547" s="529"/>
      <c r="AG547" s="529"/>
      <c r="AH547" s="529"/>
      <c r="AI547" s="535"/>
      <c r="AJ547" s="561"/>
      <c r="AK547" s="507"/>
      <c r="AL547" s="507"/>
      <c r="AM547" s="507"/>
      <c r="AN547" s="556"/>
      <c r="AO547" s="510"/>
      <c r="AP547" s="510" t="e">
        <f t="shared" ref="AP547:AP610" ca="1" si="462">__xlfn.ISFORMULA(X547)</f>
        <v>#NAME?</v>
      </c>
      <c r="AQ547" s="532"/>
      <c r="AR547" s="533"/>
      <c r="AS547" s="533"/>
      <c r="AT547" s="533"/>
      <c r="AU547" s="533"/>
      <c r="AV547" s="533"/>
      <c r="AW547" s="612"/>
      <c r="AX547" s="612"/>
      <c r="AY547" s="612"/>
      <c r="AZ547" s="612"/>
      <c r="BA547" s="612"/>
      <c r="BB547" s="612"/>
      <c r="BC547" s="612"/>
      <c r="BD547" s="612"/>
      <c r="BE547" s="612"/>
      <c r="BF547" s="612"/>
      <c r="BG547" s="612"/>
      <c r="BH547" s="612">
        <f t="shared" si="425"/>
        <v>0</v>
      </c>
      <c r="BI547" s="612">
        <f t="shared" si="437"/>
        <v>0</v>
      </c>
      <c r="BJ547" s="201">
        <f t="shared" si="454"/>
        <v>0</v>
      </c>
    </row>
    <row r="548" spans="1:62" ht="12" customHeight="1">
      <c r="A548" s="52"/>
      <c r="B548" s="52"/>
      <c r="C548" s="52"/>
      <c r="D548" s="52"/>
      <c r="E548" s="52"/>
      <c r="F548" s="52"/>
      <c r="G548" s="52"/>
      <c r="H548" s="2">
        <v>81</v>
      </c>
      <c r="I548" s="260">
        <v>451</v>
      </c>
      <c r="J548" s="185">
        <v>3224</v>
      </c>
      <c r="K548" s="19" t="s">
        <v>473</v>
      </c>
      <c r="L548" s="129">
        <v>0</v>
      </c>
      <c r="M548" s="129">
        <v>0</v>
      </c>
      <c r="N548" s="130">
        <v>0</v>
      </c>
      <c r="O548" s="130">
        <v>0</v>
      </c>
      <c r="P548" s="131">
        <v>0</v>
      </c>
      <c r="Q548" s="131">
        <v>0</v>
      </c>
      <c r="R548" s="153">
        <v>0</v>
      </c>
      <c r="S548" s="158" t="e">
        <f ca="1">__xlfn.XLOOKUP(H548,[1]Izvršenje_proračuna_po_pozicija!$B$2:$B$153,[1]Izvršenje_proračuna_po_pozicija!$E$2:$E$153,0)</f>
        <v>#NAME?</v>
      </c>
      <c r="T548" s="158"/>
      <c r="U548" s="158"/>
      <c r="V548" s="532"/>
      <c r="W548" s="532"/>
      <c r="X548" s="560"/>
      <c r="Y548" s="561"/>
      <c r="Z548" s="561"/>
      <c r="AA548" s="562" t="e">
        <f t="shared" ca="1" si="424"/>
        <v>#NAME?</v>
      </c>
      <c r="AB548" s="535"/>
      <c r="AC548" s="529">
        <v>0</v>
      </c>
      <c r="AD548" s="529">
        <v>0</v>
      </c>
      <c r="AE548" s="529"/>
      <c r="AF548" s="529"/>
      <c r="AG548" s="529"/>
      <c r="AH548" s="529"/>
      <c r="AI548" s="535"/>
      <c r="AJ548" s="561"/>
      <c r="AK548" s="507"/>
      <c r="AL548" s="507"/>
      <c r="AM548" s="507"/>
      <c r="AN548" s="556"/>
      <c r="AO548" s="510"/>
      <c r="AP548" s="510" t="e">
        <f t="shared" ca="1" si="462"/>
        <v>#NAME?</v>
      </c>
      <c r="AQ548" s="532"/>
      <c r="AR548" s="533"/>
      <c r="AS548" s="533"/>
      <c r="AT548" s="533"/>
      <c r="AU548" s="533"/>
      <c r="AV548" s="533"/>
      <c r="AW548" s="612"/>
      <c r="AX548" s="612"/>
      <c r="AY548" s="612"/>
      <c r="AZ548" s="612"/>
      <c r="BA548" s="612"/>
      <c r="BB548" s="612"/>
      <c r="BC548" s="612"/>
      <c r="BD548" s="612"/>
      <c r="BE548" s="612"/>
      <c r="BF548" s="612"/>
      <c r="BG548" s="612"/>
      <c r="BH548" s="612">
        <f t="shared" si="425"/>
        <v>0</v>
      </c>
      <c r="BI548" s="612">
        <f t="shared" si="437"/>
        <v>0</v>
      </c>
      <c r="BJ548" s="201">
        <f t="shared" si="454"/>
        <v>0</v>
      </c>
    </row>
    <row r="549" spans="1:62" ht="12" customHeight="1">
      <c r="A549" s="52"/>
      <c r="B549" s="52"/>
      <c r="C549" s="52"/>
      <c r="D549" s="52"/>
      <c r="E549" s="52"/>
      <c r="F549" s="52"/>
      <c r="G549" s="52"/>
      <c r="H549" s="2">
        <v>82</v>
      </c>
      <c r="I549" s="260">
        <v>451</v>
      </c>
      <c r="J549" s="185">
        <v>3224</v>
      </c>
      <c r="K549" s="19" t="s">
        <v>474</v>
      </c>
      <c r="L549" s="129">
        <v>0</v>
      </c>
      <c r="M549" s="129">
        <v>0</v>
      </c>
      <c r="N549" s="130">
        <v>0</v>
      </c>
      <c r="O549" s="130">
        <v>0</v>
      </c>
      <c r="P549" s="131">
        <v>0</v>
      </c>
      <c r="Q549" s="131">
        <v>0</v>
      </c>
      <c r="R549" s="153">
        <v>0</v>
      </c>
      <c r="S549" s="158" t="e">
        <f ca="1">__xlfn.XLOOKUP(H549,[1]Izvršenje_proračuna_po_pozicija!$B$2:$B$153,[1]Izvršenje_proračuna_po_pozicija!$E$2:$E$153,0)</f>
        <v>#NAME?</v>
      </c>
      <c r="T549" s="158"/>
      <c r="U549" s="158"/>
      <c r="V549" s="532"/>
      <c r="W549" s="532"/>
      <c r="X549" s="560"/>
      <c r="Y549" s="561"/>
      <c r="Z549" s="561"/>
      <c r="AA549" s="562" t="e">
        <f t="shared" ref="AA549:AA612" ca="1" si="463">__xlfn.ISFORMULA(R549)</f>
        <v>#NAME?</v>
      </c>
      <c r="AB549" s="535"/>
      <c r="AC549" s="529">
        <v>0</v>
      </c>
      <c r="AD549" s="529">
        <v>0</v>
      </c>
      <c r="AE549" s="529"/>
      <c r="AF549" s="529"/>
      <c r="AG549" s="529"/>
      <c r="AH549" s="529"/>
      <c r="AI549" s="535"/>
      <c r="AJ549" s="561"/>
      <c r="AK549" s="507"/>
      <c r="AL549" s="507"/>
      <c r="AM549" s="507"/>
      <c r="AN549" s="556"/>
      <c r="AO549" s="510"/>
      <c r="AP549" s="510" t="e">
        <f t="shared" ca="1" si="462"/>
        <v>#NAME?</v>
      </c>
      <c r="AQ549" s="532"/>
      <c r="AR549" s="533"/>
      <c r="AS549" s="533"/>
      <c r="AT549" s="533"/>
      <c r="AU549" s="533"/>
      <c r="AV549" s="533"/>
      <c r="AW549" s="612"/>
      <c r="AX549" s="612"/>
      <c r="AY549" s="612"/>
      <c r="AZ549" s="612"/>
      <c r="BA549" s="612"/>
      <c r="BB549" s="612"/>
      <c r="BC549" s="612"/>
      <c r="BD549" s="612"/>
      <c r="BE549" s="612"/>
      <c r="BF549" s="612"/>
      <c r="BG549" s="612"/>
      <c r="BH549" s="612">
        <f t="shared" ref="BH549:BH612" si="464">SUM(AW549:BG549)</f>
        <v>0</v>
      </c>
      <c r="BI549" s="612">
        <f t="shared" si="437"/>
        <v>0</v>
      </c>
      <c r="BJ549" s="201"/>
    </row>
    <row r="550" spans="1:62" ht="12" customHeight="1">
      <c r="A550" s="52"/>
      <c r="B550" s="52"/>
      <c r="C550" s="52"/>
      <c r="D550" s="52"/>
      <c r="E550" s="52"/>
      <c r="F550" s="52"/>
      <c r="G550" s="52"/>
      <c r="H550" s="2">
        <v>83</v>
      </c>
      <c r="I550" s="260">
        <v>451</v>
      </c>
      <c r="J550" s="185">
        <v>3224</v>
      </c>
      <c r="K550" s="19" t="s">
        <v>475</v>
      </c>
      <c r="L550" s="129">
        <v>0</v>
      </c>
      <c r="M550" s="129">
        <v>0</v>
      </c>
      <c r="N550" s="130">
        <v>0</v>
      </c>
      <c r="O550" s="130">
        <v>0</v>
      </c>
      <c r="P550" s="131">
        <v>0</v>
      </c>
      <c r="Q550" s="131">
        <v>0</v>
      </c>
      <c r="R550" s="153">
        <v>0</v>
      </c>
      <c r="S550" s="158" t="e">
        <f ca="1">__xlfn.XLOOKUP(H550,[1]Izvršenje_proračuna_po_pozicija!$B$2:$B$153,[1]Izvršenje_proračuna_po_pozicija!$E$2:$E$153,0)</f>
        <v>#NAME?</v>
      </c>
      <c r="T550" s="158"/>
      <c r="U550" s="158"/>
      <c r="V550" s="532"/>
      <c r="W550" s="532"/>
      <c r="X550" s="560"/>
      <c r="Y550" s="561"/>
      <c r="Z550" s="561"/>
      <c r="AA550" s="562" t="e">
        <f t="shared" ca="1" si="463"/>
        <v>#NAME?</v>
      </c>
      <c r="AB550" s="535"/>
      <c r="AC550" s="529">
        <v>0</v>
      </c>
      <c r="AD550" s="529">
        <v>0</v>
      </c>
      <c r="AE550" s="529"/>
      <c r="AF550" s="529"/>
      <c r="AG550" s="529"/>
      <c r="AH550" s="529"/>
      <c r="AI550" s="535"/>
      <c r="AJ550" s="561"/>
      <c r="AK550" s="507"/>
      <c r="AL550" s="507"/>
      <c r="AM550" s="507"/>
      <c r="AN550" s="556"/>
      <c r="AO550" s="510"/>
      <c r="AP550" s="510" t="e">
        <f t="shared" ca="1" si="462"/>
        <v>#NAME?</v>
      </c>
      <c r="AQ550" s="532"/>
      <c r="AR550" s="533"/>
      <c r="AS550" s="533"/>
      <c r="AT550" s="533"/>
      <c r="AU550" s="533"/>
      <c r="AV550" s="533"/>
      <c r="AW550" s="612"/>
      <c r="AX550" s="612"/>
      <c r="AY550" s="612"/>
      <c r="AZ550" s="612"/>
      <c r="BA550" s="612"/>
      <c r="BB550" s="612"/>
      <c r="BC550" s="612"/>
      <c r="BD550" s="612"/>
      <c r="BE550" s="612"/>
      <c r="BF550" s="612"/>
      <c r="BG550" s="612"/>
      <c r="BH550" s="612">
        <f t="shared" si="464"/>
        <v>0</v>
      </c>
      <c r="BI550" s="612">
        <f t="shared" si="437"/>
        <v>138370.54</v>
      </c>
      <c r="BJ550" s="201">
        <f t="shared" ref="BJ550:BJ556" si="465">AQ557-BI550</f>
        <v>0</v>
      </c>
    </row>
    <row r="551" spans="1:62" ht="12" customHeight="1">
      <c r="A551" s="52"/>
      <c r="B551" s="52"/>
      <c r="C551" s="52"/>
      <c r="D551" s="52"/>
      <c r="E551" s="52"/>
      <c r="F551" s="52"/>
      <c r="G551" s="52"/>
      <c r="H551" s="2">
        <v>84</v>
      </c>
      <c r="I551" s="260">
        <v>451</v>
      </c>
      <c r="J551" s="185">
        <v>3224</v>
      </c>
      <c r="K551" s="19" t="s">
        <v>476</v>
      </c>
      <c r="L551" s="129">
        <v>0</v>
      </c>
      <c r="M551" s="129">
        <v>0</v>
      </c>
      <c r="N551" s="130">
        <v>0</v>
      </c>
      <c r="O551" s="130">
        <v>0</v>
      </c>
      <c r="P551" s="131">
        <v>0</v>
      </c>
      <c r="Q551" s="131">
        <v>0</v>
      </c>
      <c r="R551" s="153">
        <v>0</v>
      </c>
      <c r="S551" s="158" t="e">
        <f ca="1">__xlfn.XLOOKUP(H551,[1]Izvršenje_proračuna_po_pozicija!$B$2:$B$153,[1]Izvršenje_proračuna_po_pozicija!$E$2:$E$153,0)</f>
        <v>#NAME?</v>
      </c>
      <c r="T551" s="158"/>
      <c r="U551" s="158"/>
      <c r="V551" s="532"/>
      <c r="W551" s="532"/>
      <c r="X551" s="560"/>
      <c r="Y551" s="561"/>
      <c r="Z551" s="561"/>
      <c r="AA551" s="562" t="e">
        <f t="shared" ca="1" si="463"/>
        <v>#NAME?</v>
      </c>
      <c r="AB551" s="535"/>
      <c r="AC551" s="529">
        <v>0</v>
      </c>
      <c r="AD551" s="529">
        <v>0</v>
      </c>
      <c r="AE551" s="529"/>
      <c r="AF551" s="529"/>
      <c r="AG551" s="529"/>
      <c r="AH551" s="529"/>
      <c r="AI551" s="535"/>
      <c r="AJ551" s="561"/>
      <c r="AK551" s="507"/>
      <c r="AL551" s="507"/>
      <c r="AM551" s="507"/>
      <c r="AN551" s="556"/>
      <c r="AO551" s="510"/>
      <c r="AP551" s="510" t="e">
        <f t="shared" ca="1" si="462"/>
        <v>#NAME?</v>
      </c>
      <c r="AQ551" s="532"/>
      <c r="AR551" s="533"/>
      <c r="AS551" s="533"/>
      <c r="AT551" s="533"/>
      <c r="AU551" s="533"/>
      <c r="AV551" s="533"/>
      <c r="AW551" s="612"/>
      <c r="AX551" s="612"/>
      <c r="AY551" s="612"/>
      <c r="AZ551" s="612"/>
      <c r="BA551" s="612"/>
      <c r="BB551" s="612"/>
      <c r="BC551" s="612"/>
      <c r="BD551" s="612"/>
      <c r="BE551" s="612"/>
      <c r="BF551" s="612"/>
      <c r="BG551" s="612"/>
      <c r="BH551" s="612">
        <f t="shared" si="464"/>
        <v>0</v>
      </c>
      <c r="BI551" s="612">
        <f t="shared" si="437"/>
        <v>69227.66</v>
      </c>
      <c r="BJ551" s="201">
        <f t="shared" si="465"/>
        <v>0</v>
      </c>
    </row>
    <row r="552" spans="1:62" ht="12" customHeight="1">
      <c r="A552" s="52"/>
      <c r="B552" s="52"/>
      <c r="C552" s="52"/>
      <c r="D552" s="52"/>
      <c r="E552" s="52"/>
      <c r="F552" s="52"/>
      <c r="G552" s="52"/>
      <c r="H552" s="2">
        <v>85</v>
      </c>
      <c r="I552" s="260">
        <v>451</v>
      </c>
      <c r="J552" s="185">
        <v>3224</v>
      </c>
      <c r="K552" s="19" t="s">
        <v>477</v>
      </c>
      <c r="L552" s="129">
        <v>0</v>
      </c>
      <c r="M552" s="129">
        <v>0</v>
      </c>
      <c r="N552" s="130">
        <v>0</v>
      </c>
      <c r="O552" s="130">
        <v>0</v>
      </c>
      <c r="P552" s="131">
        <v>0</v>
      </c>
      <c r="Q552" s="131">
        <v>0</v>
      </c>
      <c r="R552" s="153">
        <v>0</v>
      </c>
      <c r="S552" s="158" t="e">
        <f ca="1">__xlfn.XLOOKUP(H552,[1]Izvršenje_proračuna_po_pozicija!$B$2:$B$153,[1]Izvršenje_proračuna_po_pozicija!$E$2:$E$153,0)</f>
        <v>#NAME?</v>
      </c>
      <c r="T552" s="158"/>
      <c r="U552" s="158"/>
      <c r="V552" s="532"/>
      <c r="W552" s="532"/>
      <c r="X552" s="560"/>
      <c r="Y552" s="561"/>
      <c r="Z552" s="561"/>
      <c r="AA552" s="562" t="e">
        <f t="shared" ca="1" si="463"/>
        <v>#NAME?</v>
      </c>
      <c r="AB552" s="535"/>
      <c r="AC552" s="529">
        <v>0</v>
      </c>
      <c r="AD552" s="529">
        <v>0</v>
      </c>
      <c r="AE552" s="529"/>
      <c r="AF552" s="529"/>
      <c r="AG552" s="529"/>
      <c r="AH552" s="529"/>
      <c r="AI552" s="535"/>
      <c r="AJ552" s="561"/>
      <c r="AK552" s="507"/>
      <c r="AL552" s="507"/>
      <c r="AM552" s="507"/>
      <c r="AN552" s="556"/>
      <c r="AO552" s="510"/>
      <c r="AP552" s="510" t="e">
        <f t="shared" ca="1" si="462"/>
        <v>#NAME?</v>
      </c>
      <c r="AQ552" s="532"/>
      <c r="AR552" s="533"/>
      <c r="AS552" s="533"/>
      <c r="AT552" s="533"/>
      <c r="AU552" s="533"/>
      <c r="AV552" s="533"/>
      <c r="AW552" s="612"/>
      <c r="AX552" s="612"/>
      <c r="AY552" s="612"/>
      <c r="AZ552" s="612"/>
      <c r="BA552" s="612"/>
      <c r="BB552" s="612"/>
      <c r="BC552" s="612"/>
      <c r="BD552" s="612"/>
      <c r="BE552" s="612"/>
      <c r="BF552" s="612"/>
      <c r="BG552" s="612"/>
      <c r="BH552" s="612">
        <f t="shared" si="464"/>
        <v>0</v>
      </c>
      <c r="BI552" s="612">
        <f t="shared" si="437"/>
        <v>10738.29</v>
      </c>
      <c r="BJ552" s="201">
        <f t="shared" si="465"/>
        <v>0</v>
      </c>
    </row>
    <row r="553" spans="1:62" ht="12" customHeight="1">
      <c r="A553" s="52"/>
      <c r="B553" s="52"/>
      <c r="C553" s="52"/>
      <c r="D553" s="52"/>
      <c r="E553" s="52"/>
      <c r="F553" s="52"/>
      <c r="G553" s="52"/>
      <c r="H553" s="2">
        <v>86</v>
      </c>
      <c r="I553" s="260">
        <v>451</v>
      </c>
      <c r="J553" s="185">
        <v>3224</v>
      </c>
      <c r="K553" s="19" t="s">
        <v>478</v>
      </c>
      <c r="L553" s="129">
        <v>0</v>
      </c>
      <c r="M553" s="129">
        <v>0</v>
      </c>
      <c r="N553" s="130">
        <v>0</v>
      </c>
      <c r="O553" s="130">
        <v>0</v>
      </c>
      <c r="P553" s="131">
        <v>0</v>
      </c>
      <c r="Q553" s="131">
        <v>0</v>
      </c>
      <c r="R553" s="153">
        <v>0</v>
      </c>
      <c r="S553" s="158" t="e">
        <f ca="1">__xlfn.XLOOKUP(H553,[1]Izvršenje_proračuna_po_pozicija!$B$2:$B$153,[1]Izvršenje_proračuna_po_pozicija!$E$2:$E$153,0)</f>
        <v>#NAME?</v>
      </c>
      <c r="T553" s="158"/>
      <c r="U553" s="158"/>
      <c r="V553" s="532"/>
      <c r="W553" s="532"/>
      <c r="X553" s="560"/>
      <c r="Y553" s="561"/>
      <c r="Z553" s="561"/>
      <c r="AA553" s="562" t="e">
        <f t="shared" ca="1" si="463"/>
        <v>#NAME?</v>
      </c>
      <c r="AB553" s="535"/>
      <c r="AC553" s="529">
        <v>0</v>
      </c>
      <c r="AD553" s="529">
        <v>0</v>
      </c>
      <c r="AE553" s="529"/>
      <c r="AF553" s="529"/>
      <c r="AG553" s="529"/>
      <c r="AH553" s="529"/>
      <c r="AI553" s="535"/>
      <c r="AJ553" s="561"/>
      <c r="AK553" s="507"/>
      <c r="AL553" s="507"/>
      <c r="AM553" s="507"/>
      <c r="AN553" s="556"/>
      <c r="AO553" s="510"/>
      <c r="AP553" s="510" t="e">
        <f t="shared" ca="1" si="462"/>
        <v>#NAME?</v>
      </c>
      <c r="AQ553" s="532"/>
      <c r="AR553" s="533"/>
      <c r="AS553" s="533"/>
      <c r="AT553" s="533"/>
      <c r="AU553" s="533"/>
      <c r="AV553" s="533"/>
      <c r="AW553" s="612"/>
      <c r="AX553" s="612"/>
      <c r="AY553" s="612"/>
      <c r="AZ553" s="612"/>
      <c r="BA553" s="612"/>
      <c r="BB553" s="612"/>
      <c r="BC553" s="612"/>
      <c r="BD553" s="612"/>
      <c r="BE553" s="612"/>
      <c r="BF553" s="612"/>
      <c r="BG553" s="612"/>
      <c r="BH553" s="612">
        <f t="shared" si="464"/>
        <v>0</v>
      </c>
      <c r="BI553" s="612">
        <f t="shared" si="437"/>
        <v>13976.12</v>
      </c>
      <c r="BJ553" s="201">
        <f t="shared" si="465"/>
        <v>0</v>
      </c>
    </row>
    <row r="554" spans="1:62" ht="12" customHeight="1">
      <c r="A554" s="52"/>
      <c r="B554" s="52"/>
      <c r="C554" s="52"/>
      <c r="D554" s="52"/>
      <c r="E554" s="52"/>
      <c r="F554" s="52"/>
      <c r="G554" s="52"/>
      <c r="H554" s="2">
        <v>87</v>
      </c>
      <c r="I554" s="260">
        <v>451</v>
      </c>
      <c r="J554" s="185">
        <v>3224</v>
      </c>
      <c r="K554" s="19" t="s">
        <v>479</v>
      </c>
      <c r="L554" s="129">
        <v>0</v>
      </c>
      <c r="M554" s="129">
        <v>0</v>
      </c>
      <c r="N554" s="130">
        <v>0</v>
      </c>
      <c r="O554" s="130">
        <v>0</v>
      </c>
      <c r="P554" s="131">
        <v>0</v>
      </c>
      <c r="Q554" s="131">
        <v>0</v>
      </c>
      <c r="R554" s="153">
        <v>1288</v>
      </c>
      <c r="S554" s="158" t="e">
        <f ca="1">__xlfn.XLOOKUP(H554,[1]Izvršenje_proračuna_po_pozicija!$B$2:$B$153,[1]Izvršenje_proračuna_po_pozicija!$E$2:$E$153,0)</f>
        <v>#NAME?</v>
      </c>
      <c r="T554" s="158"/>
      <c r="U554" s="158"/>
      <c r="V554" s="532"/>
      <c r="W554" s="532"/>
      <c r="X554" s="560"/>
      <c r="Y554" s="561"/>
      <c r="Z554" s="561"/>
      <c r="AA554" s="562" t="e">
        <f t="shared" ca="1" si="463"/>
        <v>#NAME?</v>
      </c>
      <c r="AB554" s="535"/>
      <c r="AC554" s="529">
        <v>0</v>
      </c>
      <c r="AD554" s="529">
        <v>0</v>
      </c>
      <c r="AE554" s="529"/>
      <c r="AF554" s="529"/>
      <c r="AG554" s="529"/>
      <c r="AH554" s="529"/>
      <c r="AI554" s="535"/>
      <c r="AJ554" s="561"/>
      <c r="AK554" s="507">
        <f t="shared" si="456"/>
        <v>0</v>
      </c>
      <c r="AL554" s="507"/>
      <c r="AM554" s="507"/>
      <c r="AN554" s="556"/>
      <c r="AO554" s="510"/>
      <c r="AP554" s="510" t="e">
        <f t="shared" ca="1" si="462"/>
        <v>#NAME?</v>
      </c>
      <c r="AQ554" s="532"/>
      <c r="AR554" s="533">
        <f>V554/R554*100</f>
        <v>0</v>
      </c>
      <c r="AS554" s="533"/>
      <c r="AT554" s="533">
        <f>W554/R554*100</f>
        <v>0</v>
      </c>
      <c r="AU554" s="533"/>
      <c r="AV554" s="533">
        <f>AQ554/R554*100</f>
        <v>0</v>
      </c>
      <c r="AW554" s="612"/>
      <c r="AX554" s="612"/>
      <c r="AY554" s="612"/>
      <c r="AZ554" s="612"/>
      <c r="BA554" s="612"/>
      <c r="BB554" s="612"/>
      <c r="BC554" s="612"/>
      <c r="BD554" s="612"/>
      <c r="BE554" s="612"/>
      <c r="BF554" s="612"/>
      <c r="BG554" s="612"/>
      <c r="BH554" s="612">
        <f t="shared" si="464"/>
        <v>0</v>
      </c>
      <c r="BI554" s="612">
        <f t="shared" si="437"/>
        <v>0</v>
      </c>
      <c r="BJ554" s="201">
        <f t="shared" si="465"/>
        <v>0</v>
      </c>
    </row>
    <row r="555" spans="1:62" ht="12" customHeight="1">
      <c r="A555" s="41"/>
      <c r="B555" s="41"/>
      <c r="C555" s="41"/>
      <c r="D555" s="41"/>
      <c r="E555" s="41"/>
      <c r="F555" s="41"/>
      <c r="G555" s="41"/>
      <c r="H555" s="235"/>
      <c r="I555" s="15"/>
      <c r="J555" s="3"/>
      <c r="K555" s="83"/>
      <c r="L555" s="84">
        <v>1</v>
      </c>
      <c r="M555" s="84">
        <v>2</v>
      </c>
      <c r="N555" s="85">
        <v>3</v>
      </c>
      <c r="O555" s="85">
        <v>4</v>
      </c>
      <c r="P555" s="86">
        <v>5</v>
      </c>
      <c r="Q555" s="86">
        <v>6</v>
      </c>
      <c r="R555" s="154"/>
      <c r="S555" s="158" t="e">
        <f ca="1">__xlfn.XLOOKUP(H555,[1]Izvršenje_proračuna_po_pozicija!$B$2:$B$153,[1]Izvršenje_proračuna_po_pozicija!$E$2:$E$153,0)</f>
        <v>#NAME?</v>
      </c>
      <c r="T555" s="158"/>
      <c r="U555" s="158"/>
      <c r="V555" s="532"/>
      <c r="W555" s="532"/>
      <c r="X555" s="568"/>
      <c r="Y555" s="569"/>
      <c r="Z555" s="569"/>
      <c r="AA555" s="562" t="e">
        <f t="shared" ca="1" si="463"/>
        <v>#NAME?</v>
      </c>
      <c r="AB555" s="537"/>
      <c r="AC555" s="538">
        <v>7</v>
      </c>
      <c r="AD555" s="538">
        <v>8</v>
      </c>
      <c r="AE555" s="538">
        <v>9</v>
      </c>
      <c r="AF555" s="538">
        <v>10</v>
      </c>
      <c r="AG555" s="538">
        <v>11</v>
      </c>
      <c r="AH555" s="538">
        <v>12</v>
      </c>
      <c r="AI555" s="537"/>
      <c r="AJ555" s="569"/>
      <c r="AK555" s="507"/>
      <c r="AL555" s="507"/>
      <c r="AM555" s="507"/>
      <c r="AN555" s="557"/>
      <c r="AO555" s="510"/>
      <c r="AP555" s="510" t="e">
        <f t="shared" ca="1" si="462"/>
        <v>#NAME?</v>
      </c>
      <c r="AQ555" s="532"/>
      <c r="AR555" s="533"/>
      <c r="AS555" s="533"/>
      <c r="AT555" s="533"/>
      <c r="AU555" s="533"/>
      <c r="AV555" s="533"/>
      <c r="AW555" s="612"/>
      <c r="AX555" s="612"/>
      <c r="AY555" s="612"/>
      <c r="AZ555" s="612"/>
      <c r="BA555" s="612"/>
      <c r="BB555" s="612"/>
      <c r="BC555" s="612"/>
      <c r="BD555" s="612"/>
      <c r="BE555" s="612"/>
      <c r="BF555" s="612"/>
      <c r="BG555" s="612"/>
      <c r="BH555" s="612">
        <f t="shared" si="464"/>
        <v>0</v>
      </c>
      <c r="BI555" s="612">
        <f t="shared" si="437"/>
        <v>1375</v>
      </c>
      <c r="BJ555" s="201">
        <f t="shared" si="465"/>
        <v>0</v>
      </c>
    </row>
    <row r="556" spans="1:62" ht="12" customHeight="1">
      <c r="A556" s="61"/>
      <c r="B556" s="61"/>
      <c r="C556" s="61"/>
      <c r="D556" s="61">
        <v>4</v>
      </c>
      <c r="E556" s="61"/>
      <c r="F556" s="61"/>
      <c r="G556" s="61"/>
      <c r="H556" s="230"/>
      <c r="I556" s="261"/>
      <c r="J556" s="229">
        <v>323</v>
      </c>
      <c r="K556" s="20" t="s">
        <v>346</v>
      </c>
      <c r="L556" s="111">
        <f t="shared" ref="L556:S556" si="466">L557+L558+L559+L560+L562</f>
        <v>936314</v>
      </c>
      <c r="M556" s="111">
        <f t="shared" si="466"/>
        <v>124270.22363793217</v>
      </c>
      <c r="N556" s="112">
        <f t="shared" si="466"/>
        <v>763364</v>
      </c>
      <c r="O556" s="112">
        <f t="shared" si="466"/>
        <v>101315.8139226226</v>
      </c>
      <c r="P556" s="113">
        <f t="shared" si="466"/>
        <v>127000</v>
      </c>
      <c r="Q556" s="113">
        <f t="shared" si="466"/>
        <v>132000</v>
      </c>
      <c r="R556" s="87">
        <f t="shared" si="466"/>
        <v>122036</v>
      </c>
      <c r="S556" s="89" t="e">
        <f t="shared" ca="1" si="466"/>
        <v>#NAME?</v>
      </c>
      <c r="T556" s="89"/>
      <c r="U556" s="89"/>
      <c r="V556" s="532">
        <f>V557+V558+V559+V560+V562</f>
        <v>242000</v>
      </c>
      <c r="W556" s="532">
        <f>W557+W558+W559+W560+W562</f>
        <v>242000</v>
      </c>
      <c r="X556" s="506">
        <f>X557+X558+X559+X560+X562</f>
        <v>220000</v>
      </c>
      <c r="Y556" s="507">
        <f>Y557+Y558+Y559+Y560+Y562</f>
        <v>415000</v>
      </c>
      <c r="Z556" s="507">
        <f>Z557+Z558+Z559+Z560+Z562</f>
        <v>0</v>
      </c>
      <c r="AA556" s="562" t="e">
        <f t="shared" ca="1" si="463"/>
        <v>#NAME?</v>
      </c>
      <c r="AB556" s="507"/>
      <c r="AC556" s="508">
        <f>AC557+AC558+AC559+AC560+AC562</f>
        <v>135000</v>
      </c>
      <c r="AD556" s="508">
        <f>AD557+AD558+AD559+AD560+AD562</f>
        <v>135000</v>
      </c>
      <c r="AE556" s="529">
        <f>O556/M556*100</f>
        <v>81.528632488673679</v>
      </c>
      <c r="AF556" s="529">
        <f t="shared" ref="AF556:AG558" si="467">P556/O556*100</f>
        <v>125.35061910176535</v>
      </c>
      <c r="AG556" s="529">
        <f t="shared" si="467"/>
        <v>103.93700787401573</v>
      </c>
      <c r="AH556" s="529">
        <f>AC556/Q556*100</f>
        <v>102.27272727272727</v>
      </c>
      <c r="AI556" s="507"/>
      <c r="AJ556" s="507">
        <v>415000</v>
      </c>
      <c r="AK556" s="507">
        <f t="shared" si="456"/>
        <v>198.30214035202727</v>
      </c>
      <c r="AL556" s="507">
        <f t="shared" si="457"/>
        <v>90.909090909090907</v>
      </c>
      <c r="AM556" s="507">
        <f>Y556/X556*100</f>
        <v>188.63636363636365</v>
      </c>
      <c r="AN556" s="509"/>
      <c r="AO556" s="590"/>
      <c r="AP556" s="510" t="e">
        <f t="shared" ca="1" si="462"/>
        <v>#NAME?</v>
      </c>
      <c r="AQ556" s="532">
        <f>AQ557+AQ558+AQ559+AQ560+AQ562</f>
        <v>233687.61000000002</v>
      </c>
      <c r="AR556" s="533">
        <f>V556/R556*100</f>
        <v>198.30214035202727</v>
      </c>
      <c r="AS556" s="533">
        <f>W556/V556*100</f>
        <v>100</v>
      </c>
      <c r="AT556" s="533">
        <f>W556/R556*100</f>
        <v>198.30214035202727</v>
      </c>
      <c r="AU556" s="533">
        <f>AQ556/W556*100</f>
        <v>96.565128099173563</v>
      </c>
      <c r="AV556" s="533">
        <f>AQ556/R556*100</f>
        <v>191.49071585433808</v>
      </c>
      <c r="AW556" s="612"/>
      <c r="AX556" s="612"/>
      <c r="AY556" s="612"/>
      <c r="AZ556" s="612"/>
      <c r="BA556" s="612"/>
      <c r="BB556" s="612"/>
      <c r="BC556" s="612"/>
      <c r="BD556" s="612"/>
      <c r="BE556" s="612"/>
      <c r="BF556" s="612"/>
      <c r="BG556" s="612"/>
      <c r="BH556" s="612">
        <f t="shared" si="464"/>
        <v>0</v>
      </c>
      <c r="BI556" s="612">
        <f t="shared" si="437"/>
        <v>0</v>
      </c>
      <c r="BJ556" s="201">
        <f t="shared" si="465"/>
        <v>0</v>
      </c>
    </row>
    <row r="557" spans="1:62" ht="12" customHeight="1">
      <c r="A557" s="52"/>
      <c r="B557" s="52"/>
      <c r="C557" s="52"/>
      <c r="D557" s="52"/>
      <c r="E557" s="52"/>
      <c r="F557" s="52"/>
      <c r="G557" s="52"/>
      <c r="H557" s="236">
        <v>94</v>
      </c>
      <c r="I557" s="266">
        <v>451</v>
      </c>
      <c r="J557" s="267">
        <v>3232</v>
      </c>
      <c r="K557" s="268" t="s">
        <v>480</v>
      </c>
      <c r="L557" s="269">
        <v>477180</v>
      </c>
      <c r="M557" s="269">
        <f>477180/7.5345</f>
        <v>63332.669719291254</v>
      </c>
      <c r="N557" s="270">
        <v>397528</v>
      </c>
      <c r="O557" s="270">
        <f>N557/7.5345</f>
        <v>52761.032583449465</v>
      </c>
      <c r="P557" s="271">
        <v>53000</v>
      </c>
      <c r="Q557" s="343">
        <v>63000</v>
      </c>
      <c r="R557" s="275">
        <v>63506</v>
      </c>
      <c r="S557" s="158">
        <v>130442</v>
      </c>
      <c r="T557" s="276"/>
      <c r="U557" s="276"/>
      <c r="V557" s="532">
        <v>140000</v>
      </c>
      <c r="W557" s="532">
        <v>140000</v>
      </c>
      <c r="X557" s="576">
        <v>110000</v>
      </c>
      <c r="Y557" s="577">
        <v>200000</v>
      </c>
      <c r="Z557" s="577"/>
      <c r="AA557" s="562" t="e">
        <f t="shared" ca="1" si="463"/>
        <v>#NAME?</v>
      </c>
      <c r="AB557" s="543"/>
      <c r="AC557" s="544">
        <v>55000</v>
      </c>
      <c r="AD557" s="544">
        <v>55000</v>
      </c>
      <c r="AE557" s="529">
        <f>O557/M557*100</f>
        <v>83.30776646129344</v>
      </c>
      <c r="AF557" s="529">
        <f t="shared" si="467"/>
        <v>100.45292407075728</v>
      </c>
      <c r="AG557" s="529">
        <f t="shared" si="467"/>
        <v>118.86792452830188</v>
      </c>
      <c r="AH557" s="529">
        <f>AC557/Q557*100</f>
        <v>87.301587301587304</v>
      </c>
      <c r="AI557" s="543"/>
      <c r="AJ557" s="577">
        <v>200000</v>
      </c>
      <c r="AK557" s="507">
        <f t="shared" si="456"/>
        <v>220.45161087141372</v>
      </c>
      <c r="AL557" s="507">
        <f t="shared" si="457"/>
        <v>78.571428571428569</v>
      </c>
      <c r="AM557" s="507">
        <f>Y557/X557*100</f>
        <v>181.81818181818181</v>
      </c>
      <c r="AN557" s="578"/>
      <c r="AO557" s="590"/>
      <c r="AP557" s="510" t="e">
        <f t="shared" ca="1" si="462"/>
        <v>#NAME?</v>
      </c>
      <c r="AQ557" s="532">
        <v>138370.54</v>
      </c>
      <c r="AR557" s="533">
        <f>V557/R557*100</f>
        <v>220.45161087141372</v>
      </c>
      <c r="AS557" s="533">
        <f>W557/V557*100</f>
        <v>100</v>
      </c>
      <c r="AT557" s="533">
        <f>W557/R557*100</f>
        <v>220.45161087141372</v>
      </c>
      <c r="AU557" s="533">
        <f>AQ557/W557*100</f>
        <v>98.836100000000002</v>
      </c>
      <c r="AV557" s="533">
        <f>AQ557/R557*100</f>
        <v>217.88577457248138</v>
      </c>
      <c r="AW557" s="612">
        <f>AQ557-AY557</f>
        <v>94840.360000000015</v>
      </c>
      <c r="AX557" s="612"/>
      <c r="AY557" s="612">
        <v>43530.18</v>
      </c>
      <c r="AZ557" s="612"/>
      <c r="BA557" s="612"/>
      <c r="BB557" s="612"/>
      <c r="BC557" s="612"/>
      <c r="BD557" s="612"/>
      <c r="BE557" s="612"/>
      <c r="BF557" s="612"/>
      <c r="BG557" s="612"/>
      <c r="BH557" s="612">
        <f t="shared" si="464"/>
        <v>138370.54</v>
      </c>
      <c r="BI557" s="612">
        <f t="shared" si="437"/>
        <v>0</v>
      </c>
      <c r="BJ557" s="201"/>
    </row>
    <row r="558" spans="1:62" ht="12" customHeight="1">
      <c r="A558" s="52"/>
      <c r="B558" s="52"/>
      <c r="C558" s="52"/>
      <c r="D558" s="52"/>
      <c r="E558" s="52"/>
      <c r="F558" s="52"/>
      <c r="G558" s="52"/>
      <c r="H558" s="2" t="s">
        <v>481</v>
      </c>
      <c r="I558" s="260">
        <v>451</v>
      </c>
      <c r="J558" s="185">
        <v>3232</v>
      </c>
      <c r="K558" s="19" t="s">
        <v>482</v>
      </c>
      <c r="L558" s="129">
        <v>369206</v>
      </c>
      <c r="M558" s="129">
        <f>369206/7.5345</f>
        <v>49002.057203530421</v>
      </c>
      <c r="N558" s="130">
        <v>278461</v>
      </c>
      <c r="O558" s="270">
        <f>N558/7.5345</f>
        <v>36958.125953945186</v>
      </c>
      <c r="P558" s="131">
        <v>46000</v>
      </c>
      <c r="Q558" s="131">
        <v>46000</v>
      </c>
      <c r="R558" s="153">
        <v>50949</v>
      </c>
      <c r="S558" s="158" t="e">
        <f ca="1">__xlfn.XLOOKUP(H558,[1]Izvršenje_proračuna_po_pozicija!$B$2:$B$153,[1]Izvršenje_proračuna_po_pozicija!$E$2:$E$153,0)</f>
        <v>#NAME?</v>
      </c>
      <c r="T558" s="158"/>
      <c r="U558" s="158"/>
      <c r="V558" s="532">
        <v>70000</v>
      </c>
      <c r="W558" s="532">
        <v>70000</v>
      </c>
      <c r="X558" s="560">
        <v>75000</v>
      </c>
      <c r="Y558" s="561">
        <v>150000</v>
      </c>
      <c r="Z558" s="561"/>
      <c r="AA558" s="562" t="e">
        <f t="shared" ca="1" si="463"/>
        <v>#NAME?</v>
      </c>
      <c r="AB558" s="535"/>
      <c r="AC558" s="529">
        <v>50000</v>
      </c>
      <c r="AD558" s="529">
        <v>50000</v>
      </c>
      <c r="AE558" s="529">
        <f>O558/M558*100</f>
        <v>75.421580364349452</v>
      </c>
      <c r="AF558" s="529">
        <f t="shared" si="467"/>
        <v>124.46518542991657</v>
      </c>
      <c r="AG558" s="529">
        <f t="shared" si="467"/>
        <v>100</v>
      </c>
      <c r="AH558" s="529">
        <f>AC558/Q558*100</f>
        <v>108.69565217391303</v>
      </c>
      <c r="AI558" s="535"/>
      <c r="AJ558" s="561">
        <v>150000</v>
      </c>
      <c r="AK558" s="507">
        <f t="shared" si="456"/>
        <v>137.39229425503936</v>
      </c>
      <c r="AL558" s="507">
        <f t="shared" si="457"/>
        <v>107.14285714285714</v>
      </c>
      <c r="AM558" s="507">
        <f>Y558/X558*100</f>
        <v>200</v>
      </c>
      <c r="AN558" s="556"/>
      <c r="AO558" s="590"/>
      <c r="AP558" s="510" t="e">
        <f t="shared" ca="1" si="462"/>
        <v>#NAME?</v>
      </c>
      <c r="AQ558" s="532">
        <v>69227.66</v>
      </c>
      <c r="AR558" s="533">
        <f>V558/R558*100</f>
        <v>137.39229425503936</v>
      </c>
      <c r="AS558" s="533">
        <f>W558/V558*100</f>
        <v>100</v>
      </c>
      <c r="AT558" s="533">
        <f>W558/R558*100</f>
        <v>137.39229425503936</v>
      </c>
      <c r="AU558" s="533">
        <f>AQ558/W558*100</f>
        <v>98.896657142857151</v>
      </c>
      <c r="AV558" s="533">
        <f>AQ558/R558*100</f>
        <v>135.87638619011167</v>
      </c>
      <c r="AW558" s="612">
        <f>AQ558</f>
        <v>69227.66</v>
      </c>
      <c r="AX558" s="612"/>
      <c r="AY558" s="612"/>
      <c r="AZ558" s="612"/>
      <c r="BA558" s="612"/>
      <c r="BB558" s="612"/>
      <c r="BC558" s="612"/>
      <c r="BD558" s="612"/>
      <c r="BE558" s="612"/>
      <c r="BF558" s="612"/>
      <c r="BG558" s="612"/>
      <c r="BH558" s="612">
        <f t="shared" si="464"/>
        <v>69227.66</v>
      </c>
      <c r="BI558" s="612">
        <f t="shared" si="437"/>
        <v>0</v>
      </c>
      <c r="BJ558" s="201">
        <f>AQ565-BI558</f>
        <v>0</v>
      </c>
    </row>
    <row r="559" spans="1:62" ht="12" customHeight="1">
      <c r="A559" s="52"/>
      <c r="B559" s="52"/>
      <c r="C559" s="52"/>
      <c r="D559" s="52"/>
      <c r="E559" s="52"/>
      <c r="F559" s="52"/>
      <c r="G559" s="52"/>
      <c r="H559" s="2" t="s">
        <v>483</v>
      </c>
      <c r="I559" s="260">
        <v>451</v>
      </c>
      <c r="J559" s="185">
        <v>3232</v>
      </c>
      <c r="K559" s="19" t="s">
        <v>484</v>
      </c>
      <c r="L559" s="129">
        <v>17500</v>
      </c>
      <c r="M559" s="129">
        <f>17500/7.5345</f>
        <v>2322.649147255956</v>
      </c>
      <c r="N559" s="130">
        <v>0</v>
      </c>
      <c r="O559" s="270">
        <f>N559/7.5345</f>
        <v>0</v>
      </c>
      <c r="P559" s="131">
        <v>13000</v>
      </c>
      <c r="Q559" s="131">
        <v>13000</v>
      </c>
      <c r="R559" s="153">
        <v>0</v>
      </c>
      <c r="S559" s="158" t="e">
        <f ca="1">__xlfn.XLOOKUP(H559,[1]Izvršenje_proračuna_po_pozicija!$B$2:$B$153,[1]Izvršenje_proračuna_po_pozicija!$E$2:$E$153,0)</f>
        <v>#NAME?</v>
      </c>
      <c r="T559" s="158"/>
      <c r="U559" s="158"/>
      <c r="V559" s="532">
        <v>16000</v>
      </c>
      <c r="W559" s="532">
        <v>16000</v>
      </c>
      <c r="X559" s="560">
        <v>15000</v>
      </c>
      <c r="Y559" s="561">
        <v>30000</v>
      </c>
      <c r="Z559" s="561"/>
      <c r="AA559" s="562" t="e">
        <f t="shared" ca="1" si="463"/>
        <v>#NAME?</v>
      </c>
      <c r="AB559" s="535"/>
      <c r="AC559" s="529">
        <v>15000</v>
      </c>
      <c r="AD559" s="529">
        <v>15000</v>
      </c>
      <c r="AE559" s="529">
        <f>O559/M559*100</f>
        <v>0</v>
      </c>
      <c r="AF559" s="529"/>
      <c r="AG559" s="529"/>
      <c r="AH559" s="529"/>
      <c r="AI559" s="535"/>
      <c r="AJ559" s="561">
        <v>30000</v>
      </c>
      <c r="AK559" s="507"/>
      <c r="AL559" s="507">
        <f t="shared" si="457"/>
        <v>93.75</v>
      </c>
      <c r="AM559" s="507">
        <f>Y559/X559*100</f>
        <v>200</v>
      </c>
      <c r="AN559" s="556"/>
      <c r="AO559" s="590"/>
      <c r="AP559" s="510" t="e">
        <f t="shared" ca="1" si="462"/>
        <v>#NAME?</v>
      </c>
      <c r="AQ559" s="532">
        <v>10738.29</v>
      </c>
      <c r="AR559" s="533"/>
      <c r="AS559" s="533">
        <f>W559/V559*100</f>
        <v>100</v>
      </c>
      <c r="AT559" s="533"/>
      <c r="AU559" s="533">
        <f>AQ559/W559*100</f>
        <v>67.114312500000011</v>
      </c>
      <c r="AV559" s="533"/>
      <c r="AW559" s="612">
        <f>AQ559</f>
        <v>10738.29</v>
      </c>
      <c r="AX559" s="612"/>
      <c r="AY559" s="612"/>
      <c r="AZ559" s="612"/>
      <c r="BA559" s="612"/>
      <c r="BB559" s="612"/>
      <c r="BC559" s="612"/>
      <c r="BD559" s="612"/>
      <c r="BE559" s="612"/>
      <c r="BF559" s="612"/>
      <c r="BG559" s="612"/>
      <c r="BH559" s="612">
        <f t="shared" si="464"/>
        <v>10738.29</v>
      </c>
      <c r="BI559" s="612">
        <f t="shared" si="437"/>
        <v>0</v>
      </c>
      <c r="BJ559" s="201"/>
    </row>
    <row r="560" spans="1:62" ht="12" customHeight="1">
      <c r="A560" s="52"/>
      <c r="B560" s="52"/>
      <c r="C560" s="52"/>
      <c r="D560" s="52"/>
      <c r="E560" s="52"/>
      <c r="F560" s="52"/>
      <c r="G560" s="52"/>
      <c r="H560" s="2" t="s">
        <v>485</v>
      </c>
      <c r="I560" s="260">
        <v>451</v>
      </c>
      <c r="J560" s="185">
        <v>3232</v>
      </c>
      <c r="K560" s="19" t="s">
        <v>486</v>
      </c>
      <c r="L560" s="129">
        <v>50428</v>
      </c>
      <c r="M560" s="129">
        <f>50428/7.5345</f>
        <v>6692.9457827327624</v>
      </c>
      <c r="N560" s="130">
        <v>0</v>
      </c>
      <c r="O560" s="270">
        <f>N560/7.5345</f>
        <v>0</v>
      </c>
      <c r="P560" s="131">
        <v>5000</v>
      </c>
      <c r="Q560" s="131">
        <v>5000</v>
      </c>
      <c r="R560" s="153">
        <v>4943</v>
      </c>
      <c r="S560" s="158" t="e">
        <f ca="1">__xlfn.XLOOKUP(H560,[1]Izvršenje_proračuna_po_pozicija!$B$2:$B$153,[1]Izvršenje_proračuna_po_pozicija!$E$2:$E$153,0)</f>
        <v>#NAME?</v>
      </c>
      <c r="T560" s="158"/>
      <c r="U560" s="158"/>
      <c r="V560" s="532">
        <v>15000</v>
      </c>
      <c r="W560" s="532">
        <v>15000</v>
      </c>
      <c r="X560" s="560">
        <v>15000</v>
      </c>
      <c r="Y560" s="561">
        <v>30000</v>
      </c>
      <c r="Z560" s="561"/>
      <c r="AA560" s="562" t="e">
        <f t="shared" ca="1" si="463"/>
        <v>#NAME?</v>
      </c>
      <c r="AB560" s="535"/>
      <c r="AC560" s="529">
        <v>5000</v>
      </c>
      <c r="AD560" s="529">
        <v>5000</v>
      </c>
      <c r="AE560" s="529">
        <f>O560/M560*100</f>
        <v>0</v>
      </c>
      <c r="AF560" s="529"/>
      <c r="AG560" s="529">
        <f>Q560/P560*100</f>
        <v>100</v>
      </c>
      <c r="AH560" s="529">
        <f>AC560/Q560*100</f>
        <v>100</v>
      </c>
      <c r="AI560" s="535"/>
      <c r="AJ560" s="561">
        <v>30000</v>
      </c>
      <c r="AK560" s="507">
        <f t="shared" si="456"/>
        <v>303.45943758850899</v>
      </c>
      <c r="AL560" s="507">
        <f t="shared" si="457"/>
        <v>100</v>
      </c>
      <c r="AM560" s="507">
        <f>Y560/X560*100</f>
        <v>200</v>
      </c>
      <c r="AN560" s="556"/>
      <c r="AO560" s="590"/>
      <c r="AP560" s="510" t="e">
        <f t="shared" ca="1" si="462"/>
        <v>#NAME?</v>
      </c>
      <c r="AQ560" s="532">
        <v>13976.12</v>
      </c>
      <c r="AR560" s="533">
        <f>V560/R560*100</f>
        <v>303.45943758850899</v>
      </c>
      <c r="AS560" s="533">
        <f>W560/V560*100</f>
        <v>100</v>
      </c>
      <c r="AT560" s="533">
        <f>W560/R560*100</f>
        <v>303.45943758850899</v>
      </c>
      <c r="AU560" s="533">
        <f>AQ560/W560*100</f>
        <v>93.174133333333344</v>
      </c>
      <c r="AV560" s="533">
        <f>AQ560/R560*100</f>
        <v>282.74570099130085</v>
      </c>
      <c r="AW560" s="612">
        <f>AQ560-BA560</f>
        <v>12580.12</v>
      </c>
      <c r="AX560" s="612"/>
      <c r="AY560" s="612"/>
      <c r="AZ560" s="612"/>
      <c r="BA560" s="612">
        <v>1396</v>
      </c>
      <c r="BB560" s="612"/>
      <c r="BC560" s="612"/>
      <c r="BD560" s="612"/>
      <c r="BE560" s="612"/>
      <c r="BF560" s="612"/>
      <c r="BG560" s="612"/>
      <c r="BH560" s="612">
        <f t="shared" si="464"/>
        <v>13976.12</v>
      </c>
      <c r="BI560" s="612">
        <f t="shared" si="437"/>
        <v>0</v>
      </c>
      <c r="BJ560" s="201"/>
    </row>
    <row r="561" spans="1:62" ht="12" customHeight="1">
      <c r="A561" s="52"/>
      <c r="B561" s="52"/>
      <c r="C561" s="52"/>
      <c r="D561" s="52"/>
      <c r="E561" s="52"/>
      <c r="F561" s="52"/>
      <c r="G561" s="52"/>
      <c r="H561" s="2"/>
      <c r="I561" s="260"/>
      <c r="J561" s="185"/>
      <c r="K561" s="19"/>
      <c r="L561" s="129"/>
      <c r="M561" s="129"/>
      <c r="N561" s="130"/>
      <c r="O561" s="270"/>
      <c r="P561" s="131"/>
      <c r="Q561" s="131"/>
      <c r="R561" s="153"/>
      <c r="S561" s="158" t="e">
        <f ca="1">__xlfn.XLOOKUP(H561,[1]Izvršenje_proračuna_po_pozicija!$B$2:$B$153,[1]Izvršenje_proračuna_po_pozicija!$E$2:$E$153,0)</f>
        <v>#NAME?</v>
      </c>
      <c r="T561" s="158"/>
      <c r="U561" s="158"/>
      <c r="V561" s="532"/>
      <c r="W561" s="532"/>
      <c r="X561" s="560"/>
      <c r="Y561" s="561"/>
      <c r="Z561" s="561"/>
      <c r="AA561" s="562" t="e">
        <f t="shared" ca="1" si="463"/>
        <v>#NAME?</v>
      </c>
      <c r="AB561" s="535"/>
      <c r="AC561" s="529"/>
      <c r="AD561" s="529"/>
      <c r="AE561" s="529"/>
      <c r="AF561" s="529"/>
      <c r="AG561" s="529"/>
      <c r="AH561" s="529"/>
      <c r="AI561" s="535"/>
      <c r="AJ561" s="561"/>
      <c r="AK561" s="507"/>
      <c r="AL561" s="507"/>
      <c r="AM561" s="507"/>
      <c r="AN561" s="556"/>
      <c r="AO561" s="510"/>
      <c r="AP561" s="510" t="e">
        <f t="shared" ca="1" si="462"/>
        <v>#NAME?</v>
      </c>
      <c r="AQ561" s="532"/>
      <c r="AR561" s="533"/>
      <c r="AS561" s="533"/>
      <c r="AT561" s="533"/>
      <c r="AU561" s="533"/>
      <c r="AV561" s="533"/>
      <c r="AW561" s="612"/>
      <c r="AX561" s="612"/>
      <c r="AY561" s="612"/>
      <c r="AZ561" s="612"/>
      <c r="BA561" s="612"/>
      <c r="BB561" s="612"/>
      <c r="BC561" s="612"/>
      <c r="BD561" s="612"/>
      <c r="BE561" s="612"/>
      <c r="BF561" s="612"/>
      <c r="BG561" s="612"/>
      <c r="BH561" s="612">
        <f t="shared" si="464"/>
        <v>0</v>
      </c>
      <c r="BI561" s="612">
        <f t="shared" si="437"/>
        <v>0</v>
      </c>
      <c r="BJ561" s="201"/>
    </row>
    <row r="562" spans="1:62" ht="12" customHeight="1">
      <c r="A562" s="52"/>
      <c r="B562" s="52"/>
      <c r="C562" s="52"/>
      <c r="D562" s="52"/>
      <c r="E562" s="52"/>
      <c r="F562" s="52"/>
      <c r="G562" s="52"/>
      <c r="H562" s="2" t="s">
        <v>487</v>
      </c>
      <c r="I562" s="260">
        <v>451</v>
      </c>
      <c r="J562" s="185">
        <v>3237</v>
      </c>
      <c r="K562" s="19" t="s">
        <v>488</v>
      </c>
      <c r="L562" s="129">
        <v>22000</v>
      </c>
      <c r="M562" s="129">
        <f>22000/7.5345</f>
        <v>2919.9017851217732</v>
      </c>
      <c r="N562" s="130">
        <v>87375</v>
      </c>
      <c r="O562" s="270">
        <f>N562/7.5345</f>
        <v>11596.65538522795</v>
      </c>
      <c r="P562" s="131">
        <v>10000</v>
      </c>
      <c r="Q562" s="156">
        <v>5000</v>
      </c>
      <c r="R562" s="153">
        <v>2638</v>
      </c>
      <c r="S562" s="158" t="e">
        <f ca="1">__xlfn.XLOOKUP(H562,[1]Izvršenje_proračuna_po_pozicija!$B$2:$B$153,[1]Izvršenje_proračuna_po_pozicija!$E$2:$E$153,0)</f>
        <v>#NAME?</v>
      </c>
      <c r="T562" s="158"/>
      <c r="U562" s="158"/>
      <c r="V562" s="532">
        <v>1000</v>
      </c>
      <c r="W562" s="532">
        <v>1000</v>
      </c>
      <c r="X562" s="560">
        <v>5000</v>
      </c>
      <c r="Y562" s="561">
        <v>5000</v>
      </c>
      <c r="Z562" s="561"/>
      <c r="AA562" s="562" t="e">
        <f t="shared" ca="1" si="463"/>
        <v>#NAME?</v>
      </c>
      <c r="AB562" s="535"/>
      <c r="AC562" s="529">
        <v>10000</v>
      </c>
      <c r="AD562" s="529">
        <v>10000</v>
      </c>
      <c r="AE562" s="529">
        <f>O562/M562*100</f>
        <v>397.15909090909088</v>
      </c>
      <c r="AF562" s="529">
        <f>P562/O562*100</f>
        <v>86.231759656652372</v>
      </c>
      <c r="AG562" s="529">
        <f>Q562/P562*100</f>
        <v>50</v>
      </c>
      <c r="AH562" s="529">
        <f>AC562/Q562*100</f>
        <v>200</v>
      </c>
      <c r="AI562" s="535"/>
      <c r="AJ562" s="561">
        <v>5000</v>
      </c>
      <c r="AK562" s="507">
        <f t="shared" si="456"/>
        <v>37.907505686125852</v>
      </c>
      <c r="AL562" s="507">
        <f t="shared" si="457"/>
        <v>500</v>
      </c>
      <c r="AM562" s="507">
        <f>Y562/X562*100</f>
        <v>100</v>
      </c>
      <c r="AN562" s="556"/>
      <c r="AO562" s="510"/>
      <c r="AP562" s="510" t="e">
        <f t="shared" ca="1" si="462"/>
        <v>#NAME?</v>
      </c>
      <c r="AQ562" s="532">
        <v>1375</v>
      </c>
      <c r="AR562" s="533">
        <f>V562/R562*100</f>
        <v>37.907505686125852</v>
      </c>
      <c r="AS562" s="533">
        <f>W562/V562*100</f>
        <v>100</v>
      </c>
      <c r="AT562" s="533">
        <f>W562/R562*100</f>
        <v>37.907505686125852</v>
      </c>
      <c r="AU562" s="533">
        <f>AQ562/W562*100</f>
        <v>137.5</v>
      </c>
      <c r="AV562" s="533">
        <f>AQ562/R562*100</f>
        <v>52.122820318423045</v>
      </c>
      <c r="AW562" s="612">
        <f>AQ562</f>
        <v>1375</v>
      </c>
      <c r="AX562" s="612"/>
      <c r="AY562" s="612"/>
      <c r="AZ562" s="612"/>
      <c r="BA562" s="612"/>
      <c r="BB562" s="612"/>
      <c r="BC562" s="612"/>
      <c r="BD562" s="612"/>
      <c r="BE562" s="612"/>
      <c r="BF562" s="612"/>
      <c r="BG562" s="612"/>
      <c r="BH562" s="612">
        <f t="shared" si="464"/>
        <v>1375</v>
      </c>
      <c r="BI562" s="612">
        <f t="shared" si="437"/>
        <v>38787</v>
      </c>
      <c r="BJ562" s="201">
        <f>AQ569-BI562</f>
        <v>0</v>
      </c>
    </row>
    <row r="563" spans="1:62" ht="12" customHeight="1">
      <c r="A563" s="68"/>
      <c r="B563" s="68"/>
      <c r="C563" s="68"/>
      <c r="D563" s="68"/>
      <c r="E563" s="68"/>
      <c r="F563" s="68"/>
      <c r="G563" s="68"/>
      <c r="H563" s="319"/>
      <c r="I563" s="4"/>
      <c r="J563" s="8"/>
      <c r="K563" s="8"/>
      <c r="L563" s="84"/>
      <c r="M563" s="84"/>
      <c r="N563" s="85"/>
      <c r="O563" s="85"/>
      <c r="P563" s="86"/>
      <c r="Q563" s="86"/>
      <c r="R563" s="154"/>
      <c r="S563" s="158" t="e">
        <f ca="1">__xlfn.XLOOKUP(H563,[1]Izvršenje_proračuna_po_pozicija!$B$2:$B$153,[1]Izvršenje_proračuna_po_pozicija!$E$2:$E$153,0)</f>
        <v>#NAME?</v>
      </c>
      <c r="T563" s="158"/>
      <c r="U563" s="158"/>
      <c r="V563" s="532"/>
      <c r="W563" s="532"/>
      <c r="X563" s="568"/>
      <c r="Y563" s="569"/>
      <c r="Z563" s="569"/>
      <c r="AA563" s="562" t="e">
        <f t="shared" ca="1" si="463"/>
        <v>#NAME?</v>
      </c>
      <c r="AB563" s="537"/>
      <c r="AC563" s="538"/>
      <c r="AD563" s="538"/>
      <c r="AE563" s="529"/>
      <c r="AF563" s="529"/>
      <c r="AG563" s="529"/>
      <c r="AH563" s="529"/>
      <c r="AI563" s="537"/>
      <c r="AJ563" s="569"/>
      <c r="AK563" s="507"/>
      <c r="AL563" s="507"/>
      <c r="AM563" s="507"/>
      <c r="AN563" s="557"/>
      <c r="AO563" s="510"/>
      <c r="AP563" s="510" t="e">
        <f t="shared" ca="1" si="462"/>
        <v>#NAME?</v>
      </c>
      <c r="AQ563" s="532"/>
      <c r="AR563" s="533"/>
      <c r="AS563" s="533"/>
      <c r="AT563" s="533"/>
      <c r="AU563" s="533"/>
      <c r="AV563" s="533"/>
      <c r="AW563" s="612"/>
      <c r="AX563" s="612"/>
      <c r="AY563" s="612"/>
      <c r="AZ563" s="612"/>
      <c r="BA563" s="612"/>
      <c r="BB563" s="612"/>
      <c r="BC563" s="612"/>
      <c r="BD563" s="612"/>
      <c r="BE563" s="612"/>
      <c r="BF563" s="612"/>
      <c r="BG563" s="612"/>
      <c r="BH563" s="612">
        <f t="shared" si="464"/>
        <v>0</v>
      </c>
      <c r="BI563" s="612">
        <f t="shared" si="437"/>
        <v>0</v>
      </c>
      <c r="BJ563" s="201">
        <f>AQ570-BI563</f>
        <v>0</v>
      </c>
    </row>
    <row r="564" spans="1:62" ht="12" customHeight="1">
      <c r="A564" s="282" t="s">
        <v>356</v>
      </c>
      <c r="B564" s="283"/>
      <c r="C564" s="283"/>
      <c r="D564" s="283"/>
      <c r="E564" s="283"/>
      <c r="F564" s="283"/>
      <c r="G564" s="283"/>
      <c r="H564" s="284"/>
      <c r="I564" s="337" t="s">
        <v>489</v>
      </c>
      <c r="J564" s="338"/>
      <c r="K564" s="123"/>
      <c r="L564" s="111">
        <f t="shared" ref="L564:S564" si="468">L568</f>
        <v>291120</v>
      </c>
      <c r="M564" s="111">
        <f t="shared" si="468"/>
        <v>38638.263985665937</v>
      </c>
      <c r="N564" s="112">
        <f t="shared" si="468"/>
        <v>97550</v>
      </c>
      <c r="O564" s="112">
        <f t="shared" si="468"/>
        <v>12947.10996084677</v>
      </c>
      <c r="P564" s="113">
        <f t="shared" si="468"/>
        <v>23000</v>
      </c>
      <c r="Q564" s="113">
        <f t="shared" si="468"/>
        <v>16000</v>
      </c>
      <c r="R564" s="87">
        <f t="shared" si="468"/>
        <v>15656</v>
      </c>
      <c r="S564" s="89" t="e">
        <f t="shared" ca="1" si="468"/>
        <v>#NAME?</v>
      </c>
      <c r="T564" s="89"/>
      <c r="U564" s="89"/>
      <c r="V564" s="532">
        <f>V568</f>
        <v>40000</v>
      </c>
      <c r="W564" s="532">
        <f>W568</f>
        <v>40000</v>
      </c>
      <c r="X564" s="506">
        <f>X568</f>
        <v>40000</v>
      </c>
      <c r="Y564" s="507">
        <f>Y568</f>
        <v>60000</v>
      </c>
      <c r="Z564" s="507">
        <f>Z568</f>
        <v>0</v>
      </c>
      <c r="AA564" s="562" t="e">
        <f t="shared" ca="1" si="463"/>
        <v>#NAME?</v>
      </c>
      <c r="AB564" s="507"/>
      <c r="AC564" s="508">
        <f>AC568</f>
        <v>23000</v>
      </c>
      <c r="AD564" s="508">
        <f>AD568</f>
        <v>23000</v>
      </c>
      <c r="AE564" s="529">
        <f>O564/M564*100</f>
        <v>33.508518823852704</v>
      </c>
      <c r="AF564" s="529">
        <f>P564/O564*100</f>
        <v>177.6458226550487</v>
      </c>
      <c r="AG564" s="529">
        <f>Q564/P564*100</f>
        <v>69.565217391304344</v>
      </c>
      <c r="AH564" s="529">
        <f>AC564/Q564*100</f>
        <v>143.75</v>
      </c>
      <c r="AI564" s="507"/>
      <c r="AJ564" s="507">
        <v>60000</v>
      </c>
      <c r="AK564" s="507">
        <f t="shared" si="456"/>
        <v>255.49310168625445</v>
      </c>
      <c r="AL564" s="507">
        <f t="shared" si="457"/>
        <v>100</v>
      </c>
      <c r="AM564" s="507">
        <f>Y564/X564*100</f>
        <v>150</v>
      </c>
      <c r="AN564" s="509"/>
      <c r="AO564" s="510"/>
      <c r="AP564" s="510" t="e">
        <f t="shared" ca="1" si="462"/>
        <v>#NAME?</v>
      </c>
      <c r="AQ564" s="532">
        <f>AQ568</f>
        <v>38787</v>
      </c>
      <c r="AR564" s="533">
        <f>V564/R564*100</f>
        <v>255.49310168625445</v>
      </c>
      <c r="AS564" s="533">
        <f>W564/V564*100</f>
        <v>100</v>
      </c>
      <c r="AT564" s="533">
        <f>W564/R564*100</f>
        <v>255.49310168625445</v>
      </c>
      <c r="AU564" s="533">
        <f>AQ564/W564*100</f>
        <v>96.967500000000001</v>
      </c>
      <c r="AV564" s="533">
        <f>AQ564/R564*100</f>
        <v>247.74527337761882</v>
      </c>
      <c r="AW564" s="612"/>
      <c r="AX564" s="612"/>
      <c r="AY564" s="612"/>
      <c r="AZ564" s="612"/>
      <c r="BA564" s="612"/>
      <c r="BB564" s="612"/>
      <c r="BC564" s="612"/>
      <c r="BD564" s="612"/>
      <c r="BE564" s="612"/>
      <c r="BF564" s="612"/>
      <c r="BG564" s="612"/>
      <c r="BH564" s="612">
        <f t="shared" si="464"/>
        <v>0</v>
      </c>
      <c r="BI564" s="612">
        <f t="shared" si="437"/>
        <v>0</v>
      </c>
      <c r="BJ564" s="201">
        <f>AQ571-BI564</f>
        <v>0</v>
      </c>
    </row>
    <row r="565" spans="1:62" ht="12" customHeight="1">
      <c r="A565" s="68"/>
      <c r="B565" s="68"/>
      <c r="C565" s="68"/>
      <c r="D565" s="68"/>
      <c r="E565" s="68"/>
      <c r="F565" s="68"/>
      <c r="G565" s="68"/>
      <c r="H565" s="319"/>
      <c r="I565" s="256"/>
      <c r="J565" s="211"/>
      <c r="K565" s="69"/>
      <c r="L565" s="175"/>
      <c r="M565" s="175"/>
      <c r="N565" s="176"/>
      <c r="O565" s="176"/>
      <c r="P565" s="177"/>
      <c r="Q565" s="177"/>
      <c r="R565" s="212"/>
      <c r="S565" s="158" t="e">
        <f ca="1">__xlfn.XLOOKUP(H565,[1]Izvršenje_proračuna_po_pozicija!$B$2:$B$153,[1]Izvršenje_proračuna_po_pozicija!$E$2:$E$153,0)</f>
        <v>#NAME?</v>
      </c>
      <c r="T565" s="158"/>
      <c r="U565" s="158"/>
      <c r="V565" s="532"/>
      <c r="W565" s="532"/>
      <c r="X565" s="563"/>
      <c r="Y565" s="562"/>
      <c r="Z565" s="562"/>
      <c r="AA565" s="562" t="e">
        <f t="shared" ca="1" si="463"/>
        <v>#NAME?</v>
      </c>
      <c r="AB565" s="507"/>
      <c r="AC565" s="508"/>
      <c r="AD565" s="508"/>
      <c r="AE565" s="529"/>
      <c r="AF565" s="529"/>
      <c r="AG565" s="529"/>
      <c r="AH565" s="529"/>
      <c r="AI565" s="507"/>
      <c r="AJ565" s="562"/>
      <c r="AK565" s="507"/>
      <c r="AL565" s="507"/>
      <c r="AM565" s="507"/>
      <c r="AN565" s="509"/>
      <c r="AO565" s="510"/>
      <c r="AP565" s="510" t="e">
        <f t="shared" ca="1" si="462"/>
        <v>#NAME?</v>
      </c>
      <c r="AQ565" s="532"/>
      <c r="AR565" s="533"/>
      <c r="AS565" s="533"/>
      <c r="AT565" s="533"/>
      <c r="AU565" s="533"/>
      <c r="AV565" s="533"/>
      <c r="AW565" s="612"/>
      <c r="AX565" s="612"/>
      <c r="AY565" s="612"/>
      <c r="AZ565" s="612"/>
      <c r="BA565" s="612"/>
      <c r="BB565" s="612"/>
      <c r="BC565" s="612"/>
      <c r="BD565" s="612"/>
      <c r="BE565" s="612"/>
      <c r="BF565" s="612"/>
      <c r="BG565" s="612"/>
      <c r="BH565" s="612">
        <f t="shared" si="464"/>
        <v>0</v>
      </c>
      <c r="BI565" s="612">
        <f t="shared" si="437"/>
        <v>0</v>
      </c>
      <c r="BJ565" s="201"/>
    </row>
    <row r="566" spans="1:62" ht="12" customHeight="1">
      <c r="A566" s="25"/>
      <c r="B566" s="25"/>
      <c r="C566" s="25"/>
      <c r="D566" s="25"/>
      <c r="E566" s="25"/>
      <c r="F566" s="25"/>
      <c r="G566" s="25"/>
      <c r="H566" s="285"/>
      <c r="I566" s="296"/>
      <c r="J566" s="211">
        <v>3</v>
      </c>
      <c r="K566" s="3" t="s">
        <v>220</v>
      </c>
      <c r="L566" s="111">
        <f t="shared" ref="L566:S567" si="469">L567</f>
        <v>291120</v>
      </c>
      <c r="M566" s="111">
        <f t="shared" si="469"/>
        <v>38638.263985665937</v>
      </c>
      <c r="N566" s="112">
        <f t="shared" si="469"/>
        <v>97550</v>
      </c>
      <c r="O566" s="112">
        <f t="shared" si="469"/>
        <v>12947.10996084677</v>
      </c>
      <c r="P566" s="113">
        <f t="shared" si="469"/>
        <v>23000</v>
      </c>
      <c r="Q566" s="113">
        <f t="shared" si="469"/>
        <v>16000</v>
      </c>
      <c r="R566" s="87">
        <f t="shared" si="469"/>
        <v>15656</v>
      </c>
      <c r="S566" s="89" t="e">
        <f t="shared" ca="1" si="469"/>
        <v>#NAME?</v>
      </c>
      <c r="T566" s="89"/>
      <c r="U566" s="89"/>
      <c r="V566" s="532">
        <f>V567</f>
        <v>40000</v>
      </c>
      <c r="W566" s="532">
        <f t="shared" ref="W566:Z567" si="470">W567</f>
        <v>40000</v>
      </c>
      <c r="X566" s="506">
        <f t="shared" si="470"/>
        <v>40000</v>
      </c>
      <c r="Y566" s="507">
        <f t="shared" si="470"/>
        <v>60000</v>
      </c>
      <c r="Z566" s="507">
        <f t="shared" si="470"/>
        <v>0</v>
      </c>
      <c r="AA566" s="562" t="e">
        <f t="shared" ca="1" si="463"/>
        <v>#NAME?</v>
      </c>
      <c r="AB566" s="507"/>
      <c r="AC566" s="508">
        <f>AC567</f>
        <v>23000</v>
      </c>
      <c r="AD566" s="508">
        <f>AD567</f>
        <v>23000</v>
      </c>
      <c r="AE566" s="529">
        <f>O566/M566*100</f>
        <v>33.508518823852704</v>
      </c>
      <c r="AF566" s="529">
        <f t="shared" ref="AF566:AG569" si="471">P566/O566*100</f>
        <v>177.6458226550487</v>
      </c>
      <c r="AG566" s="529">
        <f t="shared" si="471"/>
        <v>69.565217391304344</v>
      </c>
      <c r="AH566" s="529">
        <f>AC566/Q566*100</f>
        <v>143.75</v>
      </c>
      <c r="AI566" s="507"/>
      <c r="AJ566" s="507">
        <v>60000</v>
      </c>
      <c r="AK566" s="507">
        <f t="shared" si="456"/>
        <v>255.49310168625445</v>
      </c>
      <c r="AL566" s="507">
        <f t="shared" si="457"/>
        <v>100</v>
      </c>
      <c r="AM566" s="507">
        <f>Y566/X566*100</f>
        <v>150</v>
      </c>
      <c r="AN566" s="509"/>
      <c r="AO566" s="510"/>
      <c r="AP566" s="510" t="e">
        <f t="shared" ca="1" si="462"/>
        <v>#NAME?</v>
      </c>
      <c r="AQ566" s="532">
        <f>AQ567</f>
        <v>38787</v>
      </c>
      <c r="AR566" s="533">
        <f>V566/R566*100</f>
        <v>255.49310168625445</v>
      </c>
      <c r="AS566" s="533">
        <f>W566/V566*100</f>
        <v>100</v>
      </c>
      <c r="AT566" s="533">
        <f>W566/R566*100</f>
        <v>255.49310168625445</v>
      </c>
      <c r="AU566" s="533">
        <f>AQ566/W566*100</f>
        <v>96.967500000000001</v>
      </c>
      <c r="AV566" s="533">
        <f>AQ566/R566*100</f>
        <v>247.74527337761882</v>
      </c>
      <c r="AW566" s="612"/>
      <c r="AX566" s="612"/>
      <c r="AY566" s="612"/>
      <c r="AZ566" s="612"/>
      <c r="BA566" s="612"/>
      <c r="BB566" s="612"/>
      <c r="BC566" s="612"/>
      <c r="BD566" s="612"/>
      <c r="BE566" s="612"/>
      <c r="BF566" s="612"/>
      <c r="BG566" s="612"/>
      <c r="BH566" s="612">
        <f t="shared" si="464"/>
        <v>0</v>
      </c>
      <c r="BI566" s="612">
        <f t="shared" si="437"/>
        <v>0</v>
      </c>
      <c r="BJ566" s="201">
        <f>AQ573-BI566</f>
        <v>0</v>
      </c>
    </row>
    <row r="567" spans="1:62" ht="12" customHeight="1">
      <c r="A567" s="227"/>
      <c r="B567" s="227"/>
      <c r="C567" s="227"/>
      <c r="D567" s="227"/>
      <c r="E567" s="227"/>
      <c r="F567" s="227"/>
      <c r="G567" s="227"/>
      <c r="H567" s="234"/>
      <c r="I567" s="297"/>
      <c r="J567" s="228">
        <v>32</v>
      </c>
      <c r="K567" s="258" t="s">
        <v>229</v>
      </c>
      <c r="L567" s="111">
        <f t="shared" si="469"/>
        <v>291120</v>
      </c>
      <c r="M567" s="111">
        <f t="shared" si="469"/>
        <v>38638.263985665937</v>
      </c>
      <c r="N567" s="112">
        <f t="shared" si="469"/>
        <v>97550</v>
      </c>
      <c r="O567" s="112">
        <f t="shared" si="469"/>
        <v>12947.10996084677</v>
      </c>
      <c r="P567" s="113">
        <f t="shared" si="469"/>
        <v>23000</v>
      </c>
      <c r="Q567" s="113">
        <f t="shared" si="469"/>
        <v>16000</v>
      </c>
      <c r="R567" s="87">
        <f t="shared" si="469"/>
        <v>15656</v>
      </c>
      <c r="S567" s="89" t="e">
        <f t="shared" ca="1" si="469"/>
        <v>#NAME?</v>
      </c>
      <c r="T567" s="89"/>
      <c r="U567" s="89"/>
      <c r="V567" s="532">
        <f>V568</f>
        <v>40000</v>
      </c>
      <c r="W567" s="532">
        <f t="shared" si="470"/>
        <v>40000</v>
      </c>
      <c r="X567" s="506">
        <f t="shared" si="470"/>
        <v>40000</v>
      </c>
      <c r="Y567" s="507">
        <f t="shared" si="470"/>
        <v>60000</v>
      </c>
      <c r="Z567" s="507">
        <f t="shared" si="470"/>
        <v>0</v>
      </c>
      <c r="AA567" s="562" t="e">
        <f t="shared" ca="1" si="463"/>
        <v>#NAME?</v>
      </c>
      <c r="AB567" s="507"/>
      <c r="AC567" s="508">
        <f>AC568</f>
        <v>23000</v>
      </c>
      <c r="AD567" s="508">
        <f>AD568</f>
        <v>23000</v>
      </c>
      <c r="AE567" s="529">
        <f>O567/M567*100</f>
        <v>33.508518823852704</v>
      </c>
      <c r="AF567" s="529">
        <f t="shared" si="471"/>
        <v>177.6458226550487</v>
      </c>
      <c r="AG567" s="529">
        <f t="shared" si="471"/>
        <v>69.565217391304344</v>
      </c>
      <c r="AH567" s="529">
        <f>AC567/Q567*100</f>
        <v>143.75</v>
      </c>
      <c r="AI567" s="507"/>
      <c r="AJ567" s="507">
        <v>60000</v>
      </c>
      <c r="AK567" s="507">
        <f t="shared" si="456"/>
        <v>255.49310168625445</v>
      </c>
      <c r="AL567" s="507">
        <f t="shared" si="457"/>
        <v>100</v>
      </c>
      <c r="AM567" s="507">
        <f>Y567/X567*100</f>
        <v>150</v>
      </c>
      <c r="AN567" s="509"/>
      <c r="AO567" s="510"/>
      <c r="AP567" s="510" t="e">
        <f t="shared" ca="1" si="462"/>
        <v>#NAME?</v>
      </c>
      <c r="AQ567" s="532">
        <f>AQ568</f>
        <v>38787</v>
      </c>
      <c r="AR567" s="533">
        <f>V567/R567*100</f>
        <v>255.49310168625445</v>
      </c>
      <c r="AS567" s="533">
        <f>W567/V567*100</f>
        <v>100</v>
      </c>
      <c r="AT567" s="533">
        <f>W567/R567*100</f>
        <v>255.49310168625445</v>
      </c>
      <c r="AU567" s="533">
        <f>AQ567/W567*100</f>
        <v>96.967500000000001</v>
      </c>
      <c r="AV567" s="533">
        <f>AQ567/R567*100</f>
        <v>247.74527337761882</v>
      </c>
      <c r="AW567" s="612"/>
      <c r="AX567" s="612"/>
      <c r="AY567" s="612"/>
      <c r="AZ567" s="612"/>
      <c r="BA567" s="612"/>
      <c r="BB567" s="612"/>
      <c r="BC567" s="612"/>
      <c r="BD567" s="612"/>
      <c r="BE567" s="612"/>
      <c r="BF567" s="612"/>
      <c r="BG567" s="612"/>
      <c r="BH567" s="612">
        <f t="shared" si="464"/>
        <v>0</v>
      </c>
      <c r="BI567" s="612">
        <f t="shared" si="437"/>
        <v>0</v>
      </c>
      <c r="BJ567" s="201"/>
    </row>
    <row r="568" spans="1:62" ht="12" customHeight="1">
      <c r="A568" s="61"/>
      <c r="B568" s="61"/>
      <c r="C568" s="61">
        <v>3</v>
      </c>
      <c r="D568" s="61"/>
      <c r="E568" s="61"/>
      <c r="F568" s="61"/>
      <c r="G568" s="61"/>
      <c r="H568" s="230"/>
      <c r="I568" s="261"/>
      <c r="J568" s="229">
        <v>323</v>
      </c>
      <c r="K568" s="20" t="s">
        <v>437</v>
      </c>
      <c r="L568" s="111">
        <f t="shared" ref="L568:S568" si="472">L569+L570</f>
        <v>291120</v>
      </c>
      <c r="M568" s="111">
        <f t="shared" si="472"/>
        <v>38638.263985665937</v>
      </c>
      <c r="N568" s="112">
        <f t="shared" si="472"/>
        <v>97550</v>
      </c>
      <c r="O568" s="112">
        <f t="shared" si="472"/>
        <v>12947.10996084677</v>
      </c>
      <c r="P568" s="113">
        <f t="shared" si="472"/>
        <v>23000</v>
      </c>
      <c r="Q568" s="113">
        <f t="shared" si="472"/>
        <v>16000</v>
      </c>
      <c r="R568" s="87">
        <f t="shared" si="472"/>
        <v>15656</v>
      </c>
      <c r="S568" s="89" t="e">
        <f t="shared" ca="1" si="472"/>
        <v>#NAME?</v>
      </c>
      <c r="T568" s="89"/>
      <c r="U568" s="89"/>
      <c r="V568" s="532">
        <f>V569+V570</f>
        <v>40000</v>
      </c>
      <c r="W568" s="532">
        <f>W569+W570</f>
        <v>40000</v>
      </c>
      <c r="X568" s="506">
        <f>X569+X570</f>
        <v>40000</v>
      </c>
      <c r="Y568" s="507">
        <f>Y569+Y570</f>
        <v>60000</v>
      </c>
      <c r="Z568" s="507">
        <f>Z569+Z570</f>
        <v>0</v>
      </c>
      <c r="AA568" s="562" t="e">
        <f t="shared" ca="1" si="463"/>
        <v>#NAME?</v>
      </c>
      <c r="AB568" s="507"/>
      <c r="AC568" s="508">
        <f>AC569+AC570</f>
        <v>23000</v>
      </c>
      <c r="AD568" s="508">
        <f>AD569+AD570</f>
        <v>23000</v>
      </c>
      <c r="AE568" s="529">
        <f>O568/M568*100</f>
        <v>33.508518823852704</v>
      </c>
      <c r="AF568" s="529">
        <f t="shared" si="471"/>
        <v>177.6458226550487</v>
      </c>
      <c r="AG568" s="529">
        <f t="shared" si="471"/>
        <v>69.565217391304344</v>
      </c>
      <c r="AH568" s="529">
        <f>AC568/Q568*100</f>
        <v>143.75</v>
      </c>
      <c r="AI568" s="507"/>
      <c r="AJ568" s="507">
        <v>60000</v>
      </c>
      <c r="AK568" s="507">
        <f t="shared" si="456"/>
        <v>255.49310168625445</v>
      </c>
      <c r="AL568" s="507">
        <f t="shared" si="457"/>
        <v>100</v>
      </c>
      <c r="AM568" s="507">
        <f>Y568/X568*100</f>
        <v>150</v>
      </c>
      <c r="AN568" s="509"/>
      <c r="AO568" s="510"/>
      <c r="AP568" s="510" t="e">
        <f t="shared" ca="1" si="462"/>
        <v>#NAME?</v>
      </c>
      <c r="AQ568" s="532">
        <f>AQ569+AQ570</f>
        <v>38787</v>
      </c>
      <c r="AR568" s="533">
        <f>V568/R568*100</f>
        <v>255.49310168625445</v>
      </c>
      <c r="AS568" s="533">
        <f>W568/V568*100</f>
        <v>100</v>
      </c>
      <c r="AT568" s="533">
        <f>W568/R568*100</f>
        <v>255.49310168625445</v>
      </c>
      <c r="AU568" s="533">
        <f>AQ568/W568*100</f>
        <v>96.967500000000001</v>
      </c>
      <c r="AV568" s="533">
        <f>AQ568/R568*100</f>
        <v>247.74527337761882</v>
      </c>
      <c r="AW568" s="612"/>
      <c r="AX568" s="612"/>
      <c r="AY568" s="612"/>
      <c r="AZ568" s="612"/>
      <c r="BA568" s="612"/>
      <c r="BB568" s="612"/>
      <c r="BC568" s="612"/>
      <c r="BD568" s="612"/>
      <c r="BE568" s="612"/>
      <c r="BF568" s="612"/>
      <c r="BG568" s="612"/>
      <c r="BH568" s="612">
        <f t="shared" si="464"/>
        <v>0</v>
      </c>
      <c r="BI568" s="612">
        <f t="shared" si="437"/>
        <v>0</v>
      </c>
      <c r="BJ568" s="201"/>
    </row>
    <row r="569" spans="1:62" ht="12" customHeight="1">
      <c r="A569" s="52"/>
      <c r="B569" s="52"/>
      <c r="C569" s="52"/>
      <c r="D569" s="52"/>
      <c r="E569" s="52"/>
      <c r="F569" s="52"/>
      <c r="G569" s="52"/>
      <c r="H569" s="2" t="s">
        <v>490</v>
      </c>
      <c r="I569" s="260">
        <v>451</v>
      </c>
      <c r="J569" s="185">
        <v>3232</v>
      </c>
      <c r="K569" s="19" t="s">
        <v>491</v>
      </c>
      <c r="L569" s="129">
        <v>291120</v>
      </c>
      <c r="M569" s="129">
        <f>291120/7.5345</f>
        <v>38638.263985665937</v>
      </c>
      <c r="N569" s="130">
        <v>97550</v>
      </c>
      <c r="O569" s="130">
        <f>N569/7.5345</f>
        <v>12947.10996084677</v>
      </c>
      <c r="P569" s="131">
        <v>16000</v>
      </c>
      <c r="Q569" s="131">
        <v>16000</v>
      </c>
      <c r="R569" s="153">
        <v>15656</v>
      </c>
      <c r="S569" s="158" t="e">
        <f ca="1">__xlfn.XLOOKUP(H569,[1]Izvršenje_proračuna_po_pozicija!$B$2:$B$153,[1]Izvršenje_proračuna_po_pozicija!$E$2:$E$153,0)</f>
        <v>#NAME?</v>
      </c>
      <c r="T569" s="158"/>
      <c r="U569" s="158"/>
      <c r="V569" s="532">
        <v>40000</v>
      </c>
      <c r="W569" s="532">
        <v>40000</v>
      </c>
      <c r="X569" s="560">
        <v>40000</v>
      </c>
      <c r="Y569" s="561">
        <v>60000</v>
      </c>
      <c r="Z569" s="561"/>
      <c r="AA569" s="562" t="e">
        <f t="shared" ca="1" si="463"/>
        <v>#NAME?</v>
      </c>
      <c r="AB569" s="535"/>
      <c r="AC569" s="529">
        <v>16000</v>
      </c>
      <c r="AD569" s="529">
        <v>16000</v>
      </c>
      <c r="AE569" s="529">
        <f>O569/M569*100</f>
        <v>33.508518823852704</v>
      </c>
      <c r="AF569" s="529">
        <f t="shared" si="471"/>
        <v>123.57970271655563</v>
      </c>
      <c r="AG569" s="529">
        <f t="shared" si="471"/>
        <v>100</v>
      </c>
      <c r="AH569" s="529">
        <f>AC569/Q569*100</f>
        <v>100</v>
      </c>
      <c r="AI569" s="535"/>
      <c r="AJ569" s="561">
        <v>60000</v>
      </c>
      <c r="AK569" s="507">
        <f t="shared" si="456"/>
        <v>255.49310168625445</v>
      </c>
      <c r="AL569" s="507">
        <f t="shared" si="457"/>
        <v>100</v>
      </c>
      <c r="AM569" s="507">
        <f>Y569/X569*100</f>
        <v>150</v>
      </c>
      <c r="AN569" s="556"/>
      <c r="AO569" s="510"/>
      <c r="AP569" s="510" t="e">
        <f t="shared" ca="1" si="462"/>
        <v>#NAME?</v>
      </c>
      <c r="AQ569" s="532">
        <v>38787</v>
      </c>
      <c r="AR569" s="533">
        <f>V569/R569*100</f>
        <v>255.49310168625445</v>
      </c>
      <c r="AS569" s="533">
        <f>W569/V569*100</f>
        <v>100</v>
      </c>
      <c r="AT569" s="533">
        <f>W569/R569*100</f>
        <v>255.49310168625445</v>
      </c>
      <c r="AU569" s="533">
        <f>AQ569/W569*100</f>
        <v>96.967500000000001</v>
      </c>
      <c r="AV569" s="533">
        <f>AQ569/R569*100</f>
        <v>247.74527337761882</v>
      </c>
      <c r="AW569" s="612"/>
      <c r="AX569" s="612"/>
      <c r="AY569" s="612"/>
      <c r="AZ569" s="612">
        <f>AQ569</f>
        <v>38787</v>
      </c>
      <c r="BA569" s="612"/>
      <c r="BB569" s="612"/>
      <c r="BC569" s="612"/>
      <c r="BD569" s="612"/>
      <c r="BE569" s="612"/>
      <c r="BF569" s="612"/>
      <c r="BG569" s="612"/>
      <c r="BH569" s="612">
        <f t="shared" si="464"/>
        <v>38787</v>
      </c>
      <c r="BI569" s="612">
        <f t="shared" si="437"/>
        <v>625975</v>
      </c>
      <c r="BJ569" s="201"/>
    </row>
    <row r="570" spans="1:62" ht="12" customHeight="1">
      <c r="A570" s="167"/>
      <c r="B570" s="167"/>
      <c r="C570" s="167"/>
      <c r="D570" s="167"/>
      <c r="E570" s="167"/>
      <c r="F570" s="167"/>
      <c r="G570" s="167"/>
      <c r="H570" s="22" t="s">
        <v>492</v>
      </c>
      <c r="I570" s="289">
        <v>451</v>
      </c>
      <c r="J570" s="185">
        <v>3237</v>
      </c>
      <c r="K570" s="19" t="s">
        <v>493</v>
      </c>
      <c r="L570" s="129">
        <v>0</v>
      </c>
      <c r="M570" s="129">
        <v>0</v>
      </c>
      <c r="N570" s="130">
        <v>0</v>
      </c>
      <c r="O570" s="130">
        <v>0</v>
      </c>
      <c r="P570" s="131">
        <v>7000</v>
      </c>
      <c r="Q570" s="156">
        <v>0</v>
      </c>
      <c r="R570" s="153">
        <v>0</v>
      </c>
      <c r="S570" s="158" t="e">
        <f ca="1">__xlfn.XLOOKUP(H570,[1]Izvršenje_proračuna_po_pozicija!$B$2:$B$153,[1]Izvršenje_proračuna_po_pozicija!$E$2:$E$153,0)</f>
        <v>#NAME?</v>
      </c>
      <c r="T570" s="158"/>
      <c r="U570" s="158"/>
      <c r="V570" s="532"/>
      <c r="W570" s="532"/>
      <c r="X570" s="560"/>
      <c r="Y570" s="561"/>
      <c r="Z570" s="561"/>
      <c r="AA570" s="562" t="e">
        <f t="shared" ca="1" si="463"/>
        <v>#NAME?</v>
      </c>
      <c r="AB570" s="535"/>
      <c r="AC570" s="529">
        <v>7000</v>
      </c>
      <c r="AD570" s="529">
        <v>7000</v>
      </c>
      <c r="AE570" s="529"/>
      <c r="AF570" s="529"/>
      <c r="AG570" s="529"/>
      <c r="AH570" s="529"/>
      <c r="AI570" s="535"/>
      <c r="AJ570" s="561"/>
      <c r="AK570" s="507"/>
      <c r="AL570" s="507"/>
      <c r="AM570" s="507"/>
      <c r="AN570" s="556"/>
      <c r="AO570" s="510"/>
      <c r="AP570" s="510" t="e">
        <f t="shared" ca="1" si="462"/>
        <v>#NAME?</v>
      </c>
      <c r="AQ570" s="532"/>
      <c r="AR570" s="533"/>
      <c r="AS570" s="533"/>
      <c r="AT570" s="533"/>
      <c r="AU570" s="533"/>
      <c r="AV570" s="533"/>
      <c r="AW570" s="612"/>
      <c r="AX570" s="612"/>
      <c r="AY570" s="612"/>
      <c r="AZ570" s="612"/>
      <c r="BA570" s="612"/>
      <c r="BB570" s="612"/>
      <c r="BC570" s="612"/>
      <c r="BD570" s="612"/>
      <c r="BE570" s="612"/>
      <c r="BF570" s="612"/>
      <c r="BG570" s="612"/>
      <c r="BH570" s="612">
        <f t="shared" si="464"/>
        <v>0</v>
      </c>
      <c r="BI570" s="612">
        <f t="shared" si="437"/>
        <v>289000</v>
      </c>
      <c r="BJ570" s="201">
        <f>AQ577-BI570</f>
        <v>0</v>
      </c>
    </row>
    <row r="571" spans="1:62" ht="12" customHeight="1">
      <c r="A571" s="41"/>
      <c r="B571" s="41"/>
      <c r="C571" s="41"/>
      <c r="D571" s="41"/>
      <c r="E571" s="41"/>
      <c r="F571" s="41"/>
      <c r="G571" s="41"/>
      <c r="H571" s="235"/>
      <c r="I571" s="15"/>
      <c r="J571" s="3"/>
      <c r="K571" s="83"/>
      <c r="L571" s="84"/>
      <c r="M571" s="84"/>
      <c r="N571" s="85"/>
      <c r="O571" s="85"/>
      <c r="P571" s="86"/>
      <c r="Q571" s="86"/>
      <c r="R571" s="154"/>
      <c r="S571" s="158" t="e">
        <f ca="1">__xlfn.XLOOKUP(H571,[1]Izvršenje_proračuna_po_pozicija!$B$2:$B$153,[1]Izvršenje_proračuna_po_pozicija!$E$2:$E$153,0)</f>
        <v>#NAME?</v>
      </c>
      <c r="T571" s="158"/>
      <c r="U571" s="158"/>
      <c r="V571" s="532"/>
      <c r="W571" s="532"/>
      <c r="X571" s="568"/>
      <c r="Y571" s="569"/>
      <c r="Z571" s="569"/>
      <c r="AA571" s="562" t="e">
        <f t="shared" ca="1" si="463"/>
        <v>#NAME?</v>
      </c>
      <c r="AB571" s="537"/>
      <c r="AC571" s="538"/>
      <c r="AD571" s="538"/>
      <c r="AE571" s="529"/>
      <c r="AF571" s="529"/>
      <c r="AG571" s="529"/>
      <c r="AH571" s="529"/>
      <c r="AI571" s="537"/>
      <c r="AJ571" s="569"/>
      <c r="AK571" s="507"/>
      <c r="AL571" s="507"/>
      <c r="AM571" s="507"/>
      <c r="AN571" s="557"/>
      <c r="AO571" s="510"/>
      <c r="AP571" s="510" t="e">
        <f t="shared" ca="1" si="462"/>
        <v>#NAME?</v>
      </c>
      <c r="AQ571" s="532"/>
      <c r="AR571" s="533"/>
      <c r="AS571" s="533"/>
      <c r="AT571" s="533"/>
      <c r="AU571" s="533"/>
      <c r="AV571" s="533"/>
      <c r="AW571" s="612"/>
      <c r="AX571" s="612"/>
      <c r="AY571" s="612"/>
      <c r="AZ571" s="612"/>
      <c r="BA571" s="612"/>
      <c r="BB571" s="612"/>
      <c r="BC571" s="612"/>
      <c r="BD571" s="612"/>
      <c r="BE571" s="612"/>
      <c r="BF571" s="612"/>
      <c r="BG571" s="612"/>
      <c r="BH571" s="612">
        <f t="shared" si="464"/>
        <v>0</v>
      </c>
      <c r="BI571" s="612">
        <f t="shared" si="437"/>
        <v>0</v>
      </c>
      <c r="BJ571" s="201">
        <f>AQ578-BI571</f>
        <v>0</v>
      </c>
    </row>
    <row r="572" spans="1:62" ht="12" customHeight="1">
      <c r="A572" s="282" t="s">
        <v>405</v>
      </c>
      <c r="B572" s="283"/>
      <c r="C572" s="283"/>
      <c r="D572" s="283"/>
      <c r="E572" s="283"/>
      <c r="F572" s="283"/>
      <c r="G572" s="283"/>
      <c r="H572" s="284"/>
      <c r="I572" s="337" t="s">
        <v>494</v>
      </c>
      <c r="J572" s="338"/>
      <c r="K572" s="123"/>
      <c r="L572" s="111">
        <f t="shared" ref="L572:S572" si="473">L574+L582</f>
        <v>5271635</v>
      </c>
      <c r="M572" s="111">
        <f t="shared" si="473"/>
        <v>699666.20213683718</v>
      </c>
      <c r="N572" s="112">
        <f t="shared" si="473"/>
        <v>4658599</v>
      </c>
      <c r="O572" s="112">
        <f t="shared" si="473"/>
        <v>618302.34255756845</v>
      </c>
      <c r="P572" s="113">
        <f t="shared" si="473"/>
        <v>692000</v>
      </c>
      <c r="Q572" s="113">
        <f t="shared" si="473"/>
        <v>705000</v>
      </c>
      <c r="R572" s="87">
        <f t="shared" si="473"/>
        <v>689952</v>
      </c>
      <c r="S572" s="89" t="e">
        <f t="shared" ca="1" si="473"/>
        <v>#NAME?</v>
      </c>
      <c r="T572" s="89"/>
      <c r="U572" s="89"/>
      <c r="V572" s="532">
        <f>V574+V582</f>
        <v>815000</v>
      </c>
      <c r="W572" s="532">
        <f>W574+W582</f>
        <v>777927</v>
      </c>
      <c r="X572" s="506">
        <f>X574+X582</f>
        <v>1220000</v>
      </c>
      <c r="Y572" s="507">
        <f>Y574+Y582</f>
        <v>1475000</v>
      </c>
      <c r="Z572" s="507">
        <f>Z574+Z582</f>
        <v>0</v>
      </c>
      <c r="AA572" s="562" t="e">
        <f t="shared" ca="1" si="463"/>
        <v>#NAME?</v>
      </c>
      <c r="AB572" s="507"/>
      <c r="AC572" s="508">
        <f>AC574+AC582</f>
        <v>635000</v>
      </c>
      <c r="AD572" s="508">
        <f>AD574+AD582</f>
        <v>635000</v>
      </c>
      <c r="AE572" s="529">
        <f>O572/M572*100</f>
        <v>88.371046174479076</v>
      </c>
      <c r="AF572" s="529">
        <f>P572/O572*100</f>
        <v>111.91935601239773</v>
      </c>
      <c r="AG572" s="529">
        <f>Q572/P572*100</f>
        <v>101.878612716763</v>
      </c>
      <c r="AH572" s="529">
        <f>AC572/Q572*100</f>
        <v>90.070921985815602</v>
      </c>
      <c r="AI572" s="507"/>
      <c r="AJ572" s="507">
        <v>1475000</v>
      </c>
      <c r="AK572" s="507">
        <f t="shared" si="456"/>
        <v>112.75088701822736</v>
      </c>
      <c r="AL572" s="507">
        <f t="shared" si="457"/>
        <v>156.82705446655021</v>
      </c>
      <c r="AM572" s="507">
        <f>Y572/X572*100</f>
        <v>120.90163934426231</v>
      </c>
      <c r="AN572" s="509"/>
      <c r="AO572" s="510"/>
      <c r="AP572" s="510" t="e">
        <f t="shared" ca="1" si="462"/>
        <v>#NAME?</v>
      </c>
      <c r="AQ572" s="532">
        <f>AQ574+AQ582</f>
        <v>691130.36</v>
      </c>
      <c r="AR572" s="533">
        <f>V572/R572*100</f>
        <v>118.12415936181068</v>
      </c>
      <c r="AS572" s="533">
        <f>W572/V572*100</f>
        <v>95.45116564417178</v>
      </c>
      <c r="AT572" s="533">
        <f>W572/R572*100</f>
        <v>112.75088701822736</v>
      </c>
      <c r="AU572" s="533">
        <f>AQ572/W572*100</f>
        <v>88.842572632136424</v>
      </c>
      <c r="AV572" s="533">
        <f>AQ572/R572*100</f>
        <v>100.17078869254672</v>
      </c>
      <c r="AW572" s="612"/>
      <c r="AX572" s="612"/>
      <c r="AY572" s="612"/>
      <c r="AZ572" s="612"/>
      <c r="BA572" s="612"/>
      <c r="BB572" s="612"/>
      <c r="BC572" s="612"/>
      <c r="BD572" s="612"/>
      <c r="BE572" s="612"/>
      <c r="BF572" s="612"/>
      <c r="BG572" s="612"/>
      <c r="BH572" s="612">
        <f t="shared" si="464"/>
        <v>0</v>
      </c>
      <c r="BI572" s="612">
        <f t="shared" ref="BI572:BI635" si="474">SUM(AW579:BG579)</f>
        <v>336975</v>
      </c>
      <c r="BJ572" s="344">
        <f>AQ579-BI572</f>
        <v>0</v>
      </c>
    </row>
    <row r="573" spans="1:62" ht="12" customHeight="1">
      <c r="A573" s="52"/>
      <c r="B573" s="52"/>
      <c r="C573" s="52"/>
      <c r="D573" s="52"/>
      <c r="E573" s="52"/>
      <c r="F573" s="52"/>
      <c r="G573" s="52"/>
      <c r="H573" s="2"/>
      <c r="I573" s="260"/>
      <c r="J573" s="185"/>
      <c r="K573" s="19"/>
      <c r="L573" s="118"/>
      <c r="M573" s="118"/>
      <c r="N573" s="119"/>
      <c r="O573" s="119"/>
      <c r="P573" s="120"/>
      <c r="Q573" s="120"/>
      <c r="R573" s="151"/>
      <c r="S573" s="158" t="e">
        <f ca="1">__xlfn.XLOOKUP(H573,[1]Izvršenje_proračuna_po_pozicija!$B$2:$B$153,[1]Izvršenje_proračuna_po_pozicija!$E$2:$E$153,0)</f>
        <v>#NAME?</v>
      </c>
      <c r="T573" s="158"/>
      <c r="U573" s="158"/>
      <c r="V573" s="532"/>
      <c r="W573" s="532"/>
      <c r="X573" s="560"/>
      <c r="Y573" s="561"/>
      <c r="Z573" s="561"/>
      <c r="AA573" s="562" t="e">
        <f t="shared" ca="1" si="463"/>
        <v>#NAME?</v>
      </c>
      <c r="AB573" s="535"/>
      <c r="AC573" s="529"/>
      <c r="AD573" s="529"/>
      <c r="AE573" s="529"/>
      <c r="AF573" s="529"/>
      <c r="AG573" s="529"/>
      <c r="AH573" s="529"/>
      <c r="AI573" s="535"/>
      <c r="AJ573" s="561"/>
      <c r="AK573" s="507"/>
      <c r="AL573" s="507"/>
      <c r="AM573" s="507"/>
      <c r="AN573" s="556"/>
      <c r="AO573" s="510"/>
      <c r="AP573" s="510" t="e">
        <f t="shared" ca="1" si="462"/>
        <v>#NAME?</v>
      </c>
      <c r="AQ573" s="532"/>
      <c r="AR573" s="533"/>
      <c r="AS573" s="533"/>
      <c r="AT573" s="533"/>
      <c r="AU573" s="533"/>
      <c r="AV573" s="533"/>
      <c r="AW573" s="612"/>
      <c r="AX573" s="612"/>
      <c r="AY573" s="612"/>
      <c r="AZ573" s="612"/>
      <c r="BA573" s="612"/>
      <c r="BB573" s="612"/>
      <c r="BC573" s="612"/>
      <c r="BD573" s="612"/>
      <c r="BE573" s="612"/>
      <c r="BF573" s="612"/>
      <c r="BG573" s="612"/>
      <c r="BH573" s="612">
        <f t="shared" si="464"/>
        <v>0</v>
      </c>
      <c r="BI573" s="612">
        <f t="shared" si="474"/>
        <v>0</v>
      </c>
      <c r="BJ573" s="201">
        <f>AQ580-BI573</f>
        <v>0</v>
      </c>
    </row>
    <row r="574" spans="1:62" ht="12" customHeight="1">
      <c r="A574" s="25"/>
      <c r="B574" s="25"/>
      <c r="C574" s="25"/>
      <c r="D574" s="25"/>
      <c r="E574" s="25"/>
      <c r="F574" s="25"/>
      <c r="G574" s="25"/>
      <c r="H574" s="285"/>
      <c r="I574" s="296"/>
      <c r="J574" s="211">
        <v>3</v>
      </c>
      <c r="K574" s="3" t="s">
        <v>220</v>
      </c>
      <c r="L574" s="111">
        <f t="shared" ref="L574:AD575" si="475">L575</f>
        <v>4285000</v>
      </c>
      <c r="M574" s="111">
        <f t="shared" si="475"/>
        <v>568717.23405667255</v>
      </c>
      <c r="N574" s="112">
        <f t="shared" si="475"/>
        <v>4637866</v>
      </c>
      <c r="O574" s="112">
        <f t="shared" si="475"/>
        <v>615550.60057070805</v>
      </c>
      <c r="P574" s="113">
        <f t="shared" si="475"/>
        <v>631000</v>
      </c>
      <c r="Q574" s="113">
        <f t="shared" si="475"/>
        <v>665000</v>
      </c>
      <c r="R574" s="87">
        <f t="shared" si="475"/>
        <v>653971</v>
      </c>
      <c r="S574" s="89" t="e">
        <f t="shared" ca="1" si="475"/>
        <v>#NAME?</v>
      </c>
      <c r="T574" s="89"/>
      <c r="U574" s="89"/>
      <c r="V574" s="532">
        <f>V575</f>
        <v>750000</v>
      </c>
      <c r="W574" s="532">
        <f t="shared" si="475"/>
        <v>712927</v>
      </c>
      <c r="X574" s="506">
        <f t="shared" si="475"/>
        <v>1050000</v>
      </c>
      <c r="Y574" s="507">
        <f t="shared" si="475"/>
        <v>1250000</v>
      </c>
      <c r="Z574" s="507">
        <f t="shared" si="475"/>
        <v>0</v>
      </c>
      <c r="AA574" s="562" t="e">
        <f t="shared" ca="1" si="463"/>
        <v>#NAME?</v>
      </c>
      <c r="AB574" s="507"/>
      <c r="AC574" s="508">
        <f t="shared" si="475"/>
        <v>610000</v>
      </c>
      <c r="AD574" s="508">
        <f t="shared" si="475"/>
        <v>610000</v>
      </c>
      <c r="AE574" s="529">
        <f>O574/M574*100</f>
        <v>108.23491248541426</v>
      </c>
      <c r="AF574" s="529">
        <f t="shared" ref="AF574:AG577" si="476">P574/O574*100</f>
        <v>102.50985043552359</v>
      </c>
      <c r="AG574" s="529">
        <f t="shared" si="476"/>
        <v>105.38827258320127</v>
      </c>
      <c r="AH574" s="529">
        <f>AC574/Q574*100</f>
        <v>91.729323308270665</v>
      </c>
      <c r="AI574" s="507"/>
      <c r="AJ574" s="507">
        <v>1250000</v>
      </c>
      <c r="AK574" s="507">
        <f t="shared" si="456"/>
        <v>109.01507865027654</v>
      </c>
      <c r="AL574" s="507">
        <f t="shared" si="457"/>
        <v>147.28015631333923</v>
      </c>
      <c r="AM574" s="507"/>
      <c r="AN574" s="509"/>
      <c r="AO574" s="510"/>
      <c r="AP574" s="510" t="e">
        <f t="shared" ca="1" si="462"/>
        <v>#NAME?</v>
      </c>
      <c r="AQ574" s="532">
        <f>AQ575</f>
        <v>625975</v>
      </c>
      <c r="AR574" s="533">
        <f>V574/R574*100</f>
        <v>114.68398445802643</v>
      </c>
      <c r="AS574" s="533">
        <f>W574/V574*100</f>
        <v>95.056933333333333</v>
      </c>
      <c r="AT574" s="533">
        <f>W574/R574*100</f>
        <v>109.01507865027654</v>
      </c>
      <c r="AU574" s="533">
        <f>AQ574/W574*100</f>
        <v>87.803519855469077</v>
      </c>
      <c r="AV574" s="533">
        <f>AQ574/R574*100</f>
        <v>95.719076228150783</v>
      </c>
      <c r="AW574" s="612"/>
      <c r="AX574" s="612"/>
      <c r="AY574" s="612"/>
      <c r="AZ574" s="612"/>
      <c r="BA574" s="612"/>
      <c r="BB574" s="612"/>
      <c r="BC574" s="612"/>
      <c r="BD574" s="612"/>
      <c r="BE574" s="612"/>
      <c r="BF574" s="612"/>
      <c r="BG574" s="612"/>
      <c r="BH574" s="612">
        <f t="shared" si="464"/>
        <v>0</v>
      </c>
      <c r="BI574" s="612">
        <f t="shared" si="474"/>
        <v>0</v>
      </c>
      <c r="BJ574" s="201"/>
    </row>
    <row r="575" spans="1:62" ht="12" customHeight="1">
      <c r="A575" s="227"/>
      <c r="B575" s="227"/>
      <c r="C575" s="227"/>
      <c r="D575" s="227"/>
      <c r="E575" s="227"/>
      <c r="F575" s="227"/>
      <c r="G575" s="227"/>
      <c r="H575" s="234"/>
      <c r="I575" s="297"/>
      <c r="J575" s="228">
        <v>38</v>
      </c>
      <c r="K575" s="258" t="s">
        <v>281</v>
      </c>
      <c r="L575" s="111">
        <f t="shared" si="475"/>
        <v>4285000</v>
      </c>
      <c r="M575" s="111">
        <f t="shared" si="475"/>
        <v>568717.23405667255</v>
      </c>
      <c r="N575" s="112">
        <f t="shared" si="475"/>
        <v>4637866</v>
      </c>
      <c r="O575" s="112">
        <f t="shared" si="475"/>
        <v>615550.60057070805</v>
      </c>
      <c r="P575" s="113">
        <f t="shared" si="475"/>
        <v>631000</v>
      </c>
      <c r="Q575" s="113">
        <f t="shared" si="475"/>
        <v>665000</v>
      </c>
      <c r="R575" s="87">
        <f t="shared" si="475"/>
        <v>653971</v>
      </c>
      <c r="S575" s="89" t="e">
        <f t="shared" ca="1" si="475"/>
        <v>#NAME?</v>
      </c>
      <c r="T575" s="89"/>
      <c r="U575" s="89"/>
      <c r="V575" s="532">
        <f>V576</f>
        <v>750000</v>
      </c>
      <c r="W575" s="532">
        <f t="shared" si="475"/>
        <v>712927</v>
      </c>
      <c r="X575" s="506">
        <f t="shared" si="475"/>
        <v>1050000</v>
      </c>
      <c r="Y575" s="507">
        <f t="shared" si="475"/>
        <v>1250000</v>
      </c>
      <c r="Z575" s="507">
        <f t="shared" si="475"/>
        <v>0</v>
      </c>
      <c r="AA575" s="562" t="e">
        <f t="shared" ca="1" si="463"/>
        <v>#NAME?</v>
      </c>
      <c r="AB575" s="507"/>
      <c r="AC575" s="508">
        <f t="shared" si="475"/>
        <v>610000</v>
      </c>
      <c r="AD575" s="508">
        <f t="shared" si="475"/>
        <v>610000</v>
      </c>
      <c r="AE575" s="529">
        <f>O575/M575*100</f>
        <v>108.23491248541426</v>
      </c>
      <c r="AF575" s="529">
        <f t="shared" si="476"/>
        <v>102.50985043552359</v>
      </c>
      <c r="AG575" s="529">
        <f t="shared" si="476"/>
        <v>105.38827258320127</v>
      </c>
      <c r="AH575" s="529">
        <f>AC575/Q575*100</f>
        <v>91.729323308270665</v>
      </c>
      <c r="AI575" s="507"/>
      <c r="AJ575" s="507">
        <v>1250000</v>
      </c>
      <c r="AK575" s="507">
        <f t="shared" si="456"/>
        <v>109.01507865027654</v>
      </c>
      <c r="AL575" s="507">
        <f t="shared" si="457"/>
        <v>147.28015631333923</v>
      </c>
      <c r="AM575" s="507"/>
      <c r="AN575" s="509"/>
      <c r="AO575" s="510"/>
      <c r="AP575" s="510" t="e">
        <f t="shared" ca="1" si="462"/>
        <v>#NAME?</v>
      </c>
      <c r="AQ575" s="532">
        <f>AQ576</f>
        <v>625975</v>
      </c>
      <c r="AR575" s="533">
        <f>V575/R575*100</f>
        <v>114.68398445802643</v>
      </c>
      <c r="AS575" s="533">
        <f>W575/V575*100</f>
        <v>95.056933333333333</v>
      </c>
      <c r="AT575" s="533">
        <f>W575/R575*100</f>
        <v>109.01507865027654</v>
      </c>
      <c r="AU575" s="533">
        <f>AQ575/W575*100</f>
        <v>87.803519855469077</v>
      </c>
      <c r="AV575" s="533">
        <f>AQ575/R575*100</f>
        <v>95.719076228150783</v>
      </c>
      <c r="AW575" s="612"/>
      <c r="AX575" s="612"/>
      <c r="AY575" s="612"/>
      <c r="AZ575" s="612"/>
      <c r="BA575" s="612"/>
      <c r="BB575" s="612"/>
      <c r="BC575" s="612"/>
      <c r="BD575" s="612"/>
      <c r="BE575" s="612"/>
      <c r="BF575" s="612"/>
      <c r="BG575" s="612"/>
      <c r="BH575" s="612">
        <f t="shared" si="464"/>
        <v>0</v>
      </c>
      <c r="BI575" s="612">
        <f t="shared" si="474"/>
        <v>0</v>
      </c>
      <c r="BJ575" s="201"/>
    </row>
    <row r="576" spans="1:62" ht="12" customHeight="1">
      <c r="A576" s="61"/>
      <c r="B576" s="61"/>
      <c r="C576" s="61">
        <v>3</v>
      </c>
      <c r="D576" s="61">
        <v>4</v>
      </c>
      <c r="E576" s="61"/>
      <c r="F576" s="61">
        <v>6</v>
      </c>
      <c r="G576" s="61"/>
      <c r="H576" s="230"/>
      <c r="I576" s="261"/>
      <c r="J576" s="229">
        <v>386</v>
      </c>
      <c r="K576" s="20" t="s">
        <v>495</v>
      </c>
      <c r="L576" s="111">
        <f t="shared" ref="L576:S576" si="477">L577+L578+L579+L580</f>
        <v>4285000</v>
      </c>
      <c r="M576" s="111">
        <f t="shared" si="477"/>
        <v>568717.23405667255</v>
      </c>
      <c r="N576" s="112">
        <f t="shared" si="477"/>
        <v>4637866</v>
      </c>
      <c r="O576" s="112">
        <f t="shared" si="477"/>
        <v>615550.60057070805</v>
      </c>
      <c r="P576" s="113">
        <f t="shared" si="477"/>
        <v>631000</v>
      </c>
      <c r="Q576" s="113">
        <f t="shared" si="477"/>
        <v>665000</v>
      </c>
      <c r="R576" s="87">
        <f t="shared" si="477"/>
        <v>653971</v>
      </c>
      <c r="S576" s="89" t="e">
        <f t="shared" ca="1" si="477"/>
        <v>#NAME?</v>
      </c>
      <c r="T576" s="89"/>
      <c r="U576" s="89"/>
      <c r="V576" s="532">
        <f>V577+V578+V579+V580</f>
        <v>750000</v>
      </c>
      <c r="W576" s="532">
        <f>W577+W578+W579+W580</f>
        <v>712927</v>
      </c>
      <c r="X576" s="506">
        <f>X577+X578+X579+X580</f>
        <v>1050000</v>
      </c>
      <c r="Y576" s="507">
        <f>Y577+Y578+Y579+Y580</f>
        <v>1250000</v>
      </c>
      <c r="Z576" s="507">
        <f>Z577+Z578+Z579+Z580</f>
        <v>0</v>
      </c>
      <c r="AA576" s="562" t="e">
        <f t="shared" ca="1" si="463"/>
        <v>#NAME?</v>
      </c>
      <c r="AB576" s="507"/>
      <c r="AC576" s="508">
        <f>AC577+AC578+AC579+AC580</f>
        <v>610000</v>
      </c>
      <c r="AD576" s="508">
        <f>AD577+AD578+AD579+AD580</f>
        <v>610000</v>
      </c>
      <c r="AE576" s="529">
        <f>O576/M576*100</f>
        <v>108.23491248541426</v>
      </c>
      <c r="AF576" s="529">
        <f t="shared" si="476"/>
        <v>102.50985043552359</v>
      </c>
      <c r="AG576" s="529">
        <f t="shared" si="476"/>
        <v>105.38827258320127</v>
      </c>
      <c r="AH576" s="529">
        <f>AC576/Q576*100</f>
        <v>91.729323308270665</v>
      </c>
      <c r="AI576" s="507"/>
      <c r="AJ576" s="507">
        <v>1250000</v>
      </c>
      <c r="AK576" s="507">
        <f t="shared" si="456"/>
        <v>109.01507865027654</v>
      </c>
      <c r="AL576" s="507">
        <f t="shared" si="457"/>
        <v>147.28015631333923</v>
      </c>
      <c r="AM576" s="507"/>
      <c r="AN576" s="509"/>
      <c r="AO576" s="510"/>
      <c r="AP576" s="510" t="e">
        <f t="shared" ca="1" si="462"/>
        <v>#NAME?</v>
      </c>
      <c r="AQ576" s="532">
        <f>AQ577+AQ578+AQ579+AQ580</f>
        <v>625975</v>
      </c>
      <c r="AR576" s="532">
        <f t="shared" ref="AR576:BG576" si="478">AR577+AR578+AR579+AR580</f>
        <v>254.30655755443789</v>
      </c>
      <c r="AS576" s="532">
        <f t="shared" si="478"/>
        <v>189.40771428571429</v>
      </c>
      <c r="AT576" s="532">
        <f t="shared" si="478"/>
        <v>245.01018603057821</v>
      </c>
      <c r="AU576" s="532">
        <f t="shared" si="478"/>
        <v>176.59755775708072</v>
      </c>
      <c r="AV576" s="532">
        <f t="shared" si="478"/>
        <v>212.76965947342006</v>
      </c>
      <c r="AW576" s="612">
        <f t="shared" si="478"/>
        <v>0</v>
      </c>
      <c r="AX576" s="612">
        <f t="shared" si="478"/>
        <v>0</v>
      </c>
      <c r="AY576" s="612">
        <f t="shared" si="478"/>
        <v>394789.96</v>
      </c>
      <c r="AZ576" s="612">
        <f t="shared" si="478"/>
        <v>0</v>
      </c>
      <c r="BA576" s="612">
        <f t="shared" si="478"/>
        <v>0</v>
      </c>
      <c r="BB576" s="612">
        <f t="shared" si="478"/>
        <v>0</v>
      </c>
      <c r="BC576" s="612">
        <f t="shared" si="478"/>
        <v>0</v>
      </c>
      <c r="BD576" s="612">
        <f t="shared" si="478"/>
        <v>0</v>
      </c>
      <c r="BE576" s="612">
        <f t="shared" si="478"/>
        <v>231185.04</v>
      </c>
      <c r="BF576" s="612">
        <f t="shared" si="478"/>
        <v>0</v>
      </c>
      <c r="BG576" s="612">
        <f t="shared" si="478"/>
        <v>0</v>
      </c>
      <c r="BH576" s="612">
        <f t="shared" si="464"/>
        <v>625975</v>
      </c>
      <c r="BI576" s="612">
        <f t="shared" si="474"/>
        <v>0</v>
      </c>
      <c r="BJ576" s="201"/>
    </row>
    <row r="577" spans="1:62" ht="12" customHeight="1">
      <c r="A577" s="52"/>
      <c r="B577" s="52"/>
      <c r="C577" s="52"/>
      <c r="D577" s="52"/>
      <c r="E577" s="52"/>
      <c r="F577" s="52"/>
      <c r="G577" s="52"/>
      <c r="H577" s="2" t="s">
        <v>496</v>
      </c>
      <c r="I577" s="260">
        <v>451</v>
      </c>
      <c r="J577" s="185">
        <v>3861</v>
      </c>
      <c r="K577" s="478" t="s">
        <v>497</v>
      </c>
      <c r="L577" s="129">
        <v>950000</v>
      </c>
      <c r="M577" s="129">
        <f>950000/7.5345</f>
        <v>126086.66799389475</v>
      </c>
      <c r="N577" s="130">
        <v>1100000</v>
      </c>
      <c r="O577" s="130">
        <f>N577/7.5345</f>
        <v>145995.08925608866</v>
      </c>
      <c r="P577" s="131">
        <v>142000</v>
      </c>
      <c r="Q577" s="156">
        <v>420000</v>
      </c>
      <c r="R577" s="153">
        <v>398790</v>
      </c>
      <c r="S577" s="158" t="e">
        <f ca="1">__xlfn.XLOOKUP(H577,[1]Izvršenje_proračuna_po_pozicija!$B$2:$B$153,[1]Izvršenje_proračuna_po_pozicija!$E$2:$E$153,0)</f>
        <v>#NAME?</v>
      </c>
      <c r="T577" s="158"/>
      <c r="U577" s="158"/>
      <c r="V577" s="532">
        <v>350000</v>
      </c>
      <c r="W577" s="532">
        <v>312927</v>
      </c>
      <c r="X577" s="560">
        <v>250000</v>
      </c>
      <c r="Y577" s="561">
        <v>400000</v>
      </c>
      <c r="Z577" s="561"/>
      <c r="AA577" s="562" t="e">
        <f t="shared" ca="1" si="463"/>
        <v>#NAME?</v>
      </c>
      <c r="AB577" s="535"/>
      <c r="AC577" s="529">
        <v>150000</v>
      </c>
      <c r="AD577" s="529">
        <v>150000</v>
      </c>
      <c r="AE577" s="529">
        <f>O577/M577*100</f>
        <v>115.78947368421053</v>
      </c>
      <c r="AF577" s="529">
        <f t="shared" si="476"/>
        <v>97.263545454545451</v>
      </c>
      <c r="AG577" s="529">
        <f t="shared" si="476"/>
        <v>295.77464788732397</v>
      </c>
      <c r="AH577" s="529">
        <f>AC577/Q577*100</f>
        <v>35.714285714285715</v>
      </c>
      <c r="AI577" s="535"/>
      <c r="AJ577" s="561">
        <v>400000</v>
      </c>
      <c r="AK577" s="507">
        <f t="shared" si="456"/>
        <v>78.469119085232833</v>
      </c>
      <c r="AL577" s="507">
        <f t="shared" si="457"/>
        <v>79.890837160104439</v>
      </c>
      <c r="AM577" s="507"/>
      <c r="AN577" s="556"/>
      <c r="AO577" s="510"/>
      <c r="AP577" s="510" t="e">
        <f t="shared" ca="1" si="462"/>
        <v>#NAME?</v>
      </c>
      <c r="AQ577" s="532">
        <v>289000</v>
      </c>
      <c r="AR577" s="533">
        <f>V577/R577*100</f>
        <v>87.765490609092495</v>
      </c>
      <c r="AS577" s="533">
        <f>W577/V577*100</f>
        <v>89.407714285714292</v>
      </c>
      <c r="AT577" s="533">
        <f>W577/R577*100</f>
        <v>78.469119085232833</v>
      </c>
      <c r="AU577" s="533">
        <f>AQ577/W577*100</f>
        <v>92.35380775708073</v>
      </c>
      <c r="AV577" s="533">
        <f>AQ577/R577*100</f>
        <v>72.469219388650657</v>
      </c>
      <c r="AW577" s="612"/>
      <c r="AX577" s="612"/>
      <c r="AY577" s="612">
        <v>289000</v>
      </c>
      <c r="AZ577" s="612"/>
      <c r="BA577" s="612"/>
      <c r="BB577" s="612"/>
      <c r="BC577" s="612"/>
      <c r="BD577" s="612"/>
      <c r="BE577" s="612"/>
      <c r="BF577" s="612"/>
      <c r="BG577" s="612"/>
      <c r="BH577" s="612">
        <f t="shared" si="464"/>
        <v>289000</v>
      </c>
      <c r="BI577" s="612">
        <f t="shared" si="474"/>
        <v>49581.61</v>
      </c>
      <c r="BJ577" s="201">
        <f t="shared" ref="BJ577:BJ582" si="479">AQ584-BI577</f>
        <v>0</v>
      </c>
    </row>
    <row r="578" spans="1:62" ht="12" customHeight="1">
      <c r="A578" s="52"/>
      <c r="B578" s="52"/>
      <c r="C578" s="52"/>
      <c r="D578" s="52"/>
      <c r="E578" s="52"/>
      <c r="F578" s="52"/>
      <c r="G578" s="52"/>
      <c r="H578" s="2" t="s">
        <v>498</v>
      </c>
      <c r="I578" s="260">
        <v>451</v>
      </c>
      <c r="J578" s="185">
        <v>3861</v>
      </c>
      <c r="K578" s="478" t="s">
        <v>499</v>
      </c>
      <c r="L578" s="129">
        <v>0</v>
      </c>
      <c r="M578" s="129">
        <v>0</v>
      </c>
      <c r="N578" s="130">
        <v>0</v>
      </c>
      <c r="O578" s="130">
        <f>N578/7.5345</f>
        <v>0</v>
      </c>
      <c r="P578" s="131">
        <v>0</v>
      </c>
      <c r="Q578" s="131">
        <v>0</v>
      </c>
      <c r="R578" s="153">
        <v>0</v>
      </c>
      <c r="S578" s="158" t="e">
        <f ca="1">__xlfn.XLOOKUP(H578,[1]Izvršenje_proračuna_po_pozicija!$B$2:$B$153,[1]Izvršenje_proračuna_po_pozicija!$E$2:$E$153,0)</f>
        <v>#NAME?</v>
      </c>
      <c r="T578" s="158"/>
      <c r="U578" s="158"/>
      <c r="V578" s="532"/>
      <c r="W578" s="532"/>
      <c r="X578" s="560"/>
      <c r="Y578" s="561"/>
      <c r="Z578" s="561"/>
      <c r="AA578" s="562" t="e">
        <f t="shared" ca="1" si="463"/>
        <v>#NAME?</v>
      </c>
      <c r="AB578" s="535"/>
      <c r="AC578" s="529">
        <v>0</v>
      </c>
      <c r="AD578" s="529">
        <v>0</v>
      </c>
      <c r="AE578" s="529"/>
      <c r="AF578" s="529"/>
      <c r="AG578" s="529"/>
      <c r="AH578" s="529"/>
      <c r="AI578" s="535"/>
      <c r="AJ578" s="561"/>
      <c r="AK578" s="507"/>
      <c r="AL578" s="507"/>
      <c r="AM578" s="507"/>
      <c r="AN578" s="556"/>
      <c r="AO578" s="510"/>
      <c r="AP578" s="510" t="e">
        <f t="shared" ca="1" si="462"/>
        <v>#NAME?</v>
      </c>
      <c r="AQ578" s="532"/>
      <c r="AR578" s="533"/>
      <c r="AS578" s="533"/>
      <c r="AT578" s="533"/>
      <c r="AU578" s="533"/>
      <c r="AV578" s="533"/>
      <c r="AW578" s="612"/>
      <c r="AX578" s="612"/>
      <c r="AY578" s="612"/>
      <c r="AZ578" s="612"/>
      <c r="BA578" s="612"/>
      <c r="BB578" s="612"/>
      <c r="BC578" s="612"/>
      <c r="BD578" s="612"/>
      <c r="BE578" s="612"/>
      <c r="BF578" s="612"/>
      <c r="BG578" s="612"/>
      <c r="BH578" s="612">
        <f t="shared" si="464"/>
        <v>0</v>
      </c>
      <c r="BI578" s="612">
        <f t="shared" si="474"/>
        <v>0</v>
      </c>
      <c r="BJ578" s="201">
        <f t="shared" si="479"/>
        <v>0</v>
      </c>
    </row>
    <row r="579" spans="1:62" ht="12" customHeight="1">
      <c r="A579" s="52"/>
      <c r="B579" s="52"/>
      <c r="C579" s="52"/>
      <c r="D579" s="52"/>
      <c r="E579" s="52"/>
      <c r="F579" s="52"/>
      <c r="G579" s="52"/>
      <c r="H579" s="2" t="s">
        <v>500</v>
      </c>
      <c r="I579" s="260">
        <v>451</v>
      </c>
      <c r="J579" s="185">
        <v>3861</v>
      </c>
      <c r="K579" s="19" t="s">
        <v>501</v>
      </c>
      <c r="L579" s="129">
        <v>1210000</v>
      </c>
      <c r="M579" s="129">
        <f>1210000/7.5345</f>
        <v>160594.59818169751</v>
      </c>
      <c r="N579" s="130">
        <v>2657866</v>
      </c>
      <c r="O579" s="130">
        <f>N579/7.5345</f>
        <v>352759.43990974844</v>
      </c>
      <c r="P579" s="131">
        <v>489000</v>
      </c>
      <c r="Q579" s="156">
        <v>245000</v>
      </c>
      <c r="R579" s="153">
        <v>240181</v>
      </c>
      <c r="S579" s="158" t="e">
        <f ca="1">__xlfn.XLOOKUP(H579,[1]Izvršenje_proračuna_po_pozicija!$B$2:$B$153,[1]Izvršenje_proračuna_po_pozicija!$E$2:$E$153,0)</f>
        <v>#NAME?</v>
      </c>
      <c r="T579" s="158"/>
      <c r="U579" s="158"/>
      <c r="V579" s="532">
        <v>400000</v>
      </c>
      <c r="W579" s="532">
        <v>400000</v>
      </c>
      <c r="X579" s="560">
        <v>800000</v>
      </c>
      <c r="Y579" s="561">
        <v>850000</v>
      </c>
      <c r="Z579" s="561"/>
      <c r="AA579" s="562" t="e">
        <f t="shared" ca="1" si="463"/>
        <v>#NAME?</v>
      </c>
      <c r="AB579" s="535"/>
      <c r="AC579" s="529">
        <v>460000</v>
      </c>
      <c r="AD579" s="529">
        <v>460000</v>
      </c>
      <c r="AE579" s="529">
        <f t="shared" ref="AE579:AE584" si="480">O579/M579*100</f>
        <v>219.65834710743798</v>
      </c>
      <c r="AF579" s="529">
        <f>P579/O579*100</f>
        <v>138.62137895589925</v>
      </c>
      <c r="AG579" s="529">
        <f>Q579/P579*100</f>
        <v>50.102249488752562</v>
      </c>
      <c r="AH579" s="529">
        <f>AC579/Q579*100</f>
        <v>187.75510204081633</v>
      </c>
      <c r="AI579" s="535"/>
      <c r="AJ579" s="561">
        <v>850000</v>
      </c>
      <c r="AK579" s="507">
        <f t="shared" si="456"/>
        <v>166.54106694534539</v>
      </c>
      <c r="AL579" s="507">
        <f t="shared" si="457"/>
        <v>200</v>
      </c>
      <c r="AM579" s="507"/>
      <c r="AN579" s="556"/>
      <c r="AO579" s="510"/>
      <c r="AP579" s="510" t="e">
        <f t="shared" ca="1" si="462"/>
        <v>#NAME?</v>
      </c>
      <c r="AQ579" s="532">
        <v>336975</v>
      </c>
      <c r="AR579" s="533">
        <f>V579/R579*100</f>
        <v>166.54106694534539</v>
      </c>
      <c r="AS579" s="533">
        <f>W579/V579*100</f>
        <v>100</v>
      </c>
      <c r="AT579" s="533">
        <f>W579/R579*100</f>
        <v>166.54106694534539</v>
      </c>
      <c r="AU579" s="533">
        <f>AQ579/W579*100</f>
        <v>84.243749999999991</v>
      </c>
      <c r="AV579" s="533">
        <f>AQ579/R579*100</f>
        <v>140.30044008476941</v>
      </c>
      <c r="AW579" s="612"/>
      <c r="AX579" s="612"/>
      <c r="AY579" s="612">
        <v>105789.96</v>
      </c>
      <c r="AZ579" s="612"/>
      <c r="BA579" s="612"/>
      <c r="BB579" s="612"/>
      <c r="BC579" s="612"/>
      <c r="BD579" s="612"/>
      <c r="BE579" s="612">
        <v>231185.04</v>
      </c>
      <c r="BF579" s="612"/>
      <c r="BG579" s="612"/>
      <c r="BH579" s="612">
        <f t="shared" si="464"/>
        <v>336975</v>
      </c>
      <c r="BI579" s="612">
        <f t="shared" si="474"/>
        <v>0</v>
      </c>
      <c r="BJ579" s="201">
        <f t="shared" si="479"/>
        <v>0</v>
      </c>
    </row>
    <row r="580" spans="1:62" ht="12" customHeight="1">
      <c r="A580" s="41"/>
      <c r="B580" s="41"/>
      <c r="C580" s="41"/>
      <c r="D580" s="41"/>
      <c r="E580" s="41"/>
      <c r="F580" s="41"/>
      <c r="G580" s="41"/>
      <c r="H580" s="2" t="s">
        <v>502</v>
      </c>
      <c r="I580" s="260">
        <v>451</v>
      </c>
      <c r="J580" s="185">
        <v>3861</v>
      </c>
      <c r="K580" s="19" t="s">
        <v>503</v>
      </c>
      <c r="L580" s="136">
        <v>2125000</v>
      </c>
      <c r="M580" s="136">
        <f>2125000/7.5345</f>
        <v>282035.96788108035</v>
      </c>
      <c r="N580" s="137">
        <v>880000</v>
      </c>
      <c r="O580" s="130">
        <f>N580/7.5345</f>
        <v>116796.07140487092</v>
      </c>
      <c r="P580" s="138">
        <v>0</v>
      </c>
      <c r="Q580" s="138">
        <v>0</v>
      </c>
      <c r="R580" s="136">
        <v>15000</v>
      </c>
      <c r="S580" s="158" t="e">
        <f ca="1">__xlfn.XLOOKUP(H580,[1]Izvršenje_proračuna_po_pozicija!$B$2:$B$153,[1]Izvršenje_proračuna_po_pozicija!$E$2:$E$153,0)</f>
        <v>#NAME?</v>
      </c>
      <c r="T580" s="158"/>
      <c r="U580" s="158"/>
      <c r="V580" s="532"/>
      <c r="W580" s="532"/>
      <c r="X580" s="574"/>
      <c r="Y580" s="575"/>
      <c r="Z580" s="575"/>
      <c r="AA580" s="562" t="e">
        <f t="shared" ca="1" si="463"/>
        <v>#NAME?</v>
      </c>
      <c r="AB580" s="540"/>
      <c r="AC580" s="541"/>
      <c r="AD580" s="541"/>
      <c r="AE580" s="529">
        <f t="shared" si="480"/>
        <v>41.411764705882355</v>
      </c>
      <c r="AF580" s="529">
        <f>P580/O580*100</f>
        <v>0</v>
      </c>
      <c r="AG580" s="529"/>
      <c r="AH580" s="529"/>
      <c r="AI580" s="540"/>
      <c r="AJ580" s="575"/>
      <c r="AK580" s="507">
        <f t="shared" si="456"/>
        <v>0</v>
      </c>
      <c r="AL580" s="507"/>
      <c r="AM580" s="507"/>
      <c r="AN580" s="558"/>
      <c r="AO580" s="510"/>
      <c r="AP580" s="510" t="e">
        <f t="shared" ca="1" si="462"/>
        <v>#NAME?</v>
      </c>
      <c r="AQ580" s="532"/>
      <c r="AR580" s="533">
        <f>V580/R580*100</f>
        <v>0</v>
      </c>
      <c r="AS580" s="533"/>
      <c r="AT580" s="533">
        <f>W580/R580*100</f>
        <v>0</v>
      </c>
      <c r="AU580" s="533"/>
      <c r="AV580" s="533">
        <f>AQ580/R580*100</f>
        <v>0</v>
      </c>
      <c r="AW580" s="612"/>
      <c r="AX580" s="612"/>
      <c r="AY580" s="612"/>
      <c r="AZ580" s="612"/>
      <c r="BA580" s="612"/>
      <c r="BB580" s="612"/>
      <c r="BC580" s="612"/>
      <c r="BD580" s="612"/>
      <c r="BE580" s="612"/>
      <c r="BF580" s="612"/>
      <c r="BG580" s="612"/>
      <c r="BH580" s="612">
        <f t="shared" si="464"/>
        <v>0</v>
      </c>
      <c r="BI580" s="612">
        <f t="shared" si="474"/>
        <v>15573.75</v>
      </c>
      <c r="BJ580" s="201">
        <f t="shared" si="479"/>
        <v>0</v>
      </c>
    </row>
    <row r="581" spans="1:62" ht="12" customHeight="1">
      <c r="A581" s="25"/>
      <c r="B581" s="25"/>
      <c r="C581" s="25"/>
      <c r="D581" s="25"/>
      <c r="E581" s="25"/>
      <c r="F581" s="25"/>
      <c r="G581" s="25"/>
      <c r="H581" s="285"/>
      <c r="I581" s="296"/>
      <c r="J581" s="211">
        <v>4</v>
      </c>
      <c r="K581" s="3" t="s">
        <v>453</v>
      </c>
      <c r="L581" s="111">
        <f t="shared" ref="L581:AD582" si="481">L582</f>
        <v>986635</v>
      </c>
      <c r="M581" s="111">
        <f t="shared" si="481"/>
        <v>130948.96808016457</v>
      </c>
      <c r="N581" s="112">
        <f t="shared" si="481"/>
        <v>20733</v>
      </c>
      <c r="O581" s="112">
        <f t="shared" si="481"/>
        <v>2751.741986860442</v>
      </c>
      <c r="P581" s="113">
        <f t="shared" si="481"/>
        <v>61000</v>
      </c>
      <c r="Q581" s="113">
        <f t="shared" si="481"/>
        <v>40000</v>
      </c>
      <c r="R581" s="87">
        <f t="shared" si="481"/>
        <v>35981</v>
      </c>
      <c r="S581" s="89" t="e">
        <f t="shared" ca="1" si="481"/>
        <v>#NAME?</v>
      </c>
      <c r="T581" s="89"/>
      <c r="U581" s="89"/>
      <c r="V581" s="532">
        <f>V582</f>
        <v>65000</v>
      </c>
      <c r="W581" s="532">
        <f t="shared" si="481"/>
        <v>65000</v>
      </c>
      <c r="X581" s="506">
        <f t="shared" si="481"/>
        <v>170000</v>
      </c>
      <c r="Y581" s="507">
        <f t="shared" si="481"/>
        <v>225000</v>
      </c>
      <c r="Z581" s="507">
        <f t="shared" si="481"/>
        <v>0</v>
      </c>
      <c r="AA581" s="562" t="e">
        <f t="shared" ca="1" si="463"/>
        <v>#NAME?</v>
      </c>
      <c r="AB581" s="507"/>
      <c r="AC581" s="508">
        <f t="shared" si="481"/>
        <v>25000</v>
      </c>
      <c r="AD581" s="508">
        <f t="shared" si="481"/>
        <v>25000</v>
      </c>
      <c r="AE581" s="529">
        <f t="shared" si="480"/>
        <v>2.1013850106675722</v>
      </c>
      <c r="AF581" s="529"/>
      <c r="AG581" s="529">
        <f>Q581/P581*100</f>
        <v>65.573770491803273</v>
      </c>
      <c r="AH581" s="529">
        <f>AC581/Q581*100</f>
        <v>62.5</v>
      </c>
      <c r="AI581" s="507"/>
      <c r="AJ581" s="507">
        <v>225000</v>
      </c>
      <c r="AK581" s="507">
        <f t="shared" si="456"/>
        <v>180.65089908562854</v>
      </c>
      <c r="AL581" s="507">
        <f t="shared" si="457"/>
        <v>261.53846153846155</v>
      </c>
      <c r="AM581" s="507">
        <f>Y581/X581*100</f>
        <v>132.35294117647058</v>
      </c>
      <c r="AN581" s="509"/>
      <c r="AO581" s="510"/>
      <c r="AP581" s="510" t="e">
        <f t="shared" ca="1" si="462"/>
        <v>#NAME?</v>
      </c>
      <c r="AQ581" s="532">
        <f>AQ582</f>
        <v>65155.360000000001</v>
      </c>
      <c r="AR581" s="533">
        <f>V581/R581*100</f>
        <v>180.65089908562854</v>
      </c>
      <c r="AS581" s="533">
        <f>W581/V581*100</f>
        <v>100</v>
      </c>
      <c r="AT581" s="533">
        <f>W581/R581*100</f>
        <v>180.65089908562854</v>
      </c>
      <c r="AU581" s="533">
        <f>AQ581/W581*100</f>
        <v>100.2390153846154</v>
      </c>
      <c r="AV581" s="533">
        <f>AQ581/R581*100</f>
        <v>181.08268252688919</v>
      </c>
      <c r="AW581" s="612"/>
      <c r="AX581" s="612"/>
      <c r="AY581" s="612"/>
      <c r="AZ581" s="612"/>
      <c r="BA581" s="612"/>
      <c r="BB581" s="612"/>
      <c r="BC581" s="612"/>
      <c r="BD581" s="612"/>
      <c r="BE581" s="612"/>
      <c r="BF581" s="612"/>
      <c r="BG581" s="612"/>
      <c r="BH581" s="612">
        <f t="shared" si="464"/>
        <v>0</v>
      </c>
      <c r="BI581" s="612">
        <f t="shared" si="474"/>
        <v>0</v>
      </c>
      <c r="BJ581" s="201">
        <f t="shared" si="479"/>
        <v>0</v>
      </c>
    </row>
    <row r="582" spans="1:62" ht="12" customHeight="1">
      <c r="A582" s="227"/>
      <c r="B582" s="227"/>
      <c r="C582" s="227"/>
      <c r="D582" s="227"/>
      <c r="E582" s="227"/>
      <c r="F582" s="227"/>
      <c r="G582" s="227"/>
      <c r="H582" s="234"/>
      <c r="I582" s="297"/>
      <c r="J582" s="228">
        <v>42</v>
      </c>
      <c r="K582" s="258" t="s">
        <v>504</v>
      </c>
      <c r="L582" s="111">
        <f t="shared" si="481"/>
        <v>986635</v>
      </c>
      <c r="M582" s="111">
        <f t="shared" si="481"/>
        <v>130948.96808016457</v>
      </c>
      <c r="N582" s="112">
        <f t="shared" si="481"/>
        <v>20733</v>
      </c>
      <c r="O582" s="112">
        <f t="shared" si="481"/>
        <v>2751.741986860442</v>
      </c>
      <c r="P582" s="113">
        <f t="shared" si="481"/>
        <v>61000</v>
      </c>
      <c r="Q582" s="113">
        <f t="shared" si="481"/>
        <v>40000</v>
      </c>
      <c r="R582" s="87">
        <f t="shared" si="481"/>
        <v>35981</v>
      </c>
      <c r="S582" s="89" t="e">
        <f t="shared" ca="1" si="481"/>
        <v>#NAME?</v>
      </c>
      <c r="T582" s="89"/>
      <c r="U582" s="89"/>
      <c r="V582" s="532">
        <f>V583</f>
        <v>65000</v>
      </c>
      <c r="W582" s="532">
        <f t="shared" si="481"/>
        <v>65000</v>
      </c>
      <c r="X582" s="506">
        <f t="shared" si="481"/>
        <v>170000</v>
      </c>
      <c r="Y582" s="507">
        <f t="shared" si="481"/>
        <v>225000</v>
      </c>
      <c r="Z582" s="507">
        <f t="shared" si="481"/>
        <v>0</v>
      </c>
      <c r="AA582" s="562" t="e">
        <f t="shared" ca="1" si="463"/>
        <v>#NAME?</v>
      </c>
      <c r="AB582" s="507"/>
      <c r="AC582" s="508">
        <f t="shared" si="481"/>
        <v>25000</v>
      </c>
      <c r="AD582" s="508">
        <f t="shared" si="481"/>
        <v>25000</v>
      </c>
      <c r="AE582" s="529">
        <f t="shared" si="480"/>
        <v>2.1013850106675722</v>
      </c>
      <c r="AF582" s="529"/>
      <c r="AG582" s="529">
        <f>Q582/P582*100</f>
        <v>65.573770491803273</v>
      </c>
      <c r="AH582" s="529">
        <f>AC582/Q582*100</f>
        <v>62.5</v>
      </c>
      <c r="AI582" s="507"/>
      <c r="AJ582" s="507">
        <v>225000</v>
      </c>
      <c r="AK582" s="507">
        <f t="shared" si="456"/>
        <v>180.65089908562854</v>
      </c>
      <c r="AL582" s="507">
        <f t="shared" si="457"/>
        <v>261.53846153846155</v>
      </c>
      <c r="AM582" s="507">
        <f>Y582/X582*100</f>
        <v>132.35294117647058</v>
      </c>
      <c r="AN582" s="509"/>
      <c r="AO582" s="510"/>
      <c r="AP582" s="510" t="e">
        <f t="shared" ca="1" si="462"/>
        <v>#NAME?</v>
      </c>
      <c r="AQ582" s="532">
        <f>AQ583</f>
        <v>65155.360000000001</v>
      </c>
      <c r="AR582" s="533">
        <f>V582/R582*100</f>
        <v>180.65089908562854</v>
      </c>
      <c r="AS582" s="533">
        <f>W582/V582*100</f>
        <v>100</v>
      </c>
      <c r="AT582" s="533">
        <f>W582/R582*100</f>
        <v>180.65089908562854</v>
      </c>
      <c r="AU582" s="533">
        <f>AQ582/W582*100</f>
        <v>100.2390153846154</v>
      </c>
      <c r="AV582" s="533">
        <f>AQ582/R582*100</f>
        <v>181.08268252688919</v>
      </c>
      <c r="AW582" s="612"/>
      <c r="AX582" s="612"/>
      <c r="AY582" s="612"/>
      <c r="AZ582" s="612"/>
      <c r="BA582" s="612"/>
      <c r="BB582" s="612"/>
      <c r="BC582" s="612"/>
      <c r="BD582" s="612"/>
      <c r="BE582" s="612"/>
      <c r="BF582" s="612"/>
      <c r="BG582" s="612"/>
      <c r="BH582" s="612">
        <f t="shared" si="464"/>
        <v>0</v>
      </c>
      <c r="BI582" s="612">
        <f t="shared" si="474"/>
        <v>0</v>
      </c>
      <c r="BJ582" s="201">
        <f t="shared" si="479"/>
        <v>0</v>
      </c>
    </row>
    <row r="583" spans="1:62" ht="12" customHeight="1">
      <c r="A583" s="61"/>
      <c r="B583" s="61"/>
      <c r="C583" s="61">
        <v>3</v>
      </c>
      <c r="D583" s="61">
        <v>4</v>
      </c>
      <c r="E583" s="61"/>
      <c r="F583" s="61">
        <v>6</v>
      </c>
      <c r="G583" s="61"/>
      <c r="H583" s="230"/>
      <c r="I583" s="261"/>
      <c r="J583" s="229">
        <v>421</v>
      </c>
      <c r="K583" s="20" t="s">
        <v>455</v>
      </c>
      <c r="L583" s="111">
        <f t="shared" ref="L583:S583" si="482">L584+L585+L586+L587+L588</f>
        <v>986635</v>
      </c>
      <c r="M583" s="111">
        <f t="shared" si="482"/>
        <v>130948.96808016457</v>
      </c>
      <c r="N583" s="112">
        <f t="shared" si="482"/>
        <v>20733</v>
      </c>
      <c r="O583" s="112">
        <f t="shared" si="482"/>
        <v>2751.741986860442</v>
      </c>
      <c r="P583" s="113">
        <f t="shared" si="482"/>
        <v>61000</v>
      </c>
      <c r="Q583" s="113">
        <f t="shared" si="482"/>
        <v>40000</v>
      </c>
      <c r="R583" s="87">
        <f t="shared" si="482"/>
        <v>35981</v>
      </c>
      <c r="S583" s="89" t="e">
        <f t="shared" ca="1" si="482"/>
        <v>#NAME?</v>
      </c>
      <c r="T583" s="89"/>
      <c r="U583" s="89"/>
      <c r="V583" s="532">
        <f>V584+V585+V586+V587+V588</f>
        <v>65000</v>
      </c>
      <c r="W583" s="532">
        <f>W584+W585+W586+W587+W588</f>
        <v>65000</v>
      </c>
      <c r="X583" s="506">
        <f>X584+X585+X586+X587+X588</f>
        <v>170000</v>
      </c>
      <c r="Y583" s="507">
        <f>Y584+Y585+Y586+Y587+Y588</f>
        <v>225000</v>
      </c>
      <c r="Z583" s="507">
        <f>Z584+Z585+Z586+Z587+Z588</f>
        <v>0</v>
      </c>
      <c r="AA583" s="562" t="e">
        <f t="shared" ca="1" si="463"/>
        <v>#NAME?</v>
      </c>
      <c r="AB583" s="507"/>
      <c r="AC583" s="508">
        <f>AC584+AC585+AC586+AC587+AC588</f>
        <v>25000</v>
      </c>
      <c r="AD583" s="508">
        <f>AD584+AD585+AD586+AD587+AD588</f>
        <v>25000</v>
      </c>
      <c r="AE583" s="529">
        <f t="shared" si="480"/>
        <v>2.1013850106675722</v>
      </c>
      <c r="AF583" s="529"/>
      <c r="AG583" s="529">
        <f>Q583/P583*100</f>
        <v>65.573770491803273</v>
      </c>
      <c r="AH583" s="529">
        <f>AC583/Q583*100</f>
        <v>62.5</v>
      </c>
      <c r="AI583" s="507"/>
      <c r="AJ583" s="507">
        <v>225000</v>
      </c>
      <c r="AK583" s="507">
        <f t="shared" si="456"/>
        <v>180.65089908562854</v>
      </c>
      <c r="AL583" s="507">
        <f t="shared" si="457"/>
        <v>261.53846153846155</v>
      </c>
      <c r="AM583" s="507">
        <f>Y583/X583*100</f>
        <v>132.35294117647058</v>
      </c>
      <c r="AN583" s="509"/>
      <c r="AO583" s="510"/>
      <c r="AP583" s="510" t="e">
        <f t="shared" ca="1" si="462"/>
        <v>#NAME?</v>
      </c>
      <c r="AQ583" s="532">
        <f>AQ584+AQ585+AQ586+AQ587+AQ588</f>
        <v>65155.360000000001</v>
      </c>
      <c r="AR583" s="533">
        <f>V583/R583*100</f>
        <v>180.65089908562854</v>
      </c>
      <c r="AS583" s="533">
        <f>W583/V583*100</f>
        <v>100</v>
      </c>
      <c r="AT583" s="533">
        <f>W583/R583*100</f>
        <v>180.65089908562854</v>
      </c>
      <c r="AU583" s="533">
        <f>AQ583/W583*100</f>
        <v>100.2390153846154</v>
      </c>
      <c r="AV583" s="533">
        <f>AQ583/R583*100</f>
        <v>181.08268252688919</v>
      </c>
      <c r="AW583" s="612"/>
      <c r="AX583" s="612"/>
      <c r="AY583" s="612"/>
      <c r="AZ583" s="612"/>
      <c r="BA583" s="612"/>
      <c r="BB583" s="612"/>
      <c r="BC583" s="612"/>
      <c r="BD583" s="612"/>
      <c r="BE583" s="612"/>
      <c r="BF583" s="612"/>
      <c r="BG583" s="612"/>
      <c r="BH583" s="612">
        <f t="shared" si="464"/>
        <v>0</v>
      </c>
      <c r="BI583" s="612">
        <f t="shared" si="474"/>
        <v>0</v>
      </c>
      <c r="BJ583" s="201"/>
    </row>
    <row r="584" spans="1:62" ht="12" customHeight="1">
      <c r="A584" s="52"/>
      <c r="B584" s="52"/>
      <c r="C584" s="52"/>
      <c r="D584" s="52"/>
      <c r="E584" s="52"/>
      <c r="F584" s="52"/>
      <c r="G584" s="52"/>
      <c r="H584" s="2" t="s">
        <v>505</v>
      </c>
      <c r="I584" s="260">
        <v>451</v>
      </c>
      <c r="J584" s="185">
        <v>4213</v>
      </c>
      <c r="K584" s="19" t="s">
        <v>506</v>
      </c>
      <c r="L584" s="129">
        <v>322407</v>
      </c>
      <c r="M584" s="129">
        <f>322407/7.5345</f>
        <v>42790.762492534341</v>
      </c>
      <c r="N584" s="130">
        <v>0</v>
      </c>
      <c r="O584" s="130">
        <f>N584/7.5345</f>
        <v>0</v>
      </c>
      <c r="P584" s="131">
        <v>10000</v>
      </c>
      <c r="Q584" s="156">
        <v>0</v>
      </c>
      <c r="R584" s="153">
        <v>0</v>
      </c>
      <c r="S584" s="158" t="e">
        <f ca="1">__xlfn.XLOOKUP(H584,[1]Izvršenje_proračuna_po_pozicija!$B$2:$B$153,[1]Izvršenje_proračuna_po_pozicija!$E$2:$E$153,0)</f>
        <v>#NAME?</v>
      </c>
      <c r="T584" s="158"/>
      <c r="U584" s="158"/>
      <c r="V584" s="532">
        <v>40000</v>
      </c>
      <c r="W584" s="532">
        <v>40000</v>
      </c>
      <c r="X584" s="560">
        <v>20000</v>
      </c>
      <c r="Y584" s="561">
        <v>25000</v>
      </c>
      <c r="Z584" s="561"/>
      <c r="AA584" s="562" t="e">
        <f t="shared" ca="1" si="463"/>
        <v>#NAME?</v>
      </c>
      <c r="AB584" s="535"/>
      <c r="AC584" s="529">
        <v>10000</v>
      </c>
      <c r="AD584" s="529">
        <v>10000</v>
      </c>
      <c r="AE584" s="529">
        <f t="shared" si="480"/>
        <v>0</v>
      </c>
      <c r="AF584" s="529"/>
      <c r="AG584" s="529">
        <f>Q584/P584*100</f>
        <v>0</v>
      </c>
      <c r="AH584" s="529"/>
      <c r="AI584" s="535"/>
      <c r="AJ584" s="561">
        <v>25000</v>
      </c>
      <c r="AK584" s="507"/>
      <c r="AL584" s="507">
        <f t="shared" si="457"/>
        <v>50</v>
      </c>
      <c r="AM584" s="507">
        <f>Y584/X584*100</f>
        <v>125</v>
      </c>
      <c r="AN584" s="556"/>
      <c r="AO584" s="510"/>
      <c r="AP584" s="510" t="e">
        <f t="shared" ca="1" si="462"/>
        <v>#NAME?</v>
      </c>
      <c r="AQ584" s="532">
        <v>49581.61</v>
      </c>
      <c r="AR584" s="533"/>
      <c r="AS584" s="533">
        <f>W584/V584*100</f>
        <v>100</v>
      </c>
      <c r="AT584" s="533"/>
      <c r="AU584" s="533">
        <f>AQ584/W584*100</f>
        <v>123.95402500000002</v>
      </c>
      <c r="AV584" s="533"/>
      <c r="AW584" s="612">
        <f>AQ584-BE584</f>
        <v>18567.03</v>
      </c>
      <c r="AX584" s="612"/>
      <c r="AY584" s="612"/>
      <c r="AZ584" s="612"/>
      <c r="BA584" s="612"/>
      <c r="BB584" s="612"/>
      <c r="BC584" s="612"/>
      <c r="BD584" s="612"/>
      <c r="BE584" s="612">
        <v>31014.58</v>
      </c>
      <c r="BF584" s="612"/>
      <c r="BG584" s="612"/>
      <c r="BH584" s="612">
        <f t="shared" si="464"/>
        <v>49581.61</v>
      </c>
      <c r="BI584" s="612">
        <f t="shared" si="474"/>
        <v>0</v>
      </c>
      <c r="BJ584" s="201">
        <f>AQ591-BI584</f>
        <v>0</v>
      </c>
    </row>
    <row r="585" spans="1:62" ht="12" customHeight="1">
      <c r="A585" s="231"/>
      <c r="B585" s="231"/>
      <c r="C585" s="231"/>
      <c r="D585" s="231"/>
      <c r="E585" s="231"/>
      <c r="F585" s="231"/>
      <c r="G585" s="231"/>
      <c r="H585" s="232" t="s">
        <v>507</v>
      </c>
      <c r="I585" s="260">
        <v>451</v>
      </c>
      <c r="J585" s="185">
        <v>4213</v>
      </c>
      <c r="K585" s="185" t="s">
        <v>503</v>
      </c>
      <c r="L585" s="136"/>
      <c r="M585" s="136"/>
      <c r="N585" s="137"/>
      <c r="O585" s="130">
        <f>N585/7.5345</f>
        <v>0</v>
      </c>
      <c r="P585" s="138"/>
      <c r="Q585" s="138"/>
      <c r="R585" s="136"/>
      <c r="S585" s="158" t="e">
        <f ca="1">__xlfn.XLOOKUP(H585,[1]Izvršenje_proračuna_po_pozicija!$B$2:$B$153,[1]Izvršenje_proračuna_po_pozicija!$E$2:$E$153,0)</f>
        <v>#NAME?</v>
      </c>
      <c r="T585" s="158"/>
      <c r="U585" s="158"/>
      <c r="V585" s="532"/>
      <c r="W585" s="532"/>
      <c r="X585" s="574"/>
      <c r="Y585" s="575"/>
      <c r="Z585" s="575"/>
      <c r="AA585" s="562" t="e">
        <f t="shared" ca="1" si="463"/>
        <v>#NAME?</v>
      </c>
      <c r="AB585" s="540"/>
      <c r="AC585" s="541"/>
      <c r="AD585" s="541"/>
      <c r="AE585" s="529"/>
      <c r="AF585" s="529"/>
      <c r="AG585" s="529"/>
      <c r="AH585" s="529"/>
      <c r="AI585" s="540"/>
      <c r="AJ585" s="575"/>
      <c r="AK585" s="507"/>
      <c r="AL585" s="507"/>
      <c r="AM585" s="507"/>
      <c r="AN585" s="558"/>
      <c r="AO585" s="510"/>
      <c r="AP585" s="510" t="e">
        <f t="shared" ca="1" si="462"/>
        <v>#NAME?</v>
      </c>
      <c r="AQ585" s="532"/>
      <c r="AR585" s="533"/>
      <c r="AS585" s="533"/>
      <c r="AT585" s="533"/>
      <c r="AU585" s="533"/>
      <c r="AV585" s="533"/>
      <c r="AW585" s="612"/>
      <c r="AX585" s="612"/>
      <c r="AY585" s="612"/>
      <c r="AZ585" s="612"/>
      <c r="BA585" s="612"/>
      <c r="BB585" s="612"/>
      <c r="BC585" s="612"/>
      <c r="BD585" s="612"/>
      <c r="BE585" s="612"/>
      <c r="BF585" s="612"/>
      <c r="BG585" s="612"/>
      <c r="BH585" s="612">
        <f t="shared" si="464"/>
        <v>0</v>
      </c>
      <c r="BI585" s="612">
        <f t="shared" si="474"/>
        <v>0</v>
      </c>
      <c r="BJ585" s="201"/>
    </row>
    <row r="586" spans="1:62" ht="12" customHeight="1">
      <c r="A586" s="52"/>
      <c r="B586" s="52"/>
      <c r="C586" s="52"/>
      <c r="D586" s="52"/>
      <c r="E586" s="52"/>
      <c r="F586" s="52"/>
      <c r="G586" s="52"/>
      <c r="H586" s="2" t="s">
        <v>508</v>
      </c>
      <c r="I586" s="260">
        <v>451</v>
      </c>
      <c r="J586" s="185">
        <v>4214</v>
      </c>
      <c r="K586" s="19" t="s">
        <v>509</v>
      </c>
      <c r="L586" s="129">
        <v>0</v>
      </c>
      <c r="M586" s="129">
        <v>0</v>
      </c>
      <c r="N586" s="130">
        <v>0</v>
      </c>
      <c r="O586" s="130">
        <f>N586/7.5345</f>
        <v>0</v>
      </c>
      <c r="P586" s="131">
        <v>0</v>
      </c>
      <c r="Q586" s="131">
        <v>0</v>
      </c>
      <c r="R586" s="153">
        <v>0</v>
      </c>
      <c r="S586" s="158" t="e">
        <f ca="1">__xlfn.XLOOKUP(H586,[1]Izvršenje_proračuna_po_pozicija!$B$2:$B$153,[1]Izvršenje_proračuna_po_pozicija!$E$2:$E$153,0)</f>
        <v>#NAME?</v>
      </c>
      <c r="T586" s="158"/>
      <c r="U586" s="158"/>
      <c r="V586" s="532"/>
      <c r="W586" s="532"/>
      <c r="X586" s="560"/>
      <c r="Y586" s="561"/>
      <c r="Z586" s="561"/>
      <c r="AA586" s="562" t="e">
        <f t="shared" ca="1" si="463"/>
        <v>#NAME?</v>
      </c>
      <c r="AB586" s="535"/>
      <c r="AC586" s="529">
        <v>0</v>
      </c>
      <c r="AD586" s="529">
        <v>0</v>
      </c>
      <c r="AE586" s="529"/>
      <c r="AF586" s="529"/>
      <c r="AG586" s="529"/>
      <c r="AH586" s="529"/>
      <c r="AI586" s="535"/>
      <c r="AJ586" s="561"/>
      <c r="AK586" s="507"/>
      <c r="AL586" s="507"/>
      <c r="AM586" s="507"/>
      <c r="AN586" s="556"/>
      <c r="AO586" s="510"/>
      <c r="AP586" s="510" t="e">
        <f t="shared" ca="1" si="462"/>
        <v>#NAME?</v>
      </c>
      <c r="AQ586" s="532"/>
      <c r="AR586" s="533"/>
      <c r="AS586" s="533"/>
      <c r="AT586" s="533"/>
      <c r="AU586" s="533"/>
      <c r="AV586" s="533"/>
      <c r="AW586" s="612"/>
      <c r="AX586" s="612"/>
      <c r="AY586" s="612"/>
      <c r="AZ586" s="612"/>
      <c r="BA586" s="612"/>
      <c r="BB586" s="612"/>
      <c r="BC586" s="612"/>
      <c r="BD586" s="612"/>
      <c r="BE586" s="612"/>
      <c r="BF586" s="612"/>
      <c r="BG586" s="612"/>
      <c r="BH586" s="612">
        <f t="shared" si="464"/>
        <v>0</v>
      </c>
      <c r="BI586" s="612">
        <f t="shared" si="474"/>
        <v>0</v>
      </c>
      <c r="BJ586" s="201"/>
    </row>
    <row r="587" spans="1:62" ht="12" customHeight="1">
      <c r="A587" s="52"/>
      <c r="B587" s="52"/>
      <c r="C587" s="52"/>
      <c r="D587" s="52"/>
      <c r="E587" s="52"/>
      <c r="F587" s="52"/>
      <c r="G587" s="52"/>
      <c r="H587" s="2" t="s">
        <v>510</v>
      </c>
      <c r="I587" s="260">
        <v>451</v>
      </c>
      <c r="J587" s="185">
        <v>4214</v>
      </c>
      <c r="K587" s="19" t="s">
        <v>511</v>
      </c>
      <c r="L587" s="129">
        <v>0</v>
      </c>
      <c r="M587" s="129">
        <v>0</v>
      </c>
      <c r="N587" s="130">
        <v>0</v>
      </c>
      <c r="O587" s="130">
        <f>N587/7.5345</f>
        <v>0</v>
      </c>
      <c r="P587" s="131">
        <v>51000</v>
      </c>
      <c r="Q587" s="156">
        <v>40000</v>
      </c>
      <c r="R587" s="153">
        <v>35660</v>
      </c>
      <c r="S587" s="158" t="e">
        <f ca="1">__xlfn.XLOOKUP(H587,[1]Izvršenje_proračuna_po_pozicija!$B$2:$B$153,[1]Izvršenje_proračuna_po_pozicija!$E$2:$E$153,0)</f>
        <v>#NAME?</v>
      </c>
      <c r="T587" s="158"/>
      <c r="U587" s="158"/>
      <c r="V587" s="532">
        <v>25000</v>
      </c>
      <c r="W587" s="532">
        <v>25000</v>
      </c>
      <c r="X587" s="560">
        <v>150000</v>
      </c>
      <c r="Y587" s="561">
        <v>200000</v>
      </c>
      <c r="Z587" s="561"/>
      <c r="AA587" s="562" t="e">
        <f t="shared" ca="1" si="463"/>
        <v>#NAME?</v>
      </c>
      <c r="AB587" s="535"/>
      <c r="AC587" s="529">
        <v>15000</v>
      </c>
      <c r="AD587" s="529">
        <v>15000</v>
      </c>
      <c r="AE587" s="529"/>
      <c r="AF587" s="529"/>
      <c r="AG587" s="529"/>
      <c r="AH587" s="529"/>
      <c r="AI587" s="535"/>
      <c r="AJ587" s="561">
        <v>200000</v>
      </c>
      <c r="AK587" s="507">
        <f t="shared" si="456"/>
        <v>70.106561974200787</v>
      </c>
      <c r="AL587" s="507">
        <f t="shared" si="457"/>
        <v>600</v>
      </c>
      <c r="AM587" s="507">
        <f>Y587/X587*100</f>
        <v>133.33333333333331</v>
      </c>
      <c r="AN587" s="556"/>
      <c r="AO587" s="510"/>
      <c r="AP587" s="510" t="e">
        <f t="shared" ca="1" si="462"/>
        <v>#NAME?</v>
      </c>
      <c r="AQ587" s="532">
        <v>15573.75</v>
      </c>
      <c r="AR587" s="533">
        <f>V587/R587*100</f>
        <v>70.106561974200787</v>
      </c>
      <c r="AS587" s="533">
        <f>W587/V587*100</f>
        <v>100</v>
      </c>
      <c r="AT587" s="533">
        <f>W587/R587*100</f>
        <v>70.106561974200787</v>
      </c>
      <c r="AU587" s="533">
        <f>AQ587/W587*100</f>
        <v>62.295000000000002</v>
      </c>
      <c r="AV587" s="533">
        <f>AQ587/R587*100</f>
        <v>43.672882781828385</v>
      </c>
      <c r="AW587" s="612"/>
      <c r="AX587" s="612"/>
      <c r="AY587" s="612"/>
      <c r="AZ587" s="612"/>
      <c r="BA587" s="612"/>
      <c r="BB587" s="612"/>
      <c r="BC587" s="612"/>
      <c r="BD587" s="612"/>
      <c r="BE587" s="612">
        <f>AQ587</f>
        <v>15573.75</v>
      </c>
      <c r="BF587" s="612"/>
      <c r="BG587" s="612"/>
      <c r="BH587" s="612">
        <f t="shared" si="464"/>
        <v>15573.75</v>
      </c>
      <c r="BI587" s="612">
        <f t="shared" si="474"/>
        <v>30000</v>
      </c>
      <c r="BJ587" s="201"/>
    </row>
    <row r="588" spans="1:62" ht="12" customHeight="1">
      <c r="A588" s="52"/>
      <c r="B588" s="52"/>
      <c r="C588" s="52"/>
      <c r="D588" s="52"/>
      <c r="E588" s="52"/>
      <c r="F588" s="52"/>
      <c r="G588" s="52"/>
      <c r="H588" s="2" t="s">
        <v>512</v>
      </c>
      <c r="I588" s="260">
        <v>451</v>
      </c>
      <c r="J588" s="185">
        <v>4214</v>
      </c>
      <c r="K588" s="19" t="s">
        <v>513</v>
      </c>
      <c r="L588" s="129">
        <v>664228</v>
      </c>
      <c r="M588" s="129">
        <f>664228/7.5345</f>
        <v>88158.205587630233</v>
      </c>
      <c r="N588" s="130">
        <v>20733</v>
      </c>
      <c r="O588" s="130">
        <f>N588/7.5345</f>
        <v>2751.741986860442</v>
      </c>
      <c r="P588" s="131">
        <v>0</v>
      </c>
      <c r="Q588" s="131">
        <v>0</v>
      </c>
      <c r="R588" s="153">
        <v>321</v>
      </c>
      <c r="S588" s="158" t="e">
        <f ca="1">__xlfn.XLOOKUP(H588,[1]Izvršenje_proračuna_po_pozicija!$B$2:$B$153,[1]Izvršenje_proračuna_po_pozicija!$E$2:$E$153,0)</f>
        <v>#NAME?</v>
      </c>
      <c r="T588" s="158"/>
      <c r="U588" s="158"/>
      <c r="V588" s="532"/>
      <c r="W588" s="532"/>
      <c r="X588" s="560"/>
      <c r="Y588" s="561"/>
      <c r="Z588" s="561"/>
      <c r="AA588" s="562" t="e">
        <f t="shared" ca="1" si="463"/>
        <v>#NAME?</v>
      </c>
      <c r="AB588" s="535"/>
      <c r="AC588" s="529"/>
      <c r="AD588" s="529"/>
      <c r="AE588" s="529">
        <f>O588/M588*100</f>
        <v>3.1213679640123573</v>
      </c>
      <c r="AF588" s="529"/>
      <c r="AG588" s="529"/>
      <c r="AH588" s="529"/>
      <c r="AI588" s="535"/>
      <c r="AJ588" s="561"/>
      <c r="AK588" s="507">
        <f t="shared" si="456"/>
        <v>0</v>
      </c>
      <c r="AL588" s="507"/>
      <c r="AM588" s="507"/>
      <c r="AN588" s="556"/>
      <c r="AO588" s="510"/>
      <c r="AP588" s="510" t="e">
        <f t="shared" ca="1" si="462"/>
        <v>#NAME?</v>
      </c>
      <c r="AQ588" s="532"/>
      <c r="AR588" s="533">
        <f>V588/R588*100</f>
        <v>0</v>
      </c>
      <c r="AS588" s="533"/>
      <c r="AT588" s="533">
        <f>W588/R588*100</f>
        <v>0</v>
      </c>
      <c r="AU588" s="533"/>
      <c r="AV588" s="533">
        <f>AQ588/R588*100</f>
        <v>0</v>
      </c>
      <c r="AW588" s="612"/>
      <c r="AX588" s="612"/>
      <c r="AY588" s="612"/>
      <c r="AZ588" s="612"/>
      <c r="BA588" s="612"/>
      <c r="BB588" s="612"/>
      <c r="BC588" s="612"/>
      <c r="BD588" s="612"/>
      <c r="BE588" s="612"/>
      <c r="BF588" s="612"/>
      <c r="BG588" s="612"/>
      <c r="BH588" s="612">
        <f t="shared" si="464"/>
        <v>0</v>
      </c>
      <c r="BI588" s="612">
        <f t="shared" si="474"/>
        <v>30000</v>
      </c>
      <c r="BJ588" s="201">
        <f t="shared" ref="BJ588:BJ609" si="483">AQ595-BI588</f>
        <v>0</v>
      </c>
    </row>
    <row r="589" spans="1:62" ht="12" customHeight="1">
      <c r="A589" s="52"/>
      <c r="B589" s="52"/>
      <c r="C589" s="52"/>
      <c r="D589" s="52"/>
      <c r="E589" s="52"/>
      <c r="F589" s="52"/>
      <c r="G589" s="52"/>
      <c r="H589" s="2"/>
      <c r="I589" s="260"/>
      <c r="J589" s="185"/>
      <c r="K589" s="19"/>
      <c r="L589" s="129"/>
      <c r="M589" s="129"/>
      <c r="N589" s="130"/>
      <c r="O589" s="130"/>
      <c r="P589" s="131"/>
      <c r="Q589" s="131"/>
      <c r="R589" s="153"/>
      <c r="S589" s="158" t="e">
        <f ca="1">__xlfn.XLOOKUP(H589,[1]Izvršenje_proračuna_po_pozicija!$B$2:$B$153,[1]Izvršenje_proračuna_po_pozicija!$E$2:$E$153,0)</f>
        <v>#NAME?</v>
      </c>
      <c r="T589" s="158"/>
      <c r="U589" s="158"/>
      <c r="V589" s="532"/>
      <c r="W589" s="532"/>
      <c r="X589" s="560"/>
      <c r="Y589" s="561"/>
      <c r="Z589" s="561"/>
      <c r="AA589" s="562" t="e">
        <f t="shared" ca="1" si="463"/>
        <v>#NAME?</v>
      </c>
      <c r="AB589" s="535"/>
      <c r="AC589" s="529"/>
      <c r="AD589" s="529"/>
      <c r="AE589" s="529"/>
      <c r="AF589" s="529"/>
      <c r="AG589" s="529"/>
      <c r="AH589" s="529"/>
      <c r="AI589" s="535"/>
      <c r="AJ589" s="561"/>
      <c r="AK589" s="507"/>
      <c r="AL589" s="507"/>
      <c r="AM589" s="507"/>
      <c r="AN589" s="556"/>
      <c r="AO589" s="510"/>
      <c r="AP589" s="510" t="e">
        <f t="shared" ca="1" si="462"/>
        <v>#NAME?</v>
      </c>
      <c r="AQ589" s="532"/>
      <c r="AR589" s="533"/>
      <c r="AS589" s="533"/>
      <c r="AT589" s="533"/>
      <c r="AU589" s="533"/>
      <c r="AV589" s="533"/>
      <c r="AW589" s="612"/>
      <c r="AX589" s="612"/>
      <c r="AY589" s="612"/>
      <c r="AZ589" s="612"/>
      <c r="BA589" s="612"/>
      <c r="BB589" s="612"/>
      <c r="BC589" s="612"/>
      <c r="BD589" s="612"/>
      <c r="BE589" s="612"/>
      <c r="BF589" s="612"/>
      <c r="BG589" s="612"/>
      <c r="BH589" s="612">
        <f t="shared" si="464"/>
        <v>0</v>
      </c>
      <c r="BI589" s="612">
        <f t="shared" si="474"/>
        <v>0</v>
      </c>
      <c r="BJ589" s="201">
        <f t="shared" si="483"/>
        <v>0</v>
      </c>
    </row>
    <row r="590" spans="1:62" ht="12" customHeight="1">
      <c r="A590" s="282" t="s">
        <v>416</v>
      </c>
      <c r="B590" s="283"/>
      <c r="C590" s="283"/>
      <c r="D590" s="283"/>
      <c r="E590" s="283"/>
      <c r="F590" s="283"/>
      <c r="G590" s="283"/>
      <c r="H590" s="284"/>
      <c r="I590" s="337" t="s">
        <v>514</v>
      </c>
      <c r="J590" s="338"/>
      <c r="K590" s="123"/>
      <c r="L590" s="111">
        <f t="shared" ref="L590:S590" si="484">L592+L598</f>
        <v>0</v>
      </c>
      <c r="M590" s="111">
        <f t="shared" si="484"/>
        <v>0</v>
      </c>
      <c r="N590" s="112">
        <f t="shared" si="484"/>
        <v>130000</v>
      </c>
      <c r="O590" s="112">
        <f t="shared" si="484"/>
        <v>17253.965093901385</v>
      </c>
      <c r="P590" s="113">
        <f t="shared" si="484"/>
        <v>45000</v>
      </c>
      <c r="Q590" s="113">
        <f t="shared" si="484"/>
        <v>40000</v>
      </c>
      <c r="R590" s="87">
        <f t="shared" si="484"/>
        <v>40000</v>
      </c>
      <c r="S590" s="89" t="e">
        <f t="shared" ca="1" si="484"/>
        <v>#NAME?</v>
      </c>
      <c r="T590" s="89"/>
      <c r="U590" s="89"/>
      <c r="V590" s="532">
        <f>V592+V598</f>
        <v>50000</v>
      </c>
      <c r="W590" s="532">
        <f>W592+W598</f>
        <v>50000</v>
      </c>
      <c r="X590" s="506">
        <f>X592+X598</f>
        <v>200000</v>
      </c>
      <c r="Y590" s="507">
        <f>Y592+Y598</f>
        <v>250000</v>
      </c>
      <c r="Z590" s="507">
        <f>Z592+Z598</f>
        <v>0</v>
      </c>
      <c r="AA590" s="562" t="e">
        <f t="shared" ca="1" si="463"/>
        <v>#NAME?</v>
      </c>
      <c r="AB590" s="507"/>
      <c r="AC590" s="508">
        <f>AC592+AC598</f>
        <v>45000</v>
      </c>
      <c r="AD590" s="508">
        <f>AD592+AD598</f>
        <v>45000</v>
      </c>
      <c r="AE590" s="529"/>
      <c r="AF590" s="529">
        <f>P590/O590*100</f>
        <v>260.80961538461543</v>
      </c>
      <c r="AG590" s="529">
        <f>Q590/P590*100</f>
        <v>88.888888888888886</v>
      </c>
      <c r="AH590" s="529">
        <f>AC590/Q590*100</f>
        <v>112.5</v>
      </c>
      <c r="AI590" s="507"/>
      <c r="AJ590" s="507">
        <v>250000</v>
      </c>
      <c r="AK590" s="507">
        <f t="shared" si="456"/>
        <v>125</v>
      </c>
      <c r="AL590" s="507">
        <f t="shared" si="457"/>
        <v>400</v>
      </c>
      <c r="AM590" s="507">
        <f>Y590/X590*100</f>
        <v>125</v>
      </c>
      <c r="AN590" s="509"/>
      <c r="AO590" s="510"/>
      <c r="AP590" s="510" t="e">
        <f t="shared" ca="1" si="462"/>
        <v>#NAME?</v>
      </c>
      <c r="AQ590" s="532">
        <f>AQ592+AQ598</f>
        <v>30000</v>
      </c>
      <c r="AR590" s="533">
        <f>V590/R590*100</f>
        <v>125</v>
      </c>
      <c r="AS590" s="533">
        <f>W590/V590*100</f>
        <v>100</v>
      </c>
      <c r="AT590" s="533">
        <f>W590/R590*100</f>
        <v>125</v>
      </c>
      <c r="AU590" s="533">
        <f>AQ590/W590*100</f>
        <v>60</v>
      </c>
      <c r="AV590" s="533">
        <f>AQ590/R590*100</f>
        <v>75</v>
      </c>
      <c r="AW590" s="612"/>
      <c r="AX590" s="612"/>
      <c r="AY590" s="612"/>
      <c r="AZ590" s="612"/>
      <c r="BA590" s="612"/>
      <c r="BB590" s="612"/>
      <c r="BC590" s="612"/>
      <c r="BD590" s="612"/>
      <c r="BE590" s="612"/>
      <c r="BF590" s="612"/>
      <c r="BG590" s="612"/>
      <c r="BH590" s="612">
        <f t="shared" si="464"/>
        <v>0</v>
      </c>
      <c r="BI590" s="612">
        <f t="shared" si="474"/>
        <v>0</v>
      </c>
      <c r="BJ590" s="201">
        <f t="shared" si="483"/>
        <v>0</v>
      </c>
    </row>
    <row r="591" spans="1:62" ht="12" customHeight="1">
      <c r="A591" s="41"/>
      <c r="B591" s="41"/>
      <c r="C591" s="41"/>
      <c r="D591" s="41"/>
      <c r="E591" s="41"/>
      <c r="F591" s="41"/>
      <c r="G591" s="41"/>
      <c r="H591" s="235"/>
      <c r="I591" s="15"/>
      <c r="J591" s="3"/>
      <c r="K591" s="83"/>
      <c r="L591" s="84">
        <v>1</v>
      </c>
      <c r="M591" s="84">
        <v>2</v>
      </c>
      <c r="N591" s="85">
        <v>3</v>
      </c>
      <c r="O591" s="85">
        <v>4</v>
      </c>
      <c r="P591" s="86">
        <v>5</v>
      </c>
      <c r="Q591" s="86">
        <v>6</v>
      </c>
      <c r="R591" s="154"/>
      <c r="S591" s="158" t="e">
        <f ca="1">__xlfn.XLOOKUP(H591,[1]Izvršenje_proračuna_po_pozicija!$B$2:$B$153,[1]Izvršenje_proračuna_po_pozicija!$E$2:$E$153,0)</f>
        <v>#NAME?</v>
      </c>
      <c r="T591" s="158"/>
      <c r="U591" s="158"/>
      <c r="V591" s="532"/>
      <c r="W591" s="532"/>
      <c r="X591" s="568"/>
      <c r="Y591" s="569"/>
      <c r="Z591" s="569"/>
      <c r="AA591" s="562" t="e">
        <f t="shared" ca="1" si="463"/>
        <v>#NAME?</v>
      </c>
      <c r="AB591" s="537"/>
      <c r="AC591" s="538">
        <v>7</v>
      </c>
      <c r="AD591" s="538">
        <v>8</v>
      </c>
      <c r="AE591" s="538">
        <v>9</v>
      </c>
      <c r="AF591" s="538">
        <v>10</v>
      </c>
      <c r="AG591" s="538">
        <v>11</v>
      </c>
      <c r="AH591" s="538">
        <v>12</v>
      </c>
      <c r="AI591" s="537"/>
      <c r="AJ591" s="569"/>
      <c r="AK591" s="507"/>
      <c r="AL591" s="507"/>
      <c r="AM591" s="507"/>
      <c r="AN591" s="557"/>
      <c r="AO591" s="510"/>
      <c r="AP591" s="510" t="e">
        <f t="shared" ca="1" si="462"/>
        <v>#NAME?</v>
      </c>
      <c r="AQ591" s="532"/>
      <c r="AR591" s="533"/>
      <c r="AS591" s="533"/>
      <c r="AT591" s="533"/>
      <c r="AU591" s="533"/>
      <c r="AV591" s="533"/>
      <c r="AW591" s="612"/>
      <c r="AX591" s="612"/>
      <c r="AY591" s="612"/>
      <c r="AZ591" s="612"/>
      <c r="BA591" s="612"/>
      <c r="BB591" s="612"/>
      <c r="BC591" s="612"/>
      <c r="BD591" s="612"/>
      <c r="BE591" s="612"/>
      <c r="BF591" s="612"/>
      <c r="BG591" s="612"/>
      <c r="BH591" s="612">
        <f t="shared" si="464"/>
        <v>0</v>
      </c>
      <c r="BI591" s="612">
        <f t="shared" si="474"/>
        <v>0</v>
      </c>
      <c r="BJ591" s="201">
        <f t="shared" si="483"/>
        <v>0</v>
      </c>
    </row>
    <row r="592" spans="1:62" ht="12" customHeight="1">
      <c r="A592" s="25"/>
      <c r="B592" s="25"/>
      <c r="C592" s="25"/>
      <c r="D592" s="25"/>
      <c r="E592" s="25"/>
      <c r="F592" s="25"/>
      <c r="G592" s="25"/>
      <c r="H592" s="285"/>
      <c r="I592" s="296"/>
      <c r="J592" s="211">
        <v>3</v>
      </c>
      <c r="K592" s="3" t="s">
        <v>220</v>
      </c>
      <c r="L592" s="111">
        <f t="shared" ref="L592:S594" si="485">L593</f>
        <v>0</v>
      </c>
      <c r="M592" s="111">
        <f t="shared" si="485"/>
        <v>0</v>
      </c>
      <c r="N592" s="112">
        <f t="shared" si="485"/>
        <v>130000</v>
      </c>
      <c r="O592" s="112">
        <f t="shared" si="485"/>
        <v>17253.965093901385</v>
      </c>
      <c r="P592" s="113">
        <f t="shared" si="485"/>
        <v>40000</v>
      </c>
      <c r="Q592" s="113">
        <f t="shared" si="485"/>
        <v>40000</v>
      </c>
      <c r="R592" s="87">
        <f t="shared" si="485"/>
        <v>40000</v>
      </c>
      <c r="S592" s="89" t="e">
        <f t="shared" ca="1" si="485"/>
        <v>#NAME?</v>
      </c>
      <c r="T592" s="89"/>
      <c r="U592" s="89"/>
      <c r="V592" s="532">
        <f>V593</f>
        <v>50000</v>
      </c>
      <c r="W592" s="532">
        <f t="shared" ref="W592:Z594" si="486">W593</f>
        <v>50000</v>
      </c>
      <c r="X592" s="506">
        <f t="shared" si="486"/>
        <v>200000</v>
      </c>
      <c r="Y592" s="507">
        <f t="shared" si="486"/>
        <v>250000</v>
      </c>
      <c r="Z592" s="507">
        <f t="shared" si="486"/>
        <v>0</v>
      </c>
      <c r="AA592" s="562" t="e">
        <f t="shared" ca="1" si="463"/>
        <v>#NAME?</v>
      </c>
      <c r="AB592" s="507"/>
      <c r="AC592" s="508">
        <f t="shared" ref="AC592:AD594" si="487">AC593</f>
        <v>40000</v>
      </c>
      <c r="AD592" s="508">
        <f t="shared" si="487"/>
        <v>40000</v>
      </c>
      <c r="AE592" s="529"/>
      <c r="AF592" s="529">
        <f t="shared" ref="AF592:AG595" si="488">P592/O592*100</f>
        <v>231.83076923076928</v>
      </c>
      <c r="AG592" s="529">
        <f t="shared" si="488"/>
        <v>100</v>
      </c>
      <c r="AH592" s="529">
        <f>AC592/Q592*100</f>
        <v>100</v>
      </c>
      <c r="AI592" s="507"/>
      <c r="AJ592" s="507">
        <v>250000</v>
      </c>
      <c r="AK592" s="507">
        <f t="shared" si="456"/>
        <v>125</v>
      </c>
      <c r="AL592" s="507">
        <f t="shared" si="457"/>
        <v>400</v>
      </c>
      <c r="AM592" s="507">
        <f>Y592/X592*100</f>
        <v>125</v>
      </c>
      <c r="AN592" s="509"/>
      <c r="AO592" s="510"/>
      <c r="AP592" s="510" t="e">
        <f t="shared" ca="1" si="462"/>
        <v>#NAME?</v>
      </c>
      <c r="AQ592" s="532">
        <f>AQ593</f>
        <v>30000</v>
      </c>
      <c r="AR592" s="533">
        <f>V592/R592*100</f>
        <v>125</v>
      </c>
      <c r="AS592" s="533">
        <f>W592/V592*100</f>
        <v>100</v>
      </c>
      <c r="AT592" s="533">
        <f>W592/R592*100</f>
        <v>125</v>
      </c>
      <c r="AU592" s="533">
        <f>AQ592/W592*100</f>
        <v>60</v>
      </c>
      <c r="AV592" s="533">
        <f>AQ592/R592*100</f>
        <v>75</v>
      </c>
      <c r="AW592" s="612"/>
      <c r="AX592" s="612"/>
      <c r="AY592" s="612"/>
      <c r="AZ592" s="612"/>
      <c r="BA592" s="612"/>
      <c r="BB592" s="612"/>
      <c r="BC592" s="612"/>
      <c r="BD592" s="612"/>
      <c r="BE592" s="612"/>
      <c r="BF592" s="612"/>
      <c r="BG592" s="612"/>
      <c r="BH592" s="612">
        <f t="shared" si="464"/>
        <v>0</v>
      </c>
      <c r="BI592" s="612">
        <f t="shared" si="474"/>
        <v>0</v>
      </c>
      <c r="BJ592" s="201">
        <f t="shared" si="483"/>
        <v>0</v>
      </c>
    </row>
    <row r="593" spans="1:62" ht="12" customHeight="1">
      <c r="A593" s="227"/>
      <c r="B593" s="227"/>
      <c r="C593" s="227"/>
      <c r="D593" s="227"/>
      <c r="E593" s="227"/>
      <c r="F593" s="227"/>
      <c r="G593" s="227"/>
      <c r="H593" s="234"/>
      <c r="I593" s="297"/>
      <c r="J593" s="228">
        <v>38</v>
      </c>
      <c r="K593" s="258" t="s">
        <v>281</v>
      </c>
      <c r="L593" s="111">
        <f t="shared" si="485"/>
        <v>0</v>
      </c>
      <c r="M593" s="111">
        <f t="shared" si="485"/>
        <v>0</v>
      </c>
      <c r="N593" s="112">
        <f t="shared" si="485"/>
        <v>130000</v>
      </c>
      <c r="O593" s="112">
        <f t="shared" si="485"/>
        <v>17253.965093901385</v>
      </c>
      <c r="P593" s="113">
        <f t="shared" si="485"/>
        <v>40000</v>
      </c>
      <c r="Q593" s="113">
        <f t="shared" si="485"/>
        <v>40000</v>
      </c>
      <c r="R593" s="87">
        <f t="shared" si="485"/>
        <v>40000</v>
      </c>
      <c r="S593" s="89" t="e">
        <f t="shared" ca="1" si="485"/>
        <v>#NAME?</v>
      </c>
      <c r="T593" s="89"/>
      <c r="U593" s="89"/>
      <c r="V593" s="532">
        <f>V594</f>
        <v>50000</v>
      </c>
      <c r="W593" s="532">
        <f t="shared" si="486"/>
        <v>50000</v>
      </c>
      <c r="X593" s="506">
        <f t="shared" si="486"/>
        <v>200000</v>
      </c>
      <c r="Y593" s="507">
        <f t="shared" si="486"/>
        <v>250000</v>
      </c>
      <c r="Z593" s="507">
        <f t="shared" si="486"/>
        <v>0</v>
      </c>
      <c r="AA593" s="562" t="e">
        <f t="shared" ca="1" si="463"/>
        <v>#NAME?</v>
      </c>
      <c r="AB593" s="507"/>
      <c r="AC593" s="508">
        <f t="shared" si="487"/>
        <v>40000</v>
      </c>
      <c r="AD593" s="508">
        <f t="shared" si="487"/>
        <v>40000</v>
      </c>
      <c r="AE593" s="529"/>
      <c r="AF593" s="529">
        <f t="shared" si="488"/>
        <v>231.83076923076928</v>
      </c>
      <c r="AG593" s="529">
        <f t="shared" si="488"/>
        <v>100</v>
      </c>
      <c r="AH593" s="529">
        <f>AC593/Q593*100</f>
        <v>100</v>
      </c>
      <c r="AI593" s="507"/>
      <c r="AJ593" s="507">
        <v>250000</v>
      </c>
      <c r="AK593" s="507">
        <f t="shared" si="456"/>
        <v>125</v>
      </c>
      <c r="AL593" s="507">
        <f t="shared" si="457"/>
        <v>400</v>
      </c>
      <c r="AM593" s="507">
        <f>Y593/X593*100</f>
        <v>125</v>
      </c>
      <c r="AN593" s="509"/>
      <c r="AO593" s="510"/>
      <c r="AP593" s="510" t="e">
        <f t="shared" ca="1" si="462"/>
        <v>#NAME?</v>
      </c>
      <c r="AQ593" s="532">
        <f>AQ594</f>
        <v>30000</v>
      </c>
      <c r="AR593" s="533">
        <f>V593/R593*100</f>
        <v>125</v>
      </c>
      <c r="AS593" s="533">
        <f>W593/V593*100</f>
        <v>100</v>
      </c>
      <c r="AT593" s="533">
        <f>W593/R593*100</f>
        <v>125</v>
      </c>
      <c r="AU593" s="533">
        <f>AQ593/W593*100</f>
        <v>60</v>
      </c>
      <c r="AV593" s="533">
        <f>AQ593/R593*100</f>
        <v>75</v>
      </c>
      <c r="AW593" s="612"/>
      <c r="AX593" s="612"/>
      <c r="AY593" s="612"/>
      <c r="AZ593" s="612"/>
      <c r="BA593" s="612"/>
      <c r="BB593" s="612"/>
      <c r="BC593" s="612"/>
      <c r="BD593" s="612"/>
      <c r="BE593" s="612"/>
      <c r="BF593" s="612"/>
      <c r="BG593" s="612"/>
      <c r="BH593" s="612">
        <f t="shared" si="464"/>
        <v>0</v>
      </c>
      <c r="BI593" s="612">
        <f t="shared" si="474"/>
        <v>0</v>
      </c>
      <c r="BJ593" s="201">
        <f t="shared" si="483"/>
        <v>0</v>
      </c>
    </row>
    <row r="594" spans="1:62" ht="12" customHeight="1">
      <c r="A594" s="61"/>
      <c r="B594" s="61"/>
      <c r="C594" s="61"/>
      <c r="D594" s="61">
        <v>4</v>
      </c>
      <c r="E594" s="61"/>
      <c r="F594" s="61"/>
      <c r="G594" s="61"/>
      <c r="H594" s="230"/>
      <c r="I594" s="261"/>
      <c r="J594" s="229">
        <v>386</v>
      </c>
      <c r="K594" s="20" t="s">
        <v>495</v>
      </c>
      <c r="L594" s="111">
        <f t="shared" si="485"/>
        <v>0</v>
      </c>
      <c r="M594" s="111">
        <f t="shared" si="485"/>
        <v>0</v>
      </c>
      <c r="N594" s="112">
        <f t="shared" si="485"/>
        <v>130000</v>
      </c>
      <c r="O594" s="112">
        <f t="shared" si="485"/>
        <v>17253.965093901385</v>
      </c>
      <c r="P594" s="113">
        <f t="shared" si="485"/>
        <v>40000</v>
      </c>
      <c r="Q594" s="113">
        <f t="shared" si="485"/>
        <v>40000</v>
      </c>
      <c r="R594" s="87">
        <f t="shared" si="485"/>
        <v>40000</v>
      </c>
      <c r="S594" s="89" t="e">
        <f t="shared" ca="1" si="485"/>
        <v>#NAME?</v>
      </c>
      <c r="T594" s="89"/>
      <c r="U594" s="89"/>
      <c r="V594" s="532">
        <f>V595</f>
        <v>50000</v>
      </c>
      <c r="W594" s="532">
        <f t="shared" si="486"/>
        <v>50000</v>
      </c>
      <c r="X594" s="506">
        <f t="shared" si="486"/>
        <v>200000</v>
      </c>
      <c r="Y594" s="507">
        <f t="shared" si="486"/>
        <v>250000</v>
      </c>
      <c r="Z594" s="507">
        <f t="shared" si="486"/>
        <v>0</v>
      </c>
      <c r="AA594" s="562" t="e">
        <f t="shared" ca="1" si="463"/>
        <v>#NAME?</v>
      </c>
      <c r="AB594" s="507"/>
      <c r="AC594" s="508">
        <f t="shared" si="487"/>
        <v>40000</v>
      </c>
      <c r="AD594" s="508">
        <f t="shared" si="487"/>
        <v>40000</v>
      </c>
      <c r="AE594" s="529"/>
      <c r="AF594" s="529">
        <f t="shared" si="488"/>
        <v>231.83076923076928</v>
      </c>
      <c r="AG594" s="529">
        <f t="shared" si="488"/>
        <v>100</v>
      </c>
      <c r="AH594" s="529">
        <f>AC594/Q594*100</f>
        <v>100</v>
      </c>
      <c r="AI594" s="507"/>
      <c r="AJ594" s="507">
        <v>250000</v>
      </c>
      <c r="AK594" s="507">
        <f t="shared" si="456"/>
        <v>125</v>
      </c>
      <c r="AL594" s="507">
        <f t="shared" si="457"/>
        <v>400</v>
      </c>
      <c r="AM594" s="507">
        <f>Y594/X594*100</f>
        <v>125</v>
      </c>
      <c r="AN594" s="509"/>
      <c r="AO594" s="510"/>
      <c r="AP594" s="510" t="e">
        <f t="shared" ca="1" si="462"/>
        <v>#NAME?</v>
      </c>
      <c r="AQ594" s="532">
        <f>AQ595</f>
        <v>30000</v>
      </c>
      <c r="AR594" s="532">
        <f t="shared" ref="AR594:BG594" si="489">AR595</f>
        <v>125</v>
      </c>
      <c r="AS594" s="532">
        <f t="shared" si="489"/>
        <v>100</v>
      </c>
      <c r="AT594" s="532">
        <f t="shared" si="489"/>
        <v>125</v>
      </c>
      <c r="AU594" s="532">
        <f t="shared" si="489"/>
        <v>60</v>
      </c>
      <c r="AV594" s="532">
        <f t="shared" si="489"/>
        <v>75</v>
      </c>
      <c r="AW594" s="612">
        <f t="shared" si="489"/>
        <v>0</v>
      </c>
      <c r="AX594" s="612">
        <f t="shared" si="489"/>
        <v>0</v>
      </c>
      <c r="AY594" s="612">
        <f t="shared" si="489"/>
        <v>0</v>
      </c>
      <c r="AZ594" s="612">
        <f t="shared" si="489"/>
        <v>30000</v>
      </c>
      <c r="BA594" s="612">
        <f t="shared" si="489"/>
        <v>0</v>
      </c>
      <c r="BB594" s="612">
        <f t="shared" si="489"/>
        <v>0</v>
      </c>
      <c r="BC594" s="612">
        <f t="shared" si="489"/>
        <v>0</v>
      </c>
      <c r="BD594" s="612">
        <f t="shared" si="489"/>
        <v>0</v>
      </c>
      <c r="BE594" s="612">
        <f t="shared" si="489"/>
        <v>0</v>
      </c>
      <c r="BF594" s="612">
        <f t="shared" si="489"/>
        <v>0</v>
      </c>
      <c r="BG594" s="612">
        <f t="shared" si="489"/>
        <v>0</v>
      </c>
      <c r="BH594" s="612">
        <f t="shared" si="464"/>
        <v>30000</v>
      </c>
      <c r="BI594" s="612">
        <f t="shared" si="474"/>
        <v>0</v>
      </c>
      <c r="BJ594" s="201">
        <f t="shared" si="483"/>
        <v>0</v>
      </c>
    </row>
    <row r="595" spans="1:62" ht="12" customHeight="1">
      <c r="A595" s="52"/>
      <c r="B595" s="52"/>
      <c r="C595" s="52"/>
      <c r="D595" s="52"/>
      <c r="E595" s="52"/>
      <c r="F595" s="52"/>
      <c r="G595" s="52"/>
      <c r="H595" s="2" t="s">
        <v>515</v>
      </c>
      <c r="I595" s="260">
        <v>451</v>
      </c>
      <c r="J595" s="185">
        <v>3861</v>
      </c>
      <c r="K595" s="19" t="s">
        <v>516</v>
      </c>
      <c r="L595" s="129">
        <v>0</v>
      </c>
      <c r="M595" s="129">
        <v>0</v>
      </c>
      <c r="N595" s="130">
        <v>130000</v>
      </c>
      <c r="O595" s="130">
        <f>N595/7.5345</f>
        <v>17253.965093901385</v>
      </c>
      <c r="P595" s="131">
        <v>40000</v>
      </c>
      <c r="Q595" s="131">
        <v>40000</v>
      </c>
      <c r="R595" s="153">
        <v>40000</v>
      </c>
      <c r="S595" s="158" t="e">
        <f ca="1">__xlfn.XLOOKUP(H595,[1]Izvršenje_proračuna_po_pozicija!$B$2:$B$153,[1]Izvršenje_proračuna_po_pozicija!$E$2:$E$153,0)</f>
        <v>#NAME?</v>
      </c>
      <c r="T595" s="158"/>
      <c r="U595" s="158"/>
      <c r="V595" s="532">
        <v>50000</v>
      </c>
      <c r="W595" s="532">
        <v>50000</v>
      </c>
      <c r="X595" s="560">
        <v>200000</v>
      </c>
      <c r="Y595" s="561">
        <v>250000</v>
      </c>
      <c r="Z595" s="561"/>
      <c r="AA595" s="562" t="e">
        <f t="shared" ca="1" si="463"/>
        <v>#NAME?</v>
      </c>
      <c r="AB595" s="535"/>
      <c r="AC595" s="529">
        <v>40000</v>
      </c>
      <c r="AD595" s="529">
        <v>40000</v>
      </c>
      <c r="AE595" s="529"/>
      <c r="AF595" s="529">
        <f t="shared" si="488"/>
        <v>231.83076923076928</v>
      </c>
      <c r="AG595" s="529">
        <f t="shared" si="488"/>
        <v>100</v>
      </c>
      <c r="AH595" s="529">
        <f>AC595/Q595*100</f>
        <v>100</v>
      </c>
      <c r="AI595" s="535"/>
      <c r="AJ595" s="561">
        <v>250000</v>
      </c>
      <c r="AK595" s="507">
        <f t="shared" si="456"/>
        <v>125</v>
      </c>
      <c r="AL595" s="507">
        <f t="shared" si="457"/>
        <v>400</v>
      </c>
      <c r="AM595" s="507">
        <f>Y595/X595*100</f>
        <v>125</v>
      </c>
      <c r="AN595" s="556"/>
      <c r="AO595" s="510"/>
      <c r="AP595" s="510" t="e">
        <f t="shared" ca="1" si="462"/>
        <v>#NAME?</v>
      </c>
      <c r="AQ595" s="532">
        <v>30000</v>
      </c>
      <c r="AR595" s="533">
        <f>V595/R595*100</f>
        <v>125</v>
      </c>
      <c r="AS595" s="533">
        <f>W595/V595*100</f>
        <v>100</v>
      </c>
      <c r="AT595" s="533">
        <f>W595/R595*100</f>
        <v>125</v>
      </c>
      <c r="AU595" s="533">
        <f>AQ595/W595*100</f>
        <v>60</v>
      </c>
      <c r="AV595" s="533">
        <f>AQ595/R595*100</f>
        <v>75</v>
      </c>
      <c r="AW595" s="612"/>
      <c r="AX595" s="612"/>
      <c r="AY595" s="612"/>
      <c r="AZ595" s="612">
        <v>30000</v>
      </c>
      <c r="BA595" s="612"/>
      <c r="BB595" s="612"/>
      <c r="BC595" s="612"/>
      <c r="BD595" s="612"/>
      <c r="BE595" s="612"/>
      <c r="BF595" s="612"/>
      <c r="BG595" s="612"/>
      <c r="BH595" s="612">
        <f t="shared" si="464"/>
        <v>30000</v>
      </c>
      <c r="BI595" s="612">
        <f t="shared" si="474"/>
        <v>0</v>
      </c>
      <c r="BJ595" s="201">
        <f t="shared" si="483"/>
        <v>0</v>
      </c>
    </row>
    <row r="596" spans="1:62" ht="12" customHeight="1">
      <c r="A596" s="52"/>
      <c r="B596" s="52"/>
      <c r="C596" s="52"/>
      <c r="D596" s="52"/>
      <c r="E596" s="52"/>
      <c r="F596" s="52"/>
      <c r="G596" s="52"/>
      <c r="H596" s="2"/>
      <c r="I596" s="260"/>
      <c r="J596" s="185"/>
      <c r="K596" s="19"/>
      <c r="L596" s="129"/>
      <c r="M596" s="129"/>
      <c r="N596" s="130"/>
      <c r="O596" s="130"/>
      <c r="P596" s="131"/>
      <c r="Q596" s="131"/>
      <c r="R596" s="153"/>
      <c r="S596" s="158" t="e">
        <f ca="1">__xlfn.XLOOKUP(H596,[1]Izvršenje_proračuna_po_pozicija!$B$2:$B$153,[1]Izvršenje_proračuna_po_pozicija!$E$2:$E$153,0)</f>
        <v>#NAME?</v>
      </c>
      <c r="T596" s="158"/>
      <c r="U596" s="158"/>
      <c r="V596" s="532"/>
      <c r="W596" s="532"/>
      <c r="X596" s="560"/>
      <c r="Y596" s="561"/>
      <c r="Z596" s="561"/>
      <c r="AA596" s="562" t="e">
        <f t="shared" ca="1" si="463"/>
        <v>#NAME?</v>
      </c>
      <c r="AB596" s="535"/>
      <c r="AC596" s="529"/>
      <c r="AD596" s="529"/>
      <c r="AE596" s="529"/>
      <c r="AF596" s="529"/>
      <c r="AG596" s="529"/>
      <c r="AH596" s="529"/>
      <c r="AI596" s="535"/>
      <c r="AJ596" s="561"/>
      <c r="AK596" s="507"/>
      <c r="AL596" s="507"/>
      <c r="AM596" s="507"/>
      <c r="AN596" s="556"/>
      <c r="AO596" s="510"/>
      <c r="AP596" s="510" t="e">
        <f t="shared" ca="1" si="462"/>
        <v>#NAME?</v>
      </c>
      <c r="AQ596" s="532"/>
      <c r="AR596" s="533"/>
      <c r="AS596" s="533"/>
      <c r="AT596" s="533"/>
      <c r="AU596" s="533"/>
      <c r="AV596" s="533"/>
      <c r="AW596" s="612"/>
      <c r="AX596" s="612"/>
      <c r="AY596" s="612"/>
      <c r="AZ596" s="612"/>
      <c r="BA596" s="612"/>
      <c r="BB596" s="612"/>
      <c r="BC596" s="612"/>
      <c r="BD596" s="612"/>
      <c r="BE596" s="612"/>
      <c r="BF596" s="612"/>
      <c r="BG596" s="612"/>
      <c r="BH596" s="612">
        <f t="shared" si="464"/>
        <v>0</v>
      </c>
      <c r="BI596" s="612">
        <f t="shared" si="474"/>
        <v>0</v>
      </c>
      <c r="BJ596" s="201">
        <f t="shared" si="483"/>
        <v>0</v>
      </c>
    </row>
    <row r="597" spans="1:62" ht="12" customHeight="1">
      <c r="A597" s="25"/>
      <c r="B597" s="25"/>
      <c r="C597" s="25"/>
      <c r="D597" s="25"/>
      <c r="E597" s="25"/>
      <c r="F597" s="25"/>
      <c r="G597" s="25"/>
      <c r="H597" s="285"/>
      <c r="I597" s="296"/>
      <c r="J597" s="211">
        <v>4</v>
      </c>
      <c r="K597" s="3" t="s">
        <v>453</v>
      </c>
      <c r="L597" s="111">
        <f t="shared" ref="L597:S598" si="490">L598</f>
        <v>0</v>
      </c>
      <c r="M597" s="111">
        <f t="shared" si="490"/>
        <v>0</v>
      </c>
      <c r="N597" s="112">
        <f t="shared" si="490"/>
        <v>0</v>
      </c>
      <c r="O597" s="112">
        <f t="shared" si="490"/>
        <v>0</v>
      </c>
      <c r="P597" s="113">
        <f t="shared" si="490"/>
        <v>5000</v>
      </c>
      <c r="Q597" s="113">
        <f t="shared" si="490"/>
        <v>0</v>
      </c>
      <c r="R597" s="87">
        <f t="shared" si="490"/>
        <v>0</v>
      </c>
      <c r="S597" s="89" t="e">
        <f t="shared" ca="1" si="490"/>
        <v>#NAME?</v>
      </c>
      <c r="T597" s="89"/>
      <c r="U597" s="89"/>
      <c r="V597" s="532">
        <f>V598</f>
        <v>0</v>
      </c>
      <c r="W597" s="532">
        <f t="shared" ref="W597:Z598" si="491">W598</f>
        <v>0</v>
      </c>
      <c r="X597" s="506">
        <f t="shared" si="491"/>
        <v>0</v>
      </c>
      <c r="Y597" s="507">
        <f t="shared" si="491"/>
        <v>0</v>
      </c>
      <c r="Z597" s="507">
        <f t="shared" si="491"/>
        <v>0</v>
      </c>
      <c r="AA597" s="562" t="e">
        <f t="shared" ca="1" si="463"/>
        <v>#NAME?</v>
      </c>
      <c r="AB597" s="507"/>
      <c r="AC597" s="508">
        <f>AC598</f>
        <v>5000</v>
      </c>
      <c r="AD597" s="508">
        <f>AD598</f>
        <v>5000</v>
      </c>
      <c r="AE597" s="529"/>
      <c r="AF597" s="529"/>
      <c r="AG597" s="529"/>
      <c r="AH597" s="529"/>
      <c r="AI597" s="507"/>
      <c r="AJ597" s="507">
        <v>0</v>
      </c>
      <c r="AK597" s="507"/>
      <c r="AL597" s="507"/>
      <c r="AM597" s="507"/>
      <c r="AN597" s="509"/>
      <c r="AO597" s="510"/>
      <c r="AP597" s="510" t="e">
        <f t="shared" ca="1" si="462"/>
        <v>#NAME?</v>
      </c>
      <c r="AQ597" s="532">
        <f>AQ598</f>
        <v>0</v>
      </c>
      <c r="AR597" s="533"/>
      <c r="AS597" s="533"/>
      <c r="AT597" s="533"/>
      <c r="AU597" s="533"/>
      <c r="AV597" s="533"/>
      <c r="AW597" s="612"/>
      <c r="AX597" s="612"/>
      <c r="AY597" s="612"/>
      <c r="AZ597" s="612"/>
      <c r="BA597" s="612"/>
      <c r="BB597" s="612"/>
      <c r="BC597" s="612"/>
      <c r="BD597" s="612"/>
      <c r="BE597" s="612"/>
      <c r="BF597" s="612"/>
      <c r="BG597" s="612"/>
      <c r="BH597" s="612">
        <f t="shared" si="464"/>
        <v>0</v>
      </c>
      <c r="BI597" s="612">
        <f t="shared" si="474"/>
        <v>0</v>
      </c>
      <c r="BJ597" s="201">
        <f t="shared" si="483"/>
        <v>0</v>
      </c>
    </row>
    <row r="598" spans="1:62" ht="12" customHeight="1">
      <c r="A598" s="227"/>
      <c r="B598" s="227"/>
      <c r="C598" s="227"/>
      <c r="D598" s="227"/>
      <c r="E598" s="227"/>
      <c r="F598" s="227"/>
      <c r="G598" s="227"/>
      <c r="H598" s="234"/>
      <c r="I598" s="297"/>
      <c r="J598" s="228">
        <v>42</v>
      </c>
      <c r="K598" s="258" t="s">
        <v>504</v>
      </c>
      <c r="L598" s="111">
        <f t="shared" si="490"/>
        <v>0</v>
      </c>
      <c r="M598" s="111">
        <f t="shared" si="490"/>
        <v>0</v>
      </c>
      <c r="N598" s="112">
        <f t="shared" si="490"/>
        <v>0</v>
      </c>
      <c r="O598" s="112">
        <f t="shared" si="490"/>
        <v>0</v>
      </c>
      <c r="P598" s="113">
        <f t="shared" si="490"/>
        <v>5000</v>
      </c>
      <c r="Q598" s="113">
        <f t="shared" si="490"/>
        <v>0</v>
      </c>
      <c r="R598" s="87">
        <f t="shared" si="490"/>
        <v>0</v>
      </c>
      <c r="S598" s="89" t="e">
        <f t="shared" ca="1" si="490"/>
        <v>#NAME?</v>
      </c>
      <c r="T598" s="89"/>
      <c r="U598" s="89"/>
      <c r="V598" s="532">
        <f>V599</f>
        <v>0</v>
      </c>
      <c r="W598" s="532">
        <f t="shared" si="491"/>
        <v>0</v>
      </c>
      <c r="X598" s="506">
        <f t="shared" si="491"/>
        <v>0</v>
      </c>
      <c r="Y598" s="507">
        <f t="shared" si="491"/>
        <v>0</v>
      </c>
      <c r="Z598" s="507">
        <f t="shared" si="491"/>
        <v>0</v>
      </c>
      <c r="AA598" s="562" t="e">
        <f t="shared" ca="1" si="463"/>
        <v>#NAME?</v>
      </c>
      <c r="AB598" s="507"/>
      <c r="AC598" s="508">
        <f>AC599</f>
        <v>5000</v>
      </c>
      <c r="AD598" s="508">
        <f>AD599</f>
        <v>5000</v>
      </c>
      <c r="AE598" s="529"/>
      <c r="AF598" s="529"/>
      <c r="AG598" s="529"/>
      <c r="AH598" s="529"/>
      <c r="AI598" s="507"/>
      <c r="AJ598" s="507">
        <v>0</v>
      </c>
      <c r="AK598" s="507"/>
      <c r="AL598" s="507"/>
      <c r="AM598" s="507"/>
      <c r="AN598" s="509"/>
      <c r="AO598" s="510"/>
      <c r="AP598" s="510" t="e">
        <f t="shared" ca="1" si="462"/>
        <v>#NAME?</v>
      </c>
      <c r="AQ598" s="532">
        <f>AQ599</f>
        <v>0</v>
      </c>
      <c r="AR598" s="533"/>
      <c r="AS598" s="533"/>
      <c r="AT598" s="533"/>
      <c r="AU598" s="533"/>
      <c r="AV598" s="533"/>
      <c r="AW598" s="612"/>
      <c r="AX598" s="612"/>
      <c r="AY598" s="612"/>
      <c r="AZ598" s="612"/>
      <c r="BA598" s="612"/>
      <c r="BB598" s="612"/>
      <c r="BC598" s="612"/>
      <c r="BD598" s="612"/>
      <c r="BE598" s="612"/>
      <c r="BF598" s="612"/>
      <c r="BG598" s="612"/>
      <c r="BH598" s="612">
        <f t="shared" si="464"/>
        <v>0</v>
      </c>
      <c r="BI598" s="612">
        <f t="shared" si="474"/>
        <v>0</v>
      </c>
      <c r="BJ598" s="201">
        <f t="shared" si="483"/>
        <v>0</v>
      </c>
    </row>
    <row r="599" spans="1:62" ht="12" customHeight="1">
      <c r="A599" s="61"/>
      <c r="B599" s="61"/>
      <c r="C599" s="61"/>
      <c r="D599" s="61">
        <v>4</v>
      </c>
      <c r="E599" s="61"/>
      <c r="F599" s="61"/>
      <c r="G599" s="61"/>
      <c r="H599" s="230"/>
      <c r="I599" s="261"/>
      <c r="J599" s="229">
        <v>421</v>
      </c>
      <c r="K599" s="20" t="s">
        <v>455</v>
      </c>
      <c r="L599" s="111">
        <f t="shared" ref="L599:S599" si="492">L600+L601</f>
        <v>0</v>
      </c>
      <c r="M599" s="111">
        <f t="shared" si="492"/>
        <v>0</v>
      </c>
      <c r="N599" s="112">
        <f t="shared" si="492"/>
        <v>0</v>
      </c>
      <c r="O599" s="112">
        <f t="shared" si="492"/>
        <v>0</v>
      </c>
      <c r="P599" s="113">
        <f t="shared" si="492"/>
        <v>5000</v>
      </c>
      <c r="Q599" s="113">
        <f t="shared" si="492"/>
        <v>0</v>
      </c>
      <c r="R599" s="87">
        <f t="shared" si="492"/>
        <v>0</v>
      </c>
      <c r="S599" s="89" t="e">
        <f t="shared" ca="1" si="492"/>
        <v>#NAME?</v>
      </c>
      <c r="T599" s="89"/>
      <c r="U599" s="89"/>
      <c r="V599" s="532">
        <f>V600+V601</f>
        <v>0</v>
      </c>
      <c r="W599" s="532">
        <f>W600+W601</f>
        <v>0</v>
      </c>
      <c r="X599" s="506">
        <f>X600+X601</f>
        <v>0</v>
      </c>
      <c r="Y599" s="507">
        <f>Y600+Y601</f>
        <v>0</v>
      </c>
      <c r="Z599" s="507">
        <f>Z600+Z601</f>
        <v>0</v>
      </c>
      <c r="AA599" s="562" t="e">
        <f t="shared" ca="1" si="463"/>
        <v>#NAME?</v>
      </c>
      <c r="AB599" s="507"/>
      <c r="AC599" s="508">
        <f>AC600+AC601</f>
        <v>5000</v>
      </c>
      <c r="AD599" s="508">
        <f>AD600+AD601</f>
        <v>5000</v>
      </c>
      <c r="AE599" s="529"/>
      <c r="AF599" s="529"/>
      <c r="AG599" s="529"/>
      <c r="AH599" s="529"/>
      <c r="AI599" s="507"/>
      <c r="AJ599" s="507">
        <v>0</v>
      </c>
      <c r="AK599" s="507"/>
      <c r="AL599" s="507"/>
      <c r="AM599" s="507"/>
      <c r="AN599" s="509"/>
      <c r="AO599" s="510"/>
      <c r="AP599" s="510" t="e">
        <f t="shared" ca="1" si="462"/>
        <v>#NAME?</v>
      </c>
      <c r="AQ599" s="532">
        <f>AQ600+AQ601</f>
        <v>0</v>
      </c>
      <c r="AR599" s="533"/>
      <c r="AS599" s="533"/>
      <c r="AT599" s="533"/>
      <c r="AU599" s="533"/>
      <c r="AV599" s="533"/>
      <c r="AW599" s="612"/>
      <c r="AX599" s="612"/>
      <c r="AY599" s="612"/>
      <c r="AZ599" s="612"/>
      <c r="BA599" s="612"/>
      <c r="BB599" s="612"/>
      <c r="BC599" s="612"/>
      <c r="BD599" s="612"/>
      <c r="BE599" s="612"/>
      <c r="BF599" s="612"/>
      <c r="BG599" s="612"/>
      <c r="BH599" s="612">
        <f t="shared" si="464"/>
        <v>0</v>
      </c>
      <c r="BI599" s="612">
        <f t="shared" si="474"/>
        <v>0</v>
      </c>
      <c r="BJ599" s="201">
        <f t="shared" si="483"/>
        <v>0</v>
      </c>
    </row>
    <row r="600" spans="1:62" ht="12" customHeight="1">
      <c r="A600" s="52"/>
      <c r="B600" s="52"/>
      <c r="C600" s="52"/>
      <c r="D600" s="52"/>
      <c r="E600" s="52"/>
      <c r="F600" s="52"/>
      <c r="G600" s="52"/>
      <c r="H600" s="2">
        <v>174</v>
      </c>
      <c r="I600" s="260">
        <v>451</v>
      </c>
      <c r="J600" s="185">
        <v>4214</v>
      </c>
      <c r="K600" s="19" t="s">
        <v>517</v>
      </c>
      <c r="L600" s="129">
        <v>0</v>
      </c>
      <c r="M600" s="129">
        <v>0</v>
      </c>
      <c r="N600" s="130">
        <v>0</v>
      </c>
      <c r="O600" s="130">
        <v>0</v>
      </c>
      <c r="P600" s="131">
        <v>5000</v>
      </c>
      <c r="Q600" s="156">
        <v>0</v>
      </c>
      <c r="R600" s="153">
        <v>0</v>
      </c>
      <c r="S600" s="158" t="e">
        <f ca="1">__xlfn.XLOOKUP(H600,[1]Izvršenje_proračuna_po_pozicija!$B$2:$B$153,[1]Izvršenje_proračuna_po_pozicija!$E$2:$E$153,0)</f>
        <v>#NAME?</v>
      </c>
      <c r="T600" s="158"/>
      <c r="U600" s="158"/>
      <c r="V600" s="532"/>
      <c r="W600" s="532"/>
      <c r="X600" s="560"/>
      <c r="Y600" s="561"/>
      <c r="Z600" s="561"/>
      <c r="AA600" s="562" t="e">
        <f t="shared" ca="1" si="463"/>
        <v>#NAME?</v>
      </c>
      <c r="AB600" s="535"/>
      <c r="AC600" s="529">
        <v>5000</v>
      </c>
      <c r="AD600" s="529">
        <v>5000</v>
      </c>
      <c r="AE600" s="529"/>
      <c r="AF600" s="529"/>
      <c r="AG600" s="529"/>
      <c r="AH600" s="529"/>
      <c r="AI600" s="535"/>
      <c r="AJ600" s="561"/>
      <c r="AK600" s="507"/>
      <c r="AL600" s="507"/>
      <c r="AM600" s="507"/>
      <c r="AN600" s="556"/>
      <c r="AO600" s="510"/>
      <c r="AP600" s="510" t="e">
        <f t="shared" ca="1" si="462"/>
        <v>#NAME?</v>
      </c>
      <c r="AQ600" s="532"/>
      <c r="AR600" s="533"/>
      <c r="AS600" s="533"/>
      <c r="AT600" s="533"/>
      <c r="AU600" s="533"/>
      <c r="AV600" s="533"/>
      <c r="AW600" s="612"/>
      <c r="AX600" s="612"/>
      <c r="AY600" s="612"/>
      <c r="AZ600" s="612"/>
      <c r="BA600" s="612"/>
      <c r="BB600" s="612"/>
      <c r="BC600" s="612"/>
      <c r="BD600" s="612"/>
      <c r="BE600" s="612"/>
      <c r="BF600" s="612"/>
      <c r="BG600" s="612"/>
      <c r="BH600" s="612">
        <f t="shared" si="464"/>
        <v>0</v>
      </c>
      <c r="BI600" s="612">
        <f t="shared" si="474"/>
        <v>0</v>
      </c>
      <c r="BJ600" s="201">
        <f t="shared" si="483"/>
        <v>0</v>
      </c>
    </row>
    <row r="601" spans="1:62" ht="12" customHeight="1">
      <c r="A601" s="231"/>
      <c r="B601" s="231"/>
      <c r="C601" s="231"/>
      <c r="D601" s="231"/>
      <c r="E601" s="231"/>
      <c r="F601" s="231"/>
      <c r="G601" s="231"/>
      <c r="H601" s="345"/>
      <c r="I601" s="14"/>
      <c r="J601" s="5"/>
      <c r="K601" s="185"/>
      <c r="L601" s="262"/>
      <c r="M601" s="262"/>
      <c r="N601" s="263"/>
      <c r="O601" s="263"/>
      <c r="P601" s="264"/>
      <c r="Q601" s="264"/>
      <c r="R601" s="274"/>
      <c r="S601" s="158" t="e">
        <f ca="1">__xlfn.XLOOKUP(H601,[1]Izvršenje_proračuna_po_pozicija!$B$2:$B$153,[1]Izvršenje_proračuna_po_pozicija!$E$2:$E$153,0)</f>
        <v>#NAME?</v>
      </c>
      <c r="T601" s="158"/>
      <c r="U601" s="158"/>
      <c r="V601" s="532"/>
      <c r="W601" s="532"/>
      <c r="X601" s="574"/>
      <c r="Y601" s="575"/>
      <c r="Z601" s="575"/>
      <c r="AA601" s="562" t="e">
        <f t="shared" ca="1" si="463"/>
        <v>#NAME?</v>
      </c>
      <c r="AB601" s="540"/>
      <c r="AC601" s="541"/>
      <c r="AD601" s="541"/>
      <c r="AE601" s="529"/>
      <c r="AF601" s="529"/>
      <c r="AG601" s="529"/>
      <c r="AH601" s="529"/>
      <c r="AI601" s="540"/>
      <c r="AJ601" s="575"/>
      <c r="AK601" s="507"/>
      <c r="AL601" s="507"/>
      <c r="AM601" s="507"/>
      <c r="AN601" s="558"/>
      <c r="AO601" s="510"/>
      <c r="AP601" s="510" t="e">
        <f t="shared" ca="1" si="462"/>
        <v>#NAME?</v>
      </c>
      <c r="AQ601" s="532"/>
      <c r="AR601" s="533"/>
      <c r="AS601" s="533"/>
      <c r="AT601" s="533"/>
      <c r="AU601" s="533"/>
      <c r="AV601" s="533"/>
      <c r="AW601" s="612"/>
      <c r="AX601" s="612"/>
      <c r="AY601" s="612"/>
      <c r="AZ601" s="612"/>
      <c r="BA601" s="612"/>
      <c r="BB601" s="612"/>
      <c r="BC601" s="612"/>
      <c r="BD601" s="612"/>
      <c r="BE601" s="612"/>
      <c r="BF601" s="612"/>
      <c r="BG601" s="612"/>
      <c r="BH601" s="612">
        <f t="shared" si="464"/>
        <v>0</v>
      </c>
      <c r="BI601" s="612">
        <f t="shared" si="474"/>
        <v>0</v>
      </c>
      <c r="BJ601" s="201">
        <f t="shared" si="483"/>
        <v>0</v>
      </c>
    </row>
    <row r="602" spans="1:62" ht="12" customHeight="1">
      <c r="A602" s="320"/>
      <c r="B602" s="320"/>
      <c r="C602" s="320"/>
      <c r="D602" s="320"/>
      <c r="E602" s="320"/>
      <c r="F602" s="320"/>
      <c r="G602" s="320"/>
      <c r="H602" s="321"/>
      <c r="I602" s="341" t="s">
        <v>518</v>
      </c>
      <c r="J602" s="342"/>
      <c r="K602" s="126"/>
      <c r="L602" s="111">
        <f t="shared" ref="L602:S602" si="493">L603+L610</f>
        <v>39000</v>
      </c>
      <c r="M602" s="111">
        <f t="shared" si="493"/>
        <v>5176.1895281704155</v>
      </c>
      <c r="N602" s="112">
        <f t="shared" si="493"/>
        <v>0</v>
      </c>
      <c r="O602" s="112">
        <f t="shared" si="493"/>
        <v>0</v>
      </c>
      <c r="P602" s="113">
        <f t="shared" si="493"/>
        <v>9000</v>
      </c>
      <c r="Q602" s="113">
        <f t="shared" si="493"/>
        <v>0</v>
      </c>
      <c r="R602" s="87">
        <f t="shared" si="493"/>
        <v>0</v>
      </c>
      <c r="S602" s="89" t="e">
        <f t="shared" ca="1" si="493"/>
        <v>#NAME?</v>
      </c>
      <c r="T602" s="89"/>
      <c r="U602" s="89"/>
      <c r="V602" s="532">
        <f>V603+V610</f>
        <v>0</v>
      </c>
      <c r="W602" s="532">
        <f>W603+W610</f>
        <v>0</v>
      </c>
      <c r="X602" s="506">
        <f>X603+X610</f>
        <v>9000</v>
      </c>
      <c r="Y602" s="507">
        <f>Y603+Y610</f>
        <v>9000</v>
      </c>
      <c r="Z602" s="507">
        <f>Z603+Z610</f>
        <v>0</v>
      </c>
      <c r="AA602" s="562" t="e">
        <f t="shared" ca="1" si="463"/>
        <v>#NAME?</v>
      </c>
      <c r="AB602" s="507"/>
      <c r="AC602" s="508">
        <f>AC603+AC610</f>
        <v>11000</v>
      </c>
      <c r="AD602" s="508">
        <f>AD603+AD610</f>
        <v>11000</v>
      </c>
      <c r="AE602" s="529">
        <f>O602/M602*100</f>
        <v>0</v>
      </c>
      <c r="AF602" s="529"/>
      <c r="AG602" s="529"/>
      <c r="AH602" s="529"/>
      <c r="AI602" s="507"/>
      <c r="AJ602" s="507">
        <v>9000</v>
      </c>
      <c r="AK602" s="507"/>
      <c r="AL602" s="507"/>
      <c r="AM602" s="507">
        <f t="shared" ref="AM602:AM664" si="494">Y602/X602*100</f>
        <v>100</v>
      </c>
      <c r="AN602" s="509"/>
      <c r="AO602" s="510"/>
      <c r="AP602" s="510" t="e">
        <f t="shared" ca="1" si="462"/>
        <v>#NAME?</v>
      </c>
      <c r="AQ602" s="532">
        <f>AQ603+AQ610</f>
        <v>0</v>
      </c>
      <c r="AR602" s="533"/>
      <c r="AS602" s="533"/>
      <c r="AT602" s="533"/>
      <c r="AU602" s="533"/>
      <c r="AV602" s="533"/>
      <c r="AW602" s="612"/>
      <c r="AX602" s="612"/>
      <c r="AY602" s="612"/>
      <c r="AZ602" s="612"/>
      <c r="BA602" s="612"/>
      <c r="BB602" s="612"/>
      <c r="BC602" s="612"/>
      <c r="BD602" s="612"/>
      <c r="BE602" s="612"/>
      <c r="BF602" s="612"/>
      <c r="BG602" s="612"/>
      <c r="BH602" s="612">
        <f t="shared" si="464"/>
        <v>0</v>
      </c>
      <c r="BI602" s="612">
        <f t="shared" si="474"/>
        <v>0</v>
      </c>
      <c r="BJ602" s="201">
        <f t="shared" si="483"/>
        <v>0</v>
      </c>
    </row>
    <row r="603" spans="1:62" ht="12" customHeight="1">
      <c r="A603" s="282" t="s">
        <v>321</v>
      </c>
      <c r="B603" s="283"/>
      <c r="C603" s="283"/>
      <c r="D603" s="283"/>
      <c r="E603" s="283"/>
      <c r="F603" s="283"/>
      <c r="G603" s="283"/>
      <c r="H603" s="284"/>
      <c r="I603" s="337" t="s">
        <v>519</v>
      </c>
      <c r="J603" s="338"/>
      <c r="K603" s="123"/>
      <c r="L603" s="111">
        <f t="shared" ref="L603:S603" si="495">L605</f>
        <v>39000</v>
      </c>
      <c r="M603" s="111">
        <f t="shared" si="495"/>
        <v>5176.1895281704155</v>
      </c>
      <c r="N603" s="112">
        <f t="shared" si="495"/>
        <v>0</v>
      </c>
      <c r="O603" s="112">
        <f t="shared" si="495"/>
        <v>0</v>
      </c>
      <c r="P603" s="113">
        <f t="shared" si="495"/>
        <v>5000</v>
      </c>
      <c r="Q603" s="113">
        <f t="shared" si="495"/>
        <v>0</v>
      </c>
      <c r="R603" s="87">
        <f t="shared" si="495"/>
        <v>0</v>
      </c>
      <c r="S603" s="89" t="e">
        <f t="shared" ca="1" si="495"/>
        <v>#NAME?</v>
      </c>
      <c r="T603" s="89"/>
      <c r="U603" s="89"/>
      <c r="V603" s="532">
        <f>V605</f>
        <v>0</v>
      </c>
      <c r="W603" s="532">
        <f>W605</f>
        <v>0</v>
      </c>
      <c r="X603" s="506">
        <f>X605</f>
        <v>5000</v>
      </c>
      <c r="Y603" s="507">
        <f>Y605</f>
        <v>5000</v>
      </c>
      <c r="Z603" s="507">
        <f>Z605</f>
        <v>0</v>
      </c>
      <c r="AA603" s="562" t="e">
        <f t="shared" ca="1" si="463"/>
        <v>#NAME?</v>
      </c>
      <c r="AB603" s="507"/>
      <c r="AC603" s="508">
        <f>AC605</f>
        <v>6000</v>
      </c>
      <c r="AD603" s="508">
        <f>AD605</f>
        <v>6000</v>
      </c>
      <c r="AE603" s="529">
        <f>O603/M603*100</f>
        <v>0</v>
      </c>
      <c r="AF603" s="529"/>
      <c r="AG603" s="529"/>
      <c r="AH603" s="529"/>
      <c r="AI603" s="507"/>
      <c r="AJ603" s="507">
        <v>5000</v>
      </c>
      <c r="AK603" s="507"/>
      <c r="AL603" s="507"/>
      <c r="AM603" s="507">
        <f t="shared" si="494"/>
        <v>100</v>
      </c>
      <c r="AN603" s="509"/>
      <c r="AO603" s="510"/>
      <c r="AP603" s="510" t="e">
        <f t="shared" ca="1" si="462"/>
        <v>#NAME?</v>
      </c>
      <c r="AQ603" s="532">
        <f>AQ605</f>
        <v>0</v>
      </c>
      <c r="AR603" s="533"/>
      <c r="AS603" s="533"/>
      <c r="AT603" s="533"/>
      <c r="AU603" s="533"/>
      <c r="AV603" s="533"/>
      <c r="AW603" s="612"/>
      <c r="AX603" s="612"/>
      <c r="AY603" s="612"/>
      <c r="AZ603" s="612"/>
      <c r="BA603" s="612"/>
      <c r="BB603" s="612"/>
      <c r="BC603" s="612"/>
      <c r="BD603" s="612"/>
      <c r="BE603" s="612"/>
      <c r="BF603" s="612"/>
      <c r="BG603" s="612"/>
      <c r="BH603" s="612">
        <f t="shared" si="464"/>
        <v>0</v>
      </c>
      <c r="BI603" s="612">
        <f t="shared" si="474"/>
        <v>0</v>
      </c>
      <c r="BJ603" s="201">
        <f t="shared" si="483"/>
        <v>0</v>
      </c>
    </row>
    <row r="604" spans="1:62" ht="12" customHeight="1">
      <c r="A604" s="41"/>
      <c r="B604" s="41"/>
      <c r="C604" s="41"/>
      <c r="D604" s="41"/>
      <c r="E604" s="41"/>
      <c r="F604" s="41"/>
      <c r="G604" s="41"/>
      <c r="H604" s="235"/>
      <c r="I604" s="15"/>
      <c r="J604" s="3"/>
      <c r="K604" s="83"/>
      <c r="L604" s="84"/>
      <c r="M604" s="84"/>
      <c r="N604" s="85"/>
      <c r="O604" s="85"/>
      <c r="P604" s="86"/>
      <c r="Q604" s="86"/>
      <c r="R604" s="154"/>
      <c r="S604" s="158" t="e">
        <f ca="1">__xlfn.XLOOKUP(H604,[1]Izvršenje_proračuna_po_pozicija!$B$2:$B$153,[1]Izvršenje_proračuna_po_pozicija!$E$2:$E$153,0)</f>
        <v>#NAME?</v>
      </c>
      <c r="T604" s="158"/>
      <c r="U604" s="158"/>
      <c r="V604" s="532"/>
      <c r="W604" s="532"/>
      <c r="X604" s="568"/>
      <c r="Y604" s="569"/>
      <c r="Z604" s="569"/>
      <c r="AA604" s="562" t="e">
        <f t="shared" ca="1" si="463"/>
        <v>#NAME?</v>
      </c>
      <c r="AB604" s="537"/>
      <c r="AC604" s="538"/>
      <c r="AD604" s="538"/>
      <c r="AE604" s="529"/>
      <c r="AF604" s="529"/>
      <c r="AG604" s="529"/>
      <c r="AH604" s="529"/>
      <c r="AI604" s="537"/>
      <c r="AJ604" s="569"/>
      <c r="AK604" s="507"/>
      <c r="AL604" s="507"/>
      <c r="AM604" s="507"/>
      <c r="AN604" s="557"/>
      <c r="AO604" s="510"/>
      <c r="AP604" s="510" t="e">
        <f t="shared" ca="1" si="462"/>
        <v>#NAME?</v>
      </c>
      <c r="AQ604" s="532"/>
      <c r="AR604" s="533"/>
      <c r="AS604" s="533"/>
      <c r="AT604" s="533"/>
      <c r="AU604" s="533"/>
      <c r="AV604" s="533"/>
      <c r="AW604" s="612"/>
      <c r="AX604" s="612"/>
      <c r="AY604" s="612"/>
      <c r="AZ604" s="612"/>
      <c r="BA604" s="612"/>
      <c r="BB604" s="612"/>
      <c r="BC604" s="612"/>
      <c r="BD604" s="612"/>
      <c r="BE604" s="612"/>
      <c r="BF604" s="612"/>
      <c r="BG604" s="612"/>
      <c r="BH604" s="612">
        <f t="shared" si="464"/>
        <v>0</v>
      </c>
      <c r="BI604" s="612">
        <f t="shared" si="474"/>
        <v>0</v>
      </c>
      <c r="BJ604" s="201">
        <f t="shared" si="483"/>
        <v>0</v>
      </c>
    </row>
    <row r="605" spans="1:62" ht="12" customHeight="1">
      <c r="A605" s="25"/>
      <c r="B605" s="25"/>
      <c r="C605" s="25"/>
      <c r="D605" s="25"/>
      <c r="E605" s="25"/>
      <c r="F605" s="25"/>
      <c r="G605" s="25"/>
      <c r="H605" s="285"/>
      <c r="I605" s="296"/>
      <c r="J605" s="211">
        <v>3</v>
      </c>
      <c r="K605" s="3" t="s">
        <v>220</v>
      </c>
      <c r="L605" s="111">
        <f t="shared" ref="L605:AD607" si="496">L606</f>
        <v>39000</v>
      </c>
      <c r="M605" s="111">
        <f t="shared" si="496"/>
        <v>5176.1895281704155</v>
      </c>
      <c r="N605" s="112">
        <f t="shared" si="496"/>
        <v>0</v>
      </c>
      <c r="O605" s="112">
        <f t="shared" si="496"/>
        <v>0</v>
      </c>
      <c r="P605" s="113">
        <f t="shared" si="496"/>
        <v>5000</v>
      </c>
      <c r="Q605" s="113">
        <f t="shared" si="496"/>
        <v>0</v>
      </c>
      <c r="R605" s="87">
        <f t="shared" si="496"/>
        <v>0</v>
      </c>
      <c r="S605" s="89" t="e">
        <f t="shared" ca="1" si="496"/>
        <v>#NAME?</v>
      </c>
      <c r="T605" s="89"/>
      <c r="U605" s="89"/>
      <c r="V605" s="532">
        <f>V606</f>
        <v>0</v>
      </c>
      <c r="W605" s="532">
        <f t="shared" si="496"/>
        <v>0</v>
      </c>
      <c r="X605" s="506">
        <f t="shared" si="496"/>
        <v>5000</v>
      </c>
      <c r="Y605" s="507">
        <f t="shared" si="496"/>
        <v>5000</v>
      </c>
      <c r="Z605" s="507">
        <f t="shared" si="496"/>
        <v>0</v>
      </c>
      <c r="AA605" s="562" t="e">
        <f t="shared" ca="1" si="463"/>
        <v>#NAME?</v>
      </c>
      <c r="AB605" s="507"/>
      <c r="AC605" s="508">
        <f t="shared" si="496"/>
        <v>6000</v>
      </c>
      <c r="AD605" s="508">
        <f t="shared" si="496"/>
        <v>6000</v>
      </c>
      <c r="AE605" s="529">
        <f>O605/M605*100</f>
        <v>0</v>
      </c>
      <c r="AF605" s="529"/>
      <c r="AG605" s="529"/>
      <c r="AH605" s="529"/>
      <c r="AI605" s="507"/>
      <c r="AJ605" s="507">
        <v>5000</v>
      </c>
      <c r="AK605" s="507"/>
      <c r="AL605" s="507"/>
      <c r="AM605" s="507">
        <f t="shared" si="494"/>
        <v>100</v>
      </c>
      <c r="AN605" s="509"/>
      <c r="AO605" s="510"/>
      <c r="AP605" s="510" t="e">
        <f t="shared" ca="1" si="462"/>
        <v>#NAME?</v>
      </c>
      <c r="AQ605" s="532">
        <f>AQ606</f>
        <v>0</v>
      </c>
      <c r="AR605" s="533"/>
      <c r="AS605" s="533"/>
      <c r="AT605" s="533"/>
      <c r="AU605" s="533"/>
      <c r="AV605" s="533"/>
      <c r="AW605" s="612"/>
      <c r="AX605" s="612"/>
      <c r="AY605" s="612"/>
      <c r="AZ605" s="612"/>
      <c r="BA605" s="612"/>
      <c r="BB605" s="612"/>
      <c r="BC605" s="612"/>
      <c r="BD605" s="612"/>
      <c r="BE605" s="612"/>
      <c r="BF605" s="612"/>
      <c r="BG605" s="612"/>
      <c r="BH605" s="612">
        <f t="shared" si="464"/>
        <v>0</v>
      </c>
      <c r="BI605" s="612">
        <f t="shared" si="474"/>
        <v>0</v>
      </c>
      <c r="BJ605" s="201">
        <f t="shared" si="483"/>
        <v>0</v>
      </c>
    </row>
    <row r="606" spans="1:62" ht="12" customHeight="1">
      <c r="A606" s="227"/>
      <c r="B606" s="227"/>
      <c r="C606" s="227"/>
      <c r="D606" s="227"/>
      <c r="E606" s="227"/>
      <c r="F606" s="227"/>
      <c r="G606" s="227"/>
      <c r="H606" s="234"/>
      <c r="I606" s="265"/>
      <c r="J606" s="228">
        <v>32</v>
      </c>
      <c r="K606" s="258" t="s">
        <v>229</v>
      </c>
      <c r="L606" s="111">
        <f t="shared" si="496"/>
        <v>39000</v>
      </c>
      <c r="M606" s="111">
        <f t="shared" si="496"/>
        <v>5176.1895281704155</v>
      </c>
      <c r="N606" s="112">
        <f t="shared" si="496"/>
        <v>0</v>
      </c>
      <c r="O606" s="112">
        <f t="shared" si="496"/>
        <v>0</v>
      </c>
      <c r="P606" s="113">
        <f t="shared" si="496"/>
        <v>5000</v>
      </c>
      <c r="Q606" s="113">
        <f t="shared" si="496"/>
        <v>0</v>
      </c>
      <c r="R606" s="87">
        <f t="shared" si="496"/>
        <v>0</v>
      </c>
      <c r="S606" s="89" t="e">
        <f t="shared" ca="1" si="496"/>
        <v>#NAME?</v>
      </c>
      <c r="T606" s="89"/>
      <c r="U606" s="89"/>
      <c r="V606" s="532">
        <f>V607</f>
        <v>0</v>
      </c>
      <c r="W606" s="532">
        <f t="shared" si="496"/>
        <v>0</v>
      </c>
      <c r="X606" s="506">
        <f t="shared" si="496"/>
        <v>5000</v>
      </c>
      <c r="Y606" s="507">
        <f t="shared" si="496"/>
        <v>5000</v>
      </c>
      <c r="Z606" s="507">
        <f t="shared" si="496"/>
        <v>0</v>
      </c>
      <c r="AA606" s="562" t="e">
        <f t="shared" ca="1" si="463"/>
        <v>#NAME?</v>
      </c>
      <c r="AB606" s="507"/>
      <c r="AC606" s="508">
        <f t="shared" si="496"/>
        <v>6000</v>
      </c>
      <c r="AD606" s="508">
        <f t="shared" si="496"/>
        <v>6000</v>
      </c>
      <c r="AE606" s="529">
        <f>O606/M606*100</f>
        <v>0</v>
      </c>
      <c r="AF606" s="529"/>
      <c r="AG606" s="529"/>
      <c r="AH606" s="529"/>
      <c r="AI606" s="507"/>
      <c r="AJ606" s="507">
        <v>5000</v>
      </c>
      <c r="AK606" s="507"/>
      <c r="AL606" s="507"/>
      <c r="AM606" s="507">
        <f t="shared" si="494"/>
        <v>100</v>
      </c>
      <c r="AN606" s="509"/>
      <c r="AO606" s="510"/>
      <c r="AP606" s="510" t="e">
        <f t="shared" ca="1" si="462"/>
        <v>#NAME?</v>
      </c>
      <c r="AQ606" s="532">
        <f>AQ607</f>
        <v>0</v>
      </c>
      <c r="AR606" s="533"/>
      <c r="AS606" s="533"/>
      <c r="AT606" s="533"/>
      <c r="AU606" s="533"/>
      <c r="AV606" s="533"/>
      <c r="AW606" s="612"/>
      <c r="AX606" s="612"/>
      <c r="AY606" s="612"/>
      <c r="AZ606" s="612"/>
      <c r="BA606" s="612"/>
      <c r="BB606" s="612"/>
      <c r="BC606" s="612"/>
      <c r="BD606" s="612"/>
      <c r="BE606" s="612"/>
      <c r="BF606" s="612"/>
      <c r="BG606" s="612"/>
      <c r="BH606" s="612">
        <f t="shared" si="464"/>
        <v>0</v>
      </c>
      <c r="BI606" s="612">
        <f t="shared" si="474"/>
        <v>0</v>
      </c>
      <c r="BJ606" s="201">
        <f t="shared" si="483"/>
        <v>0</v>
      </c>
    </row>
    <row r="607" spans="1:62" ht="12" customHeight="1">
      <c r="A607" s="61"/>
      <c r="B607" s="61"/>
      <c r="C607" s="61"/>
      <c r="D607" s="61"/>
      <c r="E607" s="61"/>
      <c r="F607" s="61"/>
      <c r="G607" s="61"/>
      <c r="H607" s="230"/>
      <c r="I607" s="348"/>
      <c r="J607" s="229">
        <v>323</v>
      </c>
      <c r="K607" s="20" t="s">
        <v>346</v>
      </c>
      <c r="L607" s="111">
        <f t="shared" si="496"/>
        <v>39000</v>
      </c>
      <c r="M607" s="111">
        <f t="shared" si="496"/>
        <v>5176.1895281704155</v>
      </c>
      <c r="N607" s="112">
        <f t="shared" si="496"/>
        <v>0</v>
      </c>
      <c r="O607" s="112">
        <f t="shared" si="496"/>
        <v>0</v>
      </c>
      <c r="P607" s="113">
        <f t="shared" si="496"/>
        <v>5000</v>
      </c>
      <c r="Q607" s="113">
        <f t="shared" si="496"/>
        <v>0</v>
      </c>
      <c r="R607" s="87">
        <f t="shared" si="496"/>
        <v>0</v>
      </c>
      <c r="S607" s="89" t="e">
        <f t="shared" ca="1" si="496"/>
        <v>#NAME?</v>
      </c>
      <c r="T607" s="89"/>
      <c r="U607" s="89"/>
      <c r="V607" s="532">
        <f>V608</f>
        <v>0</v>
      </c>
      <c r="W607" s="532">
        <f t="shared" si="496"/>
        <v>0</v>
      </c>
      <c r="X607" s="506">
        <f t="shared" si="496"/>
        <v>5000</v>
      </c>
      <c r="Y607" s="507">
        <f t="shared" si="496"/>
        <v>5000</v>
      </c>
      <c r="Z607" s="507">
        <f t="shared" si="496"/>
        <v>0</v>
      </c>
      <c r="AA607" s="562" t="e">
        <f t="shared" ca="1" si="463"/>
        <v>#NAME?</v>
      </c>
      <c r="AB607" s="507"/>
      <c r="AC607" s="508">
        <f>AC608</f>
        <v>6000</v>
      </c>
      <c r="AD607" s="508">
        <f>AD608</f>
        <v>6000</v>
      </c>
      <c r="AE607" s="529">
        <f>O607/M607*100</f>
        <v>0</v>
      </c>
      <c r="AF607" s="529"/>
      <c r="AG607" s="529"/>
      <c r="AH607" s="529"/>
      <c r="AI607" s="507"/>
      <c r="AJ607" s="507">
        <v>5000</v>
      </c>
      <c r="AK607" s="507"/>
      <c r="AL607" s="507"/>
      <c r="AM607" s="507">
        <f t="shared" si="494"/>
        <v>100</v>
      </c>
      <c r="AN607" s="509"/>
      <c r="AO607" s="510"/>
      <c r="AP607" s="510" t="e">
        <f t="shared" ca="1" si="462"/>
        <v>#NAME?</v>
      </c>
      <c r="AQ607" s="532">
        <f>AQ608</f>
        <v>0</v>
      </c>
      <c r="AR607" s="533"/>
      <c r="AS607" s="533"/>
      <c r="AT607" s="533"/>
      <c r="AU607" s="533"/>
      <c r="AV607" s="533"/>
      <c r="AW607" s="612"/>
      <c r="AX607" s="612"/>
      <c r="AY607" s="612"/>
      <c r="AZ607" s="612"/>
      <c r="BA607" s="612"/>
      <c r="BB607" s="612"/>
      <c r="BC607" s="612"/>
      <c r="BD607" s="612"/>
      <c r="BE607" s="612"/>
      <c r="BF607" s="612"/>
      <c r="BG607" s="612"/>
      <c r="BH607" s="612">
        <f t="shared" si="464"/>
        <v>0</v>
      </c>
      <c r="BI607" s="612">
        <f t="shared" si="474"/>
        <v>0</v>
      </c>
      <c r="BJ607" s="201">
        <f t="shared" si="483"/>
        <v>0</v>
      </c>
    </row>
    <row r="608" spans="1:62" ht="12" customHeight="1">
      <c r="A608" s="52"/>
      <c r="B608" s="52"/>
      <c r="C608" s="52"/>
      <c r="D608" s="52"/>
      <c r="E608" s="52"/>
      <c r="F608" s="52"/>
      <c r="G608" s="52"/>
      <c r="H608" s="2" t="s">
        <v>520</v>
      </c>
      <c r="I608" s="289">
        <v>473</v>
      </c>
      <c r="J608" s="185">
        <v>3233</v>
      </c>
      <c r="K608" s="19" t="s">
        <v>521</v>
      </c>
      <c r="L608" s="129">
        <v>39000</v>
      </c>
      <c r="M608" s="129">
        <f>39000/7.5345</f>
        <v>5176.1895281704155</v>
      </c>
      <c r="N608" s="130">
        <v>0</v>
      </c>
      <c r="O608" s="130">
        <v>0</v>
      </c>
      <c r="P608" s="131">
        <v>5000</v>
      </c>
      <c r="Q608" s="156">
        <v>0</v>
      </c>
      <c r="R608" s="153">
        <v>0</v>
      </c>
      <c r="S608" s="158" t="e">
        <f ca="1">__xlfn.XLOOKUP(H608,[1]Izvršenje_proračuna_po_pozicija!$B$2:$B$153,[1]Izvršenje_proračuna_po_pozicija!$E$2:$E$153,0)</f>
        <v>#NAME?</v>
      </c>
      <c r="T608" s="158"/>
      <c r="U608" s="158"/>
      <c r="V608" s="532">
        <v>0</v>
      </c>
      <c r="W608" s="532">
        <v>0</v>
      </c>
      <c r="X608" s="560">
        <v>5000</v>
      </c>
      <c r="Y608" s="561">
        <v>5000</v>
      </c>
      <c r="Z608" s="561"/>
      <c r="AA608" s="562" t="e">
        <f t="shared" ca="1" si="463"/>
        <v>#NAME?</v>
      </c>
      <c r="AB608" s="535"/>
      <c r="AC608" s="529">
        <v>6000</v>
      </c>
      <c r="AD608" s="529">
        <v>6000</v>
      </c>
      <c r="AE608" s="529">
        <f>O608/M608*100</f>
        <v>0</v>
      </c>
      <c r="AF608" s="529"/>
      <c r="AG608" s="529"/>
      <c r="AH608" s="529"/>
      <c r="AI608" s="535"/>
      <c r="AJ608" s="561">
        <v>5000</v>
      </c>
      <c r="AK608" s="507"/>
      <c r="AL608" s="507"/>
      <c r="AM608" s="507">
        <f t="shared" si="494"/>
        <v>100</v>
      </c>
      <c r="AN608" s="556"/>
      <c r="AO608" s="510"/>
      <c r="AP608" s="510" t="e">
        <f t="shared" ca="1" si="462"/>
        <v>#NAME?</v>
      </c>
      <c r="AQ608" s="532"/>
      <c r="AR608" s="533"/>
      <c r="AS608" s="533"/>
      <c r="AT608" s="533"/>
      <c r="AU608" s="533"/>
      <c r="AV608" s="533"/>
      <c r="AW608" s="612"/>
      <c r="AX608" s="612"/>
      <c r="AY608" s="612"/>
      <c r="AZ608" s="612"/>
      <c r="BA608" s="612"/>
      <c r="BB608" s="612"/>
      <c r="BC608" s="612"/>
      <c r="BD608" s="612"/>
      <c r="BE608" s="612"/>
      <c r="BF608" s="612"/>
      <c r="BG608" s="612"/>
      <c r="BH608" s="612">
        <f t="shared" si="464"/>
        <v>0</v>
      </c>
      <c r="BI608" s="612">
        <f t="shared" si="474"/>
        <v>0</v>
      </c>
      <c r="BJ608" s="201">
        <f t="shared" si="483"/>
        <v>0</v>
      </c>
    </row>
    <row r="609" spans="1:62" ht="12" customHeight="1">
      <c r="A609" s="41"/>
      <c r="B609" s="41"/>
      <c r="C609" s="41"/>
      <c r="D609" s="41"/>
      <c r="E609" s="41"/>
      <c r="F609" s="41"/>
      <c r="G609" s="41"/>
      <c r="H609" s="235"/>
      <c r="I609" s="15"/>
      <c r="J609" s="3"/>
      <c r="K609" s="83"/>
      <c r="L609" s="84"/>
      <c r="M609" s="84"/>
      <c r="N609" s="85"/>
      <c r="O609" s="85"/>
      <c r="P609" s="86"/>
      <c r="Q609" s="86"/>
      <c r="R609" s="154"/>
      <c r="S609" s="158" t="e">
        <f ca="1">__xlfn.XLOOKUP(H609,[1]Izvršenje_proračuna_po_pozicija!$B$2:$B$153,[1]Izvršenje_proračuna_po_pozicija!$E$2:$E$153,0)</f>
        <v>#NAME?</v>
      </c>
      <c r="T609" s="158"/>
      <c r="U609" s="158"/>
      <c r="V609" s="532"/>
      <c r="W609" s="532"/>
      <c r="X609" s="568"/>
      <c r="Y609" s="569"/>
      <c r="Z609" s="569"/>
      <c r="AA609" s="562" t="e">
        <f t="shared" ca="1" si="463"/>
        <v>#NAME?</v>
      </c>
      <c r="AB609" s="537"/>
      <c r="AC609" s="538"/>
      <c r="AD609" s="538"/>
      <c r="AE609" s="529"/>
      <c r="AF609" s="529"/>
      <c r="AG609" s="529"/>
      <c r="AH609" s="529"/>
      <c r="AI609" s="537"/>
      <c r="AJ609" s="569"/>
      <c r="AK609" s="507"/>
      <c r="AL609" s="507"/>
      <c r="AM609" s="507"/>
      <c r="AN609" s="557"/>
      <c r="AO609" s="510"/>
      <c r="AP609" s="510" t="e">
        <f t="shared" ca="1" si="462"/>
        <v>#NAME?</v>
      </c>
      <c r="AQ609" s="532"/>
      <c r="AR609" s="533"/>
      <c r="AS609" s="533"/>
      <c r="AT609" s="533"/>
      <c r="AU609" s="533"/>
      <c r="AV609" s="533"/>
      <c r="AW609" s="612"/>
      <c r="AX609" s="612"/>
      <c r="AY609" s="612"/>
      <c r="AZ609" s="612"/>
      <c r="BA609" s="612"/>
      <c r="BB609" s="612"/>
      <c r="BC609" s="612"/>
      <c r="BD609" s="612"/>
      <c r="BE609" s="612"/>
      <c r="BF609" s="612"/>
      <c r="BG609" s="612"/>
      <c r="BH609" s="612">
        <f t="shared" si="464"/>
        <v>0</v>
      </c>
      <c r="BI609" s="612">
        <f t="shared" si="474"/>
        <v>0</v>
      </c>
      <c r="BJ609" s="201">
        <f t="shared" si="483"/>
        <v>0</v>
      </c>
    </row>
    <row r="610" spans="1:62" ht="12" customHeight="1">
      <c r="A610" s="55" t="s">
        <v>522</v>
      </c>
      <c r="B610" s="55"/>
      <c r="C610" s="55"/>
      <c r="D610" s="55"/>
      <c r="E610" s="55"/>
      <c r="F610" s="55"/>
      <c r="G610" s="55"/>
      <c r="H610" s="346"/>
      <c r="I610" s="13" t="s">
        <v>523</v>
      </c>
      <c r="J610" s="338"/>
      <c r="K610" s="338"/>
      <c r="L610" s="87">
        <f t="shared" ref="L610:S610" si="497">L612</f>
        <v>0</v>
      </c>
      <c r="M610" s="87">
        <f t="shared" si="497"/>
        <v>0</v>
      </c>
      <c r="N610" s="88">
        <f t="shared" si="497"/>
        <v>0</v>
      </c>
      <c r="O610" s="88">
        <f t="shared" si="497"/>
        <v>0</v>
      </c>
      <c r="P610" s="89">
        <f t="shared" si="497"/>
        <v>4000</v>
      </c>
      <c r="Q610" s="89">
        <f t="shared" si="497"/>
        <v>0</v>
      </c>
      <c r="R610" s="87">
        <f t="shared" si="497"/>
        <v>0</v>
      </c>
      <c r="S610" s="89" t="e">
        <f t="shared" ca="1" si="497"/>
        <v>#NAME?</v>
      </c>
      <c r="T610" s="89"/>
      <c r="U610" s="89"/>
      <c r="V610" s="532">
        <f>V612</f>
        <v>0</v>
      </c>
      <c r="W610" s="532">
        <f>W612</f>
        <v>0</v>
      </c>
      <c r="X610" s="506">
        <f>X612</f>
        <v>4000</v>
      </c>
      <c r="Y610" s="507">
        <f>Y612</f>
        <v>4000</v>
      </c>
      <c r="Z610" s="507">
        <f>Z612</f>
        <v>0</v>
      </c>
      <c r="AA610" s="562" t="e">
        <f t="shared" ca="1" si="463"/>
        <v>#NAME?</v>
      </c>
      <c r="AB610" s="507"/>
      <c r="AC610" s="508">
        <f>AC612</f>
        <v>5000</v>
      </c>
      <c r="AD610" s="508">
        <f>AD612</f>
        <v>5000</v>
      </c>
      <c r="AE610" s="529"/>
      <c r="AF610" s="529"/>
      <c r="AG610" s="529"/>
      <c r="AH610" s="529"/>
      <c r="AI610" s="507"/>
      <c r="AJ610" s="507">
        <v>4000</v>
      </c>
      <c r="AK610" s="507"/>
      <c r="AL610" s="507"/>
      <c r="AM610" s="507">
        <f t="shared" si="494"/>
        <v>100</v>
      </c>
      <c r="AN610" s="509"/>
      <c r="AO610" s="510"/>
      <c r="AP610" s="510" t="e">
        <f t="shared" ca="1" si="462"/>
        <v>#NAME?</v>
      </c>
      <c r="AQ610" s="532">
        <f>AQ612</f>
        <v>0</v>
      </c>
      <c r="AR610" s="533"/>
      <c r="AS610" s="533"/>
      <c r="AT610" s="533"/>
      <c r="AU610" s="533"/>
      <c r="AV610" s="533"/>
      <c r="AW610" s="612"/>
      <c r="AX610" s="612"/>
      <c r="AY610" s="612"/>
      <c r="AZ610" s="612"/>
      <c r="BA610" s="612"/>
      <c r="BB610" s="612"/>
      <c r="BC610" s="612"/>
      <c r="BD610" s="612"/>
      <c r="BE610" s="612"/>
      <c r="BF610" s="612"/>
      <c r="BG610" s="612"/>
      <c r="BH610" s="612">
        <f t="shared" si="464"/>
        <v>0</v>
      </c>
      <c r="BI610" s="612">
        <f t="shared" si="474"/>
        <v>0</v>
      </c>
      <c r="BJ610" s="201"/>
    </row>
    <row r="611" spans="1:62" ht="12" customHeight="1">
      <c r="A611" s="52"/>
      <c r="B611" s="52"/>
      <c r="C611" s="52"/>
      <c r="D611" s="52"/>
      <c r="E611" s="52"/>
      <c r="F611" s="52"/>
      <c r="G611" s="52"/>
      <c r="H611" s="2"/>
      <c r="I611" s="289"/>
      <c r="J611" s="185"/>
      <c r="K611" s="19"/>
      <c r="L611" s="111"/>
      <c r="M611" s="111"/>
      <c r="N611" s="112"/>
      <c r="O611" s="112"/>
      <c r="P611" s="113"/>
      <c r="Q611" s="113"/>
      <c r="R611" s="87"/>
      <c r="S611" s="158" t="e">
        <f ca="1">__xlfn.XLOOKUP(H611,[1]Izvršenje_proračuna_po_pozicija!$B$2:$B$153,[1]Izvršenje_proračuna_po_pozicija!$E$2:$E$153,0)</f>
        <v>#NAME?</v>
      </c>
      <c r="T611" s="158"/>
      <c r="U611" s="158"/>
      <c r="V611" s="532"/>
      <c r="W611" s="532"/>
      <c r="X611" s="563"/>
      <c r="Y611" s="562"/>
      <c r="Z611" s="562"/>
      <c r="AA611" s="562" t="e">
        <f t="shared" ca="1" si="463"/>
        <v>#NAME?</v>
      </c>
      <c r="AB611" s="507"/>
      <c r="AC611" s="508"/>
      <c r="AD611" s="508"/>
      <c r="AE611" s="529"/>
      <c r="AF611" s="529"/>
      <c r="AG611" s="529"/>
      <c r="AH611" s="529"/>
      <c r="AI611" s="507"/>
      <c r="AJ611" s="562"/>
      <c r="AK611" s="507"/>
      <c r="AL611" s="507"/>
      <c r="AM611" s="507"/>
      <c r="AN611" s="509"/>
      <c r="AO611" s="510"/>
      <c r="AP611" s="510" t="e">
        <f t="shared" ref="AP611:AP674" ca="1" si="498">__xlfn.ISFORMULA(X611)</f>
        <v>#NAME?</v>
      </c>
      <c r="AQ611" s="532"/>
      <c r="AR611" s="533"/>
      <c r="AS611" s="533"/>
      <c r="AT611" s="533"/>
      <c r="AU611" s="533"/>
      <c r="AV611" s="533"/>
      <c r="AW611" s="612"/>
      <c r="AX611" s="612"/>
      <c r="AY611" s="612"/>
      <c r="AZ611" s="612"/>
      <c r="BA611" s="612"/>
      <c r="BB611" s="612"/>
      <c r="BC611" s="612"/>
      <c r="BD611" s="612"/>
      <c r="BE611" s="612"/>
      <c r="BF611" s="612"/>
      <c r="BG611" s="612"/>
      <c r="BH611" s="612">
        <f t="shared" si="464"/>
        <v>0</v>
      </c>
      <c r="BI611" s="612">
        <f t="shared" si="474"/>
        <v>0</v>
      </c>
      <c r="BJ611" s="201"/>
    </row>
    <row r="612" spans="1:62" ht="12" customHeight="1">
      <c r="A612" s="25"/>
      <c r="B612" s="25"/>
      <c r="C612" s="25"/>
      <c r="D612" s="25"/>
      <c r="E612" s="25"/>
      <c r="F612" s="25"/>
      <c r="G612" s="25"/>
      <c r="H612" s="285"/>
      <c r="I612" s="349"/>
      <c r="J612" s="211">
        <v>3</v>
      </c>
      <c r="K612" s="3" t="s">
        <v>220</v>
      </c>
      <c r="L612" s="111">
        <f t="shared" ref="L612:AD614" si="499">L613</f>
        <v>0</v>
      </c>
      <c r="M612" s="111">
        <f t="shared" si="499"/>
        <v>0</v>
      </c>
      <c r="N612" s="112">
        <f t="shared" si="499"/>
        <v>0</v>
      </c>
      <c r="O612" s="112">
        <f t="shared" si="499"/>
        <v>0</v>
      </c>
      <c r="P612" s="113">
        <f t="shared" si="499"/>
        <v>4000</v>
      </c>
      <c r="Q612" s="113">
        <f t="shared" si="499"/>
        <v>0</v>
      </c>
      <c r="R612" s="87">
        <f t="shared" si="499"/>
        <v>0</v>
      </c>
      <c r="S612" s="89" t="e">
        <f t="shared" ca="1" si="499"/>
        <v>#NAME?</v>
      </c>
      <c r="T612" s="89"/>
      <c r="U612" s="89"/>
      <c r="V612" s="532">
        <f>V613</f>
        <v>0</v>
      </c>
      <c r="W612" s="532">
        <f t="shared" si="499"/>
        <v>0</v>
      </c>
      <c r="X612" s="506">
        <f t="shared" si="499"/>
        <v>4000</v>
      </c>
      <c r="Y612" s="507">
        <f t="shared" si="499"/>
        <v>4000</v>
      </c>
      <c r="Z612" s="507">
        <f t="shared" si="499"/>
        <v>0</v>
      </c>
      <c r="AA612" s="562" t="e">
        <f t="shared" ca="1" si="463"/>
        <v>#NAME?</v>
      </c>
      <c r="AB612" s="507"/>
      <c r="AC612" s="508">
        <f t="shared" si="499"/>
        <v>5000</v>
      </c>
      <c r="AD612" s="508">
        <f t="shared" si="499"/>
        <v>5000</v>
      </c>
      <c r="AE612" s="529"/>
      <c r="AF612" s="529"/>
      <c r="AG612" s="529"/>
      <c r="AH612" s="529"/>
      <c r="AI612" s="507"/>
      <c r="AJ612" s="507">
        <v>4000</v>
      </c>
      <c r="AK612" s="507"/>
      <c r="AL612" s="507"/>
      <c r="AM612" s="507">
        <f t="shared" si="494"/>
        <v>100</v>
      </c>
      <c r="AN612" s="509"/>
      <c r="AO612" s="510"/>
      <c r="AP612" s="510" t="e">
        <f t="shared" ca="1" si="498"/>
        <v>#NAME?</v>
      </c>
      <c r="AQ612" s="532">
        <f>AQ613</f>
        <v>0</v>
      </c>
      <c r="AR612" s="533"/>
      <c r="AS612" s="533"/>
      <c r="AT612" s="533"/>
      <c r="AU612" s="533"/>
      <c r="AV612" s="533"/>
      <c r="AW612" s="612"/>
      <c r="AX612" s="612"/>
      <c r="AY612" s="612"/>
      <c r="AZ612" s="612"/>
      <c r="BA612" s="612"/>
      <c r="BB612" s="612"/>
      <c r="BC612" s="612"/>
      <c r="BD612" s="612"/>
      <c r="BE612" s="612"/>
      <c r="BF612" s="612"/>
      <c r="BG612" s="612"/>
      <c r="BH612" s="612">
        <f t="shared" si="464"/>
        <v>0</v>
      </c>
      <c r="BI612" s="612">
        <f t="shared" si="474"/>
        <v>0</v>
      </c>
      <c r="BJ612" s="201"/>
    </row>
    <row r="613" spans="1:62" ht="12" customHeight="1">
      <c r="A613" s="227"/>
      <c r="B613" s="227"/>
      <c r="C613" s="227"/>
      <c r="D613" s="227"/>
      <c r="E613" s="227"/>
      <c r="F613" s="227"/>
      <c r="G613" s="227"/>
      <c r="H613" s="234"/>
      <c r="I613" s="265"/>
      <c r="J613" s="228">
        <v>38</v>
      </c>
      <c r="K613" s="258" t="s">
        <v>281</v>
      </c>
      <c r="L613" s="111">
        <f t="shared" si="499"/>
        <v>0</v>
      </c>
      <c r="M613" s="111">
        <f t="shared" si="499"/>
        <v>0</v>
      </c>
      <c r="N613" s="112">
        <f t="shared" si="499"/>
        <v>0</v>
      </c>
      <c r="O613" s="112">
        <f t="shared" si="499"/>
        <v>0</v>
      </c>
      <c r="P613" s="113">
        <f t="shared" si="499"/>
        <v>4000</v>
      </c>
      <c r="Q613" s="113">
        <f t="shared" si="499"/>
        <v>0</v>
      </c>
      <c r="R613" s="87">
        <f t="shared" si="499"/>
        <v>0</v>
      </c>
      <c r="S613" s="89" t="e">
        <f t="shared" ca="1" si="499"/>
        <v>#NAME?</v>
      </c>
      <c r="T613" s="89"/>
      <c r="U613" s="89"/>
      <c r="V613" s="532">
        <f>V614</f>
        <v>0</v>
      </c>
      <c r="W613" s="532">
        <f t="shared" si="499"/>
        <v>0</v>
      </c>
      <c r="X613" s="506">
        <f t="shared" si="499"/>
        <v>4000</v>
      </c>
      <c r="Y613" s="507">
        <f t="shared" si="499"/>
        <v>4000</v>
      </c>
      <c r="Z613" s="507">
        <f t="shared" si="499"/>
        <v>0</v>
      </c>
      <c r="AA613" s="562" t="e">
        <f t="shared" ref="AA613:AA676" ca="1" si="500">__xlfn.ISFORMULA(R613)</f>
        <v>#NAME?</v>
      </c>
      <c r="AB613" s="507"/>
      <c r="AC613" s="508">
        <f t="shared" si="499"/>
        <v>5000</v>
      </c>
      <c r="AD613" s="508">
        <f t="shared" si="499"/>
        <v>5000</v>
      </c>
      <c r="AE613" s="529"/>
      <c r="AF613" s="529"/>
      <c r="AG613" s="529"/>
      <c r="AH613" s="529"/>
      <c r="AI613" s="507"/>
      <c r="AJ613" s="507">
        <v>4000</v>
      </c>
      <c r="AK613" s="507"/>
      <c r="AL613" s="507"/>
      <c r="AM613" s="507">
        <f t="shared" si="494"/>
        <v>100</v>
      </c>
      <c r="AN613" s="509"/>
      <c r="AO613" s="510"/>
      <c r="AP613" s="510" t="e">
        <f t="shared" ca="1" si="498"/>
        <v>#NAME?</v>
      </c>
      <c r="AQ613" s="532">
        <f>AQ614</f>
        <v>0</v>
      </c>
      <c r="AR613" s="533"/>
      <c r="AS613" s="533"/>
      <c r="AT613" s="533"/>
      <c r="AU613" s="533"/>
      <c r="AV613" s="533"/>
      <c r="AW613" s="612"/>
      <c r="AX613" s="612"/>
      <c r="AY613" s="612"/>
      <c r="AZ613" s="612"/>
      <c r="BA613" s="612"/>
      <c r="BB613" s="612"/>
      <c r="BC613" s="612"/>
      <c r="BD613" s="612"/>
      <c r="BE613" s="612"/>
      <c r="BF613" s="612"/>
      <c r="BG613" s="612"/>
      <c r="BH613" s="612">
        <f t="shared" ref="BH613:BH676" si="501">SUM(AW613:BG613)</f>
        <v>0</v>
      </c>
      <c r="BI613" s="612">
        <f t="shared" si="474"/>
        <v>0</v>
      </c>
      <c r="BJ613" s="201"/>
    </row>
    <row r="614" spans="1:62" ht="12" customHeight="1">
      <c r="A614" s="61"/>
      <c r="B614" s="61"/>
      <c r="C614" s="61"/>
      <c r="D614" s="61"/>
      <c r="E614" s="61"/>
      <c r="F614" s="61"/>
      <c r="G614" s="61"/>
      <c r="H614" s="230"/>
      <c r="I614" s="348"/>
      <c r="J614" s="229">
        <v>382</v>
      </c>
      <c r="K614" s="20" t="s">
        <v>524</v>
      </c>
      <c r="L614" s="111">
        <f t="shared" si="499"/>
        <v>0</v>
      </c>
      <c r="M614" s="111">
        <f t="shared" si="499"/>
        <v>0</v>
      </c>
      <c r="N614" s="112">
        <f t="shared" si="499"/>
        <v>0</v>
      </c>
      <c r="O614" s="112">
        <f t="shared" si="499"/>
        <v>0</v>
      </c>
      <c r="P614" s="113">
        <f t="shared" si="499"/>
        <v>4000</v>
      </c>
      <c r="Q614" s="113">
        <f t="shared" si="499"/>
        <v>0</v>
      </c>
      <c r="R614" s="87">
        <f t="shared" si="499"/>
        <v>0</v>
      </c>
      <c r="S614" s="89" t="e">
        <f t="shared" ca="1" si="499"/>
        <v>#NAME?</v>
      </c>
      <c r="T614" s="89"/>
      <c r="U614" s="89"/>
      <c r="V614" s="532">
        <f>V615</f>
        <v>0</v>
      </c>
      <c r="W614" s="532">
        <f t="shared" si="499"/>
        <v>0</v>
      </c>
      <c r="X614" s="506">
        <f t="shared" si="499"/>
        <v>4000</v>
      </c>
      <c r="Y614" s="507">
        <f t="shared" si="499"/>
        <v>4000</v>
      </c>
      <c r="Z614" s="507">
        <f t="shared" si="499"/>
        <v>0</v>
      </c>
      <c r="AA614" s="562" t="e">
        <f t="shared" ca="1" si="500"/>
        <v>#NAME?</v>
      </c>
      <c r="AB614" s="507"/>
      <c r="AC614" s="508">
        <f t="shared" si="499"/>
        <v>5000</v>
      </c>
      <c r="AD614" s="508">
        <f t="shared" si="499"/>
        <v>5000</v>
      </c>
      <c r="AE614" s="529"/>
      <c r="AF614" s="529"/>
      <c r="AG614" s="529"/>
      <c r="AH614" s="529"/>
      <c r="AI614" s="507"/>
      <c r="AJ614" s="507">
        <v>4000</v>
      </c>
      <c r="AK614" s="507"/>
      <c r="AL614" s="507"/>
      <c r="AM614" s="507">
        <f t="shared" si="494"/>
        <v>100</v>
      </c>
      <c r="AN614" s="509"/>
      <c r="AO614" s="510"/>
      <c r="AP614" s="510" t="e">
        <f t="shared" ca="1" si="498"/>
        <v>#NAME?</v>
      </c>
      <c r="AQ614" s="532">
        <f>AQ615</f>
        <v>0</v>
      </c>
      <c r="AR614" s="533"/>
      <c r="AS614" s="533"/>
      <c r="AT614" s="533"/>
      <c r="AU614" s="533"/>
      <c r="AV614" s="533"/>
      <c r="AW614" s="612"/>
      <c r="AX614" s="612"/>
      <c r="AY614" s="612"/>
      <c r="AZ614" s="612"/>
      <c r="BA614" s="612"/>
      <c r="BB614" s="612"/>
      <c r="BC614" s="612"/>
      <c r="BD614" s="612"/>
      <c r="BE614" s="612"/>
      <c r="BF614" s="612"/>
      <c r="BG614" s="612"/>
      <c r="BH614" s="612">
        <f t="shared" si="501"/>
        <v>0</v>
      </c>
      <c r="BI614" s="612">
        <f t="shared" si="474"/>
        <v>0</v>
      </c>
      <c r="BJ614" s="201"/>
    </row>
    <row r="615" spans="1:62" ht="12" customHeight="1">
      <c r="A615" s="52"/>
      <c r="B615" s="52"/>
      <c r="C615" s="52"/>
      <c r="D615" s="52"/>
      <c r="E615" s="52"/>
      <c r="F615" s="52"/>
      <c r="G615" s="52"/>
      <c r="H615" s="2" t="s">
        <v>525</v>
      </c>
      <c r="I615" s="289">
        <v>473</v>
      </c>
      <c r="J615" s="185">
        <v>3821</v>
      </c>
      <c r="K615" s="19" t="s">
        <v>526</v>
      </c>
      <c r="L615" s="129">
        <v>0</v>
      </c>
      <c r="M615" s="129">
        <v>0</v>
      </c>
      <c r="N615" s="130">
        <v>0</v>
      </c>
      <c r="O615" s="130">
        <v>0</v>
      </c>
      <c r="P615" s="131">
        <v>4000</v>
      </c>
      <c r="Q615" s="156">
        <v>0</v>
      </c>
      <c r="R615" s="153">
        <v>0</v>
      </c>
      <c r="S615" s="158" t="e">
        <f ca="1">__xlfn.XLOOKUP(H615,[1]Izvršenje_proračuna_po_pozicija!$B$2:$B$153,[1]Izvršenje_proračuna_po_pozicija!$E$2:$E$153,0)</f>
        <v>#NAME?</v>
      </c>
      <c r="T615" s="158"/>
      <c r="U615" s="158"/>
      <c r="V615" s="532">
        <v>0</v>
      </c>
      <c r="W615" s="532">
        <v>0</v>
      </c>
      <c r="X615" s="560">
        <v>4000</v>
      </c>
      <c r="Y615" s="561">
        <v>4000</v>
      </c>
      <c r="Z615" s="561"/>
      <c r="AA615" s="562" t="e">
        <f t="shared" ca="1" si="500"/>
        <v>#NAME?</v>
      </c>
      <c r="AB615" s="535"/>
      <c r="AC615" s="529">
        <v>5000</v>
      </c>
      <c r="AD615" s="529">
        <v>5000</v>
      </c>
      <c r="AE615" s="529"/>
      <c r="AF615" s="529"/>
      <c r="AG615" s="529"/>
      <c r="AH615" s="529"/>
      <c r="AI615" s="535"/>
      <c r="AJ615" s="561">
        <v>4000</v>
      </c>
      <c r="AK615" s="507"/>
      <c r="AL615" s="507"/>
      <c r="AM615" s="507">
        <f t="shared" si="494"/>
        <v>100</v>
      </c>
      <c r="AN615" s="556"/>
      <c r="AO615" s="510"/>
      <c r="AP615" s="510" t="e">
        <f t="shared" ca="1" si="498"/>
        <v>#NAME?</v>
      </c>
      <c r="AQ615" s="532"/>
      <c r="AR615" s="533"/>
      <c r="AS615" s="533"/>
      <c r="AT615" s="533"/>
      <c r="AU615" s="533"/>
      <c r="AV615" s="533"/>
      <c r="AW615" s="612"/>
      <c r="AX615" s="612"/>
      <c r="AY615" s="612"/>
      <c r="AZ615" s="612"/>
      <c r="BA615" s="612"/>
      <c r="BB615" s="612"/>
      <c r="BC615" s="612"/>
      <c r="BD615" s="612"/>
      <c r="BE615" s="612"/>
      <c r="BF615" s="612"/>
      <c r="BG615" s="612"/>
      <c r="BH615" s="612">
        <f t="shared" si="501"/>
        <v>0</v>
      </c>
      <c r="BI615" s="612">
        <f t="shared" si="474"/>
        <v>63664.800000000003</v>
      </c>
      <c r="BJ615" s="201"/>
    </row>
    <row r="616" spans="1:62" ht="12" customHeight="1">
      <c r="A616" s="41"/>
      <c r="B616" s="41"/>
      <c r="C616" s="41"/>
      <c r="D616" s="41"/>
      <c r="E616" s="41"/>
      <c r="F616" s="41"/>
      <c r="G616" s="41"/>
      <c r="H616" s="235"/>
      <c r="I616" s="15"/>
      <c r="J616" s="3"/>
      <c r="K616" s="211"/>
      <c r="L616" s="84"/>
      <c r="M616" s="84"/>
      <c r="N616" s="85"/>
      <c r="O616" s="85"/>
      <c r="P616" s="86"/>
      <c r="Q616" s="86"/>
      <c r="R616" s="154"/>
      <c r="S616" s="158" t="e">
        <f ca="1">__xlfn.XLOOKUP(H616,[1]Izvršenje_proračuna_po_pozicija!$B$2:$B$153,[1]Izvršenje_proračuna_po_pozicija!$E$2:$E$153,0)</f>
        <v>#NAME?</v>
      </c>
      <c r="T616" s="158"/>
      <c r="U616" s="158"/>
      <c r="V616" s="532"/>
      <c r="W616" s="532"/>
      <c r="X616" s="568"/>
      <c r="Y616" s="569"/>
      <c r="Z616" s="569"/>
      <c r="AA616" s="562" t="e">
        <f t="shared" ca="1" si="500"/>
        <v>#NAME?</v>
      </c>
      <c r="AB616" s="537"/>
      <c r="AC616" s="538"/>
      <c r="AD616" s="538"/>
      <c r="AE616" s="529"/>
      <c r="AF616" s="529"/>
      <c r="AG616" s="529"/>
      <c r="AH616" s="529"/>
      <c r="AI616" s="537"/>
      <c r="AJ616" s="569"/>
      <c r="AK616" s="507"/>
      <c r="AL616" s="507"/>
      <c r="AM616" s="507"/>
      <c r="AN616" s="557"/>
      <c r="AO616" s="510"/>
      <c r="AP616" s="510" t="e">
        <f t="shared" ca="1" si="498"/>
        <v>#NAME?</v>
      </c>
      <c r="AQ616" s="532"/>
      <c r="AR616" s="533"/>
      <c r="AS616" s="533"/>
      <c r="AT616" s="533"/>
      <c r="AU616" s="533"/>
      <c r="AV616" s="533"/>
      <c r="AW616" s="612"/>
      <c r="AX616" s="612"/>
      <c r="AY616" s="612"/>
      <c r="AZ616" s="612"/>
      <c r="BA616" s="612"/>
      <c r="BB616" s="612"/>
      <c r="BC616" s="612"/>
      <c r="BD616" s="612"/>
      <c r="BE616" s="612"/>
      <c r="BF616" s="612"/>
      <c r="BG616" s="612"/>
      <c r="BH616" s="612">
        <f t="shared" si="501"/>
        <v>0</v>
      </c>
      <c r="BI616" s="612">
        <f t="shared" si="474"/>
        <v>63664.800000000003</v>
      </c>
      <c r="BJ616" s="201"/>
    </row>
    <row r="617" spans="1:62" ht="12" customHeight="1">
      <c r="A617" s="347"/>
      <c r="B617" s="347"/>
      <c r="C617" s="347"/>
      <c r="D617" s="347"/>
      <c r="E617" s="347"/>
      <c r="F617" s="347"/>
      <c r="G617" s="347"/>
      <c r="H617" s="330"/>
      <c r="I617" s="334" t="s">
        <v>527</v>
      </c>
      <c r="J617" s="335"/>
      <c r="K617" s="336"/>
      <c r="L617" s="250">
        <f t="shared" ref="L617:S617" si="502">L618+L632+L651</f>
        <v>881928</v>
      </c>
      <c r="M617" s="250">
        <f t="shared" si="502"/>
        <v>117051.96097949432</v>
      </c>
      <c r="N617" s="251">
        <f t="shared" si="502"/>
        <v>1340707</v>
      </c>
      <c r="O617" s="251">
        <f t="shared" si="502"/>
        <v>177942.39830114806</v>
      </c>
      <c r="P617" s="252">
        <f t="shared" si="502"/>
        <v>395400</v>
      </c>
      <c r="Q617" s="252">
        <f t="shared" si="502"/>
        <v>191600</v>
      </c>
      <c r="R617" s="272">
        <f t="shared" si="502"/>
        <v>136899</v>
      </c>
      <c r="S617" s="273" t="e">
        <f t="shared" ca="1" si="502"/>
        <v>#NAME?</v>
      </c>
      <c r="T617" s="273"/>
      <c r="U617" s="273"/>
      <c r="V617" s="532">
        <f>V618+V632+V651</f>
        <v>102500</v>
      </c>
      <c r="W617" s="532">
        <f>W618+W632+W651</f>
        <v>102500</v>
      </c>
      <c r="X617" s="564">
        <f>X618+X632+X651</f>
        <v>235000</v>
      </c>
      <c r="Y617" s="565">
        <f>Y618+Y632+Y651</f>
        <v>264000</v>
      </c>
      <c r="Z617" s="565">
        <f>Z618+Z632+Z651</f>
        <v>0</v>
      </c>
      <c r="AA617" s="562" t="e">
        <f t="shared" ca="1" si="500"/>
        <v>#NAME?</v>
      </c>
      <c r="AB617" s="565"/>
      <c r="AC617" s="565">
        <f>AC618+AC632+AC651</f>
        <v>334000</v>
      </c>
      <c r="AD617" s="565">
        <f>AD618+AD632+AD651</f>
        <v>334000</v>
      </c>
      <c r="AE617" s="529">
        <f>O617/M617*100</f>
        <v>152.02000616830401</v>
      </c>
      <c r="AF617" s="529">
        <f>P617/O617*100</f>
        <v>222.20673868339614</v>
      </c>
      <c r="AG617" s="529">
        <f>Q617/P617*100</f>
        <v>48.457258472432976</v>
      </c>
      <c r="AH617" s="529">
        <f>AC617/Q617*100</f>
        <v>174.32150313152403</v>
      </c>
      <c r="AI617" s="565"/>
      <c r="AJ617" s="565">
        <v>264000</v>
      </c>
      <c r="AK617" s="507">
        <f>W617/R617*100</f>
        <v>74.872716382150344</v>
      </c>
      <c r="AL617" s="507">
        <f t="shared" ref="AL617:AL659" si="503">X617/W617*100</f>
        <v>229.26829268292681</v>
      </c>
      <c r="AM617" s="507">
        <f t="shared" si="494"/>
        <v>112.3404255319149</v>
      </c>
      <c r="AN617" s="567"/>
      <c r="AO617" s="510"/>
      <c r="AP617" s="510" t="e">
        <f t="shared" ca="1" si="498"/>
        <v>#NAME?</v>
      </c>
      <c r="AQ617" s="532">
        <f>AQ618+AQ632+AQ651</f>
        <v>124502.3</v>
      </c>
      <c r="AR617" s="533">
        <f>V617/R617*100</f>
        <v>74.872716382150344</v>
      </c>
      <c r="AS617" s="533">
        <f>W617/V617*100</f>
        <v>100</v>
      </c>
      <c r="AT617" s="533">
        <f>W617/R617*100</f>
        <v>74.872716382150344</v>
      </c>
      <c r="AU617" s="533">
        <f>AQ617/W617*100</f>
        <v>121.46565853658538</v>
      </c>
      <c r="AV617" s="533">
        <f>AQ617/R617*100</f>
        <v>90.944638017808757</v>
      </c>
      <c r="AW617" s="612"/>
      <c r="AX617" s="612"/>
      <c r="AY617" s="612"/>
      <c r="AZ617" s="612"/>
      <c r="BA617" s="612"/>
      <c r="BB617" s="612"/>
      <c r="BC617" s="612"/>
      <c r="BD617" s="612"/>
      <c r="BE617" s="612"/>
      <c r="BF617" s="612"/>
      <c r="BG617" s="612"/>
      <c r="BH617" s="612">
        <f t="shared" si="501"/>
        <v>0</v>
      </c>
      <c r="BI617" s="612">
        <f t="shared" si="474"/>
        <v>18111.25</v>
      </c>
      <c r="BJ617" s="201">
        <f t="shared" ref="BJ617:BJ624" si="504">AQ624-BI617</f>
        <v>0</v>
      </c>
    </row>
    <row r="618" spans="1:62" ht="12" customHeight="1">
      <c r="A618" s="282" t="s">
        <v>321</v>
      </c>
      <c r="B618" s="283"/>
      <c r="C618" s="283"/>
      <c r="D618" s="283"/>
      <c r="E618" s="283"/>
      <c r="F618" s="283"/>
      <c r="G618" s="283"/>
      <c r="H618" s="284"/>
      <c r="I618" s="337" t="s">
        <v>528</v>
      </c>
      <c r="J618" s="338"/>
      <c r="K618" s="123"/>
      <c r="L618" s="111">
        <f t="shared" ref="L618:S618" si="505">L620</f>
        <v>553069</v>
      </c>
      <c r="M618" s="111">
        <f t="shared" si="505"/>
        <v>73404.870927068812</v>
      </c>
      <c r="N618" s="112">
        <f t="shared" si="505"/>
        <v>231250</v>
      </c>
      <c r="O618" s="112">
        <f t="shared" si="505"/>
        <v>30692.149445882274</v>
      </c>
      <c r="P618" s="113">
        <f t="shared" si="505"/>
        <v>84000</v>
      </c>
      <c r="Q618" s="113">
        <f t="shared" si="505"/>
        <v>84000</v>
      </c>
      <c r="R618" s="87">
        <f t="shared" si="505"/>
        <v>31964</v>
      </c>
      <c r="S618" s="89" t="e">
        <f t="shared" ca="1" si="505"/>
        <v>#NAME?</v>
      </c>
      <c r="T618" s="89"/>
      <c r="U618" s="89"/>
      <c r="V618" s="532">
        <f>V620</f>
        <v>81000</v>
      </c>
      <c r="W618" s="532">
        <f>W620</f>
        <v>81000</v>
      </c>
      <c r="X618" s="506">
        <f>X620</f>
        <v>90000</v>
      </c>
      <c r="Y618" s="507">
        <f>Y620</f>
        <v>109000</v>
      </c>
      <c r="Z618" s="507">
        <f>Z620</f>
        <v>0</v>
      </c>
      <c r="AA618" s="562" t="e">
        <f t="shared" ca="1" si="500"/>
        <v>#NAME?</v>
      </c>
      <c r="AB618" s="507"/>
      <c r="AC618" s="508">
        <f>AC620</f>
        <v>89000</v>
      </c>
      <c r="AD618" s="508">
        <f>AD620</f>
        <v>89000</v>
      </c>
      <c r="AE618" s="529">
        <f>O618/M618*100</f>
        <v>41.812142788693635</v>
      </c>
      <c r="AF618" s="529">
        <f>P618/O618*100</f>
        <v>273.68562162162164</v>
      </c>
      <c r="AG618" s="529">
        <f>Q618/P618*100</f>
        <v>100</v>
      </c>
      <c r="AH618" s="529">
        <f>AC618/Q618*100</f>
        <v>105.95238095238095</v>
      </c>
      <c r="AI618" s="507"/>
      <c r="AJ618" s="507">
        <v>109000</v>
      </c>
      <c r="AK618" s="507">
        <f>W618/R618*100</f>
        <v>253.41008634714055</v>
      </c>
      <c r="AL618" s="507">
        <f t="shared" si="503"/>
        <v>111.11111111111111</v>
      </c>
      <c r="AM618" s="507">
        <f t="shared" si="494"/>
        <v>121.1111111111111</v>
      </c>
      <c r="AN618" s="509"/>
      <c r="AO618" s="510"/>
      <c r="AP618" s="510" t="e">
        <f t="shared" ca="1" si="498"/>
        <v>#NAME?</v>
      </c>
      <c r="AQ618" s="532">
        <f>AQ620</f>
        <v>63664.800000000003</v>
      </c>
      <c r="AR618" s="533">
        <f>V618/R618*100</f>
        <v>253.41008634714055</v>
      </c>
      <c r="AS618" s="533">
        <f>W618/V618*100</f>
        <v>100</v>
      </c>
      <c r="AT618" s="533">
        <f>W618/R618*100</f>
        <v>253.41008634714055</v>
      </c>
      <c r="AU618" s="533">
        <f>AQ618/W618*100</f>
        <v>78.598518518518517</v>
      </c>
      <c r="AV618" s="533">
        <f>AQ618/R618*100</f>
        <v>199.17657364535103</v>
      </c>
      <c r="AW618" s="612"/>
      <c r="AX618" s="612"/>
      <c r="AY618" s="612"/>
      <c r="AZ618" s="612"/>
      <c r="BA618" s="612"/>
      <c r="BB618" s="612"/>
      <c r="BC618" s="612"/>
      <c r="BD618" s="612"/>
      <c r="BE618" s="612"/>
      <c r="BF618" s="612"/>
      <c r="BG618" s="612"/>
      <c r="BH618" s="612">
        <f t="shared" si="501"/>
        <v>0</v>
      </c>
      <c r="BI618" s="612">
        <f t="shared" si="474"/>
        <v>34784.6</v>
      </c>
      <c r="BJ618" s="201">
        <f t="shared" si="504"/>
        <v>0</v>
      </c>
    </row>
    <row r="619" spans="1:62" ht="12" customHeight="1">
      <c r="A619" s="52"/>
      <c r="B619" s="52"/>
      <c r="C619" s="52"/>
      <c r="D619" s="52"/>
      <c r="E619" s="52"/>
      <c r="F619" s="52"/>
      <c r="G619" s="52"/>
      <c r="H619" s="2"/>
      <c r="I619" s="260"/>
      <c r="J619" s="185"/>
      <c r="K619" s="19"/>
      <c r="L619" s="350"/>
      <c r="M619" s="350"/>
      <c r="N619" s="351"/>
      <c r="O619" s="351"/>
      <c r="P619" s="352"/>
      <c r="Q619" s="352"/>
      <c r="R619" s="212"/>
      <c r="S619" s="158" t="e">
        <f ca="1">__xlfn.XLOOKUP(H619,[1]Izvršenje_proračuna_po_pozicija!$B$2:$B$153,[1]Izvršenje_proračuna_po_pozicija!$E$2:$E$153,0)</f>
        <v>#NAME?</v>
      </c>
      <c r="T619" s="158"/>
      <c r="U619" s="158"/>
      <c r="V619" s="532"/>
      <c r="W619" s="532"/>
      <c r="X619" s="563"/>
      <c r="Y619" s="562"/>
      <c r="Z619" s="562"/>
      <c r="AA619" s="562" t="e">
        <f t="shared" ca="1" si="500"/>
        <v>#NAME?</v>
      </c>
      <c r="AB619" s="507"/>
      <c r="AC619" s="508"/>
      <c r="AD619" s="508"/>
      <c r="AE619" s="529"/>
      <c r="AF619" s="529"/>
      <c r="AG619" s="529"/>
      <c r="AH619" s="529"/>
      <c r="AI619" s="507"/>
      <c r="AJ619" s="562"/>
      <c r="AK619" s="507"/>
      <c r="AL619" s="507"/>
      <c r="AM619" s="507"/>
      <c r="AN619" s="509"/>
      <c r="AO619" s="510"/>
      <c r="AP619" s="510" t="e">
        <f t="shared" ca="1" si="498"/>
        <v>#NAME?</v>
      </c>
      <c r="AQ619" s="532"/>
      <c r="AR619" s="533"/>
      <c r="AS619" s="533"/>
      <c r="AT619" s="533"/>
      <c r="AU619" s="533"/>
      <c r="AV619" s="533"/>
      <c r="AW619" s="612"/>
      <c r="AX619" s="612"/>
      <c r="AY619" s="612"/>
      <c r="AZ619" s="612"/>
      <c r="BA619" s="612"/>
      <c r="BB619" s="612"/>
      <c r="BC619" s="612"/>
      <c r="BD619" s="612"/>
      <c r="BE619" s="612"/>
      <c r="BF619" s="612"/>
      <c r="BG619" s="612"/>
      <c r="BH619" s="612">
        <f t="shared" si="501"/>
        <v>0</v>
      </c>
      <c r="BI619" s="612">
        <f t="shared" si="474"/>
        <v>9068.9500000000007</v>
      </c>
      <c r="BJ619" s="201">
        <f t="shared" si="504"/>
        <v>0</v>
      </c>
    </row>
    <row r="620" spans="1:62" ht="12" customHeight="1">
      <c r="A620" s="25"/>
      <c r="B620" s="25"/>
      <c r="C620" s="25"/>
      <c r="D620" s="25"/>
      <c r="E620" s="25"/>
      <c r="F620" s="25"/>
      <c r="G620" s="25"/>
      <c r="H620" s="285"/>
      <c r="I620" s="296"/>
      <c r="J620" s="211">
        <v>3</v>
      </c>
      <c r="K620" s="3" t="s">
        <v>220</v>
      </c>
      <c r="L620" s="111">
        <f t="shared" ref="L620:AD621" si="506">L621</f>
        <v>553069</v>
      </c>
      <c r="M620" s="111">
        <f t="shared" si="506"/>
        <v>73404.870927068812</v>
      </c>
      <c r="N620" s="112">
        <f t="shared" si="506"/>
        <v>231250</v>
      </c>
      <c r="O620" s="112">
        <f t="shared" si="506"/>
        <v>30692.149445882274</v>
      </c>
      <c r="P620" s="113">
        <f t="shared" si="506"/>
        <v>84000</v>
      </c>
      <c r="Q620" s="113">
        <f t="shared" si="506"/>
        <v>84000</v>
      </c>
      <c r="R620" s="87">
        <f t="shared" si="506"/>
        <v>31964</v>
      </c>
      <c r="S620" s="89" t="e">
        <f t="shared" ca="1" si="506"/>
        <v>#NAME?</v>
      </c>
      <c r="T620" s="89"/>
      <c r="U620" s="89"/>
      <c r="V620" s="532">
        <f>V621</f>
        <v>81000</v>
      </c>
      <c r="W620" s="532">
        <f t="shared" si="506"/>
        <v>81000</v>
      </c>
      <c r="X620" s="506">
        <f t="shared" si="506"/>
        <v>90000</v>
      </c>
      <c r="Y620" s="507">
        <f t="shared" si="506"/>
        <v>109000</v>
      </c>
      <c r="Z620" s="507">
        <f t="shared" si="506"/>
        <v>0</v>
      </c>
      <c r="AA620" s="562" t="e">
        <f t="shared" ca="1" si="500"/>
        <v>#NAME?</v>
      </c>
      <c r="AB620" s="507"/>
      <c r="AC620" s="508">
        <f t="shared" si="506"/>
        <v>89000</v>
      </c>
      <c r="AD620" s="508">
        <f t="shared" si="506"/>
        <v>89000</v>
      </c>
      <c r="AE620" s="529">
        <f t="shared" ref="AE620:AE627" si="507">O620/M620*100</f>
        <v>41.812142788693635</v>
      </c>
      <c r="AF620" s="529">
        <f t="shared" ref="AF620:AG624" si="508">P620/O620*100</f>
        <v>273.68562162162164</v>
      </c>
      <c r="AG620" s="529">
        <f t="shared" si="508"/>
        <v>100</v>
      </c>
      <c r="AH620" s="529">
        <f t="shared" ref="AH620:AH627" si="509">AC620/Q620*100</f>
        <v>105.95238095238095</v>
      </c>
      <c r="AI620" s="507"/>
      <c r="AJ620" s="507">
        <v>109000</v>
      </c>
      <c r="AK620" s="507">
        <f>W620/R620*100</f>
        <v>253.41008634714055</v>
      </c>
      <c r="AL620" s="507">
        <f t="shared" si="503"/>
        <v>111.11111111111111</v>
      </c>
      <c r="AM620" s="507">
        <f t="shared" si="494"/>
        <v>121.1111111111111</v>
      </c>
      <c r="AN620" s="509"/>
      <c r="AO620" s="510"/>
      <c r="AP620" s="510" t="e">
        <f t="shared" ca="1" si="498"/>
        <v>#NAME?</v>
      </c>
      <c r="AQ620" s="532">
        <f>AQ621</f>
        <v>63664.800000000003</v>
      </c>
      <c r="AR620" s="533">
        <f>V620/R620*100</f>
        <v>253.41008634714055</v>
      </c>
      <c r="AS620" s="533">
        <f t="shared" ref="AS620:AS627" si="510">W620/V620*100</f>
        <v>100</v>
      </c>
      <c r="AT620" s="533">
        <f>W620/R620*100</f>
        <v>253.41008634714055</v>
      </c>
      <c r="AU620" s="533">
        <f>AQ620/W620*100</f>
        <v>78.598518518518517</v>
      </c>
      <c r="AV620" s="533">
        <f>AQ620/R620*100</f>
        <v>199.17657364535103</v>
      </c>
      <c r="AW620" s="612"/>
      <c r="AX620" s="612"/>
      <c r="AY620" s="612"/>
      <c r="AZ620" s="612"/>
      <c r="BA620" s="612"/>
      <c r="BB620" s="612"/>
      <c r="BC620" s="612"/>
      <c r="BD620" s="612"/>
      <c r="BE620" s="612"/>
      <c r="BF620" s="612"/>
      <c r="BG620" s="612"/>
      <c r="BH620" s="612">
        <f t="shared" si="501"/>
        <v>0</v>
      </c>
      <c r="BI620" s="612">
        <f t="shared" si="474"/>
        <v>1700</v>
      </c>
      <c r="BJ620" s="201">
        <f t="shared" si="504"/>
        <v>0</v>
      </c>
    </row>
    <row r="621" spans="1:62" ht="12" customHeight="1">
      <c r="A621" s="227"/>
      <c r="B621" s="227"/>
      <c r="C621" s="227"/>
      <c r="D621" s="227"/>
      <c r="E621" s="227"/>
      <c r="F621" s="227"/>
      <c r="G621" s="227"/>
      <c r="H621" s="234"/>
      <c r="I621" s="297"/>
      <c r="J621" s="228">
        <v>32</v>
      </c>
      <c r="K621" s="258" t="s">
        <v>229</v>
      </c>
      <c r="L621" s="111">
        <f t="shared" si="506"/>
        <v>553069</v>
      </c>
      <c r="M621" s="111">
        <f t="shared" si="506"/>
        <v>73404.870927068812</v>
      </c>
      <c r="N621" s="112">
        <f t="shared" si="506"/>
        <v>231250</v>
      </c>
      <c r="O621" s="112">
        <f t="shared" si="506"/>
        <v>30692.149445882274</v>
      </c>
      <c r="P621" s="113">
        <f t="shared" si="506"/>
        <v>84000</v>
      </c>
      <c r="Q621" s="113">
        <f t="shared" si="506"/>
        <v>84000</v>
      </c>
      <c r="R621" s="87">
        <f t="shared" si="506"/>
        <v>31964</v>
      </c>
      <c r="S621" s="89" t="e">
        <f t="shared" ca="1" si="506"/>
        <v>#NAME?</v>
      </c>
      <c r="T621" s="89"/>
      <c r="U621" s="89"/>
      <c r="V621" s="532">
        <f>V622</f>
        <v>81000</v>
      </c>
      <c r="W621" s="532">
        <f t="shared" si="506"/>
        <v>81000</v>
      </c>
      <c r="X621" s="506">
        <f t="shared" si="506"/>
        <v>90000</v>
      </c>
      <c r="Y621" s="507">
        <f t="shared" si="506"/>
        <v>109000</v>
      </c>
      <c r="Z621" s="507">
        <f t="shared" si="506"/>
        <v>0</v>
      </c>
      <c r="AA621" s="562" t="e">
        <f t="shared" ca="1" si="500"/>
        <v>#NAME?</v>
      </c>
      <c r="AB621" s="507"/>
      <c r="AC621" s="508">
        <f t="shared" si="506"/>
        <v>89000</v>
      </c>
      <c r="AD621" s="508">
        <f t="shared" si="506"/>
        <v>89000</v>
      </c>
      <c r="AE621" s="529">
        <f t="shared" si="507"/>
        <v>41.812142788693635</v>
      </c>
      <c r="AF621" s="529">
        <f t="shared" si="508"/>
        <v>273.68562162162164</v>
      </c>
      <c r="AG621" s="529">
        <f t="shared" si="508"/>
        <v>100</v>
      </c>
      <c r="AH621" s="529">
        <f t="shared" si="509"/>
        <v>105.95238095238095</v>
      </c>
      <c r="AI621" s="507"/>
      <c r="AJ621" s="507">
        <v>109000</v>
      </c>
      <c r="AK621" s="507">
        <f>W621/R621*100</f>
        <v>253.41008634714055</v>
      </c>
      <c r="AL621" s="507">
        <f t="shared" si="503"/>
        <v>111.11111111111111</v>
      </c>
      <c r="AM621" s="507">
        <f t="shared" si="494"/>
        <v>121.1111111111111</v>
      </c>
      <c r="AN621" s="509"/>
      <c r="AO621" s="510"/>
      <c r="AP621" s="510" t="e">
        <f t="shared" ca="1" si="498"/>
        <v>#NAME?</v>
      </c>
      <c r="AQ621" s="532">
        <f>AQ622</f>
        <v>63664.800000000003</v>
      </c>
      <c r="AR621" s="533">
        <f>V621/R621*100</f>
        <v>253.41008634714055</v>
      </c>
      <c r="AS621" s="533">
        <f t="shared" si="510"/>
        <v>100</v>
      </c>
      <c r="AT621" s="533">
        <f>W621/R621*100</f>
        <v>253.41008634714055</v>
      </c>
      <c r="AU621" s="533">
        <f>AQ621/W621*100</f>
        <v>78.598518518518517</v>
      </c>
      <c r="AV621" s="533">
        <f>AQ621/R621*100</f>
        <v>199.17657364535103</v>
      </c>
      <c r="AW621" s="612"/>
      <c r="AX621" s="612"/>
      <c r="AY621" s="612"/>
      <c r="AZ621" s="612"/>
      <c r="BA621" s="612"/>
      <c r="BB621" s="612"/>
      <c r="BC621" s="612"/>
      <c r="BD621" s="612"/>
      <c r="BE621" s="612"/>
      <c r="BF621" s="612"/>
      <c r="BG621" s="612"/>
      <c r="BH621" s="612">
        <f t="shared" si="501"/>
        <v>0</v>
      </c>
      <c r="BI621" s="612">
        <f t="shared" si="474"/>
        <v>0</v>
      </c>
      <c r="BJ621" s="201">
        <f t="shared" si="504"/>
        <v>0</v>
      </c>
    </row>
    <row r="622" spans="1:62" ht="12" customHeight="1">
      <c r="A622" s="61"/>
      <c r="B622" s="61"/>
      <c r="C622" s="61">
        <v>3</v>
      </c>
      <c r="D622" s="61"/>
      <c r="E622" s="61"/>
      <c r="F622" s="61"/>
      <c r="G622" s="61"/>
      <c r="H622" s="230"/>
      <c r="I622" s="261"/>
      <c r="J622" s="229">
        <v>323</v>
      </c>
      <c r="K622" s="20" t="s">
        <v>346</v>
      </c>
      <c r="L622" s="111">
        <f t="shared" ref="L622:S622" si="511">L623+L629+L630</f>
        <v>553069</v>
      </c>
      <c r="M622" s="111">
        <f t="shared" si="511"/>
        <v>73404.870927068812</v>
      </c>
      <c r="N622" s="112">
        <f t="shared" si="511"/>
        <v>231250</v>
      </c>
      <c r="O622" s="112">
        <f t="shared" si="511"/>
        <v>30692.149445882274</v>
      </c>
      <c r="P622" s="113">
        <f t="shared" si="511"/>
        <v>84000</v>
      </c>
      <c r="Q622" s="113">
        <f t="shared" si="511"/>
        <v>84000</v>
      </c>
      <c r="R622" s="87">
        <f t="shared" si="511"/>
        <v>31964</v>
      </c>
      <c r="S622" s="89" t="e">
        <f t="shared" ca="1" si="511"/>
        <v>#NAME?</v>
      </c>
      <c r="T622" s="89"/>
      <c r="U622" s="89"/>
      <c r="V622" s="532">
        <f>V623+V629+V630</f>
        <v>81000</v>
      </c>
      <c r="W622" s="532">
        <f>W623+W629+W630</f>
        <v>81000</v>
      </c>
      <c r="X622" s="506">
        <f>X623+X629+X630</f>
        <v>90000</v>
      </c>
      <c r="Y622" s="507">
        <f>Y623+Y629+Y630</f>
        <v>109000</v>
      </c>
      <c r="Z622" s="507">
        <f>Z623+Z629+Z630</f>
        <v>0</v>
      </c>
      <c r="AA622" s="562" t="e">
        <f t="shared" ca="1" si="500"/>
        <v>#NAME?</v>
      </c>
      <c r="AB622" s="507"/>
      <c r="AC622" s="508">
        <f>AC623+AC629+AC630</f>
        <v>89000</v>
      </c>
      <c r="AD622" s="508">
        <f>AD623+AD629+AD630</f>
        <v>89000</v>
      </c>
      <c r="AE622" s="529">
        <f t="shared" si="507"/>
        <v>41.812142788693635</v>
      </c>
      <c r="AF622" s="529">
        <f t="shared" si="508"/>
        <v>273.68562162162164</v>
      </c>
      <c r="AG622" s="529">
        <f t="shared" si="508"/>
        <v>100</v>
      </c>
      <c r="AH622" s="529">
        <f t="shared" si="509"/>
        <v>105.95238095238095</v>
      </c>
      <c r="AI622" s="507"/>
      <c r="AJ622" s="507">
        <v>109000</v>
      </c>
      <c r="AK622" s="507">
        <f>W622/R622*100</f>
        <v>253.41008634714055</v>
      </c>
      <c r="AL622" s="507">
        <f t="shared" si="503"/>
        <v>111.11111111111111</v>
      </c>
      <c r="AM622" s="507">
        <f t="shared" si="494"/>
        <v>121.1111111111111</v>
      </c>
      <c r="AN622" s="509"/>
      <c r="AO622" s="510"/>
      <c r="AP622" s="510" t="e">
        <f t="shared" ca="1" si="498"/>
        <v>#NAME?</v>
      </c>
      <c r="AQ622" s="532">
        <f>AQ623+AQ629+AQ630</f>
        <v>63664.800000000003</v>
      </c>
      <c r="AR622" s="532">
        <f t="shared" ref="AR622:BG622" si="512">AR623+AR629+AR630</f>
        <v>747.12457634677651</v>
      </c>
      <c r="AS622" s="532">
        <f t="shared" si="512"/>
        <v>400</v>
      </c>
      <c r="AT622" s="532">
        <f t="shared" si="512"/>
        <v>747.12457634677651</v>
      </c>
      <c r="AU622" s="532">
        <f t="shared" si="512"/>
        <v>272.77889835164842</v>
      </c>
      <c r="AV622" s="532">
        <f t="shared" si="512"/>
        <v>248.10610894007789</v>
      </c>
      <c r="AW622" s="612">
        <f t="shared" si="512"/>
        <v>0</v>
      </c>
      <c r="AX622" s="612">
        <f t="shared" si="512"/>
        <v>0</v>
      </c>
      <c r="AY622" s="612">
        <f t="shared" si="512"/>
        <v>0</v>
      </c>
      <c r="AZ622" s="612">
        <f t="shared" si="512"/>
        <v>1700</v>
      </c>
      <c r="BA622" s="612">
        <f t="shared" si="512"/>
        <v>0</v>
      </c>
      <c r="BB622" s="612">
        <f t="shared" si="512"/>
        <v>0</v>
      </c>
      <c r="BC622" s="612">
        <f t="shared" si="512"/>
        <v>0</v>
      </c>
      <c r="BD622" s="612">
        <f t="shared" si="512"/>
        <v>0</v>
      </c>
      <c r="BE622" s="612">
        <f t="shared" si="512"/>
        <v>61964.800000000003</v>
      </c>
      <c r="BF622" s="612">
        <f t="shared" si="512"/>
        <v>0</v>
      </c>
      <c r="BG622" s="612">
        <f t="shared" si="512"/>
        <v>0</v>
      </c>
      <c r="BH622" s="612">
        <f t="shared" si="501"/>
        <v>63664.800000000003</v>
      </c>
      <c r="BI622" s="612">
        <f t="shared" si="474"/>
        <v>0</v>
      </c>
      <c r="BJ622" s="201">
        <f t="shared" si="504"/>
        <v>0</v>
      </c>
    </row>
    <row r="623" spans="1:62" ht="12" customHeight="1">
      <c r="A623" s="52"/>
      <c r="B623" s="52"/>
      <c r="C623" s="52"/>
      <c r="D623" s="52"/>
      <c r="E623" s="52"/>
      <c r="F623" s="52"/>
      <c r="G623" s="52"/>
      <c r="H623" s="2"/>
      <c r="I623" s="260"/>
      <c r="J623" s="185">
        <v>3234</v>
      </c>
      <c r="K623" s="19" t="s">
        <v>246</v>
      </c>
      <c r="L623" s="111">
        <f t="shared" ref="L623:S623" si="513">L624+L625+L626+L627</f>
        <v>540850</v>
      </c>
      <c r="M623" s="111">
        <f t="shared" si="513"/>
        <v>71783.130931050502</v>
      </c>
      <c r="N623" s="112">
        <f t="shared" si="513"/>
        <v>231250</v>
      </c>
      <c r="O623" s="112">
        <f t="shared" si="513"/>
        <v>30692.149445882274</v>
      </c>
      <c r="P623" s="113">
        <f t="shared" si="513"/>
        <v>84000</v>
      </c>
      <c r="Q623" s="113">
        <f t="shared" si="513"/>
        <v>84000</v>
      </c>
      <c r="R623" s="87">
        <f t="shared" si="513"/>
        <v>31964</v>
      </c>
      <c r="S623" s="89" t="e">
        <f t="shared" ca="1" si="513"/>
        <v>#NAME?</v>
      </c>
      <c r="T623" s="89"/>
      <c r="U623" s="89"/>
      <c r="V623" s="532">
        <f>V624+V625+V626+V627</f>
        <v>81000</v>
      </c>
      <c r="W623" s="532">
        <f>W624+W625+W626+W627</f>
        <v>81000</v>
      </c>
      <c r="X623" s="506">
        <f>X624+X625+X626+X627</f>
        <v>90000</v>
      </c>
      <c r="Y623" s="507">
        <f>Y624+Y625+Y626+Y627</f>
        <v>109000</v>
      </c>
      <c r="Z623" s="507">
        <f>Z624+Z625+Z626+Z627</f>
        <v>0</v>
      </c>
      <c r="AA623" s="562" t="e">
        <f t="shared" ca="1" si="500"/>
        <v>#NAME?</v>
      </c>
      <c r="AB623" s="507"/>
      <c r="AC623" s="508">
        <f>AC624+AC625+AC626+AC627</f>
        <v>87000</v>
      </c>
      <c r="AD623" s="508">
        <f>AD624+AD625+AD626+AD627</f>
        <v>87000</v>
      </c>
      <c r="AE623" s="529">
        <f t="shared" si="507"/>
        <v>42.756771748174174</v>
      </c>
      <c r="AF623" s="529">
        <f t="shared" si="508"/>
        <v>273.68562162162164</v>
      </c>
      <c r="AG623" s="529">
        <f t="shared" si="508"/>
        <v>100</v>
      </c>
      <c r="AH623" s="529">
        <f t="shared" si="509"/>
        <v>103.57142857142858</v>
      </c>
      <c r="AI623" s="507"/>
      <c r="AJ623" s="507">
        <v>109000</v>
      </c>
      <c r="AK623" s="507">
        <f>W623/R623*100</f>
        <v>253.41008634714055</v>
      </c>
      <c r="AL623" s="507">
        <f t="shared" si="503"/>
        <v>111.11111111111111</v>
      </c>
      <c r="AM623" s="507">
        <f t="shared" si="494"/>
        <v>121.1111111111111</v>
      </c>
      <c r="AN623" s="509"/>
      <c r="AO623" s="510"/>
      <c r="AP623" s="510" t="e">
        <f t="shared" ca="1" si="498"/>
        <v>#NAME?</v>
      </c>
      <c r="AQ623" s="532">
        <f>AQ624+AQ625+AQ626+AQ627</f>
        <v>63664.800000000003</v>
      </c>
      <c r="AR623" s="532">
        <f t="shared" ref="AR623:BG623" si="514">AR624+AR625+AR626+AR627</f>
        <v>747.12457634677651</v>
      </c>
      <c r="AS623" s="532">
        <f t="shared" si="514"/>
        <v>400</v>
      </c>
      <c r="AT623" s="532">
        <f t="shared" si="514"/>
        <v>747.12457634677651</v>
      </c>
      <c r="AU623" s="532">
        <f t="shared" si="514"/>
        <v>272.77889835164842</v>
      </c>
      <c r="AV623" s="532">
        <f t="shared" si="514"/>
        <v>248.10610894007789</v>
      </c>
      <c r="AW623" s="612">
        <f t="shared" si="514"/>
        <v>0</v>
      </c>
      <c r="AX623" s="612">
        <f t="shared" si="514"/>
        <v>0</v>
      </c>
      <c r="AY623" s="612">
        <f t="shared" si="514"/>
        <v>0</v>
      </c>
      <c r="AZ623" s="612">
        <f t="shared" si="514"/>
        <v>1700</v>
      </c>
      <c r="BA623" s="612">
        <f t="shared" si="514"/>
        <v>0</v>
      </c>
      <c r="BB623" s="612">
        <f t="shared" si="514"/>
        <v>0</v>
      </c>
      <c r="BC623" s="612">
        <f t="shared" si="514"/>
        <v>0</v>
      </c>
      <c r="BD623" s="612">
        <f t="shared" si="514"/>
        <v>0</v>
      </c>
      <c r="BE623" s="612">
        <f t="shared" si="514"/>
        <v>61964.800000000003</v>
      </c>
      <c r="BF623" s="612">
        <f t="shared" si="514"/>
        <v>0</v>
      </c>
      <c r="BG623" s="612">
        <f t="shared" si="514"/>
        <v>0</v>
      </c>
      <c r="BH623" s="612">
        <f t="shared" si="501"/>
        <v>63664.800000000003</v>
      </c>
      <c r="BI623" s="612">
        <f t="shared" si="474"/>
        <v>0</v>
      </c>
      <c r="BJ623" s="201">
        <f t="shared" si="504"/>
        <v>0</v>
      </c>
    </row>
    <row r="624" spans="1:62" ht="12" customHeight="1">
      <c r="A624" s="52"/>
      <c r="B624" s="52"/>
      <c r="C624" s="52"/>
      <c r="D624" s="52"/>
      <c r="E624" s="52"/>
      <c r="F624" s="52"/>
      <c r="G624" s="52"/>
      <c r="H624" s="2">
        <v>111</v>
      </c>
      <c r="I624" s="260">
        <v>510</v>
      </c>
      <c r="J624" s="185">
        <v>3234</v>
      </c>
      <c r="K624" s="19" t="s">
        <v>529</v>
      </c>
      <c r="L624" s="129">
        <v>127500</v>
      </c>
      <c r="M624" s="129">
        <f>127500/7.5345</f>
        <v>16922.158072864822</v>
      </c>
      <c r="N624" s="130">
        <v>132500</v>
      </c>
      <c r="O624" s="130">
        <f>N624/7.5345</f>
        <v>17585.77211493795</v>
      </c>
      <c r="P624" s="131">
        <v>18000</v>
      </c>
      <c r="Q624" s="131">
        <v>18000</v>
      </c>
      <c r="R624" s="153">
        <v>18111</v>
      </c>
      <c r="S624" s="158" t="e">
        <f ca="1">__xlfn.XLOOKUP(H624,[1]Izvršenje_proračuna_po_pozicija!$B$2:$B$153,[1]Izvršenje_proračuna_po_pozicija!$E$2:$E$153,0)</f>
        <v>#NAME?</v>
      </c>
      <c r="T624" s="158"/>
      <c r="U624" s="158"/>
      <c r="V624" s="532">
        <v>20000</v>
      </c>
      <c r="W624" s="532">
        <v>20000</v>
      </c>
      <c r="X624" s="560">
        <v>20000</v>
      </c>
      <c r="Y624" s="561">
        <v>25000</v>
      </c>
      <c r="Z624" s="561"/>
      <c r="AA624" s="562" t="e">
        <f t="shared" ca="1" si="500"/>
        <v>#NAME?</v>
      </c>
      <c r="AB624" s="535"/>
      <c r="AC624" s="529">
        <v>19000</v>
      </c>
      <c r="AD624" s="529">
        <v>19000</v>
      </c>
      <c r="AE624" s="529">
        <f t="shared" si="507"/>
        <v>103.92156862745097</v>
      </c>
      <c r="AF624" s="529">
        <f t="shared" si="508"/>
        <v>102.35547169811321</v>
      </c>
      <c r="AG624" s="529">
        <f t="shared" si="508"/>
        <v>100</v>
      </c>
      <c r="AH624" s="529">
        <f t="shared" si="509"/>
        <v>105.55555555555556</v>
      </c>
      <c r="AI624" s="535"/>
      <c r="AJ624" s="561">
        <v>25000</v>
      </c>
      <c r="AK624" s="507">
        <f>W624/R624*100</f>
        <v>110.43012533819225</v>
      </c>
      <c r="AL624" s="507">
        <f t="shared" si="503"/>
        <v>100</v>
      </c>
      <c r="AM624" s="507">
        <f t="shared" si="494"/>
        <v>125</v>
      </c>
      <c r="AN624" s="556"/>
      <c r="AO624" s="590"/>
      <c r="AP624" s="510" t="e">
        <f t="shared" ca="1" si="498"/>
        <v>#NAME?</v>
      </c>
      <c r="AQ624" s="532">
        <v>18111.25</v>
      </c>
      <c r="AR624" s="533">
        <f>V624/R624*100</f>
        <v>110.43012533819225</v>
      </c>
      <c r="AS624" s="533">
        <f t="shared" si="510"/>
        <v>100</v>
      </c>
      <c r="AT624" s="533">
        <f>W624/R624*100</f>
        <v>110.43012533819225</v>
      </c>
      <c r="AU624" s="533">
        <f>AQ624/W624*100</f>
        <v>90.556250000000006</v>
      </c>
      <c r="AV624" s="533">
        <f>AQ624/R624*100</f>
        <v>100.00138037656671</v>
      </c>
      <c r="AW624" s="612"/>
      <c r="AX624" s="612"/>
      <c r="AY624" s="612"/>
      <c r="AZ624" s="612"/>
      <c r="BA624" s="612"/>
      <c r="BB624" s="612"/>
      <c r="BC624" s="612"/>
      <c r="BD624" s="612"/>
      <c r="BE624" s="612">
        <f>AQ624</f>
        <v>18111.25</v>
      </c>
      <c r="BF624" s="612"/>
      <c r="BG624" s="612"/>
      <c r="BH624" s="612">
        <f t="shared" si="501"/>
        <v>18111.25</v>
      </c>
      <c r="BI624" s="612">
        <f t="shared" si="474"/>
        <v>0</v>
      </c>
      <c r="BJ624" s="201">
        <f t="shared" si="504"/>
        <v>0</v>
      </c>
    </row>
    <row r="625" spans="1:62" ht="12" customHeight="1">
      <c r="A625" s="52"/>
      <c r="B625" s="52"/>
      <c r="C625" s="52"/>
      <c r="D625" s="52"/>
      <c r="E625" s="52"/>
      <c r="F625" s="52"/>
      <c r="G625" s="52"/>
      <c r="H625" s="2" t="s">
        <v>530</v>
      </c>
      <c r="I625" s="260">
        <v>510</v>
      </c>
      <c r="J625" s="185">
        <v>3234</v>
      </c>
      <c r="K625" s="19" t="s">
        <v>531</v>
      </c>
      <c r="L625" s="129">
        <v>299975</v>
      </c>
      <c r="M625" s="129">
        <f>299975/7.5345</f>
        <v>39813.524454177445</v>
      </c>
      <c r="N625" s="130">
        <v>0</v>
      </c>
      <c r="O625" s="130">
        <f>N625/7.5345</f>
        <v>0</v>
      </c>
      <c r="P625" s="131">
        <v>40000</v>
      </c>
      <c r="Q625" s="131">
        <v>40000</v>
      </c>
      <c r="R625" s="153">
        <v>0</v>
      </c>
      <c r="S625" s="158" t="e">
        <f ca="1">__xlfn.XLOOKUP(H625,[1]Izvršenje_proračuna_po_pozicija!$B$2:$B$153,[1]Izvršenje_proračuna_po_pozicija!$E$2:$E$153,0)</f>
        <v>#NAME?</v>
      </c>
      <c r="T625" s="158"/>
      <c r="U625" s="158"/>
      <c r="V625" s="532">
        <v>35000</v>
      </c>
      <c r="W625" s="532">
        <v>35000</v>
      </c>
      <c r="X625" s="560">
        <v>40000</v>
      </c>
      <c r="Y625" s="561">
        <v>50000</v>
      </c>
      <c r="Z625" s="561"/>
      <c r="AA625" s="562" t="e">
        <f t="shared" ca="1" si="500"/>
        <v>#NAME?</v>
      </c>
      <c r="AB625" s="535"/>
      <c r="AC625" s="529">
        <v>40000</v>
      </c>
      <c r="AD625" s="529">
        <v>40000</v>
      </c>
      <c r="AE625" s="529">
        <f t="shared" si="507"/>
        <v>0</v>
      </c>
      <c r="AF625" s="529"/>
      <c r="AG625" s="529">
        <f>Q625/P625*100</f>
        <v>100</v>
      </c>
      <c r="AH625" s="529">
        <f t="shared" si="509"/>
        <v>100</v>
      </c>
      <c r="AI625" s="535"/>
      <c r="AJ625" s="561">
        <v>50000</v>
      </c>
      <c r="AK625" s="507"/>
      <c r="AL625" s="507">
        <f t="shared" si="503"/>
        <v>114.28571428571428</v>
      </c>
      <c r="AM625" s="507">
        <f t="shared" si="494"/>
        <v>125</v>
      </c>
      <c r="AN625" s="556"/>
      <c r="AO625" s="590"/>
      <c r="AP625" s="510" t="e">
        <f t="shared" ca="1" si="498"/>
        <v>#NAME?</v>
      </c>
      <c r="AQ625" s="532">
        <v>34784.6</v>
      </c>
      <c r="AR625" s="533"/>
      <c r="AS625" s="533">
        <f t="shared" si="510"/>
        <v>100</v>
      </c>
      <c r="AT625" s="533"/>
      <c r="AU625" s="533">
        <f>AQ625/W625*100</f>
        <v>99.384571428571419</v>
      </c>
      <c r="AV625" s="533"/>
      <c r="AW625" s="612"/>
      <c r="AX625" s="612"/>
      <c r="AY625" s="612"/>
      <c r="AZ625" s="612"/>
      <c r="BA625" s="612"/>
      <c r="BB625" s="612"/>
      <c r="BC625" s="612"/>
      <c r="BD625" s="612"/>
      <c r="BE625" s="612">
        <f>AQ625</f>
        <v>34784.6</v>
      </c>
      <c r="BF625" s="612"/>
      <c r="BG625" s="612"/>
      <c r="BH625" s="612">
        <f t="shared" si="501"/>
        <v>34784.6</v>
      </c>
      <c r="BI625" s="612">
        <f t="shared" si="474"/>
        <v>0</v>
      </c>
      <c r="BJ625" s="201"/>
    </row>
    <row r="626" spans="1:62" ht="12" customHeight="1">
      <c r="A626" s="52"/>
      <c r="B626" s="52"/>
      <c r="C626" s="52"/>
      <c r="D626" s="52"/>
      <c r="E626" s="52"/>
      <c r="F626" s="52"/>
      <c r="G626" s="52"/>
      <c r="H626" s="2" t="s">
        <v>532</v>
      </c>
      <c r="I626" s="260">
        <v>510</v>
      </c>
      <c r="J626" s="185">
        <v>3234</v>
      </c>
      <c r="K626" s="19" t="s">
        <v>533</v>
      </c>
      <c r="L626" s="129">
        <v>94625</v>
      </c>
      <c r="M626" s="129">
        <f>94625/7.5345</f>
        <v>12558.895746233989</v>
      </c>
      <c r="N626" s="130">
        <v>80000</v>
      </c>
      <c r="O626" s="130">
        <f>N626/7.5345</f>
        <v>10617.824673170084</v>
      </c>
      <c r="P626" s="131">
        <v>13000</v>
      </c>
      <c r="Q626" s="131">
        <v>13000</v>
      </c>
      <c r="R626" s="153">
        <v>11364</v>
      </c>
      <c r="S626" s="158">
        <v>6912</v>
      </c>
      <c r="T626" s="158"/>
      <c r="U626" s="158"/>
      <c r="V626" s="532">
        <v>13000</v>
      </c>
      <c r="W626" s="532">
        <v>13000</v>
      </c>
      <c r="X626" s="560">
        <v>15000</v>
      </c>
      <c r="Y626" s="561">
        <v>17000</v>
      </c>
      <c r="Z626" s="561"/>
      <c r="AA626" s="562" t="e">
        <f t="shared" ca="1" si="500"/>
        <v>#NAME?</v>
      </c>
      <c r="AB626" s="535"/>
      <c r="AC626" s="529">
        <v>15000</v>
      </c>
      <c r="AD626" s="529">
        <v>15000</v>
      </c>
      <c r="AE626" s="529">
        <f t="shared" si="507"/>
        <v>84.544253632760899</v>
      </c>
      <c r="AF626" s="529">
        <f>P626/O626*100</f>
        <v>122.435625</v>
      </c>
      <c r="AG626" s="529">
        <f>Q626/P626*100</f>
        <v>100</v>
      </c>
      <c r="AH626" s="529">
        <f t="shared" si="509"/>
        <v>115.38461538461537</v>
      </c>
      <c r="AI626" s="535"/>
      <c r="AJ626" s="561">
        <v>17000</v>
      </c>
      <c r="AK626" s="507">
        <f>W626/R626*100</f>
        <v>114.39633931714187</v>
      </c>
      <c r="AL626" s="507">
        <f t="shared" si="503"/>
        <v>115.38461538461537</v>
      </c>
      <c r="AM626" s="507">
        <f t="shared" si="494"/>
        <v>113.33333333333333</v>
      </c>
      <c r="AN626" s="556"/>
      <c r="AO626" s="590"/>
      <c r="AP626" s="510" t="e">
        <f t="shared" ca="1" si="498"/>
        <v>#NAME?</v>
      </c>
      <c r="AQ626" s="532">
        <v>9068.9500000000007</v>
      </c>
      <c r="AR626" s="533">
        <f>V626/R626*100</f>
        <v>114.39633931714187</v>
      </c>
      <c r="AS626" s="533">
        <f t="shared" si="510"/>
        <v>100</v>
      </c>
      <c r="AT626" s="533">
        <f>W626/R626*100</f>
        <v>114.39633931714187</v>
      </c>
      <c r="AU626" s="533">
        <f>AQ626/W626*100</f>
        <v>69.76115384615386</v>
      </c>
      <c r="AV626" s="533">
        <f>AQ626/R626*100</f>
        <v>79.804206265399515</v>
      </c>
      <c r="AW626" s="612"/>
      <c r="AX626" s="612"/>
      <c r="AY626" s="612"/>
      <c r="AZ626" s="612"/>
      <c r="BA626" s="612"/>
      <c r="BB626" s="612"/>
      <c r="BC626" s="612"/>
      <c r="BD626" s="612"/>
      <c r="BE626" s="612">
        <f>AQ626</f>
        <v>9068.9500000000007</v>
      </c>
      <c r="BF626" s="612"/>
      <c r="BG626" s="612"/>
      <c r="BH626" s="612">
        <f t="shared" si="501"/>
        <v>9068.9500000000007</v>
      </c>
      <c r="BI626" s="612">
        <f t="shared" si="474"/>
        <v>0</v>
      </c>
      <c r="BJ626" s="201"/>
    </row>
    <row r="627" spans="1:62" ht="12" customHeight="1">
      <c r="A627" s="52"/>
      <c r="B627" s="52"/>
      <c r="C627" s="52"/>
      <c r="D627" s="52"/>
      <c r="E627" s="52"/>
      <c r="F627" s="52"/>
      <c r="G627" s="52"/>
      <c r="H627" s="2" t="s">
        <v>534</v>
      </c>
      <c r="I627" s="260">
        <v>510</v>
      </c>
      <c r="J627" s="185">
        <v>3234</v>
      </c>
      <c r="K627" s="19" t="s">
        <v>535</v>
      </c>
      <c r="L627" s="129">
        <v>18750</v>
      </c>
      <c r="M627" s="129">
        <f>18750/7.5345</f>
        <v>2488.5526577742385</v>
      </c>
      <c r="N627" s="130">
        <v>18750</v>
      </c>
      <c r="O627" s="130">
        <f>N627/7.5345</f>
        <v>2488.5526577742385</v>
      </c>
      <c r="P627" s="131">
        <v>13000</v>
      </c>
      <c r="Q627" s="131">
        <v>13000</v>
      </c>
      <c r="R627" s="153">
        <v>2489</v>
      </c>
      <c r="S627" s="158">
        <v>1700</v>
      </c>
      <c r="T627" s="158"/>
      <c r="U627" s="158"/>
      <c r="V627" s="532">
        <v>13000</v>
      </c>
      <c r="W627" s="532">
        <v>13000</v>
      </c>
      <c r="X627" s="560">
        <v>15000</v>
      </c>
      <c r="Y627" s="561">
        <v>17000</v>
      </c>
      <c r="Z627" s="561"/>
      <c r="AA627" s="562" t="e">
        <f t="shared" ca="1" si="500"/>
        <v>#NAME?</v>
      </c>
      <c r="AB627" s="535"/>
      <c r="AC627" s="529">
        <v>13000</v>
      </c>
      <c r="AD627" s="529">
        <v>13000</v>
      </c>
      <c r="AE627" s="529">
        <f t="shared" si="507"/>
        <v>100</v>
      </c>
      <c r="AF627" s="529">
        <f>P627/O627*100</f>
        <v>522.39199999999994</v>
      </c>
      <c r="AG627" s="529">
        <f>Q627/P627*100</f>
        <v>100</v>
      </c>
      <c r="AH627" s="529">
        <f t="shared" si="509"/>
        <v>100</v>
      </c>
      <c r="AI627" s="535"/>
      <c r="AJ627" s="561">
        <v>17000</v>
      </c>
      <c r="AK627" s="507">
        <f>W627/R627*100</f>
        <v>522.29811169144239</v>
      </c>
      <c r="AL627" s="507">
        <f t="shared" si="503"/>
        <v>115.38461538461537</v>
      </c>
      <c r="AM627" s="507">
        <f t="shared" si="494"/>
        <v>113.33333333333333</v>
      </c>
      <c r="AN627" s="556"/>
      <c r="AO627" s="510"/>
      <c r="AP627" s="510" t="e">
        <f t="shared" ca="1" si="498"/>
        <v>#NAME?</v>
      </c>
      <c r="AQ627" s="532">
        <v>1700</v>
      </c>
      <c r="AR627" s="533">
        <f>V627/R627*100</f>
        <v>522.29811169144239</v>
      </c>
      <c r="AS627" s="533">
        <f t="shared" si="510"/>
        <v>100</v>
      </c>
      <c r="AT627" s="533">
        <f>W627/R627*100</f>
        <v>522.29811169144239</v>
      </c>
      <c r="AU627" s="533">
        <f>AQ627/W627*100</f>
        <v>13.076923076923078</v>
      </c>
      <c r="AV627" s="533">
        <f>AQ627/R627*100</f>
        <v>68.300522298111687</v>
      </c>
      <c r="AW627" s="612"/>
      <c r="AX627" s="612"/>
      <c r="AY627" s="612"/>
      <c r="AZ627" s="612">
        <f>AQ627</f>
        <v>1700</v>
      </c>
      <c r="BA627" s="612"/>
      <c r="BB627" s="612"/>
      <c r="BC627" s="612"/>
      <c r="BD627" s="612"/>
      <c r="BE627" s="612"/>
      <c r="BF627" s="612"/>
      <c r="BG627" s="612"/>
      <c r="BH627" s="612">
        <f t="shared" si="501"/>
        <v>1700</v>
      </c>
      <c r="BI627" s="612">
        <f t="shared" si="474"/>
        <v>0</v>
      </c>
      <c r="BJ627" s="201"/>
    </row>
    <row r="628" spans="1:62" ht="12" customHeight="1">
      <c r="A628" s="41"/>
      <c r="B628" s="41"/>
      <c r="C628" s="41"/>
      <c r="D628" s="41"/>
      <c r="E628" s="41"/>
      <c r="F628" s="41"/>
      <c r="G628" s="41"/>
      <c r="H628" s="235"/>
      <c r="I628" s="15"/>
      <c r="J628" s="3"/>
      <c r="K628" s="83"/>
      <c r="L628" s="84">
        <v>1</v>
      </c>
      <c r="M628" s="84">
        <v>2</v>
      </c>
      <c r="N628" s="85">
        <v>3</v>
      </c>
      <c r="O628" s="85">
        <v>4</v>
      </c>
      <c r="P628" s="86">
        <v>5</v>
      </c>
      <c r="Q628" s="86">
        <v>6</v>
      </c>
      <c r="R628" s="154"/>
      <c r="S628" s="158" t="e">
        <f ca="1">__xlfn.XLOOKUP(H628,[1]Izvršenje_proračuna_po_pozicija!$B$2:$B$153,[1]Izvršenje_proračuna_po_pozicija!$E$2:$E$153,0)</f>
        <v>#NAME?</v>
      </c>
      <c r="T628" s="158"/>
      <c r="U628" s="158"/>
      <c r="V628" s="532"/>
      <c r="W628" s="532"/>
      <c r="X628" s="568"/>
      <c r="Y628" s="569"/>
      <c r="Z628" s="569"/>
      <c r="AA628" s="562" t="e">
        <f t="shared" ca="1" si="500"/>
        <v>#NAME?</v>
      </c>
      <c r="AB628" s="537"/>
      <c r="AC628" s="538">
        <v>7</v>
      </c>
      <c r="AD628" s="538">
        <v>8</v>
      </c>
      <c r="AE628" s="538">
        <v>9</v>
      </c>
      <c r="AF628" s="538">
        <v>10</v>
      </c>
      <c r="AG628" s="538">
        <v>11</v>
      </c>
      <c r="AH628" s="538">
        <v>12</v>
      </c>
      <c r="AI628" s="537"/>
      <c r="AJ628" s="569"/>
      <c r="AK628" s="507"/>
      <c r="AL628" s="507"/>
      <c r="AM628" s="507"/>
      <c r="AN628" s="557"/>
      <c r="AO628" s="510"/>
      <c r="AP628" s="510" t="e">
        <f t="shared" ca="1" si="498"/>
        <v>#NAME?</v>
      </c>
      <c r="AQ628" s="532"/>
      <c r="AR628" s="533"/>
      <c r="AS628" s="533"/>
      <c r="AT628" s="533"/>
      <c r="AU628" s="533"/>
      <c r="AV628" s="533"/>
      <c r="AW628" s="612"/>
      <c r="AX628" s="612"/>
      <c r="AY628" s="612"/>
      <c r="AZ628" s="612"/>
      <c r="BA628" s="612"/>
      <c r="BB628" s="612"/>
      <c r="BC628" s="612"/>
      <c r="BD628" s="612"/>
      <c r="BE628" s="612"/>
      <c r="BF628" s="612"/>
      <c r="BG628" s="612"/>
      <c r="BH628" s="612">
        <f t="shared" si="501"/>
        <v>0</v>
      </c>
      <c r="BI628" s="612">
        <f t="shared" si="474"/>
        <v>0</v>
      </c>
      <c r="BJ628" s="201"/>
    </row>
    <row r="629" spans="1:62" ht="12" customHeight="1">
      <c r="A629" s="52"/>
      <c r="B629" s="52"/>
      <c r="C629" s="52"/>
      <c r="D629" s="52"/>
      <c r="E629" s="52"/>
      <c r="F629" s="52"/>
      <c r="G629" s="52"/>
      <c r="H629" s="2" t="s">
        <v>536</v>
      </c>
      <c r="I629" s="260">
        <v>510</v>
      </c>
      <c r="J629" s="185">
        <v>3236</v>
      </c>
      <c r="K629" s="340" t="s">
        <v>537</v>
      </c>
      <c r="L629" s="129">
        <v>0</v>
      </c>
      <c r="M629" s="129">
        <v>0</v>
      </c>
      <c r="N629" s="130">
        <v>0</v>
      </c>
      <c r="O629" s="130">
        <v>0</v>
      </c>
      <c r="P629" s="131">
        <v>0</v>
      </c>
      <c r="Q629" s="131">
        <v>0</v>
      </c>
      <c r="R629" s="153">
        <v>0</v>
      </c>
      <c r="S629" s="158" t="e">
        <f ca="1">__xlfn.XLOOKUP(H629,[1]Izvršenje_proračuna_po_pozicija!$B$2:$B$153,[1]Izvršenje_proračuna_po_pozicija!$E$2:$E$153,0)</f>
        <v>#NAME?</v>
      </c>
      <c r="T629" s="158"/>
      <c r="U629" s="158"/>
      <c r="V629" s="532"/>
      <c r="W629" s="532"/>
      <c r="X629" s="560"/>
      <c r="Y629" s="561"/>
      <c r="Z629" s="561"/>
      <c r="AA629" s="562" t="e">
        <f t="shared" ca="1" si="500"/>
        <v>#NAME?</v>
      </c>
      <c r="AB629" s="535"/>
      <c r="AC629" s="529">
        <v>0</v>
      </c>
      <c r="AD629" s="529">
        <v>0</v>
      </c>
      <c r="AE629" s="529"/>
      <c r="AF629" s="529"/>
      <c r="AG629" s="529"/>
      <c r="AH629" s="529"/>
      <c r="AI629" s="535"/>
      <c r="AJ629" s="561"/>
      <c r="AK629" s="507"/>
      <c r="AL629" s="507"/>
      <c r="AM629" s="507"/>
      <c r="AN629" s="556"/>
      <c r="AO629" s="510"/>
      <c r="AP629" s="510" t="e">
        <f t="shared" ca="1" si="498"/>
        <v>#NAME?</v>
      </c>
      <c r="AQ629" s="532"/>
      <c r="AR629" s="533"/>
      <c r="AS629" s="533"/>
      <c r="AT629" s="533"/>
      <c r="AU629" s="533"/>
      <c r="AV629" s="533"/>
      <c r="AW629" s="612"/>
      <c r="AX629" s="612"/>
      <c r="AY629" s="612"/>
      <c r="AZ629" s="612"/>
      <c r="BA629" s="612"/>
      <c r="BB629" s="612"/>
      <c r="BC629" s="612"/>
      <c r="BD629" s="612"/>
      <c r="BE629" s="612"/>
      <c r="BF629" s="612"/>
      <c r="BG629" s="612"/>
      <c r="BH629" s="612">
        <f t="shared" si="501"/>
        <v>0</v>
      </c>
      <c r="BI629" s="612">
        <f t="shared" si="474"/>
        <v>60000</v>
      </c>
      <c r="BJ629" s="201"/>
    </row>
    <row r="630" spans="1:62" ht="12" customHeight="1">
      <c r="A630" s="231"/>
      <c r="B630" s="231"/>
      <c r="C630" s="231"/>
      <c r="D630" s="231"/>
      <c r="E630" s="231"/>
      <c r="F630" s="231"/>
      <c r="G630" s="231"/>
      <c r="H630" s="2" t="s">
        <v>538</v>
      </c>
      <c r="I630" s="353">
        <v>510</v>
      </c>
      <c r="J630" s="185">
        <v>3239</v>
      </c>
      <c r="K630" s="53" t="s">
        <v>539</v>
      </c>
      <c r="L630" s="153">
        <v>12219</v>
      </c>
      <c r="M630" s="153">
        <f>12219/7.5345</f>
        <v>1621.7399960183157</v>
      </c>
      <c r="N630" s="354">
        <v>0</v>
      </c>
      <c r="O630" s="354">
        <v>0</v>
      </c>
      <c r="P630" s="158">
        <v>0</v>
      </c>
      <c r="Q630" s="158">
        <v>0</v>
      </c>
      <c r="R630" s="153">
        <v>0</v>
      </c>
      <c r="S630" s="158" t="e">
        <f ca="1">__xlfn.XLOOKUP(H630,[1]Izvršenje_proračuna_po_pozicija!$B$2:$B$153,[1]Izvršenje_proračuna_po_pozicija!$E$2:$E$153,0)</f>
        <v>#NAME?</v>
      </c>
      <c r="T630" s="158"/>
      <c r="U630" s="158"/>
      <c r="V630" s="532"/>
      <c r="W630" s="532"/>
      <c r="X630" s="560"/>
      <c r="Y630" s="561"/>
      <c r="Z630" s="561"/>
      <c r="AA630" s="562" t="e">
        <f t="shared" ca="1" si="500"/>
        <v>#NAME?</v>
      </c>
      <c r="AB630" s="535"/>
      <c r="AC630" s="529">
        <v>2000</v>
      </c>
      <c r="AD630" s="529">
        <v>2000</v>
      </c>
      <c r="AE630" s="529">
        <f>O630/M630*100</f>
        <v>0</v>
      </c>
      <c r="AF630" s="529"/>
      <c r="AG630" s="529"/>
      <c r="AH630" s="529"/>
      <c r="AI630" s="535"/>
      <c r="AJ630" s="561"/>
      <c r="AK630" s="507"/>
      <c r="AL630" s="507"/>
      <c r="AM630" s="507"/>
      <c r="AN630" s="556"/>
      <c r="AO630" s="510"/>
      <c r="AP630" s="510" t="e">
        <f t="shared" ca="1" si="498"/>
        <v>#NAME?</v>
      </c>
      <c r="AQ630" s="532"/>
      <c r="AR630" s="533"/>
      <c r="AS630" s="533"/>
      <c r="AT630" s="533"/>
      <c r="AU630" s="533"/>
      <c r="AV630" s="533"/>
      <c r="AW630" s="612"/>
      <c r="AX630" s="612"/>
      <c r="AY630" s="612"/>
      <c r="AZ630" s="612"/>
      <c r="BA630" s="612"/>
      <c r="BB630" s="612"/>
      <c r="BC630" s="612"/>
      <c r="BD630" s="612"/>
      <c r="BE630" s="612"/>
      <c r="BF630" s="612"/>
      <c r="BG630" s="612"/>
      <c r="BH630" s="612">
        <f t="shared" si="501"/>
        <v>0</v>
      </c>
      <c r="BI630" s="612">
        <f t="shared" si="474"/>
        <v>0</v>
      </c>
      <c r="BJ630" s="201">
        <f>AQ637-BI630</f>
        <v>0</v>
      </c>
    </row>
    <row r="631" spans="1:62" ht="12" customHeight="1">
      <c r="A631" s="41"/>
      <c r="B631" s="41"/>
      <c r="C631" s="41"/>
      <c r="D631" s="41"/>
      <c r="E631" s="41"/>
      <c r="F631" s="41"/>
      <c r="G631" s="41"/>
      <c r="H631" s="235"/>
      <c r="I631" s="15"/>
      <c r="J631" s="3"/>
      <c r="K631" s="83"/>
      <c r="L631" s="84"/>
      <c r="M631" s="84"/>
      <c r="N631" s="85"/>
      <c r="O631" s="85"/>
      <c r="P631" s="86"/>
      <c r="Q631" s="86"/>
      <c r="R631" s="154"/>
      <c r="S631" s="158" t="e">
        <f ca="1">__xlfn.XLOOKUP(H631,[1]Izvršenje_proračuna_po_pozicija!$B$2:$B$153,[1]Izvršenje_proračuna_po_pozicija!$E$2:$E$153,0)</f>
        <v>#NAME?</v>
      </c>
      <c r="T631" s="158"/>
      <c r="U631" s="158"/>
      <c r="V631" s="532"/>
      <c r="W631" s="532"/>
      <c r="X631" s="568"/>
      <c r="Y631" s="569"/>
      <c r="Z631" s="569"/>
      <c r="AA631" s="562" t="e">
        <f t="shared" ca="1" si="500"/>
        <v>#NAME?</v>
      </c>
      <c r="AB631" s="537"/>
      <c r="AC631" s="538"/>
      <c r="AD631" s="538"/>
      <c r="AE631" s="529"/>
      <c r="AF631" s="529"/>
      <c r="AG631" s="529"/>
      <c r="AH631" s="529"/>
      <c r="AI631" s="537"/>
      <c r="AJ631" s="569"/>
      <c r="AK631" s="507"/>
      <c r="AL631" s="507"/>
      <c r="AM631" s="507"/>
      <c r="AN631" s="557"/>
      <c r="AO631" s="510"/>
      <c r="AP631" s="510" t="e">
        <f t="shared" ca="1" si="498"/>
        <v>#NAME?</v>
      </c>
      <c r="AQ631" s="532"/>
      <c r="AR631" s="533"/>
      <c r="AS631" s="533"/>
      <c r="AT631" s="533"/>
      <c r="AU631" s="533"/>
      <c r="AV631" s="533"/>
      <c r="AW631" s="612"/>
      <c r="AX631" s="612"/>
      <c r="AY631" s="612"/>
      <c r="AZ631" s="612"/>
      <c r="BA631" s="612"/>
      <c r="BB631" s="612"/>
      <c r="BC631" s="612"/>
      <c r="BD631" s="612"/>
      <c r="BE631" s="612"/>
      <c r="BF631" s="612"/>
      <c r="BG631" s="612"/>
      <c r="BH631" s="612">
        <f t="shared" si="501"/>
        <v>0</v>
      </c>
      <c r="BI631" s="612">
        <f t="shared" si="474"/>
        <v>0</v>
      </c>
      <c r="BJ631" s="201">
        <f>AQ638-BI631</f>
        <v>0</v>
      </c>
    </row>
    <row r="632" spans="1:62" ht="12" customHeight="1">
      <c r="A632" s="282" t="s">
        <v>522</v>
      </c>
      <c r="B632" s="283"/>
      <c r="C632" s="283"/>
      <c r="D632" s="283"/>
      <c r="E632" s="283"/>
      <c r="F632" s="283"/>
      <c r="G632" s="283"/>
      <c r="H632" s="284"/>
      <c r="I632" s="337" t="s">
        <v>540</v>
      </c>
      <c r="J632" s="338"/>
      <c r="K632" s="123"/>
      <c r="L632" s="111">
        <f t="shared" ref="L632:S632" si="515">L634+L642</f>
        <v>328859</v>
      </c>
      <c r="M632" s="111">
        <f t="shared" si="515"/>
        <v>43647.090052425505</v>
      </c>
      <c r="N632" s="112">
        <f t="shared" si="515"/>
        <v>1109457</v>
      </c>
      <c r="O632" s="112">
        <f t="shared" si="515"/>
        <v>147250.24885526579</v>
      </c>
      <c r="P632" s="113">
        <f t="shared" si="515"/>
        <v>245000</v>
      </c>
      <c r="Q632" s="113">
        <f t="shared" si="515"/>
        <v>107600</v>
      </c>
      <c r="R632" s="87">
        <f t="shared" si="515"/>
        <v>104935</v>
      </c>
      <c r="S632" s="89" t="e">
        <f t="shared" ca="1" si="515"/>
        <v>#NAME?</v>
      </c>
      <c r="T632" s="89"/>
      <c r="U632" s="89"/>
      <c r="V632" s="532">
        <f>V634+V642</f>
        <v>21500</v>
      </c>
      <c r="W632" s="532">
        <f>W634+W642</f>
        <v>21500</v>
      </c>
      <c r="X632" s="506">
        <f>X634+X642</f>
        <v>145000</v>
      </c>
      <c r="Y632" s="507">
        <f>Y634+Y642</f>
        <v>155000</v>
      </c>
      <c r="Z632" s="507">
        <f>Z634+Z642</f>
        <v>0</v>
      </c>
      <c r="AA632" s="562" t="e">
        <f t="shared" ca="1" si="500"/>
        <v>#NAME?</v>
      </c>
      <c r="AB632" s="507"/>
      <c r="AC632" s="508">
        <f>AC634+AC642</f>
        <v>245000</v>
      </c>
      <c r="AD632" s="508">
        <f>AD634+AD642</f>
        <v>245000</v>
      </c>
      <c r="AE632" s="529">
        <f>O632/M632*100</f>
        <v>337.36555788346988</v>
      </c>
      <c r="AF632" s="529">
        <f>P632/O632*100</f>
        <v>166.38341999735005</v>
      </c>
      <c r="AG632" s="529">
        <f>Q632/P632*100</f>
        <v>43.918367346938773</v>
      </c>
      <c r="AH632" s="529">
        <f>AC632/Q632*100</f>
        <v>227.69516728624538</v>
      </c>
      <c r="AI632" s="507"/>
      <c r="AJ632" s="507">
        <v>155000</v>
      </c>
      <c r="AK632" s="507">
        <f>W632/R632*100</f>
        <v>20.488874064897317</v>
      </c>
      <c r="AL632" s="507">
        <f t="shared" si="503"/>
        <v>674.41860465116281</v>
      </c>
      <c r="AM632" s="507">
        <f t="shared" si="494"/>
        <v>106.89655172413792</v>
      </c>
      <c r="AN632" s="509"/>
      <c r="AO632" s="510"/>
      <c r="AP632" s="510" t="e">
        <f t="shared" ca="1" si="498"/>
        <v>#NAME?</v>
      </c>
      <c r="AQ632" s="532">
        <f>AQ634+AQ642</f>
        <v>60837.5</v>
      </c>
      <c r="AR632" s="533">
        <f>V632/R632*100</f>
        <v>20.488874064897317</v>
      </c>
      <c r="AS632" s="533">
        <f>W632/V632*100</f>
        <v>100</v>
      </c>
      <c r="AT632" s="533">
        <f>W632/R632*100</f>
        <v>20.488874064897317</v>
      </c>
      <c r="AU632" s="533">
        <f>AQ632/W632*100</f>
        <v>282.96511627906978</v>
      </c>
      <c r="AV632" s="533">
        <f>AQ632/R632*100</f>
        <v>57.976366322008865</v>
      </c>
      <c r="AW632" s="612"/>
      <c r="AX632" s="612"/>
      <c r="AY632" s="612"/>
      <c r="AZ632" s="612"/>
      <c r="BA632" s="612"/>
      <c r="BB632" s="612"/>
      <c r="BC632" s="612"/>
      <c r="BD632" s="612"/>
      <c r="BE632" s="612"/>
      <c r="BF632" s="612"/>
      <c r="BG632" s="612"/>
      <c r="BH632" s="612">
        <f t="shared" si="501"/>
        <v>0</v>
      </c>
      <c r="BI632" s="612">
        <f t="shared" si="474"/>
        <v>35000</v>
      </c>
      <c r="BJ632" s="201">
        <f>AQ639-BI632</f>
        <v>0</v>
      </c>
    </row>
    <row r="633" spans="1:62" ht="12" customHeight="1">
      <c r="A633" s="52"/>
      <c r="B633" s="52"/>
      <c r="C633" s="52"/>
      <c r="D633" s="52"/>
      <c r="E633" s="52"/>
      <c r="F633" s="52"/>
      <c r="G633" s="52"/>
      <c r="H633" s="2"/>
      <c r="I633" s="260"/>
      <c r="J633" s="185"/>
      <c r="K633" s="19"/>
      <c r="L633" s="350"/>
      <c r="M633" s="350"/>
      <c r="N633" s="351"/>
      <c r="O633" s="351"/>
      <c r="P633" s="352"/>
      <c r="Q633" s="352"/>
      <c r="R633" s="212"/>
      <c r="S633" s="158" t="e">
        <f ca="1">__xlfn.XLOOKUP(H633,[1]Izvršenje_proračuna_po_pozicija!$B$2:$B$153,[1]Izvršenje_proračuna_po_pozicija!$E$2:$E$153,0)</f>
        <v>#NAME?</v>
      </c>
      <c r="T633" s="158"/>
      <c r="U633" s="158"/>
      <c r="V633" s="532"/>
      <c r="W633" s="532"/>
      <c r="X633" s="563"/>
      <c r="Y633" s="562"/>
      <c r="Z633" s="562"/>
      <c r="AA633" s="562" t="e">
        <f t="shared" ca="1" si="500"/>
        <v>#NAME?</v>
      </c>
      <c r="AB633" s="507"/>
      <c r="AC633" s="508"/>
      <c r="AD633" s="508"/>
      <c r="AE633" s="529"/>
      <c r="AF633" s="529"/>
      <c r="AG633" s="529"/>
      <c r="AH633" s="529"/>
      <c r="AI633" s="507"/>
      <c r="AJ633" s="562"/>
      <c r="AK633" s="507"/>
      <c r="AL633" s="507"/>
      <c r="AM633" s="507"/>
      <c r="AN633" s="509"/>
      <c r="AO633" s="510"/>
      <c r="AP633" s="510" t="e">
        <f t="shared" ca="1" si="498"/>
        <v>#NAME?</v>
      </c>
      <c r="AQ633" s="532"/>
      <c r="AR633" s="533"/>
      <c r="AS633" s="533"/>
      <c r="AT633" s="533"/>
      <c r="AU633" s="533"/>
      <c r="AV633" s="533"/>
      <c r="AW633" s="612"/>
      <c r="AX633" s="612"/>
      <c r="AY633" s="612"/>
      <c r="AZ633" s="612"/>
      <c r="BA633" s="612"/>
      <c r="BB633" s="612"/>
      <c r="BC633" s="612"/>
      <c r="BD633" s="612"/>
      <c r="BE633" s="612"/>
      <c r="BF633" s="612"/>
      <c r="BG633" s="612"/>
      <c r="BH633" s="612">
        <f t="shared" si="501"/>
        <v>0</v>
      </c>
      <c r="BI633" s="612">
        <f t="shared" si="474"/>
        <v>25000</v>
      </c>
      <c r="BJ633" s="201">
        <f>AQ640-BI633</f>
        <v>0</v>
      </c>
    </row>
    <row r="634" spans="1:62" ht="12" customHeight="1">
      <c r="A634" s="25"/>
      <c r="B634" s="25"/>
      <c r="C634" s="25"/>
      <c r="D634" s="25"/>
      <c r="E634" s="25"/>
      <c r="F634" s="25"/>
      <c r="G634" s="25"/>
      <c r="H634" s="285"/>
      <c r="I634" s="296"/>
      <c r="J634" s="211">
        <v>3</v>
      </c>
      <c r="K634" s="3" t="s">
        <v>220</v>
      </c>
      <c r="L634" s="111">
        <f t="shared" ref="L634:AD635" si="516">L635</f>
        <v>205000</v>
      </c>
      <c r="M634" s="111">
        <f t="shared" si="516"/>
        <v>27208.175724998338</v>
      </c>
      <c r="N634" s="112">
        <f t="shared" si="516"/>
        <v>775000</v>
      </c>
      <c r="O634" s="112">
        <f t="shared" si="516"/>
        <v>102860.17652133519</v>
      </c>
      <c r="P634" s="113">
        <f t="shared" si="516"/>
        <v>40000</v>
      </c>
      <c r="Q634" s="113">
        <f t="shared" si="516"/>
        <v>106600</v>
      </c>
      <c r="R634" s="87">
        <f t="shared" si="516"/>
        <v>103272</v>
      </c>
      <c r="S634" s="89" t="e">
        <f t="shared" ca="1" si="516"/>
        <v>#NAME?</v>
      </c>
      <c r="T634" s="89"/>
      <c r="U634" s="89"/>
      <c r="V634" s="532">
        <f>V635</f>
        <v>20000</v>
      </c>
      <c r="W634" s="532">
        <f t="shared" si="516"/>
        <v>20000</v>
      </c>
      <c r="X634" s="506">
        <f t="shared" si="516"/>
        <v>40000</v>
      </c>
      <c r="Y634" s="507">
        <f t="shared" si="516"/>
        <v>50000</v>
      </c>
      <c r="Z634" s="507">
        <f t="shared" si="516"/>
        <v>0</v>
      </c>
      <c r="AA634" s="562" t="e">
        <f t="shared" ca="1" si="500"/>
        <v>#NAME?</v>
      </c>
      <c r="AB634" s="507"/>
      <c r="AC634" s="508">
        <f t="shared" si="516"/>
        <v>40000</v>
      </c>
      <c r="AD634" s="508">
        <f t="shared" si="516"/>
        <v>40000</v>
      </c>
      <c r="AE634" s="529">
        <f>O634/M634*100</f>
        <v>378.04878048780489</v>
      </c>
      <c r="AF634" s="529"/>
      <c r="AG634" s="529"/>
      <c r="AH634" s="529"/>
      <c r="AI634" s="507"/>
      <c r="AJ634" s="507">
        <v>50000</v>
      </c>
      <c r="AK634" s="507">
        <f>W634/R634*100</f>
        <v>19.366333565729335</v>
      </c>
      <c r="AL634" s="507">
        <f t="shared" si="503"/>
        <v>200</v>
      </c>
      <c r="AM634" s="507">
        <f t="shared" si="494"/>
        <v>125</v>
      </c>
      <c r="AN634" s="509"/>
      <c r="AO634" s="510"/>
      <c r="AP634" s="510" t="e">
        <f t="shared" ca="1" si="498"/>
        <v>#NAME?</v>
      </c>
      <c r="AQ634" s="532">
        <f>AQ635</f>
        <v>60000</v>
      </c>
      <c r="AR634" s="533">
        <f>V634/R634*100</f>
        <v>19.366333565729335</v>
      </c>
      <c r="AS634" s="533">
        <f>W634/V634*100</f>
        <v>100</v>
      </c>
      <c r="AT634" s="533">
        <f>W634/R634*100</f>
        <v>19.366333565729335</v>
      </c>
      <c r="AU634" s="533">
        <f>AQ634/W634*100</f>
        <v>300</v>
      </c>
      <c r="AV634" s="533">
        <f>AQ634/R634*100</f>
        <v>58.099000697188011</v>
      </c>
      <c r="AW634" s="612"/>
      <c r="AX634" s="612"/>
      <c r="AY634" s="612"/>
      <c r="AZ634" s="612"/>
      <c r="BA634" s="612"/>
      <c r="BB634" s="612"/>
      <c r="BC634" s="612"/>
      <c r="BD634" s="612"/>
      <c r="BE634" s="612"/>
      <c r="BF634" s="612"/>
      <c r="BG634" s="612"/>
      <c r="BH634" s="612">
        <f t="shared" si="501"/>
        <v>0</v>
      </c>
      <c r="BI634" s="612">
        <f t="shared" si="474"/>
        <v>0</v>
      </c>
      <c r="BJ634" s="201">
        <f>AQ641-BI634</f>
        <v>0</v>
      </c>
    </row>
    <row r="635" spans="1:62" ht="12" customHeight="1">
      <c r="A635" s="227"/>
      <c r="B635" s="227"/>
      <c r="C635" s="227"/>
      <c r="D635" s="227"/>
      <c r="E635" s="227"/>
      <c r="F635" s="227"/>
      <c r="G635" s="227"/>
      <c r="H635" s="234"/>
      <c r="I635" s="297"/>
      <c r="J635" s="228">
        <v>38</v>
      </c>
      <c r="K635" s="258" t="s">
        <v>281</v>
      </c>
      <c r="L635" s="111">
        <f t="shared" si="516"/>
        <v>205000</v>
      </c>
      <c r="M635" s="111">
        <f t="shared" si="516"/>
        <v>27208.175724998338</v>
      </c>
      <c r="N635" s="112">
        <f t="shared" si="516"/>
        <v>775000</v>
      </c>
      <c r="O635" s="112">
        <f t="shared" si="516"/>
        <v>102860.17652133519</v>
      </c>
      <c r="P635" s="113">
        <f t="shared" si="516"/>
        <v>40000</v>
      </c>
      <c r="Q635" s="113">
        <f t="shared" si="516"/>
        <v>106600</v>
      </c>
      <c r="R635" s="87">
        <f t="shared" si="516"/>
        <v>103272</v>
      </c>
      <c r="S635" s="89" t="e">
        <f t="shared" ca="1" si="516"/>
        <v>#NAME?</v>
      </c>
      <c r="T635" s="89"/>
      <c r="U635" s="89"/>
      <c r="V635" s="532">
        <f>V636</f>
        <v>20000</v>
      </c>
      <c r="W635" s="532">
        <f t="shared" si="516"/>
        <v>20000</v>
      </c>
      <c r="X635" s="506">
        <f t="shared" si="516"/>
        <v>40000</v>
      </c>
      <c r="Y635" s="507">
        <f t="shared" si="516"/>
        <v>50000</v>
      </c>
      <c r="Z635" s="507">
        <f t="shared" si="516"/>
        <v>0</v>
      </c>
      <c r="AA635" s="562" t="e">
        <f t="shared" ca="1" si="500"/>
        <v>#NAME?</v>
      </c>
      <c r="AB635" s="507"/>
      <c r="AC635" s="508">
        <f t="shared" si="516"/>
        <v>40000</v>
      </c>
      <c r="AD635" s="508">
        <f t="shared" si="516"/>
        <v>40000</v>
      </c>
      <c r="AE635" s="529">
        <f>O635/M635*100</f>
        <v>378.04878048780489</v>
      </c>
      <c r="AF635" s="529"/>
      <c r="AG635" s="529"/>
      <c r="AH635" s="529"/>
      <c r="AI635" s="507"/>
      <c r="AJ635" s="507">
        <v>50000</v>
      </c>
      <c r="AK635" s="507">
        <f>W635/R635*100</f>
        <v>19.366333565729335</v>
      </c>
      <c r="AL635" s="507">
        <f t="shared" si="503"/>
        <v>200</v>
      </c>
      <c r="AM635" s="507">
        <f t="shared" si="494"/>
        <v>125</v>
      </c>
      <c r="AN635" s="509"/>
      <c r="AO635" s="590"/>
      <c r="AP635" s="510" t="e">
        <f t="shared" ca="1" si="498"/>
        <v>#NAME?</v>
      </c>
      <c r="AQ635" s="532">
        <f>AQ636</f>
        <v>60000</v>
      </c>
      <c r="AR635" s="533">
        <f>V635/R635*100</f>
        <v>19.366333565729335</v>
      </c>
      <c r="AS635" s="533">
        <f>W635/V635*100</f>
        <v>100</v>
      </c>
      <c r="AT635" s="533">
        <f>W635/R635*100</f>
        <v>19.366333565729335</v>
      </c>
      <c r="AU635" s="533">
        <f>AQ635/W635*100</f>
        <v>300</v>
      </c>
      <c r="AV635" s="533">
        <f>AQ635/R635*100</f>
        <v>58.099000697188011</v>
      </c>
      <c r="AW635" s="612"/>
      <c r="AX635" s="612"/>
      <c r="AY635" s="612"/>
      <c r="AZ635" s="612"/>
      <c r="BA635" s="612"/>
      <c r="BB635" s="612"/>
      <c r="BC635" s="612"/>
      <c r="BD635" s="612"/>
      <c r="BE635" s="612"/>
      <c r="BF635" s="612"/>
      <c r="BG635" s="612"/>
      <c r="BH635" s="612">
        <f t="shared" si="501"/>
        <v>0</v>
      </c>
      <c r="BI635" s="612">
        <f t="shared" si="474"/>
        <v>0</v>
      </c>
      <c r="BJ635" s="201"/>
    </row>
    <row r="636" spans="1:62" ht="12" customHeight="1">
      <c r="A636" s="61"/>
      <c r="B636" s="61"/>
      <c r="C636" s="61">
        <v>3</v>
      </c>
      <c r="D636" s="61"/>
      <c r="E636" s="61"/>
      <c r="F636" s="61">
        <v>6</v>
      </c>
      <c r="G636" s="61"/>
      <c r="H636" s="230"/>
      <c r="I636" s="261"/>
      <c r="J636" s="229">
        <v>386</v>
      </c>
      <c r="K636" s="20" t="s">
        <v>495</v>
      </c>
      <c r="L636" s="111">
        <f t="shared" ref="L636:S636" si="517">L637+L638+L639+L640</f>
        <v>205000</v>
      </c>
      <c r="M636" s="111">
        <f t="shared" si="517"/>
        <v>27208.175724998338</v>
      </c>
      <c r="N636" s="112">
        <f t="shared" si="517"/>
        <v>775000</v>
      </c>
      <c r="O636" s="112">
        <f t="shared" si="517"/>
        <v>102860.17652133519</v>
      </c>
      <c r="P636" s="113">
        <f t="shared" si="517"/>
        <v>40000</v>
      </c>
      <c r="Q636" s="113">
        <f t="shared" si="517"/>
        <v>106600</v>
      </c>
      <c r="R636" s="87">
        <f t="shared" si="517"/>
        <v>103272</v>
      </c>
      <c r="S636" s="89" t="e">
        <f t="shared" ca="1" si="517"/>
        <v>#NAME?</v>
      </c>
      <c r="T636" s="89"/>
      <c r="U636" s="89"/>
      <c r="V636" s="532">
        <f>V637+V638+V639+V640</f>
        <v>20000</v>
      </c>
      <c r="W636" s="532">
        <f>W637+W638+W639+W640</f>
        <v>20000</v>
      </c>
      <c r="X636" s="506">
        <f>X637+X638+X639+X640</f>
        <v>40000</v>
      </c>
      <c r="Y636" s="507">
        <f>Y637+Y638+Y639+Y640</f>
        <v>50000</v>
      </c>
      <c r="Z636" s="507">
        <f>Z637+Z638+Z639+Z640</f>
        <v>0</v>
      </c>
      <c r="AA636" s="562" t="e">
        <f t="shared" ca="1" si="500"/>
        <v>#NAME?</v>
      </c>
      <c r="AB636" s="507"/>
      <c r="AC636" s="508">
        <f>AC637+AC638+AC639+AC640</f>
        <v>40000</v>
      </c>
      <c r="AD636" s="508">
        <f>AD637+AD638+AD639+AD640</f>
        <v>40000</v>
      </c>
      <c r="AE636" s="529">
        <f>O636/M636*100</f>
        <v>378.04878048780489</v>
      </c>
      <c r="AF636" s="529"/>
      <c r="AG636" s="529"/>
      <c r="AH636" s="529"/>
      <c r="AI636" s="507"/>
      <c r="AJ636" s="507">
        <v>50000</v>
      </c>
      <c r="AK636" s="507">
        <f>W636/R636*100</f>
        <v>19.366333565729335</v>
      </c>
      <c r="AL636" s="507">
        <f t="shared" si="503"/>
        <v>200</v>
      </c>
      <c r="AM636" s="507">
        <f t="shared" si="494"/>
        <v>125</v>
      </c>
      <c r="AN636" s="509"/>
      <c r="AO636" s="590"/>
      <c r="AP636" s="510" t="e">
        <f t="shared" ca="1" si="498"/>
        <v>#NAME?</v>
      </c>
      <c r="AQ636" s="532">
        <f>AQ637+AQ638+AQ639+AQ640</f>
        <v>60000</v>
      </c>
      <c r="AR636" s="532">
        <f t="shared" ref="AR636:BG636" si="518">AR637+AR638+AR639+AR640</f>
        <v>19.366333565729335</v>
      </c>
      <c r="AS636" s="532">
        <f t="shared" si="518"/>
        <v>100</v>
      </c>
      <c r="AT636" s="532">
        <f t="shared" si="518"/>
        <v>19.366333565729335</v>
      </c>
      <c r="AU636" s="532">
        <f t="shared" si="518"/>
        <v>125</v>
      </c>
      <c r="AV636" s="532">
        <f t="shared" si="518"/>
        <v>24.207916957161672</v>
      </c>
      <c r="AW636" s="612">
        <f t="shared" si="518"/>
        <v>0</v>
      </c>
      <c r="AX636" s="612">
        <f t="shared" si="518"/>
        <v>0</v>
      </c>
      <c r="AY636" s="612">
        <f t="shared" si="518"/>
        <v>0</v>
      </c>
      <c r="AZ636" s="612">
        <f t="shared" si="518"/>
        <v>0</v>
      </c>
      <c r="BA636" s="612">
        <f t="shared" si="518"/>
        <v>0</v>
      </c>
      <c r="BB636" s="612">
        <f t="shared" si="518"/>
        <v>0</v>
      </c>
      <c r="BC636" s="612">
        <f t="shared" si="518"/>
        <v>0</v>
      </c>
      <c r="BD636" s="612">
        <f t="shared" si="518"/>
        <v>0</v>
      </c>
      <c r="BE636" s="612">
        <f t="shared" si="518"/>
        <v>60000</v>
      </c>
      <c r="BF636" s="612">
        <f t="shared" si="518"/>
        <v>0</v>
      </c>
      <c r="BG636" s="612">
        <f t="shared" si="518"/>
        <v>0</v>
      </c>
      <c r="BH636" s="612">
        <f t="shared" si="501"/>
        <v>60000</v>
      </c>
      <c r="BI636" s="612">
        <f t="shared" ref="BI636:BI699" si="519">SUM(AW643:BG643)</f>
        <v>0</v>
      </c>
      <c r="BJ636" s="201"/>
    </row>
    <row r="637" spans="1:62" ht="12" customHeight="1">
      <c r="A637" s="52"/>
      <c r="B637" s="52"/>
      <c r="C637" s="52"/>
      <c r="D637" s="52"/>
      <c r="E637" s="52"/>
      <c r="F637" s="52"/>
      <c r="G637" s="52"/>
      <c r="H637" s="2">
        <v>169</v>
      </c>
      <c r="I637" s="260">
        <v>510</v>
      </c>
      <c r="J637" s="185">
        <v>3861</v>
      </c>
      <c r="K637" s="478" t="s">
        <v>541</v>
      </c>
      <c r="L637" s="129">
        <v>0</v>
      </c>
      <c r="M637" s="129">
        <v>0</v>
      </c>
      <c r="N637" s="130">
        <v>0</v>
      </c>
      <c r="O637" s="130">
        <v>0</v>
      </c>
      <c r="P637" s="131">
        <v>0</v>
      </c>
      <c r="Q637" s="131">
        <v>0</v>
      </c>
      <c r="R637" s="153">
        <v>0</v>
      </c>
      <c r="S637" s="158" t="e">
        <f ca="1">__xlfn.XLOOKUP(H637,[1]Izvršenje_proračuna_po_pozicija!$B$2:$B$153,[1]Izvršenje_proračuna_po_pozicija!$E$2:$E$153,0)</f>
        <v>#NAME?</v>
      </c>
      <c r="T637" s="158"/>
      <c r="U637" s="158"/>
      <c r="V637" s="532"/>
      <c r="W637" s="532"/>
      <c r="X637" s="560"/>
      <c r="Y637" s="561"/>
      <c r="Z637" s="561"/>
      <c r="AA637" s="562" t="e">
        <f t="shared" ca="1" si="500"/>
        <v>#NAME?</v>
      </c>
      <c r="AB637" s="535"/>
      <c r="AC637" s="529">
        <v>0</v>
      </c>
      <c r="AD637" s="529">
        <v>0</v>
      </c>
      <c r="AE637" s="529"/>
      <c r="AF637" s="529"/>
      <c r="AG637" s="529"/>
      <c r="AH637" s="529"/>
      <c r="AI637" s="535"/>
      <c r="AJ637" s="561"/>
      <c r="AK637" s="507"/>
      <c r="AL637" s="507"/>
      <c r="AM637" s="507"/>
      <c r="AN637" s="556"/>
      <c r="AO637" s="590"/>
      <c r="AP637" s="510" t="e">
        <f t="shared" ca="1" si="498"/>
        <v>#NAME?</v>
      </c>
      <c r="AQ637" s="532"/>
      <c r="AR637" s="533"/>
      <c r="AS637" s="533"/>
      <c r="AT637" s="533"/>
      <c r="AU637" s="533"/>
      <c r="AV637" s="533"/>
      <c r="AW637" s="612"/>
      <c r="AX637" s="612"/>
      <c r="AY637" s="612"/>
      <c r="AZ637" s="612"/>
      <c r="BA637" s="612"/>
      <c r="BB637" s="612"/>
      <c r="BC637" s="612"/>
      <c r="BD637" s="612"/>
      <c r="BE637" s="612"/>
      <c r="BF637" s="612"/>
      <c r="BG637" s="612"/>
      <c r="BH637" s="612">
        <f t="shared" si="501"/>
        <v>0</v>
      </c>
      <c r="BI637" s="612">
        <f t="shared" si="519"/>
        <v>0</v>
      </c>
      <c r="BJ637" s="201"/>
    </row>
    <row r="638" spans="1:62" ht="12" customHeight="1">
      <c r="A638" s="52"/>
      <c r="B638" s="52"/>
      <c r="C638" s="52"/>
      <c r="D638" s="52"/>
      <c r="E638" s="52"/>
      <c r="F638" s="52"/>
      <c r="G638" s="52"/>
      <c r="H638" s="2" t="s">
        <v>542</v>
      </c>
      <c r="I638" s="260">
        <v>510</v>
      </c>
      <c r="J638" s="185">
        <v>3861</v>
      </c>
      <c r="K638" s="478" t="s">
        <v>543</v>
      </c>
      <c r="L638" s="129">
        <v>0</v>
      </c>
      <c r="M638" s="129">
        <v>0</v>
      </c>
      <c r="N638" s="130">
        <v>0</v>
      </c>
      <c r="O638" s="130">
        <v>0</v>
      </c>
      <c r="P638" s="131">
        <v>0</v>
      </c>
      <c r="Q638" s="131">
        <v>0</v>
      </c>
      <c r="R638" s="153">
        <v>0</v>
      </c>
      <c r="S638" s="158" t="e">
        <f ca="1">__xlfn.XLOOKUP(H638,[1]Izvršenje_proračuna_po_pozicija!$B$2:$B$153,[1]Izvršenje_proračuna_po_pozicija!$E$2:$E$153,0)</f>
        <v>#NAME?</v>
      </c>
      <c r="T638" s="158"/>
      <c r="U638" s="158"/>
      <c r="V638" s="532"/>
      <c r="W638" s="532"/>
      <c r="X638" s="560"/>
      <c r="Y638" s="561"/>
      <c r="Z638" s="561"/>
      <c r="AA638" s="562" t="e">
        <f t="shared" ca="1" si="500"/>
        <v>#NAME?</v>
      </c>
      <c r="AB638" s="535"/>
      <c r="AC638" s="529"/>
      <c r="AD638" s="529"/>
      <c r="AE638" s="529"/>
      <c r="AF638" s="529"/>
      <c r="AG638" s="529"/>
      <c r="AH638" s="529"/>
      <c r="AI638" s="535"/>
      <c r="AJ638" s="561"/>
      <c r="AK638" s="507"/>
      <c r="AL638" s="507"/>
      <c r="AM638" s="507"/>
      <c r="AN638" s="556"/>
      <c r="AO638" s="590"/>
      <c r="AP638" s="510" t="e">
        <f t="shared" ca="1" si="498"/>
        <v>#NAME?</v>
      </c>
      <c r="AQ638" s="532"/>
      <c r="AR638" s="533"/>
      <c r="AS638" s="533"/>
      <c r="AT638" s="533"/>
      <c r="AU638" s="533"/>
      <c r="AV638" s="533"/>
      <c r="AW638" s="612"/>
      <c r="AX638" s="612"/>
      <c r="AY638" s="612"/>
      <c r="AZ638" s="612"/>
      <c r="BA638" s="612"/>
      <c r="BB638" s="612"/>
      <c r="BC638" s="612"/>
      <c r="BD638" s="612"/>
      <c r="BE638" s="612"/>
      <c r="BF638" s="612"/>
      <c r="BG638" s="612"/>
      <c r="BH638" s="612">
        <f t="shared" si="501"/>
        <v>0</v>
      </c>
      <c r="BI638" s="612">
        <f t="shared" si="519"/>
        <v>837.5</v>
      </c>
      <c r="BJ638" s="201">
        <f t="shared" ref="BJ638:BJ650" si="520">AQ645-BI638</f>
        <v>0</v>
      </c>
    </row>
    <row r="639" spans="1:62" ht="12" customHeight="1">
      <c r="A639" s="52"/>
      <c r="B639" s="52"/>
      <c r="C639" s="52"/>
      <c r="D639" s="52"/>
      <c r="E639" s="52"/>
      <c r="F639" s="52"/>
      <c r="G639" s="52"/>
      <c r="H639" s="2" t="s">
        <v>544</v>
      </c>
      <c r="I639" s="260">
        <v>510</v>
      </c>
      <c r="J639" s="185">
        <v>3861</v>
      </c>
      <c r="K639" s="478" t="s">
        <v>545</v>
      </c>
      <c r="L639" s="129">
        <v>0</v>
      </c>
      <c r="M639" s="129">
        <v>0</v>
      </c>
      <c r="N639" s="130">
        <v>0</v>
      </c>
      <c r="O639" s="130">
        <v>0</v>
      </c>
      <c r="P639" s="131">
        <v>0</v>
      </c>
      <c r="Q639" s="131">
        <v>0</v>
      </c>
      <c r="R639" s="153">
        <v>0</v>
      </c>
      <c r="S639" s="158" t="e">
        <f ca="1">__xlfn.XLOOKUP(H639,[1]Izvršenje_proračuna_po_pozicija!$B$2:$B$153,[1]Izvršenje_proračuna_po_pozicija!$E$2:$E$153,0)</f>
        <v>#NAME?</v>
      </c>
      <c r="T639" s="158"/>
      <c r="U639" s="158"/>
      <c r="V639" s="532"/>
      <c r="W639" s="532"/>
      <c r="X639" s="560"/>
      <c r="Y639" s="561"/>
      <c r="Z639" s="561"/>
      <c r="AA639" s="562" t="e">
        <f t="shared" ca="1" si="500"/>
        <v>#NAME?</v>
      </c>
      <c r="AB639" s="535"/>
      <c r="AC639" s="529">
        <v>0</v>
      </c>
      <c r="AD639" s="529">
        <v>0</v>
      </c>
      <c r="AE639" s="529"/>
      <c r="AF639" s="529"/>
      <c r="AG639" s="529"/>
      <c r="AH639" s="529"/>
      <c r="AI639" s="535"/>
      <c r="AJ639" s="561"/>
      <c r="AK639" s="507"/>
      <c r="AL639" s="507"/>
      <c r="AM639" s="507"/>
      <c r="AN639" s="556"/>
      <c r="AO639" s="590"/>
      <c r="AP639" s="510" t="e">
        <f t="shared" ca="1" si="498"/>
        <v>#NAME?</v>
      </c>
      <c r="AQ639" s="532">
        <v>35000</v>
      </c>
      <c r="AR639" s="533"/>
      <c r="AS639" s="533"/>
      <c r="AT639" s="533"/>
      <c r="AU639" s="533"/>
      <c r="AV639" s="533"/>
      <c r="AW639" s="612"/>
      <c r="AX639" s="612"/>
      <c r="AY639" s="612"/>
      <c r="AZ639" s="612"/>
      <c r="BA639" s="612"/>
      <c r="BB639" s="612"/>
      <c r="BC639" s="612"/>
      <c r="BD639" s="612"/>
      <c r="BE639" s="612">
        <v>35000</v>
      </c>
      <c r="BF639" s="612"/>
      <c r="BG639" s="612"/>
      <c r="BH639" s="612">
        <f t="shared" si="501"/>
        <v>35000</v>
      </c>
      <c r="BI639" s="612">
        <f t="shared" si="519"/>
        <v>0</v>
      </c>
      <c r="BJ639" s="201">
        <f t="shared" si="520"/>
        <v>0</v>
      </c>
    </row>
    <row r="640" spans="1:62" ht="12" customHeight="1">
      <c r="A640" s="52"/>
      <c r="B640" s="52"/>
      <c r="C640" s="52"/>
      <c r="D640" s="52"/>
      <c r="E640" s="52"/>
      <c r="F640" s="52"/>
      <c r="G640" s="52"/>
      <c r="H640" s="2" t="s">
        <v>546</v>
      </c>
      <c r="I640" s="260">
        <v>520</v>
      </c>
      <c r="J640" s="185">
        <v>3861</v>
      </c>
      <c r="K640" s="19" t="s">
        <v>547</v>
      </c>
      <c r="L640" s="129">
        <v>205000</v>
      </c>
      <c r="M640" s="129">
        <f>205000/7.5345</f>
        <v>27208.175724998338</v>
      </c>
      <c r="N640" s="130">
        <v>775000</v>
      </c>
      <c r="O640" s="130">
        <f>N640/7.5345</f>
        <v>102860.17652133519</v>
      </c>
      <c r="P640" s="131">
        <v>40000</v>
      </c>
      <c r="Q640" s="156">
        <v>106600</v>
      </c>
      <c r="R640" s="153">
        <v>103272</v>
      </c>
      <c r="S640" s="158" t="e">
        <f ca="1">__xlfn.XLOOKUP(H640,[1]Izvršenje_proračuna_po_pozicija!$B$2:$B$153,[1]Izvršenje_proračuna_po_pozicija!$E$2:$E$153,0)</f>
        <v>#NAME?</v>
      </c>
      <c r="T640" s="158"/>
      <c r="U640" s="158"/>
      <c r="V640" s="532">
        <v>20000</v>
      </c>
      <c r="W640" s="532">
        <v>20000</v>
      </c>
      <c r="X640" s="560">
        <v>40000</v>
      </c>
      <c r="Y640" s="561">
        <v>50000</v>
      </c>
      <c r="Z640" s="561"/>
      <c r="AA640" s="562" t="e">
        <f t="shared" ca="1" si="500"/>
        <v>#NAME?</v>
      </c>
      <c r="AB640" s="535"/>
      <c r="AC640" s="529">
        <v>40000</v>
      </c>
      <c r="AD640" s="529">
        <v>40000</v>
      </c>
      <c r="AE640" s="529">
        <f>O640/M640*100</f>
        <v>378.04878048780489</v>
      </c>
      <c r="AF640" s="529"/>
      <c r="AG640" s="529"/>
      <c r="AH640" s="529"/>
      <c r="AI640" s="535"/>
      <c r="AJ640" s="561">
        <v>50000</v>
      </c>
      <c r="AK640" s="507">
        <f>W640/R640*100</f>
        <v>19.366333565729335</v>
      </c>
      <c r="AL640" s="507">
        <f t="shared" si="503"/>
        <v>200</v>
      </c>
      <c r="AM640" s="507">
        <f t="shared" si="494"/>
        <v>125</v>
      </c>
      <c r="AN640" s="556"/>
      <c r="AO640" s="590"/>
      <c r="AP640" s="510" t="e">
        <f t="shared" ca="1" si="498"/>
        <v>#NAME?</v>
      </c>
      <c r="AQ640" s="532">
        <v>25000</v>
      </c>
      <c r="AR640" s="533">
        <f>V640/R640*100</f>
        <v>19.366333565729335</v>
      </c>
      <c r="AS640" s="533">
        <f>W640/V640*100</f>
        <v>100</v>
      </c>
      <c r="AT640" s="533">
        <f>W640/R640*100</f>
        <v>19.366333565729335</v>
      </c>
      <c r="AU640" s="533">
        <f>AQ640/W640*100</f>
        <v>125</v>
      </c>
      <c r="AV640" s="533">
        <f>AQ640/R640*100</f>
        <v>24.207916957161672</v>
      </c>
      <c r="AW640" s="612"/>
      <c r="AX640" s="612"/>
      <c r="AY640" s="612"/>
      <c r="AZ640" s="612"/>
      <c r="BA640" s="612"/>
      <c r="BB640" s="612"/>
      <c r="BC640" s="612"/>
      <c r="BD640" s="612"/>
      <c r="BE640" s="612">
        <v>25000</v>
      </c>
      <c r="BF640" s="612"/>
      <c r="BG640" s="612"/>
      <c r="BH640" s="612">
        <f t="shared" si="501"/>
        <v>25000</v>
      </c>
      <c r="BI640" s="612">
        <f t="shared" si="519"/>
        <v>0</v>
      </c>
      <c r="BJ640" s="201">
        <f t="shared" si="520"/>
        <v>0</v>
      </c>
    </row>
    <row r="641" spans="1:62" ht="12" customHeight="1">
      <c r="A641" s="68"/>
      <c r="B641" s="68"/>
      <c r="C641" s="68"/>
      <c r="D641" s="68"/>
      <c r="E641" s="68"/>
      <c r="F641" s="68"/>
      <c r="G641" s="68"/>
      <c r="H641" s="319"/>
      <c r="I641" s="4"/>
      <c r="J641" s="8"/>
      <c r="K641" s="8"/>
      <c r="L641" s="84"/>
      <c r="M641" s="84"/>
      <c r="N641" s="85"/>
      <c r="O641" s="85"/>
      <c r="P641" s="86"/>
      <c r="Q641" s="86"/>
      <c r="R641" s="154"/>
      <c r="S641" s="158" t="e">
        <f ca="1">__xlfn.XLOOKUP(H641,[1]Izvršenje_proračuna_po_pozicija!$B$2:$B$153,[1]Izvršenje_proračuna_po_pozicija!$E$2:$E$153,0)</f>
        <v>#NAME?</v>
      </c>
      <c r="T641" s="158"/>
      <c r="U641" s="158"/>
      <c r="V641" s="532"/>
      <c r="W641" s="532"/>
      <c r="X641" s="568"/>
      <c r="Y641" s="569"/>
      <c r="Z641" s="569"/>
      <c r="AA641" s="562" t="e">
        <f t="shared" ca="1" si="500"/>
        <v>#NAME?</v>
      </c>
      <c r="AB641" s="537"/>
      <c r="AC641" s="538"/>
      <c r="AD641" s="538"/>
      <c r="AE641" s="529"/>
      <c r="AF641" s="529"/>
      <c r="AG641" s="529"/>
      <c r="AH641" s="529"/>
      <c r="AI641" s="537"/>
      <c r="AJ641" s="569"/>
      <c r="AK641" s="507"/>
      <c r="AL641" s="507"/>
      <c r="AM641" s="507"/>
      <c r="AN641" s="557"/>
      <c r="AO641" s="510"/>
      <c r="AP641" s="510" t="e">
        <f t="shared" ca="1" si="498"/>
        <v>#NAME?</v>
      </c>
      <c r="AQ641" s="532"/>
      <c r="AR641" s="533"/>
      <c r="AS641" s="533"/>
      <c r="AT641" s="533"/>
      <c r="AU641" s="533"/>
      <c r="AV641" s="533"/>
      <c r="AW641" s="612"/>
      <c r="AX641" s="612"/>
      <c r="AY641" s="612"/>
      <c r="AZ641" s="612"/>
      <c r="BA641" s="612"/>
      <c r="BB641" s="612"/>
      <c r="BC641" s="612"/>
      <c r="BD641" s="612"/>
      <c r="BE641" s="612"/>
      <c r="BF641" s="612"/>
      <c r="BG641" s="612"/>
      <c r="BH641" s="612">
        <f t="shared" si="501"/>
        <v>0</v>
      </c>
      <c r="BI641" s="612">
        <f t="shared" si="519"/>
        <v>0</v>
      </c>
      <c r="BJ641" s="201">
        <f t="shared" si="520"/>
        <v>0</v>
      </c>
    </row>
    <row r="642" spans="1:62" ht="12" customHeight="1">
      <c r="A642" s="25"/>
      <c r="B642" s="25"/>
      <c r="C642" s="25"/>
      <c r="D642" s="25"/>
      <c r="E642" s="25"/>
      <c r="F642" s="25"/>
      <c r="G642" s="25"/>
      <c r="H642" s="285"/>
      <c r="I642" s="296"/>
      <c r="J642" s="211">
        <v>4</v>
      </c>
      <c r="K642" s="3" t="s">
        <v>407</v>
      </c>
      <c r="L642" s="111">
        <f t="shared" ref="L642:Z642" si="521">L643</f>
        <v>123859</v>
      </c>
      <c r="M642" s="111">
        <f t="shared" si="521"/>
        <v>16438.914327427166</v>
      </c>
      <c r="N642" s="112">
        <f t="shared" si="521"/>
        <v>334457</v>
      </c>
      <c r="O642" s="112">
        <f t="shared" si="521"/>
        <v>44390.072333930584</v>
      </c>
      <c r="P642" s="113">
        <f t="shared" si="521"/>
        <v>205000</v>
      </c>
      <c r="Q642" s="113">
        <f t="shared" si="521"/>
        <v>1000</v>
      </c>
      <c r="R642" s="87">
        <f t="shared" si="521"/>
        <v>1663</v>
      </c>
      <c r="S642" s="89" t="e">
        <f t="shared" ca="1" si="521"/>
        <v>#NAME?</v>
      </c>
      <c r="T642" s="89"/>
      <c r="U642" s="89"/>
      <c r="V642" s="532">
        <f>V643</f>
        <v>1500</v>
      </c>
      <c r="W642" s="532">
        <f t="shared" si="521"/>
        <v>1500</v>
      </c>
      <c r="X642" s="506">
        <f t="shared" si="521"/>
        <v>105000</v>
      </c>
      <c r="Y642" s="507">
        <f t="shared" si="521"/>
        <v>105000</v>
      </c>
      <c r="Z642" s="507">
        <f t="shared" si="521"/>
        <v>0</v>
      </c>
      <c r="AA642" s="562" t="e">
        <f t="shared" ca="1" si="500"/>
        <v>#NAME?</v>
      </c>
      <c r="AB642" s="507"/>
      <c r="AC642" s="508">
        <f>AC643</f>
        <v>205000</v>
      </c>
      <c r="AD642" s="508">
        <f>AD643</f>
        <v>205000</v>
      </c>
      <c r="AE642" s="529">
        <f>O642/M642*100</f>
        <v>270.03043783657222</v>
      </c>
      <c r="AF642" s="529">
        <f>P642/O642*100</f>
        <v>461.81497173029715</v>
      </c>
      <c r="AG642" s="529">
        <f>Q642/P642*100</f>
        <v>0.48780487804878048</v>
      </c>
      <c r="AH642" s="529"/>
      <c r="AI642" s="507"/>
      <c r="AJ642" s="507">
        <v>105000</v>
      </c>
      <c r="AK642" s="507">
        <f>W642/R642*100</f>
        <v>90.198436560432953</v>
      </c>
      <c r="AL642" s="507">
        <f t="shared" si="503"/>
        <v>7000</v>
      </c>
      <c r="AM642" s="507">
        <f t="shared" si="494"/>
        <v>100</v>
      </c>
      <c r="AN642" s="509"/>
      <c r="AO642" s="510"/>
      <c r="AP642" s="510" t="e">
        <f t="shared" ca="1" si="498"/>
        <v>#NAME?</v>
      </c>
      <c r="AQ642" s="532">
        <f>AQ643</f>
        <v>837.5</v>
      </c>
      <c r="AR642" s="533">
        <f>V642/R642*100</f>
        <v>90.198436560432953</v>
      </c>
      <c r="AS642" s="533">
        <f>W642/V642*100</f>
        <v>100</v>
      </c>
      <c r="AT642" s="533">
        <f>W642/R642*100</f>
        <v>90.198436560432953</v>
      </c>
      <c r="AU642" s="533">
        <f>AQ642/W642*100</f>
        <v>55.833333333333336</v>
      </c>
      <c r="AV642" s="533">
        <f>AQ642/R642*100</f>
        <v>50.360793746241725</v>
      </c>
      <c r="AW642" s="612"/>
      <c r="AX642" s="612"/>
      <c r="AY642" s="612"/>
      <c r="AZ642" s="612"/>
      <c r="BA642" s="612"/>
      <c r="BB642" s="612"/>
      <c r="BC642" s="612"/>
      <c r="BD642" s="612"/>
      <c r="BE642" s="612"/>
      <c r="BF642" s="612"/>
      <c r="BG642" s="612"/>
      <c r="BH642" s="612">
        <f t="shared" si="501"/>
        <v>0</v>
      </c>
      <c r="BI642" s="612">
        <f t="shared" si="519"/>
        <v>0</v>
      </c>
      <c r="BJ642" s="201">
        <f t="shared" si="520"/>
        <v>0</v>
      </c>
    </row>
    <row r="643" spans="1:62" ht="12" customHeight="1">
      <c r="A643" s="227"/>
      <c r="B643" s="227"/>
      <c r="C643" s="227"/>
      <c r="D643" s="227"/>
      <c r="E643" s="227"/>
      <c r="F643" s="227"/>
      <c r="G643" s="227"/>
      <c r="H643" s="234"/>
      <c r="I643" s="297"/>
      <c r="J643" s="228">
        <v>42</v>
      </c>
      <c r="K643" s="258" t="s">
        <v>548</v>
      </c>
      <c r="L643" s="111">
        <f t="shared" ref="L643:S643" si="522">L644+L648</f>
        <v>123859</v>
      </c>
      <c r="M643" s="111">
        <f t="shared" si="522"/>
        <v>16438.914327427166</v>
      </c>
      <c r="N643" s="112">
        <f t="shared" si="522"/>
        <v>334457</v>
      </c>
      <c r="O643" s="112">
        <f t="shared" si="522"/>
        <v>44390.072333930584</v>
      </c>
      <c r="P643" s="113">
        <f t="shared" si="522"/>
        <v>205000</v>
      </c>
      <c r="Q643" s="113">
        <f t="shared" si="522"/>
        <v>1000</v>
      </c>
      <c r="R643" s="87">
        <f t="shared" si="522"/>
        <v>1663</v>
      </c>
      <c r="S643" s="89" t="e">
        <f t="shared" ca="1" si="522"/>
        <v>#NAME?</v>
      </c>
      <c r="T643" s="89"/>
      <c r="U643" s="89"/>
      <c r="V643" s="532">
        <f>V644+V648</f>
        <v>1500</v>
      </c>
      <c r="W643" s="532">
        <f>W644+W648</f>
        <v>1500</v>
      </c>
      <c r="X643" s="506">
        <f>X644+X648</f>
        <v>105000</v>
      </c>
      <c r="Y643" s="507">
        <f>Y644+Y648</f>
        <v>105000</v>
      </c>
      <c r="Z643" s="507">
        <f>Z644+Z648</f>
        <v>0</v>
      </c>
      <c r="AA643" s="562" t="e">
        <f t="shared" ca="1" si="500"/>
        <v>#NAME?</v>
      </c>
      <c r="AB643" s="507"/>
      <c r="AC643" s="508">
        <f>AC644+AC648</f>
        <v>205000</v>
      </c>
      <c r="AD643" s="508">
        <f>AD644+AD648</f>
        <v>205000</v>
      </c>
      <c r="AE643" s="529">
        <f>O643/M643*100</f>
        <v>270.03043783657222</v>
      </c>
      <c r="AF643" s="529">
        <f>P643/O643*100</f>
        <v>461.81497173029715</v>
      </c>
      <c r="AG643" s="529">
        <f>Q643/P643*100</f>
        <v>0.48780487804878048</v>
      </c>
      <c r="AH643" s="529"/>
      <c r="AI643" s="507"/>
      <c r="AJ643" s="507">
        <v>105000</v>
      </c>
      <c r="AK643" s="507">
        <f>W643/R643*100</f>
        <v>90.198436560432953</v>
      </c>
      <c r="AL643" s="507">
        <f t="shared" si="503"/>
        <v>7000</v>
      </c>
      <c r="AM643" s="507">
        <f t="shared" si="494"/>
        <v>100</v>
      </c>
      <c r="AN643" s="509"/>
      <c r="AO643" s="510"/>
      <c r="AP643" s="510" t="e">
        <f t="shared" ca="1" si="498"/>
        <v>#NAME?</v>
      </c>
      <c r="AQ643" s="532">
        <f>AQ644+AQ648</f>
        <v>837.5</v>
      </c>
      <c r="AR643" s="533">
        <f>V643/R643*100</f>
        <v>90.198436560432953</v>
      </c>
      <c r="AS643" s="533">
        <f>W643/V643*100</f>
        <v>100</v>
      </c>
      <c r="AT643" s="533">
        <f>W643/R643*100</f>
        <v>90.198436560432953</v>
      </c>
      <c r="AU643" s="533">
        <f>AQ643/W643*100</f>
        <v>55.833333333333336</v>
      </c>
      <c r="AV643" s="533">
        <f>AQ643/R643*100</f>
        <v>50.360793746241725</v>
      </c>
      <c r="AW643" s="612"/>
      <c r="AX643" s="612"/>
      <c r="AY643" s="612"/>
      <c r="AZ643" s="612"/>
      <c r="BA643" s="612"/>
      <c r="BB643" s="612"/>
      <c r="BC643" s="612"/>
      <c r="BD643" s="612"/>
      <c r="BE643" s="612"/>
      <c r="BF643" s="612"/>
      <c r="BG643" s="612"/>
      <c r="BH643" s="612">
        <f t="shared" si="501"/>
        <v>0</v>
      </c>
      <c r="BI643" s="612">
        <f t="shared" si="519"/>
        <v>0</v>
      </c>
      <c r="BJ643" s="201">
        <f t="shared" si="520"/>
        <v>0</v>
      </c>
    </row>
    <row r="644" spans="1:62" ht="12" customHeight="1">
      <c r="A644" s="61"/>
      <c r="B644" s="61"/>
      <c r="C644" s="61"/>
      <c r="D644" s="61">
        <v>4</v>
      </c>
      <c r="E644" s="61"/>
      <c r="F644" s="61"/>
      <c r="G644" s="61"/>
      <c r="H644" s="230"/>
      <c r="I644" s="261"/>
      <c r="J644" s="229">
        <v>421</v>
      </c>
      <c r="K644" s="20" t="s">
        <v>455</v>
      </c>
      <c r="L644" s="111">
        <f t="shared" ref="L644:S644" si="523">L645+L646</f>
        <v>123859</v>
      </c>
      <c r="M644" s="111">
        <f t="shared" si="523"/>
        <v>16438.914327427166</v>
      </c>
      <c r="N644" s="112">
        <f t="shared" si="523"/>
        <v>9457</v>
      </c>
      <c r="O644" s="112">
        <f t="shared" si="523"/>
        <v>1255.1595991771185</v>
      </c>
      <c r="P644" s="113">
        <f t="shared" si="523"/>
        <v>200000</v>
      </c>
      <c r="Q644" s="113">
        <f t="shared" si="523"/>
        <v>1000</v>
      </c>
      <c r="R644" s="87">
        <f t="shared" si="523"/>
        <v>1663</v>
      </c>
      <c r="S644" s="89" t="e">
        <f t="shared" ca="1" si="523"/>
        <v>#NAME?</v>
      </c>
      <c r="T644" s="89"/>
      <c r="U644" s="89"/>
      <c r="V644" s="532">
        <f>V645+V646</f>
        <v>1500</v>
      </c>
      <c r="W644" s="532">
        <f>W645+W646</f>
        <v>1500</v>
      </c>
      <c r="X644" s="506">
        <f>X645+X646</f>
        <v>100000</v>
      </c>
      <c r="Y644" s="507">
        <f>Y645+Y646</f>
        <v>100000</v>
      </c>
      <c r="Z644" s="507">
        <f>Z645+Z646</f>
        <v>0</v>
      </c>
      <c r="AA644" s="562" t="e">
        <f t="shared" ca="1" si="500"/>
        <v>#NAME?</v>
      </c>
      <c r="AB644" s="507"/>
      <c r="AC644" s="508">
        <f>AC645+AC646</f>
        <v>200000</v>
      </c>
      <c r="AD644" s="508">
        <f>AD645+AD646</f>
        <v>200000</v>
      </c>
      <c r="AE644" s="529">
        <f>O644/M644*100</f>
        <v>7.6352949725090626</v>
      </c>
      <c r="AF644" s="529"/>
      <c r="AG644" s="529"/>
      <c r="AH644" s="529"/>
      <c r="AI644" s="507"/>
      <c r="AJ644" s="507">
        <v>100000</v>
      </c>
      <c r="AK644" s="507">
        <f>W644/R644*100</f>
        <v>90.198436560432953</v>
      </c>
      <c r="AL644" s="507">
        <f t="shared" si="503"/>
        <v>6666.666666666667</v>
      </c>
      <c r="AM644" s="507">
        <f t="shared" si="494"/>
        <v>100</v>
      </c>
      <c r="AN644" s="509"/>
      <c r="AO644" s="510"/>
      <c r="AP644" s="510" t="e">
        <f t="shared" ca="1" si="498"/>
        <v>#NAME?</v>
      </c>
      <c r="AQ644" s="532">
        <f>AQ645+AQ646</f>
        <v>837.5</v>
      </c>
      <c r="AR644" s="533">
        <f>V644/R644*100</f>
        <v>90.198436560432953</v>
      </c>
      <c r="AS644" s="533">
        <f>W644/V644*100</f>
        <v>100</v>
      </c>
      <c r="AT644" s="533">
        <f>W644/R644*100</f>
        <v>90.198436560432953</v>
      </c>
      <c r="AU644" s="533">
        <f>AQ644/W644*100</f>
        <v>55.833333333333336</v>
      </c>
      <c r="AV644" s="533">
        <f>AQ644/R644*100</f>
        <v>50.360793746241725</v>
      </c>
      <c r="AW644" s="612"/>
      <c r="AX644" s="612"/>
      <c r="AY644" s="612"/>
      <c r="AZ644" s="612"/>
      <c r="BA644" s="612"/>
      <c r="BB644" s="612"/>
      <c r="BC644" s="612"/>
      <c r="BD644" s="612"/>
      <c r="BE644" s="612"/>
      <c r="BF644" s="612"/>
      <c r="BG644" s="612"/>
      <c r="BH644" s="612">
        <f t="shared" si="501"/>
        <v>0</v>
      </c>
      <c r="BI644" s="612">
        <f t="shared" si="519"/>
        <v>0</v>
      </c>
      <c r="BJ644" s="201">
        <f t="shared" si="520"/>
        <v>0</v>
      </c>
    </row>
    <row r="645" spans="1:62" ht="12" customHeight="1">
      <c r="A645" s="52"/>
      <c r="B645" s="52"/>
      <c r="C645" s="52"/>
      <c r="D645" s="52"/>
      <c r="E645" s="52"/>
      <c r="F645" s="52"/>
      <c r="G645" s="52"/>
      <c r="H645" s="2" t="s">
        <v>549</v>
      </c>
      <c r="I645" s="260">
        <v>510</v>
      </c>
      <c r="J645" s="185">
        <v>4214</v>
      </c>
      <c r="K645" s="19" t="s">
        <v>550</v>
      </c>
      <c r="L645" s="129">
        <v>65562</v>
      </c>
      <c r="M645" s="129">
        <f>65562/7.5345</f>
        <v>8701.5727652797123</v>
      </c>
      <c r="N645" s="130">
        <v>9457</v>
      </c>
      <c r="O645" s="130">
        <f>N645/7.5345</f>
        <v>1255.1595991771185</v>
      </c>
      <c r="P645" s="131">
        <v>200000</v>
      </c>
      <c r="Q645" s="156">
        <v>1000</v>
      </c>
      <c r="R645" s="153">
        <v>1663</v>
      </c>
      <c r="S645" s="158" t="e">
        <f ca="1">__xlfn.XLOOKUP(H645,[1]Izvršenje_proračuna_po_pozicija!$B$2:$B$153,[1]Izvršenje_proračuna_po_pozicija!$E$2:$E$153,0)</f>
        <v>#NAME?</v>
      </c>
      <c r="T645" s="158"/>
      <c r="U645" s="158"/>
      <c r="V645" s="532">
        <v>1500</v>
      </c>
      <c r="W645" s="532">
        <v>1500</v>
      </c>
      <c r="X645" s="560">
        <v>100000</v>
      </c>
      <c r="Y645" s="561">
        <v>100000</v>
      </c>
      <c r="Z645" s="561"/>
      <c r="AA645" s="562" t="e">
        <f t="shared" ca="1" si="500"/>
        <v>#NAME?</v>
      </c>
      <c r="AB645" s="535"/>
      <c r="AC645" s="529">
        <v>200000</v>
      </c>
      <c r="AD645" s="529">
        <v>200000</v>
      </c>
      <c r="AE645" s="529">
        <f>O645/M645*100</f>
        <v>14.424514200298955</v>
      </c>
      <c r="AF645" s="529"/>
      <c r="AG645" s="529"/>
      <c r="AH645" s="529"/>
      <c r="AI645" s="535"/>
      <c r="AJ645" s="561">
        <v>100000</v>
      </c>
      <c r="AK645" s="507">
        <f>W645/R645*100</f>
        <v>90.198436560432953</v>
      </c>
      <c r="AL645" s="507">
        <f t="shared" si="503"/>
        <v>6666.666666666667</v>
      </c>
      <c r="AM645" s="507">
        <f t="shared" si="494"/>
        <v>100</v>
      </c>
      <c r="AN645" s="556"/>
      <c r="AO645" s="510"/>
      <c r="AP645" s="510" t="e">
        <f t="shared" ca="1" si="498"/>
        <v>#NAME?</v>
      </c>
      <c r="AQ645" s="532">
        <v>837.5</v>
      </c>
      <c r="AR645" s="533">
        <f>V645/R645*100</f>
        <v>90.198436560432953</v>
      </c>
      <c r="AS645" s="533">
        <f>W645/V645*100</f>
        <v>100</v>
      </c>
      <c r="AT645" s="533">
        <f>W645/R645*100</f>
        <v>90.198436560432953</v>
      </c>
      <c r="AU645" s="533">
        <f>AQ645/W645*100</f>
        <v>55.833333333333336</v>
      </c>
      <c r="AV645" s="533">
        <f>AQ645/R645*100</f>
        <v>50.360793746241725</v>
      </c>
      <c r="AW645" s="612"/>
      <c r="AX645" s="612"/>
      <c r="AY645" s="612"/>
      <c r="AZ645" s="612"/>
      <c r="BA645" s="612"/>
      <c r="BB645" s="612"/>
      <c r="BC645" s="612"/>
      <c r="BD645" s="612"/>
      <c r="BE645" s="612"/>
      <c r="BF645" s="612"/>
      <c r="BG645" s="612">
        <v>837.5</v>
      </c>
      <c r="BH645" s="612">
        <f t="shared" si="501"/>
        <v>837.5</v>
      </c>
      <c r="BI645" s="612">
        <f t="shared" si="519"/>
        <v>0</v>
      </c>
      <c r="BJ645" s="201">
        <f t="shared" si="520"/>
        <v>0</v>
      </c>
    </row>
    <row r="646" spans="1:62" ht="12" customHeight="1">
      <c r="A646" s="52"/>
      <c r="B646" s="52"/>
      <c r="C646" s="52"/>
      <c r="D646" s="52"/>
      <c r="E646" s="52"/>
      <c r="F646" s="52"/>
      <c r="G646" s="52"/>
      <c r="H646" s="2" t="s">
        <v>551</v>
      </c>
      <c r="I646" s="289">
        <v>510</v>
      </c>
      <c r="J646" s="185">
        <v>4214</v>
      </c>
      <c r="K646" s="19" t="s">
        <v>552</v>
      </c>
      <c r="L646" s="129">
        <v>58297</v>
      </c>
      <c r="M646" s="129">
        <f>58297/7.5345</f>
        <v>7737.3415621474542</v>
      </c>
      <c r="N646" s="130">
        <v>0</v>
      </c>
      <c r="O646" s="130">
        <v>0</v>
      </c>
      <c r="P646" s="131">
        <v>0</v>
      </c>
      <c r="Q646" s="131">
        <v>0</v>
      </c>
      <c r="R646" s="153">
        <v>0</v>
      </c>
      <c r="S646" s="158" t="e">
        <f ca="1">__xlfn.XLOOKUP(H646,[1]Izvršenje_proračuna_po_pozicija!$B$2:$B$153,[1]Izvršenje_proračuna_po_pozicija!$E$2:$E$153,0)</f>
        <v>#NAME?</v>
      </c>
      <c r="T646" s="158"/>
      <c r="U646" s="158"/>
      <c r="V646" s="532"/>
      <c r="W646" s="532"/>
      <c r="X646" s="560"/>
      <c r="Y646" s="561"/>
      <c r="Z646" s="561"/>
      <c r="AA646" s="562" t="e">
        <f t="shared" ca="1" si="500"/>
        <v>#NAME?</v>
      </c>
      <c r="AB646" s="535"/>
      <c r="AC646" s="529"/>
      <c r="AD646" s="529"/>
      <c r="AE646" s="529">
        <f>O646/M646*100</f>
        <v>0</v>
      </c>
      <c r="AF646" s="529"/>
      <c r="AG646" s="529"/>
      <c r="AH646" s="529"/>
      <c r="AI646" s="535"/>
      <c r="AJ646" s="561"/>
      <c r="AK646" s="507"/>
      <c r="AL646" s="507"/>
      <c r="AM646" s="507"/>
      <c r="AN646" s="556"/>
      <c r="AO646" s="510"/>
      <c r="AP646" s="510" t="e">
        <f t="shared" ca="1" si="498"/>
        <v>#NAME?</v>
      </c>
      <c r="AQ646" s="532"/>
      <c r="AR646" s="533"/>
      <c r="AS646" s="533"/>
      <c r="AT646" s="533"/>
      <c r="AU646" s="533"/>
      <c r="AV646" s="533"/>
      <c r="AW646" s="612"/>
      <c r="AX646" s="612"/>
      <c r="AY646" s="612"/>
      <c r="AZ646" s="612"/>
      <c r="BA646" s="612"/>
      <c r="BB646" s="612"/>
      <c r="BC646" s="612"/>
      <c r="BD646" s="612"/>
      <c r="BE646" s="612"/>
      <c r="BF646" s="612"/>
      <c r="BG646" s="612"/>
      <c r="BH646" s="612">
        <f t="shared" si="501"/>
        <v>0</v>
      </c>
      <c r="BI646" s="612">
        <f t="shared" si="519"/>
        <v>0</v>
      </c>
      <c r="BJ646" s="201">
        <f t="shared" si="520"/>
        <v>0</v>
      </c>
    </row>
    <row r="647" spans="1:62" ht="12" customHeight="1">
      <c r="A647" s="41"/>
      <c r="B647" s="41"/>
      <c r="C647" s="41"/>
      <c r="D647" s="41"/>
      <c r="E647" s="41"/>
      <c r="F647" s="41"/>
      <c r="G647" s="41"/>
      <c r="H647" s="235"/>
      <c r="I647" s="15"/>
      <c r="J647" s="3"/>
      <c r="K647" s="83"/>
      <c r="L647" s="84"/>
      <c r="M647" s="84"/>
      <c r="N647" s="85"/>
      <c r="O647" s="85"/>
      <c r="P647" s="86"/>
      <c r="Q647" s="86"/>
      <c r="R647" s="154"/>
      <c r="S647" s="158" t="e">
        <f ca="1">__xlfn.XLOOKUP(H647,[1]Izvršenje_proračuna_po_pozicija!$B$2:$B$153,[1]Izvršenje_proračuna_po_pozicija!$E$2:$E$153,0)</f>
        <v>#NAME?</v>
      </c>
      <c r="T647" s="158"/>
      <c r="U647" s="158"/>
      <c r="V647" s="532"/>
      <c r="W647" s="532"/>
      <c r="X647" s="568"/>
      <c r="Y647" s="569"/>
      <c r="Z647" s="569"/>
      <c r="AA647" s="562" t="e">
        <f t="shared" ca="1" si="500"/>
        <v>#NAME?</v>
      </c>
      <c r="AB647" s="537"/>
      <c r="AC647" s="538"/>
      <c r="AD647" s="538"/>
      <c r="AE647" s="529"/>
      <c r="AF647" s="529"/>
      <c r="AG647" s="529"/>
      <c r="AH647" s="529"/>
      <c r="AI647" s="537"/>
      <c r="AJ647" s="569"/>
      <c r="AK647" s="507"/>
      <c r="AL647" s="507"/>
      <c r="AM647" s="507"/>
      <c r="AN647" s="557"/>
      <c r="AO647" s="510"/>
      <c r="AP647" s="510" t="e">
        <f t="shared" ca="1" si="498"/>
        <v>#NAME?</v>
      </c>
      <c r="AQ647" s="532"/>
      <c r="AR647" s="533"/>
      <c r="AS647" s="533"/>
      <c r="AT647" s="533"/>
      <c r="AU647" s="533"/>
      <c r="AV647" s="533"/>
      <c r="AW647" s="612"/>
      <c r="AX647" s="612"/>
      <c r="AY647" s="612"/>
      <c r="AZ647" s="612"/>
      <c r="BA647" s="612"/>
      <c r="BB647" s="612"/>
      <c r="BC647" s="612"/>
      <c r="BD647" s="612"/>
      <c r="BE647" s="612"/>
      <c r="BF647" s="612"/>
      <c r="BG647" s="612"/>
      <c r="BH647" s="612">
        <f t="shared" si="501"/>
        <v>0</v>
      </c>
      <c r="BI647" s="612">
        <f t="shared" si="519"/>
        <v>0</v>
      </c>
      <c r="BJ647" s="201">
        <f t="shared" si="520"/>
        <v>0</v>
      </c>
    </row>
    <row r="648" spans="1:62" ht="12" customHeight="1">
      <c r="A648" s="61"/>
      <c r="B648" s="61"/>
      <c r="C648" s="61"/>
      <c r="D648" s="61"/>
      <c r="E648" s="61"/>
      <c r="F648" s="61"/>
      <c r="G648" s="61"/>
      <c r="H648" s="230"/>
      <c r="I648" s="261"/>
      <c r="J648" s="229">
        <v>422</v>
      </c>
      <c r="K648" s="20" t="s">
        <v>409</v>
      </c>
      <c r="L648" s="111">
        <f t="shared" ref="L648:Z648" si="524">L649</f>
        <v>0</v>
      </c>
      <c r="M648" s="111">
        <f t="shared" si="524"/>
        <v>0</v>
      </c>
      <c r="N648" s="112">
        <f t="shared" si="524"/>
        <v>325000</v>
      </c>
      <c r="O648" s="112">
        <f t="shared" si="524"/>
        <v>43134.912734753467</v>
      </c>
      <c r="P648" s="113">
        <f t="shared" si="524"/>
        <v>5000</v>
      </c>
      <c r="Q648" s="113">
        <f t="shared" si="524"/>
        <v>0</v>
      </c>
      <c r="R648" s="87">
        <f t="shared" si="524"/>
        <v>0</v>
      </c>
      <c r="S648" s="89" t="e">
        <f t="shared" ca="1" si="524"/>
        <v>#NAME?</v>
      </c>
      <c r="T648" s="89"/>
      <c r="U648" s="89"/>
      <c r="V648" s="532">
        <f>V649</f>
        <v>0</v>
      </c>
      <c r="W648" s="532">
        <f t="shared" si="524"/>
        <v>0</v>
      </c>
      <c r="X648" s="506">
        <f t="shared" si="524"/>
        <v>5000</v>
      </c>
      <c r="Y648" s="507">
        <f t="shared" si="524"/>
        <v>5000</v>
      </c>
      <c r="Z648" s="507">
        <f t="shared" si="524"/>
        <v>0</v>
      </c>
      <c r="AA648" s="562" t="e">
        <f t="shared" ca="1" si="500"/>
        <v>#NAME?</v>
      </c>
      <c r="AB648" s="507"/>
      <c r="AC648" s="508">
        <f>AC649</f>
        <v>5000</v>
      </c>
      <c r="AD648" s="508">
        <f>AD649</f>
        <v>5000</v>
      </c>
      <c r="AE648" s="529"/>
      <c r="AF648" s="529">
        <f>P648/O648*100</f>
        <v>11.591538461538461</v>
      </c>
      <c r="AG648" s="529">
        <f>Q648/P648*100</f>
        <v>0</v>
      </c>
      <c r="AH648" s="529"/>
      <c r="AI648" s="507"/>
      <c r="AJ648" s="507">
        <v>5000</v>
      </c>
      <c r="AK648" s="507"/>
      <c r="AL648" s="507"/>
      <c r="AM648" s="507">
        <f t="shared" si="494"/>
        <v>100</v>
      </c>
      <c r="AN648" s="509"/>
      <c r="AO648" s="510"/>
      <c r="AP648" s="510" t="e">
        <f t="shared" ca="1" si="498"/>
        <v>#NAME?</v>
      </c>
      <c r="AQ648" s="532">
        <f>AQ649</f>
        <v>0</v>
      </c>
      <c r="AR648" s="533"/>
      <c r="AS648" s="533"/>
      <c r="AT648" s="533"/>
      <c r="AU648" s="533"/>
      <c r="AV648" s="533"/>
      <c r="AW648" s="612"/>
      <c r="AX648" s="612"/>
      <c r="AY648" s="612"/>
      <c r="AZ648" s="612"/>
      <c r="BA648" s="612"/>
      <c r="BB648" s="612"/>
      <c r="BC648" s="612"/>
      <c r="BD648" s="612"/>
      <c r="BE648" s="612"/>
      <c r="BF648" s="612"/>
      <c r="BG648" s="612"/>
      <c r="BH648" s="612">
        <f t="shared" si="501"/>
        <v>0</v>
      </c>
      <c r="BI648" s="612">
        <f t="shared" si="519"/>
        <v>0</v>
      </c>
      <c r="BJ648" s="201">
        <f t="shared" si="520"/>
        <v>0</v>
      </c>
    </row>
    <row r="649" spans="1:62" ht="12" customHeight="1">
      <c r="A649" s="52"/>
      <c r="B649" s="52"/>
      <c r="C649" s="52"/>
      <c r="D649" s="52"/>
      <c r="E649" s="52"/>
      <c r="F649" s="52"/>
      <c r="G649" s="52"/>
      <c r="H649" s="2" t="s">
        <v>553</v>
      </c>
      <c r="I649" s="260">
        <v>510</v>
      </c>
      <c r="J649" s="185">
        <v>4227</v>
      </c>
      <c r="K649" s="19" t="s">
        <v>554</v>
      </c>
      <c r="L649" s="129">
        <v>0</v>
      </c>
      <c r="M649" s="129">
        <v>0</v>
      </c>
      <c r="N649" s="130">
        <v>325000</v>
      </c>
      <c r="O649" s="130">
        <f>N649/7.5345</f>
        <v>43134.912734753467</v>
      </c>
      <c r="P649" s="131">
        <v>5000</v>
      </c>
      <c r="Q649" s="156">
        <v>0</v>
      </c>
      <c r="R649" s="153">
        <v>0</v>
      </c>
      <c r="S649" s="158" t="e">
        <f ca="1">__xlfn.XLOOKUP(H649,[1]Izvršenje_proračuna_po_pozicija!$B$2:$B$153,[1]Izvršenje_proračuna_po_pozicija!$E$2:$E$153,0)</f>
        <v>#NAME?</v>
      </c>
      <c r="T649" s="158"/>
      <c r="U649" s="158"/>
      <c r="V649" s="532">
        <v>0</v>
      </c>
      <c r="W649" s="532">
        <v>0</v>
      </c>
      <c r="X649" s="560">
        <v>5000</v>
      </c>
      <c r="Y649" s="561">
        <v>5000</v>
      </c>
      <c r="Z649" s="561"/>
      <c r="AA649" s="562" t="e">
        <f t="shared" ca="1" si="500"/>
        <v>#NAME?</v>
      </c>
      <c r="AB649" s="535"/>
      <c r="AC649" s="529">
        <v>5000</v>
      </c>
      <c r="AD649" s="529">
        <v>5000</v>
      </c>
      <c r="AE649" s="529"/>
      <c r="AF649" s="529">
        <f>P649/O649*100</f>
        <v>11.591538461538461</v>
      </c>
      <c r="AG649" s="529">
        <f>Q649/P649*100</f>
        <v>0</v>
      </c>
      <c r="AH649" s="529"/>
      <c r="AI649" s="535"/>
      <c r="AJ649" s="561">
        <v>5000</v>
      </c>
      <c r="AK649" s="507"/>
      <c r="AL649" s="507"/>
      <c r="AM649" s="507">
        <f t="shared" si="494"/>
        <v>100</v>
      </c>
      <c r="AN649" s="556"/>
      <c r="AO649" s="510"/>
      <c r="AP649" s="510" t="e">
        <f t="shared" ca="1" si="498"/>
        <v>#NAME?</v>
      </c>
      <c r="AQ649" s="532"/>
      <c r="AR649" s="533"/>
      <c r="AS649" s="533"/>
      <c r="AT649" s="533"/>
      <c r="AU649" s="533"/>
      <c r="AV649" s="533"/>
      <c r="AW649" s="612"/>
      <c r="AX649" s="612"/>
      <c r="AY649" s="612"/>
      <c r="AZ649" s="612"/>
      <c r="BA649" s="612"/>
      <c r="BB649" s="612"/>
      <c r="BC649" s="612"/>
      <c r="BD649" s="612"/>
      <c r="BE649" s="612"/>
      <c r="BF649" s="612"/>
      <c r="BG649" s="612"/>
      <c r="BH649" s="612">
        <f t="shared" si="501"/>
        <v>0</v>
      </c>
      <c r="BI649" s="612">
        <f t="shared" si="519"/>
        <v>0</v>
      </c>
      <c r="BJ649" s="201">
        <f t="shared" si="520"/>
        <v>0</v>
      </c>
    </row>
    <row r="650" spans="1:62" ht="12" customHeight="1">
      <c r="A650" s="52"/>
      <c r="B650" s="52"/>
      <c r="C650" s="52"/>
      <c r="D650" s="52"/>
      <c r="E650" s="52"/>
      <c r="F650" s="52"/>
      <c r="G650" s="52"/>
      <c r="H650" s="2"/>
      <c r="I650" s="260"/>
      <c r="J650" s="185"/>
      <c r="K650" s="209"/>
      <c r="L650" s="129"/>
      <c r="M650" s="129"/>
      <c r="N650" s="130"/>
      <c r="O650" s="130"/>
      <c r="P650" s="131"/>
      <c r="Q650" s="131"/>
      <c r="R650" s="153"/>
      <c r="S650" s="158" t="e">
        <f ca="1">__xlfn.XLOOKUP(H650,[1]Izvršenje_proračuna_po_pozicija!$B$2:$B$153,[1]Izvršenje_proračuna_po_pozicija!$E$2:$E$153,0)</f>
        <v>#NAME?</v>
      </c>
      <c r="T650" s="158"/>
      <c r="U650" s="158"/>
      <c r="V650" s="532"/>
      <c r="W650" s="532"/>
      <c r="X650" s="560"/>
      <c r="Y650" s="561"/>
      <c r="Z650" s="561"/>
      <c r="AA650" s="562" t="e">
        <f t="shared" ca="1" si="500"/>
        <v>#NAME?</v>
      </c>
      <c r="AB650" s="535"/>
      <c r="AC650" s="529"/>
      <c r="AD650" s="529"/>
      <c r="AE650" s="529"/>
      <c r="AF650" s="529"/>
      <c r="AG650" s="529"/>
      <c r="AH650" s="529"/>
      <c r="AI650" s="535"/>
      <c r="AJ650" s="561"/>
      <c r="AK650" s="507"/>
      <c r="AL650" s="507"/>
      <c r="AM650" s="507"/>
      <c r="AN650" s="556"/>
      <c r="AO650" s="510"/>
      <c r="AP650" s="510" t="e">
        <f t="shared" ca="1" si="498"/>
        <v>#NAME?</v>
      </c>
      <c r="AQ650" s="532"/>
      <c r="AR650" s="533"/>
      <c r="AS650" s="533"/>
      <c r="AT650" s="533"/>
      <c r="AU650" s="533"/>
      <c r="AV650" s="533"/>
      <c r="AW650" s="612"/>
      <c r="AX650" s="612"/>
      <c r="AY650" s="612"/>
      <c r="AZ650" s="612"/>
      <c r="BA650" s="612"/>
      <c r="BB650" s="612"/>
      <c r="BC650" s="612"/>
      <c r="BD650" s="612"/>
      <c r="BE650" s="612"/>
      <c r="BF650" s="612"/>
      <c r="BG650" s="612"/>
      <c r="BH650" s="612">
        <f t="shared" si="501"/>
        <v>0</v>
      </c>
      <c r="BI650" s="612">
        <f t="shared" si="519"/>
        <v>0</v>
      </c>
      <c r="BJ650" s="201">
        <f t="shared" si="520"/>
        <v>0</v>
      </c>
    </row>
    <row r="651" spans="1:62" ht="12" customHeight="1">
      <c r="A651" s="282" t="s">
        <v>405</v>
      </c>
      <c r="B651" s="283"/>
      <c r="C651" s="283"/>
      <c r="D651" s="283"/>
      <c r="E651" s="283"/>
      <c r="F651" s="283"/>
      <c r="G651" s="283"/>
      <c r="H651" s="284"/>
      <c r="I651" s="337" t="s">
        <v>555</v>
      </c>
      <c r="J651" s="338"/>
      <c r="K651" s="123"/>
      <c r="L651" s="111">
        <f t="shared" ref="L651:S651" si="525">L653</f>
        <v>0</v>
      </c>
      <c r="M651" s="111">
        <f t="shared" si="525"/>
        <v>0</v>
      </c>
      <c r="N651" s="112">
        <f t="shared" si="525"/>
        <v>0</v>
      </c>
      <c r="O651" s="112">
        <f t="shared" si="525"/>
        <v>0</v>
      </c>
      <c r="P651" s="113">
        <f t="shared" si="525"/>
        <v>66400</v>
      </c>
      <c r="Q651" s="113">
        <f t="shared" si="525"/>
        <v>0</v>
      </c>
      <c r="R651" s="87">
        <f t="shared" si="525"/>
        <v>0</v>
      </c>
      <c r="S651" s="89" t="e">
        <f t="shared" ca="1" si="525"/>
        <v>#NAME?</v>
      </c>
      <c r="T651" s="89"/>
      <c r="U651" s="89"/>
      <c r="V651" s="532">
        <f>V653</f>
        <v>0</v>
      </c>
      <c r="W651" s="532">
        <f>W653</f>
        <v>0</v>
      </c>
      <c r="X651" s="506">
        <f>X653</f>
        <v>0</v>
      </c>
      <c r="Y651" s="507">
        <f>Y653</f>
        <v>0</v>
      </c>
      <c r="Z651" s="507">
        <f>Z653</f>
        <v>0</v>
      </c>
      <c r="AA651" s="562" t="e">
        <f t="shared" ca="1" si="500"/>
        <v>#NAME?</v>
      </c>
      <c r="AB651" s="507"/>
      <c r="AC651" s="508">
        <f>AC653</f>
        <v>0</v>
      </c>
      <c r="AD651" s="508">
        <f>AD653</f>
        <v>0</v>
      </c>
      <c r="AE651" s="529"/>
      <c r="AF651" s="529"/>
      <c r="AG651" s="529"/>
      <c r="AH651" s="529"/>
      <c r="AI651" s="507"/>
      <c r="AJ651" s="507">
        <v>0</v>
      </c>
      <c r="AK651" s="507"/>
      <c r="AL651" s="507"/>
      <c r="AM651" s="507"/>
      <c r="AN651" s="509"/>
      <c r="AO651" s="510"/>
      <c r="AP651" s="510" t="e">
        <f t="shared" ca="1" si="498"/>
        <v>#NAME?</v>
      </c>
      <c r="AQ651" s="532">
        <f>AQ653</f>
        <v>0</v>
      </c>
      <c r="AR651" s="533"/>
      <c r="AS651" s="533"/>
      <c r="AT651" s="533"/>
      <c r="AU651" s="533"/>
      <c r="AV651" s="533"/>
      <c r="AW651" s="612"/>
      <c r="AX651" s="612"/>
      <c r="AY651" s="612"/>
      <c r="AZ651" s="612"/>
      <c r="BA651" s="612"/>
      <c r="BB651" s="612"/>
      <c r="BC651" s="612"/>
      <c r="BD651" s="612"/>
      <c r="BE651" s="612"/>
      <c r="BF651" s="612"/>
      <c r="BG651" s="612"/>
      <c r="BH651" s="612">
        <f t="shared" si="501"/>
        <v>0</v>
      </c>
      <c r="BI651" s="612">
        <f t="shared" si="519"/>
        <v>0</v>
      </c>
      <c r="BJ651" s="201"/>
    </row>
    <row r="652" spans="1:62" ht="12" customHeight="1">
      <c r="A652" s="52"/>
      <c r="B652" s="52"/>
      <c r="C652" s="52"/>
      <c r="D652" s="52"/>
      <c r="E652" s="52"/>
      <c r="F652" s="52"/>
      <c r="G652" s="52"/>
      <c r="H652" s="2"/>
      <c r="I652" s="260"/>
      <c r="J652" s="185"/>
      <c r="K652" s="209"/>
      <c r="L652" s="129"/>
      <c r="M652" s="129"/>
      <c r="N652" s="130"/>
      <c r="O652" s="130"/>
      <c r="P652" s="131"/>
      <c r="Q652" s="131"/>
      <c r="R652" s="153"/>
      <c r="S652" s="158" t="e">
        <f ca="1">__xlfn.XLOOKUP(H652,[1]Izvršenje_proračuna_po_pozicija!$B$2:$B$153,[1]Izvršenje_proračuna_po_pozicija!$E$2:$E$153,0)</f>
        <v>#NAME?</v>
      </c>
      <c r="T652" s="158"/>
      <c r="U652" s="158"/>
      <c r="V652" s="532"/>
      <c r="W652" s="532"/>
      <c r="X652" s="560"/>
      <c r="Y652" s="561"/>
      <c r="Z652" s="561"/>
      <c r="AA652" s="562" t="e">
        <f t="shared" ca="1" si="500"/>
        <v>#NAME?</v>
      </c>
      <c r="AB652" s="535"/>
      <c r="AC652" s="529"/>
      <c r="AD652" s="529"/>
      <c r="AE652" s="529"/>
      <c r="AF652" s="529"/>
      <c r="AG652" s="529"/>
      <c r="AH652" s="529"/>
      <c r="AI652" s="535"/>
      <c r="AJ652" s="561"/>
      <c r="AK652" s="507"/>
      <c r="AL652" s="507"/>
      <c r="AM652" s="507"/>
      <c r="AN652" s="556"/>
      <c r="AO652" s="510"/>
      <c r="AP652" s="510" t="e">
        <f t="shared" ca="1" si="498"/>
        <v>#NAME?</v>
      </c>
      <c r="AQ652" s="532"/>
      <c r="AR652" s="533"/>
      <c r="AS652" s="533"/>
      <c r="AT652" s="533"/>
      <c r="AU652" s="533"/>
      <c r="AV652" s="533"/>
      <c r="AW652" s="612"/>
      <c r="AX652" s="612"/>
      <c r="AY652" s="612"/>
      <c r="AZ652" s="612"/>
      <c r="BA652" s="612"/>
      <c r="BB652" s="612"/>
      <c r="BC652" s="612"/>
      <c r="BD652" s="612"/>
      <c r="BE652" s="612"/>
      <c r="BF652" s="612"/>
      <c r="BG652" s="612"/>
      <c r="BH652" s="612">
        <f t="shared" si="501"/>
        <v>0</v>
      </c>
      <c r="BI652" s="612">
        <f t="shared" si="519"/>
        <v>0</v>
      </c>
      <c r="BJ652" s="201"/>
    </row>
    <row r="653" spans="1:62" ht="12" customHeight="1">
      <c r="A653" s="25"/>
      <c r="B653" s="25"/>
      <c r="C653" s="25"/>
      <c r="D653" s="25"/>
      <c r="E653" s="25"/>
      <c r="F653" s="25"/>
      <c r="G653" s="25"/>
      <c r="H653" s="285"/>
      <c r="I653" s="296"/>
      <c r="J653" s="211">
        <v>4</v>
      </c>
      <c r="K653" s="3" t="s">
        <v>407</v>
      </c>
      <c r="L653" s="111">
        <f t="shared" ref="L653:S654" si="526">L654</f>
        <v>0</v>
      </c>
      <c r="M653" s="111">
        <f t="shared" si="526"/>
        <v>0</v>
      </c>
      <c r="N653" s="112">
        <f t="shared" si="526"/>
        <v>0</v>
      </c>
      <c r="O653" s="112">
        <f t="shared" si="526"/>
        <v>0</v>
      </c>
      <c r="P653" s="113">
        <f t="shared" si="526"/>
        <v>66400</v>
      </c>
      <c r="Q653" s="113">
        <f t="shared" si="526"/>
        <v>0</v>
      </c>
      <c r="R653" s="87">
        <f t="shared" si="526"/>
        <v>0</v>
      </c>
      <c r="S653" s="89" t="e">
        <f t="shared" ca="1" si="526"/>
        <v>#NAME?</v>
      </c>
      <c r="T653" s="89"/>
      <c r="U653" s="89"/>
      <c r="V653" s="532">
        <f>V654</f>
        <v>0</v>
      </c>
      <c r="W653" s="532">
        <f t="shared" ref="W653:Z654" si="527">W654</f>
        <v>0</v>
      </c>
      <c r="X653" s="506">
        <f t="shared" si="527"/>
        <v>0</v>
      </c>
      <c r="Y653" s="507">
        <f t="shared" si="527"/>
        <v>0</v>
      </c>
      <c r="Z653" s="507">
        <f t="shared" si="527"/>
        <v>0</v>
      </c>
      <c r="AA653" s="562" t="e">
        <f t="shared" ca="1" si="500"/>
        <v>#NAME?</v>
      </c>
      <c r="AB653" s="507"/>
      <c r="AC653" s="508">
        <f>AC654</f>
        <v>0</v>
      </c>
      <c r="AD653" s="508">
        <f>AD654</f>
        <v>0</v>
      </c>
      <c r="AE653" s="529"/>
      <c r="AF653" s="529"/>
      <c r="AG653" s="529"/>
      <c r="AH653" s="529"/>
      <c r="AI653" s="507"/>
      <c r="AJ653" s="507">
        <v>0</v>
      </c>
      <c r="AK653" s="507"/>
      <c r="AL653" s="507"/>
      <c r="AM653" s="507"/>
      <c r="AN653" s="509"/>
      <c r="AO653" s="510"/>
      <c r="AP653" s="510" t="e">
        <f t="shared" ca="1" si="498"/>
        <v>#NAME?</v>
      </c>
      <c r="AQ653" s="532">
        <f>AQ654</f>
        <v>0</v>
      </c>
      <c r="AR653" s="533"/>
      <c r="AS653" s="533"/>
      <c r="AT653" s="533"/>
      <c r="AU653" s="533"/>
      <c r="AV653" s="533"/>
      <c r="AW653" s="612"/>
      <c r="AX653" s="612"/>
      <c r="AY653" s="612"/>
      <c r="AZ653" s="612"/>
      <c r="BA653" s="612"/>
      <c r="BB653" s="612"/>
      <c r="BC653" s="612"/>
      <c r="BD653" s="612"/>
      <c r="BE653" s="612"/>
      <c r="BF653" s="612"/>
      <c r="BG653" s="612"/>
      <c r="BH653" s="612">
        <f t="shared" si="501"/>
        <v>0</v>
      </c>
      <c r="BI653" s="612">
        <f t="shared" si="519"/>
        <v>0</v>
      </c>
      <c r="BJ653" s="201">
        <f>AQ660-BI653</f>
        <v>0</v>
      </c>
    </row>
    <row r="654" spans="1:62" ht="12" customHeight="1">
      <c r="A654" s="227"/>
      <c r="B654" s="227"/>
      <c r="C654" s="227"/>
      <c r="D654" s="227"/>
      <c r="E654" s="227"/>
      <c r="F654" s="227"/>
      <c r="G654" s="227"/>
      <c r="H654" s="234"/>
      <c r="I654" s="297"/>
      <c r="J654" s="228">
        <v>42</v>
      </c>
      <c r="K654" s="258" t="s">
        <v>548</v>
      </c>
      <c r="L654" s="111">
        <f t="shared" si="526"/>
        <v>0</v>
      </c>
      <c r="M654" s="111">
        <f t="shared" si="526"/>
        <v>0</v>
      </c>
      <c r="N654" s="112">
        <f t="shared" si="526"/>
        <v>0</v>
      </c>
      <c r="O654" s="112">
        <f t="shared" si="526"/>
        <v>0</v>
      </c>
      <c r="P654" s="113">
        <f t="shared" si="526"/>
        <v>66400</v>
      </c>
      <c r="Q654" s="113">
        <f t="shared" si="526"/>
        <v>0</v>
      </c>
      <c r="R654" s="87">
        <f t="shared" si="526"/>
        <v>0</v>
      </c>
      <c r="S654" s="89" t="e">
        <f t="shared" ca="1" si="526"/>
        <v>#NAME?</v>
      </c>
      <c r="T654" s="89"/>
      <c r="U654" s="89"/>
      <c r="V654" s="532">
        <f>V655</f>
        <v>0</v>
      </c>
      <c r="W654" s="532">
        <f t="shared" si="527"/>
        <v>0</v>
      </c>
      <c r="X654" s="506">
        <f t="shared" si="527"/>
        <v>0</v>
      </c>
      <c r="Y654" s="507">
        <f t="shared" si="527"/>
        <v>0</v>
      </c>
      <c r="Z654" s="507">
        <f t="shared" si="527"/>
        <v>0</v>
      </c>
      <c r="AA654" s="562" t="e">
        <f t="shared" ca="1" si="500"/>
        <v>#NAME?</v>
      </c>
      <c r="AB654" s="507"/>
      <c r="AC654" s="508">
        <f>AC655</f>
        <v>0</v>
      </c>
      <c r="AD654" s="508">
        <f>AD655</f>
        <v>0</v>
      </c>
      <c r="AE654" s="529"/>
      <c r="AF654" s="529"/>
      <c r="AG654" s="529"/>
      <c r="AH654" s="529"/>
      <c r="AI654" s="507"/>
      <c r="AJ654" s="507">
        <v>0</v>
      </c>
      <c r="AK654" s="507"/>
      <c r="AL654" s="507"/>
      <c r="AM654" s="507"/>
      <c r="AN654" s="509"/>
      <c r="AO654" s="510"/>
      <c r="AP654" s="510" t="e">
        <f t="shared" ca="1" si="498"/>
        <v>#NAME?</v>
      </c>
      <c r="AQ654" s="532">
        <f>AQ655</f>
        <v>0</v>
      </c>
      <c r="AR654" s="533"/>
      <c r="AS654" s="533"/>
      <c r="AT654" s="533"/>
      <c r="AU654" s="533"/>
      <c r="AV654" s="533"/>
      <c r="AW654" s="612"/>
      <c r="AX654" s="612"/>
      <c r="AY654" s="612"/>
      <c r="AZ654" s="612"/>
      <c r="BA654" s="612"/>
      <c r="BB654" s="612"/>
      <c r="BC654" s="612"/>
      <c r="BD654" s="612"/>
      <c r="BE654" s="612"/>
      <c r="BF654" s="612"/>
      <c r="BG654" s="612"/>
      <c r="BH654" s="612">
        <f t="shared" si="501"/>
        <v>0</v>
      </c>
      <c r="BI654" s="612">
        <f t="shared" si="519"/>
        <v>0</v>
      </c>
      <c r="BJ654" s="201"/>
    </row>
    <row r="655" spans="1:62" ht="12" customHeight="1">
      <c r="A655" s="61"/>
      <c r="B655" s="61"/>
      <c r="C655" s="61"/>
      <c r="D655" s="61">
        <v>4</v>
      </c>
      <c r="E655" s="61"/>
      <c r="F655" s="61"/>
      <c r="G655" s="61"/>
      <c r="H655" s="230"/>
      <c r="I655" s="261"/>
      <c r="J655" s="229">
        <v>426</v>
      </c>
      <c r="K655" s="20" t="s">
        <v>556</v>
      </c>
      <c r="L655" s="111">
        <f t="shared" ref="L655:S655" si="528">L656+L657</f>
        <v>0</v>
      </c>
      <c r="M655" s="111">
        <f t="shared" si="528"/>
        <v>0</v>
      </c>
      <c r="N655" s="112">
        <f t="shared" si="528"/>
        <v>0</v>
      </c>
      <c r="O655" s="112">
        <f t="shared" si="528"/>
        <v>0</v>
      </c>
      <c r="P655" s="113">
        <f t="shared" si="528"/>
        <v>66400</v>
      </c>
      <c r="Q655" s="113">
        <f t="shared" si="528"/>
        <v>0</v>
      </c>
      <c r="R655" s="87">
        <f t="shared" si="528"/>
        <v>0</v>
      </c>
      <c r="S655" s="89" t="e">
        <f t="shared" ca="1" si="528"/>
        <v>#NAME?</v>
      </c>
      <c r="T655" s="89"/>
      <c r="U655" s="89"/>
      <c r="V655" s="532">
        <f>V656+V657</f>
        <v>0</v>
      </c>
      <c r="W655" s="532">
        <f>W656+W657</f>
        <v>0</v>
      </c>
      <c r="X655" s="506">
        <f>X656+X657</f>
        <v>0</v>
      </c>
      <c r="Y655" s="507">
        <f>Y656+Y657</f>
        <v>0</v>
      </c>
      <c r="Z655" s="507">
        <f>Z656+Z657</f>
        <v>0</v>
      </c>
      <c r="AA655" s="562" t="e">
        <f t="shared" ca="1" si="500"/>
        <v>#NAME?</v>
      </c>
      <c r="AB655" s="507"/>
      <c r="AC655" s="508">
        <f>AC656+AC657</f>
        <v>0</v>
      </c>
      <c r="AD655" s="508">
        <f>AD656+AD657</f>
        <v>0</v>
      </c>
      <c r="AE655" s="529"/>
      <c r="AF655" s="529"/>
      <c r="AG655" s="529"/>
      <c r="AH655" s="529"/>
      <c r="AI655" s="507"/>
      <c r="AJ655" s="507">
        <v>0</v>
      </c>
      <c r="AK655" s="507"/>
      <c r="AL655" s="507"/>
      <c r="AM655" s="507"/>
      <c r="AN655" s="509"/>
      <c r="AO655" s="510"/>
      <c r="AP655" s="510" t="e">
        <f t="shared" ca="1" si="498"/>
        <v>#NAME?</v>
      </c>
      <c r="AQ655" s="532">
        <f>AQ656+AQ657</f>
        <v>0</v>
      </c>
      <c r="AR655" s="533"/>
      <c r="AS655" s="533"/>
      <c r="AT655" s="533"/>
      <c r="AU655" s="533"/>
      <c r="AV655" s="533"/>
      <c r="AW655" s="612"/>
      <c r="AX655" s="612"/>
      <c r="AY655" s="612"/>
      <c r="AZ655" s="612"/>
      <c r="BA655" s="612"/>
      <c r="BB655" s="612"/>
      <c r="BC655" s="612"/>
      <c r="BD655" s="612"/>
      <c r="BE655" s="612"/>
      <c r="BF655" s="612"/>
      <c r="BG655" s="612"/>
      <c r="BH655" s="612">
        <f t="shared" si="501"/>
        <v>0</v>
      </c>
      <c r="BI655" s="612">
        <f t="shared" si="519"/>
        <v>0</v>
      </c>
      <c r="BJ655" s="201"/>
    </row>
    <row r="656" spans="1:62" ht="12" customHeight="1">
      <c r="A656" s="52"/>
      <c r="B656" s="52"/>
      <c r="C656" s="52"/>
      <c r="D656" s="52"/>
      <c r="E656" s="52"/>
      <c r="F656" s="52"/>
      <c r="G656" s="52"/>
      <c r="H656" s="2" t="s">
        <v>557</v>
      </c>
      <c r="I656" s="260">
        <v>540</v>
      </c>
      <c r="J656" s="185">
        <v>4214</v>
      </c>
      <c r="K656" s="19" t="s">
        <v>558</v>
      </c>
      <c r="L656" s="129">
        <v>0</v>
      </c>
      <c r="M656" s="129">
        <v>0</v>
      </c>
      <c r="N656" s="130">
        <v>0</v>
      </c>
      <c r="O656" s="130">
        <v>0</v>
      </c>
      <c r="P656" s="131">
        <v>66400</v>
      </c>
      <c r="Q656" s="156">
        <v>0</v>
      </c>
      <c r="R656" s="153">
        <v>0</v>
      </c>
      <c r="S656" s="158" t="e">
        <f ca="1">__xlfn.XLOOKUP(H656,[1]Izvršenje_proračuna_po_pozicija!$B$2:$B$153,[1]Izvršenje_proračuna_po_pozicija!$E$2:$E$153,0)</f>
        <v>#NAME?</v>
      </c>
      <c r="T656" s="158"/>
      <c r="U656" s="158"/>
      <c r="V656" s="532"/>
      <c r="W656" s="532"/>
      <c r="X656" s="560"/>
      <c r="Y656" s="561"/>
      <c r="Z656" s="561"/>
      <c r="AA656" s="562" t="e">
        <f t="shared" ca="1" si="500"/>
        <v>#NAME?</v>
      </c>
      <c r="AB656" s="535"/>
      <c r="AC656" s="529">
        <v>0</v>
      </c>
      <c r="AD656" s="529">
        <v>0</v>
      </c>
      <c r="AE656" s="529"/>
      <c r="AF656" s="529"/>
      <c r="AG656" s="529"/>
      <c r="AH656" s="529"/>
      <c r="AI656" s="535"/>
      <c r="AJ656" s="561"/>
      <c r="AK656" s="507"/>
      <c r="AL656" s="507"/>
      <c r="AM656" s="507"/>
      <c r="AN656" s="556"/>
      <c r="AO656" s="510"/>
      <c r="AP656" s="510" t="e">
        <f t="shared" ca="1" si="498"/>
        <v>#NAME?</v>
      </c>
      <c r="AQ656" s="532"/>
      <c r="AR656" s="533"/>
      <c r="AS656" s="533"/>
      <c r="AT656" s="533"/>
      <c r="AU656" s="533"/>
      <c r="AV656" s="533"/>
      <c r="AW656" s="612"/>
      <c r="AX656" s="612"/>
      <c r="AY656" s="612"/>
      <c r="AZ656" s="612"/>
      <c r="BA656" s="612"/>
      <c r="BB656" s="612"/>
      <c r="BC656" s="612"/>
      <c r="BD656" s="612"/>
      <c r="BE656" s="612"/>
      <c r="BF656" s="612"/>
      <c r="BG656" s="612"/>
      <c r="BH656" s="612">
        <f t="shared" si="501"/>
        <v>0</v>
      </c>
      <c r="BI656" s="612">
        <f t="shared" si="519"/>
        <v>0</v>
      </c>
      <c r="BJ656" s="201"/>
    </row>
    <row r="657" spans="1:62" ht="12" customHeight="1">
      <c r="A657" s="41"/>
      <c r="B657" s="41"/>
      <c r="C657" s="41"/>
      <c r="D657" s="41"/>
      <c r="E657" s="41"/>
      <c r="F657" s="41"/>
      <c r="G657" s="41"/>
      <c r="H657" s="235"/>
      <c r="I657" s="15"/>
      <c r="J657" s="3"/>
      <c r="K657" s="83"/>
      <c r="L657" s="84"/>
      <c r="M657" s="84"/>
      <c r="N657" s="85"/>
      <c r="O657" s="85"/>
      <c r="P657" s="86"/>
      <c r="Q657" s="86"/>
      <c r="R657" s="154"/>
      <c r="S657" s="158" t="e">
        <f ca="1">__xlfn.XLOOKUP(H657,[1]Izvršenje_proračuna_po_pozicija!$B$2:$B$153,[1]Izvršenje_proračuna_po_pozicija!$E$2:$E$153,0)</f>
        <v>#NAME?</v>
      </c>
      <c r="T657" s="158"/>
      <c r="U657" s="158"/>
      <c r="V657" s="532"/>
      <c r="W657" s="532"/>
      <c r="X657" s="568"/>
      <c r="Y657" s="569"/>
      <c r="Z657" s="569"/>
      <c r="AA657" s="562" t="e">
        <f t="shared" ca="1" si="500"/>
        <v>#NAME?</v>
      </c>
      <c r="AB657" s="537"/>
      <c r="AC657" s="538"/>
      <c r="AD657" s="538"/>
      <c r="AE657" s="529"/>
      <c r="AF657" s="529"/>
      <c r="AG657" s="529"/>
      <c r="AH657" s="529"/>
      <c r="AI657" s="537"/>
      <c r="AJ657" s="569"/>
      <c r="AK657" s="507"/>
      <c r="AL657" s="507"/>
      <c r="AM657" s="507"/>
      <c r="AN657" s="557"/>
      <c r="AO657" s="510"/>
      <c r="AP657" s="510" t="e">
        <f t="shared" ca="1" si="498"/>
        <v>#NAME?</v>
      </c>
      <c r="AQ657" s="532"/>
      <c r="AR657" s="533"/>
      <c r="AS657" s="533"/>
      <c r="AT657" s="533"/>
      <c r="AU657" s="533"/>
      <c r="AV657" s="533"/>
      <c r="AW657" s="612"/>
      <c r="AX657" s="612"/>
      <c r="AY657" s="612"/>
      <c r="AZ657" s="612"/>
      <c r="BA657" s="612"/>
      <c r="BB657" s="612"/>
      <c r="BC657" s="612"/>
      <c r="BD657" s="612"/>
      <c r="BE657" s="612"/>
      <c r="BF657" s="612"/>
      <c r="BG657" s="612"/>
      <c r="BH657" s="612">
        <f t="shared" si="501"/>
        <v>0</v>
      </c>
      <c r="BI657" s="612">
        <f t="shared" si="519"/>
        <v>1250</v>
      </c>
      <c r="BJ657" s="201">
        <f>AQ664-BI657</f>
        <v>0</v>
      </c>
    </row>
    <row r="658" spans="1:62" ht="12" customHeight="1">
      <c r="A658" s="355"/>
      <c r="B658" s="355"/>
      <c r="C658" s="355"/>
      <c r="D658" s="355"/>
      <c r="E658" s="355"/>
      <c r="F658" s="355"/>
      <c r="G658" s="355"/>
      <c r="H658" s="356"/>
      <c r="I658" s="361" t="s">
        <v>559</v>
      </c>
      <c r="J658" s="335"/>
      <c r="K658" s="126"/>
      <c r="L658" s="111">
        <f t="shared" ref="L658:S658" si="529">L659+L672+L679+L689+L696+L703+L710+L717+L724+L738+L745+L757+L765</f>
        <v>2486345</v>
      </c>
      <c r="M658" s="111">
        <f t="shared" si="529"/>
        <v>329994.69108766335</v>
      </c>
      <c r="N658" s="112">
        <f t="shared" si="529"/>
        <v>3560747</v>
      </c>
      <c r="O658" s="112">
        <f t="shared" si="529"/>
        <v>472592.34189395449</v>
      </c>
      <c r="P658" s="113">
        <f t="shared" si="529"/>
        <v>1324800</v>
      </c>
      <c r="Q658" s="113">
        <f t="shared" si="529"/>
        <v>1018000</v>
      </c>
      <c r="R658" s="87">
        <f t="shared" si="529"/>
        <v>993784</v>
      </c>
      <c r="S658" s="89" t="e">
        <f t="shared" ca="1" si="529"/>
        <v>#NAME?</v>
      </c>
      <c r="T658" s="89"/>
      <c r="U658" s="89"/>
      <c r="V658" s="532">
        <f>V659+V672+V679+V689+V696+V703+V710+V717+V724+V738+V745+V757+V765</f>
        <v>1039000</v>
      </c>
      <c r="W658" s="532">
        <f>W659+W672+W679+W689+W696+W703+W710+W717+W724+W738+W745+W757+W765</f>
        <v>1039771</v>
      </c>
      <c r="X658" s="506">
        <f>X659+X672+X679+X689+X696+X703+X710+X717+X724+X738+X745+X757+X765</f>
        <v>1074000</v>
      </c>
      <c r="Y658" s="507">
        <f>Y659+Y672+Y679+Y689+Y696+Y703+Y710+Y717+Y724+Y738+Y745+Y757+Y765</f>
        <v>832000</v>
      </c>
      <c r="Z658" s="507">
        <f>Z659+Z672+Z679+Z689+Z696+Z703+Z710+Z717+Z724+Z738+Z745+Z757+Z765</f>
        <v>0</v>
      </c>
      <c r="AA658" s="562" t="e">
        <f t="shared" ca="1" si="500"/>
        <v>#NAME?</v>
      </c>
      <c r="AB658" s="507"/>
      <c r="AC658" s="508">
        <f>AC659+AC672+AC679+AC689+AC696+AC703+AC710+AC717+AC724+AC738+AC745+AC757+AC765</f>
        <v>598000</v>
      </c>
      <c r="AD658" s="508">
        <f>AD659+AD672+AD679+AD689+AD696+AD703+AD710+AD717+AD724+AD738+AD745+AD757+AD765</f>
        <v>598000</v>
      </c>
      <c r="AE658" s="529">
        <f>O658/M658*100</f>
        <v>143.21210451486019</v>
      </c>
      <c r="AF658" s="529">
        <f>P658/O658*100</f>
        <v>280.32616751485011</v>
      </c>
      <c r="AG658" s="529">
        <f>Q658/P658*100</f>
        <v>76.841787439613526</v>
      </c>
      <c r="AH658" s="529">
        <f>AC658/Q658*100</f>
        <v>58.742632612966602</v>
      </c>
      <c r="AI658" s="507"/>
      <c r="AJ658" s="507">
        <v>832000</v>
      </c>
      <c r="AK658" s="507">
        <f>W658/R658*100</f>
        <v>104.62746431820193</v>
      </c>
      <c r="AL658" s="507">
        <f t="shared" si="503"/>
        <v>103.29197486754296</v>
      </c>
      <c r="AM658" s="507">
        <f t="shared" si="494"/>
        <v>77.467411545623833</v>
      </c>
      <c r="AN658" s="509"/>
      <c r="AO658" s="510"/>
      <c r="AP658" s="510" t="e">
        <f t="shared" ca="1" si="498"/>
        <v>#NAME?</v>
      </c>
      <c r="AQ658" s="532">
        <f>AQ659+AQ672+AQ679+AQ689+AQ696+AQ703+AQ710+AQ717+AQ724+AQ738+AQ745+AQ757+AQ765</f>
        <v>916524.94</v>
      </c>
      <c r="AR658" s="533">
        <f>V658/R658*100</f>
        <v>104.54988206692803</v>
      </c>
      <c r="AS658" s="533">
        <f>W658/V658*100</f>
        <v>100.07420596727623</v>
      </c>
      <c r="AT658" s="533">
        <f>W658/R658*100</f>
        <v>104.62746431820193</v>
      </c>
      <c r="AU658" s="533">
        <f>AQ658/W658*100</f>
        <v>88.146807325843852</v>
      </c>
      <c r="AV658" s="533">
        <f>AQ658/R658*100</f>
        <v>92.225769382481502</v>
      </c>
      <c r="AW658" s="612"/>
      <c r="AX658" s="612"/>
      <c r="AY658" s="612"/>
      <c r="AZ658" s="612"/>
      <c r="BA658" s="612"/>
      <c r="BB658" s="612"/>
      <c r="BC658" s="612"/>
      <c r="BD658" s="612"/>
      <c r="BE658" s="612"/>
      <c r="BF658" s="612"/>
      <c r="BG658" s="612"/>
      <c r="BH658" s="612">
        <f t="shared" si="501"/>
        <v>0</v>
      </c>
      <c r="BI658" s="612">
        <f t="shared" si="519"/>
        <v>0</v>
      </c>
      <c r="BJ658" s="201">
        <f>AQ665-BI658</f>
        <v>0</v>
      </c>
    </row>
    <row r="659" spans="1:62" ht="12" customHeight="1">
      <c r="A659" s="55" t="s">
        <v>321</v>
      </c>
      <c r="B659" s="55"/>
      <c r="C659" s="55"/>
      <c r="D659" s="55"/>
      <c r="E659" s="55"/>
      <c r="F659" s="55"/>
      <c r="G659" s="55"/>
      <c r="H659" s="346"/>
      <c r="I659" s="362" t="s">
        <v>560</v>
      </c>
      <c r="J659" s="363"/>
      <c r="K659" s="364"/>
      <c r="L659" s="238">
        <f t="shared" ref="L659:S659" si="530">L667+L661</f>
        <v>156682</v>
      </c>
      <c r="M659" s="238">
        <f t="shared" si="530"/>
        <v>20795.275068020437</v>
      </c>
      <c r="N659" s="239">
        <f t="shared" si="530"/>
        <v>315000</v>
      </c>
      <c r="O659" s="239">
        <f t="shared" si="530"/>
        <v>41807.684650607203</v>
      </c>
      <c r="P659" s="240">
        <f t="shared" si="530"/>
        <v>51500</v>
      </c>
      <c r="Q659" s="240">
        <f t="shared" si="530"/>
        <v>5000</v>
      </c>
      <c r="R659" s="95">
        <f t="shared" si="530"/>
        <v>0</v>
      </c>
      <c r="S659" s="97" t="e">
        <f t="shared" ca="1" si="530"/>
        <v>#NAME?</v>
      </c>
      <c r="T659" s="97"/>
      <c r="U659" s="97"/>
      <c r="V659" s="532">
        <f>V667+V661</f>
        <v>50000</v>
      </c>
      <c r="W659" s="532">
        <f>W667+W661</f>
        <v>50000</v>
      </c>
      <c r="X659" s="513">
        <f>X667+X661</f>
        <v>19000</v>
      </c>
      <c r="Y659" s="514">
        <f>Y667+Y661</f>
        <v>55000</v>
      </c>
      <c r="Z659" s="514">
        <f>Z667+Z661</f>
        <v>0</v>
      </c>
      <c r="AA659" s="562" t="e">
        <f t="shared" ca="1" si="500"/>
        <v>#NAME?</v>
      </c>
      <c r="AB659" s="514"/>
      <c r="AC659" s="515">
        <f>AC667+AC661</f>
        <v>52000</v>
      </c>
      <c r="AD659" s="515">
        <f>AD667+AD661</f>
        <v>52000</v>
      </c>
      <c r="AE659" s="529">
        <f>O659/M659*100</f>
        <v>201.04415312543878</v>
      </c>
      <c r="AF659" s="529">
        <f>P659/O659*100</f>
        <v>123.18309523809525</v>
      </c>
      <c r="AG659" s="529">
        <f>Q659/P659*100</f>
        <v>9.7087378640776691</v>
      </c>
      <c r="AH659" s="529"/>
      <c r="AI659" s="514"/>
      <c r="AJ659" s="514">
        <v>55000</v>
      </c>
      <c r="AK659" s="507"/>
      <c r="AL659" s="507">
        <f t="shared" si="503"/>
        <v>38</v>
      </c>
      <c r="AM659" s="507">
        <f t="shared" si="494"/>
        <v>289.4736842105263</v>
      </c>
      <c r="AN659" s="516"/>
      <c r="AO659" s="510"/>
      <c r="AP659" s="510" t="e">
        <f t="shared" ca="1" si="498"/>
        <v>#NAME?</v>
      </c>
      <c r="AQ659" s="532">
        <f>AQ667+AQ661</f>
        <v>13727.1</v>
      </c>
      <c r="AR659" s="533"/>
      <c r="AS659" s="533">
        <f>W659/V659*100</f>
        <v>100</v>
      </c>
      <c r="AT659" s="533"/>
      <c r="AU659" s="533">
        <f>AQ659/W659*100</f>
        <v>27.4542</v>
      </c>
      <c r="AV659" s="533"/>
      <c r="AW659" s="612"/>
      <c r="AX659" s="612"/>
      <c r="AY659" s="612"/>
      <c r="AZ659" s="612"/>
      <c r="BA659" s="612"/>
      <c r="BB659" s="612"/>
      <c r="BC659" s="612"/>
      <c r="BD659" s="612"/>
      <c r="BE659" s="612"/>
      <c r="BF659" s="612"/>
      <c r="BG659" s="612"/>
      <c r="BH659" s="612">
        <f t="shared" si="501"/>
        <v>0</v>
      </c>
      <c r="BI659" s="612">
        <f t="shared" si="519"/>
        <v>0</v>
      </c>
      <c r="BJ659" s="201">
        <f>AQ666-BI659</f>
        <v>0</v>
      </c>
    </row>
    <row r="660" spans="1:62" ht="12" customHeight="1">
      <c r="A660" s="41"/>
      <c r="B660" s="41"/>
      <c r="C660" s="41"/>
      <c r="D660" s="41"/>
      <c r="E660" s="41"/>
      <c r="F660" s="41"/>
      <c r="G660" s="41"/>
      <c r="H660" s="235"/>
      <c r="I660" s="15"/>
      <c r="J660" s="3"/>
      <c r="K660" s="83"/>
      <c r="L660" s="84"/>
      <c r="M660" s="84"/>
      <c r="N660" s="85"/>
      <c r="O660" s="85"/>
      <c r="P660" s="86"/>
      <c r="Q660" s="86"/>
      <c r="R660" s="154"/>
      <c r="S660" s="158" t="e">
        <f ca="1">__xlfn.XLOOKUP(H660,[1]Izvršenje_proračuna_po_pozicija!$B$2:$B$153,[1]Izvršenje_proračuna_po_pozicija!$E$2:$E$153,0)</f>
        <v>#NAME?</v>
      </c>
      <c r="T660" s="158"/>
      <c r="U660" s="158"/>
      <c r="V660" s="532"/>
      <c r="W660" s="532"/>
      <c r="X660" s="568"/>
      <c r="Y660" s="569"/>
      <c r="Z660" s="569"/>
      <c r="AA660" s="562" t="e">
        <f t="shared" ca="1" si="500"/>
        <v>#NAME?</v>
      </c>
      <c r="AB660" s="537"/>
      <c r="AC660" s="538"/>
      <c r="AD660" s="538"/>
      <c r="AE660" s="529"/>
      <c r="AF660" s="529"/>
      <c r="AG660" s="529"/>
      <c r="AH660" s="529"/>
      <c r="AI660" s="537"/>
      <c r="AJ660" s="569"/>
      <c r="AK660" s="507"/>
      <c r="AL660" s="507"/>
      <c r="AM660" s="507"/>
      <c r="AN660" s="557"/>
      <c r="AO660" s="510"/>
      <c r="AP660" s="510" t="e">
        <f t="shared" ca="1" si="498"/>
        <v>#NAME?</v>
      </c>
      <c r="AQ660" s="532"/>
      <c r="AR660" s="533"/>
      <c r="AS660" s="533"/>
      <c r="AT660" s="533"/>
      <c r="AU660" s="533"/>
      <c r="AV660" s="533"/>
      <c r="AW660" s="612"/>
      <c r="AX660" s="612"/>
      <c r="AY660" s="612"/>
      <c r="AZ660" s="612"/>
      <c r="BA660" s="612"/>
      <c r="BB660" s="612"/>
      <c r="BC660" s="612"/>
      <c r="BD660" s="612"/>
      <c r="BE660" s="612"/>
      <c r="BF660" s="612"/>
      <c r="BG660" s="612"/>
      <c r="BH660" s="612">
        <f t="shared" si="501"/>
        <v>0</v>
      </c>
      <c r="BI660" s="612">
        <f t="shared" si="519"/>
        <v>0</v>
      </c>
      <c r="BJ660" s="201"/>
    </row>
    <row r="661" spans="1:62" ht="12" customHeight="1">
      <c r="A661" s="25"/>
      <c r="B661" s="25"/>
      <c r="C661" s="25"/>
      <c r="D661" s="25"/>
      <c r="E661" s="25"/>
      <c r="F661" s="25"/>
      <c r="G661" s="25"/>
      <c r="H661" s="285"/>
      <c r="I661" s="9"/>
      <c r="J661" s="211">
        <v>3</v>
      </c>
      <c r="K661" s="3" t="s">
        <v>220</v>
      </c>
      <c r="L661" s="111">
        <f t="shared" ref="L661:AD663" si="531">L662</f>
        <v>0</v>
      </c>
      <c r="M661" s="111">
        <f t="shared" si="531"/>
        <v>0</v>
      </c>
      <c r="N661" s="112">
        <f t="shared" si="531"/>
        <v>0</v>
      </c>
      <c r="O661" s="112">
        <f t="shared" si="531"/>
        <v>0</v>
      </c>
      <c r="P661" s="113">
        <f t="shared" si="531"/>
        <v>5000</v>
      </c>
      <c r="Q661" s="113">
        <f t="shared" si="531"/>
        <v>0</v>
      </c>
      <c r="R661" s="87">
        <f t="shared" si="531"/>
        <v>0</v>
      </c>
      <c r="S661" s="89" t="e">
        <f t="shared" ca="1" si="531"/>
        <v>#NAME?</v>
      </c>
      <c r="T661" s="89"/>
      <c r="U661" s="89"/>
      <c r="V661" s="532">
        <f>V662</f>
        <v>0</v>
      </c>
      <c r="W661" s="532">
        <f t="shared" si="531"/>
        <v>0</v>
      </c>
      <c r="X661" s="506">
        <f t="shared" si="531"/>
        <v>5000</v>
      </c>
      <c r="Y661" s="507">
        <f t="shared" si="531"/>
        <v>5000</v>
      </c>
      <c r="Z661" s="507">
        <f t="shared" si="531"/>
        <v>0</v>
      </c>
      <c r="AA661" s="562" t="e">
        <f t="shared" ca="1" si="500"/>
        <v>#NAME?</v>
      </c>
      <c r="AB661" s="507"/>
      <c r="AC661" s="508">
        <f t="shared" si="531"/>
        <v>5000</v>
      </c>
      <c r="AD661" s="508">
        <f t="shared" si="531"/>
        <v>5000</v>
      </c>
      <c r="AE661" s="529"/>
      <c r="AF661" s="529"/>
      <c r="AG661" s="529"/>
      <c r="AH661" s="529"/>
      <c r="AI661" s="507"/>
      <c r="AJ661" s="507">
        <v>5000</v>
      </c>
      <c r="AK661" s="507"/>
      <c r="AL661" s="507"/>
      <c r="AM661" s="507">
        <f t="shared" si="494"/>
        <v>100</v>
      </c>
      <c r="AN661" s="509"/>
      <c r="AO661" s="510"/>
      <c r="AP661" s="510" t="e">
        <f t="shared" ca="1" si="498"/>
        <v>#NAME?</v>
      </c>
      <c r="AQ661" s="532">
        <f>AQ662</f>
        <v>1250</v>
      </c>
      <c r="AR661" s="533"/>
      <c r="AS661" s="533"/>
      <c r="AT661" s="533"/>
      <c r="AU661" s="533"/>
      <c r="AV661" s="533"/>
      <c r="AW661" s="612"/>
      <c r="AX661" s="612"/>
      <c r="AY661" s="612"/>
      <c r="AZ661" s="612"/>
      <c r="BA661" s="612"/>
      <c r="BB661" s="612"/>
      <c r="BC661" s="612"/>
      <c r="BD661" s="612"/>
      <c r="BE661" s="612"/>
      <c r="BF661" s="612"/>
      <c r="BG661" s="612"/>
      <c r="BH661" s="612">
        <f t="shared" si="501"/>
        <v>0</v>
      </c>
      <c r="BI661" s="612">
        <f t="shared" si="519"/>
        <v>0</v>
      </c>
      <c r="BJ661" s="201"/>
    </row>
    <row r="662" spans="1:62" ht="12" customHeight="1">
      <c r="A662" s="227"/>
      <c r="B662" s="227"/>
      <c r="C662" s="227"/>
      <c r="D662" s="227"/>
      <c r="E662" s="227"/>
      <c r="F662" s="227"/>
      <c r="G662" s="227"/>
      <c r="H662" s="234"/>
      <c r="I662" s="10"/>
      <c r="J662" s="228">
        <v>32</v>
      </c>
      <c r="K662" s="258" t="s">
        <v>229</v>
      </c>
      <c r="L662" s="111">
        <f t="shared" si="531"/>
        <v>0</v>
      </c>
      <c r="M662" s="111">
        <f t="shared" si="531"/>
        <v>0</v>
      </c>
      <c r="N662" s="112">
        <f t="shared" si="531"/>
        <v>0</v>
      </c>
      <c r="O662" s="112">
        <f t="shared" si="531"/>
        <v>0</v>
      </c>
      <c r="P662" s="113">
        <f t="shared" si="531"/>
        <v>5000</v>
      </c>
      <c r="Q662" s="113">
        <f t="shared" si="531"/>
        <v>0</v>
      </c>
      <c r="R662" s="87">
        <f t="shared" si="531"/>
        <v>0</v>
      </c>
      <c r="S662" s="89" t="e">
        <f t="shared" ca="1" si="531"/>
        <v>#NAME?</v>
      </c>
      <c r="T662" s="89"/>
      <c r="U662" s="89"/>
      <c r="V662" s="532">
        <f>V663</f>
        <v>0</v>
      </c>
      <c r="W662" s="532">
        <f t="shared" si="531"/>
        <v>0</v>
      </c>
      <c r="X662" s="506">
        <f t="shared" si="531"/>
        <v>5000</v>
      </c>
      <c r="Y662" s="507">
        <f t="shared" si="531"/>
        <v>5000</v>
      </c>
      <c r="Z662" s="507">
        <f t="shared" si="531"/>
        <v>0</v>
      </c>
      <c r="AA662" s="562" t="e">
        <f t="shared" ca="1" si="500"/>
        <v>#NAME?</v>
      </c>
      <c r="AB662" s="507"/>
      <c r="AC662" s="508">
        <f t="shared" si="531"/>
        <v>5000</v>
      </c>
      <c r="AD662" s="508">
        <f t="shared" si="531"/>
        <v>5000</v>
      </c>
      <c r="AE662" s="529"/>
      <c r="AF662" s="529"/>
      <c r="AG662" s="529"/>
      <c r="AH662" s="529"/>
      <c r="AI662" s="507"/>
      <c r="AJ662" s="507">
        <v>5000</v>
      </c>
      <c r="AK662" s="507"/>
      <c r="AL662" s="507"/>
      <c r="AM662" s="507">
        <f t="shared" si="494"/>
        <v>100</v>
      </c>
      <c r="AN662" s="509"/>
      <c r="AO662" s="510"/>
      <c r="AP662" s="510" t="e">
        <f t="shared" ca="1" si="498"/>
        <v>#NAME?</v>
      </c>
      <c r="AQ662" s="532">
        <f>AQ663</f>
        <v>1250</v>
      </c>
      <c r="AR662" s="533"/>
      <c r="AS662" s="533"/>
      <c r="AT662" s="533"/>
      <c r="AU662" s="533"/>
      <c r="AV662" s="533"/>
      <c r="AW662" s="612"/>
      <c r="AX662" s="612"/>
      <c r="AY662" s="612"/>
      <c r="AZ662" s="612"/>
      <c r="BA662" s="612"/>
      <c r="BB662" s="612"/>
      <c r="BC662" s="612"/>
      <c r="BD662" s="612"/>
      <c r="BE662" s="612"/>
      <c r="BF662" s="612"/>
      <c r="BG662" s="612"/>
      <c r="BH662" s="612">
        <f t="shared" si="501"/>
        <v>0</v>
      </c>
      <c r="BI662" s="612">
        <f t="shared" si="519"/>
        <v>0</v>
      </c>
      <c r="BJ662" s="201"/>
    </row>
    <row r="663" spans="1:62" ht="12" customHeight="1">
      <c r="A663" s="61"/>
      <c r="B663" s="357"/>
      <c r="C663" s="357"/>
      <c r="D663" s="357"/>
      <c r="E663" s="357"/>
      <c r="F663" s="357"/>
      <c r="G663" s="357"/>
      <c r="H663" s="358"/>
      <c r="I663" s="348"/>
      <c r="J663" s="229">
        <v>323</v>
      </c>
      <c r="K663" s="20" t="s">
        <v>346</v>
      </c>
      <c r="L663" s="111">
        <f t="shared" si="531"/>
        <v>0</v>
      </c>
      <c r="M663" s="111">
        <f t="shared" si="531"/>
        <v>0</v>
      </c>
      <c r="N663" s="112">
        <f t="shared" si="531"/>
        <v>0</v>
      </c>
      <c r="O663" s="112">
        <f t="shared" si="531"/>
        <v>0</v>
      </c>
      <c r="P663" s="113">
        <f t="shared" si="531"/>
        <v>5000</v>
      </c>
      <c r="Q663" s="113">
        <f t="shared" si="531"/>
        <v>0</v>
      </c>
      <c r="R663" s="87">
        <f t="shared" si="531"/>
        <v>0</v>
      </c>
      <c r="S663" s="89" t="e">
        <f t="shared" ca="1" si="531"/>
        <v>#NAME?</v>
      </c>
      <c r="T663" s="89"/>
      <c r="U663" s="89"/>
      <c r="V663" s="532">
        <f>V664</f>
        <v>0</v>
      </c>
      <c r="W663" s="532">
        <f t="shared" si="531"/>
        <v>0</v>
      </c>
      <c r="X663" s="506">
        <f t="shared" si="531"/>
        <v>5000</v>
      </c>
      <c r="Y663" s="507">
        <f t="shared" si="531"/>
        <v>5000</v>
      </c>
      <c r="Z663" s="507">
        <f t="shared" si="531"/>
        <v>0</v>
      </c>
      <c r="AA663" s="562" t="e">
        <f t="shared" ca="1" si="500"/>
        <v>#NAME?</v>
      </c>
      <c r="AB663" s="507"/>
      <c r="AC663" s="508">
        <f>AC664</f>
        <v>5000</v>
      </c>
      <c r="AD663" s="508">
        <f>AD664</f>
        <v>5000</v>
      </c>
      <c r="AE663" s="529"/>
      <c r="AF663" s="529"/>
      <c r="AG663" s="529"/>
      <c r="AH663" s="529"/>
      <c r="AI663" s="507"/>
      <c r="AJ663" s="507">
        <v>5000</v>
      </c>
      <c r="AK663" s="507"/>
      <c r="AL663" s="507"/>
      <c r="AM663" s="507">
        <f t="shared" si="494"/>
        <v>100</v>
      </c>
      <c r="AN663" s="509"/>
      <c r="AO663" s="510"/>
      <c r="AP663" s="510" t="e">
        <f t="shared" ca="1" si="498"/>
        <v>#NAME?</v>
      </c>
      <c r="AQ663" s="532">
        <f>AQ664</f>
        <v>1250</v>
      </c>
      <c r="AR663" s="533"/>
      <c r="AS663" s="533"/>
      <c r="AT663" s="533"/>
      <c r="AU663" s="533"/>
      <c r="AV663" s="533"/>
      <c r="AW663" s="612"/>
      <c r="AX663" s="612"/>
      <c r="AY663" s="612"/>
      <c r="AZ663" s="612"/>
      <c r="BA663" s="612"/>
      <c r="BB663" s="612"/>
      <c r="BC663" s="612"/>
      <c r="BD663" s="612"/>
      <c r="BE663" s="612"/>
      <c r="BF663" s="612"/>
      <c r="BG663" s="612"/>
      <c r="BH663" s="612">
        <f t="shared" si="501"/>
        <v>0</v>
      </c>
      <c r="BI663" s="612">
        <f t="shared" si="519"/>
        <v>12477.1</v>
      </c>
      <c r="BJ663" s="201">
        <f t="shared" ref="BJ663:BJ671" si="532">AQ670-BI663</f>
        <v>0</v>
      </c>
    </row>
    <row r="664" spans="1:62" ht="12" customHeight="1">
      <c r="A664" s="167"/>
      <c r="B664" s="167"/>
      <c r="C664" s="167"/>
      <c r="D664" s="167"/>
      <c r="E664" s="167"/>
      <c r="F664" s="167"/>
      <c r="G664" s="167"/>
      <c r="H664" s="22" t="s">
        <v>561</v>
      </c>
      <c r="I664" s="289">
        <v>620</v>
      </c>
      <c r="J664" s="185">
        <v>3237</v>
      </c>
      <c r="K664" s="19" t="s">
        <v>562</v>
      </c>
      <c r="L664" s="129">
        <v>0</v>
      </c>
      <c r="M664" s="129">
        <v>0</v>
      </c>
      <c r="N664" s="130">
        <v>0</v>
      </c>
      <c r="O664" s="130">
        <v>0</v>
      </c>
      <c r="P664" s="131">
        <v>5000</v>
      </c>
      <c r="Q664" s="156">
        <v>0</v>
      </c>
      <c r="R664" s="153">
        <v>0</v>
      </c>
      <c r="S664" s="158" t="e">
        <f ca="1">__xlfn.XLOOKUP(H664,[1]Izvršenje_proračuna_po_pozicija!$B$2:$B$153,[1]Izvršenje_proračuna_po_pozicija!$E$2:$E$153,0)</f>
        <v>#NAME?</v>
      </c>
      <c r="T664" s="158"/>
      <c r="U664" s="158"/>
      <c r="V664" s="532">
        <v>0</v>
      </c>
      <c r="W664" s="532">
        <v>0</v>
      </c>
      <c r="X664" s="560">
        <v>5000</v>
      </c>
      <c r="Y664" s="561">
        <v>5000</v>
      </c>
      <c r="Z664" s="561"/>
      <c r="AA664" s="562" t="e">
        <f t="shared" ca="1" si="500"/>
        <v>#NAME?</v>
      </c>
      <c r="AB664" s="535"/>
      <c r="AC664" s="529">
        <v>5000</v>
      </c>
      <c r="AD664" s="529">
        <v>5000</v>
      </c>
      <c r="AE664" s="529"/>
      <c r="AF664" s="529"/>
      <c r="AG664" s="529"/>
      <c r="AH664" s="529"/>
      <c r="AI664" s="535"/>
      <c r="AJ664" s="561">
        <v>5000</v>
      </c>
      <c r="AK664" s="507"/>
      <c r="AL664" s="507"/>
      <c r="AM664" s="507">
        <f t="shared" si="494"/>
        <v>100</v>
      </c>
      <c r="AN664" s="556"/>
      <c r="AO664" s="510"/>
      <c r="AP664" s="510" t="e">
        <f t="shared" ca="1" si="498"/>
        <v>#NAME?</v>
      </c>
      <c r="AQ664" s="532">
        <v>1250</v>
      </c>
      <c r="AR664" s="533"/>
      <c r="AS664" s="533"/>
      <c r="AT664" s="533"/>
      <c r="AU664" s="533"/>
      <c r="AV664" s="533"/>
      <c r="AW664" s="612"/>
      <c r="AX664" s="612"/>
      <c r="AY664" s="612"/>
      <c r="AZ664" s="612"/>
      <c r="BA664" s="612"/>
      <c r="BB664" s="612"/>
      <c r="BC664" s="612"/>
      <c r="BD664" s="612"/>
      <c r="BE664" s="612"/>
      <c r="BF664" s="612"/>
      <c r="BG664" s="612">
        <v>1250</v>
      </c>
      <c r="BH664" s="612">
        <f t="shared" si="501"/>
        <v>1250</v>
      </c>
      <c r="BI664" s="612">
        <f t="shared" si="519"/>
        <v>0</v>
      </c>
      <c r="BJ664" s="201">
        <f t="shared" si="532"/>
        <v>0</v>
      </c>
    </row>
    <row r="665" spans="1:62" ht="12" customHeight="1">
      <c r="A665" s="68"/>
      <c r="B665" s="68"/>
      <c r="C665" s="68"/>
      <c r="D665" s="68"/>
      <c r="E665" s="68"/>
      <c r="F665" s="68"/>
      <c r="G665" s="68"/>
      <c r="H665" s="281"/>
      <c r="I665" s="256"/>
      <c r="J665" s="211"/>
      <c r="K665" s="69"/>
      <c r="L665" s="175"/>
      <c r="M665" s="175"/>
      <c r="N665" s="176"/>
      <c r="O665" s="176"/>
      <c r="P665" s="177"/>
      <c r="Q665" s="177"/>
      <c r="R665" s="212"/>
      <c r="S665" s="158" t="e">
        <f ca="1">__xlfn.XLOOKUP(H665,[1]Izvršenje_proračuna_po_pozicija!$B$2:$B$153,[1]Izvršenje_proračuna_po_pozicija!$E$2:$E$153,0)</f>
        <v>#NAME?</v>
      </c>
      <c r="T665" s="158"/>
      <c r="U665" s="158"/>
      <c r="V665" s="532"/>
      <c r="W665" s="532"/>
      <c r="X665" s="563"/>
      <c r="Y665" s="562"/>
      <c r="Z665" s="562"/>
      <c r="AA665" s="562" t="e">
        <f t="shared" ca="1" si="500"/>
        <v>#NAME?</v>
      </c>
      <c r="AB665" s="507"/>
      <c r="AC665" s="508"/>
      <c r="AD665" s="508"/>
      <c r="AE665" s="529"/>
      <c r="AF665" s="529"/>
      <c r="AG665" s="529"/>
      <c r="AH665" s="529"/>
      <c r="AI665" s="507"/>
      <c r="AJ665" s="562"/>
      <c r="AK665" s="507"/>
      <c r="AL665" s="507"/>
      <c r="AM665" s="507"/>
      <c r="AN665" s="509"/>
      <c r="AO665" s="510"/>
      <c r="AP665" s="510" t="e">
        <f t="shared" ca="1" si="498"/>
        <v>#NAME?</v>
      </c>
      <c r="AQ665" s="532"/>
      <c r="AR665" s="533"/>
      <c r="AS665" s="533"/>
      <c r="AT665" s="533"/>
      <c r="AU665" s="533"/>
      <c r="AV665" s="533"/>
      <c r="AW665" s="612"/>
      <c r="AX665" s="612"/>
      <c r="AY665" s="612"/>
      <c r="AZ665" s="612"/>
      <c r="BA665" s="612"/>
      <c r="BB665" s="612"/>
      <c r="BC665" s="612"/>
      <c r="BD665" s="612"/>
      <c r="BE665" s="612"/>
      <c r="BF665" s="612"/>
      <c r="BG665" s="612"/>
      <c r="BH665" s="612">
        <f t="shared" si="501"/>
        <v>0</v>
      </c>
      <c r="BI665" s="612">
        <f t="shared" si="519"/>
        <v>0</v>
      </c>
      <c r="BJ665" s="201">
        <f t="shared" si="532"/>
        <v>0</v>
      </c>
    </row>
    <row r="666" spans="1:62" ht="12" customHeight="1">
      <c r="A666" s="41"/>
      <c r="B666" s="41"/>
      <c r="C666" s="41"/>
      <c r="D666" s="41"/>
      <c r="E666" s="41"/>
      <c r="F666" s="41"/>
      <c r="G666" s="41"/>
      <c r="H666" s="235"/>
      <c r="I666" s="15"/>
      <c r="J666" s="3"/>
      <c r="K666" s="83"/>
      <c r="L666" s="84">
        <v>1</v>
      </c>
      <c r="M666" s="84">
        <v>2</v>
      </c>
      <c r="N666" s="85">
        <v>3</v>
      </c>
      <c r="O666" s="85">
        <v>4</v>
      </c>
      <c r="P666" s="86">
        <v>5</v>
      </c>
      <c r="Q666" s="86">
        <v>6</v>
      </c>
      <c r="R666" s="154"/>
      <c r="S666" s="158" t="e">
        <f ca="1">__xlfn.XLOOKUP(H666,[1]Izvršenje_proračuna_po_pozicija!$B$2:$B$153,[1]Izvršenje_proračuna_po_pozicija!$E$2:$E$153,0)</f>
        <v>#NAME?</v>
      </c>
      <c r="T666" s="158"/>
      <c r="U666" s="158"/>
      <c r="V666" s="532"/>
      <c r="W666" s="532"/>
      <c r="X666" s="568"/>
      <c r="Y666" s="569"/>
      <c r="Z666" s="569"/>
      <c r="AA666" s="562" t="e">
        <f t="shared" ca="1" si="500"/>
        <v>#NAME?</v>
      </c>
      <c r="AB666" s="537"/>
      <c r="AC666" s="538">
        <v>7</v>
      </c>
      <c r="AD666" s="538">
        <v>8</v>
      </c>
      <c r="AE666" s="538">
        <v>9</v>
      </c>
      <c r="AF666" s="538">
        <v>10</v>
      </c>
      <c r="AG666" s="538">
        <v>11</v>
      </c>
      <c r="AH666" s="538">
        <v>12</v>
      </c>
      <c r="AI666" s="537"/>
      <c r="AJ666" s="569"/>
      <c r="AK666" s="507"/>
      <c r="AL666" s="507"/>
      <c r="AM666" s="507"/>
      <c r="AN666" s="557"/>
      <c r="AO666" s="510"/>
      <c r="AP666" s="510" t="e">
        <f t="shared" ca="1" si="498"/>
        <v>#NAME?</v>
      </c>
      <c r="AQ666" s="532"/>
      <c r="AR666" s="533"/>
      <c r="AS666" s="533"/>
      <c r="AT666" s="533"/>
      <c r="AU666" s="533"/>
      <c r="AV666" s="533"/>
      <c r="AW666" s="612"/>
      <c r="AX666" s="612"/>
      <c r="AY666" s="612"/>
      <c r="AZ666" s="612"/>
      <c r="BA666" s="612"/>
      <c r="BB666" s="612"/>
      <c r="BC666" s="612"/>
      <c r="BD666" s="612"/>
      <c r="BE666" s="612"/>
      <c r="BF666" s="612"/>
      <c r="BG666" s="612"/>
      <c r="BH666" s="612">
        <f t="shared" si="501"/>
        <v>0</v>
      </c>
      <c r="BI666" s="612">
        <f t="shared" si="519"/>
        <v>0</v>
      </c>
      <c r="BJ666" s="201">
        <f t="shared" si="532"/>
        <v>0</v>
      </c>
    </row>
    <row r="667" spans="1:62" ht="12" customHeight="1">
      <c r="A667" s="41"/>
      <c r="B667" s="41"/>
      <c r="C667" s="41"/>
      <c r="D667" s="41"/>
      <c r="E667" s="41"/>
      <c r="F667" s="41"/>
      <c r="G667" s="41"/>
      <c r="H667" s="359"/>
      <c r="I667" s="349"/>
      <c r="J667" s="211">
        <v>4</v>
      </c>
      <c r="K667" s="3" t="s">
        <v>407</v>
      </c>
      <c r="L667" s="111">
        <f t="shared" ref="L667:Z669" si="533">L668</f>
        <v>156682</v>
      </c>
      <c r="M667" s="111">
        <f t="shared" si="533"/>
        <v>20795.275068020437</v>
      </c>
      <c r="N667" s="112">
        <f t="shared" si="533"/>
        <v>315000</v>
      </c>
      <c r="O667" s="112">
        <f t="shared" si="533"/>
        <v>41807.684650607203</v>
      </c>
      <c r="P667" s="113">
        <f t="shared" si="533"/>
        <v>46500</v>
      </c>
      <c r="Q667" s="113">
        <f t="shared" si="533"/>
        <v>5000</v>
      </c>
      <c r="R667" s="87">
        <f t="shared" si="533"/>
        <v>0</v>
      </c>
      <c r="S667" s="89" t="e">
        <f t="shared" ca="1" si="533"/>
        <v>#NAME?</v>
      </c>
      <c r="T667" s="89"/>
      <c r="U667" s="89"/>
      <c r="V667" s="532">
        <f>V668</f>
        <v>50000</v>
      </c>
      <c r="W667" s="532">
        <f t="shared" si="533"/>
        <v>50000</v>
      </c>
      <c r="X667" s="506">
        <f t="shared" si="533"/>
        <v>14000</v>
      </c>
      <c r="Y667" s="507">
        <f t="shared" si="533"/>
        <v>50000</v>
      </c>
      <c r="Z667" s="507">
        <f t="shared" si="533"/>
        <v>0</v>
      </c>
      <c r="AA667" s="562" t="e">
        <f t="shared" ca="1" si="500"/>
        <v>#NAME?</v>
      </c>
      <c r="AB667" s="507"/>
      <c r="AC667" s="508">
        <f t="shared" ref="AC667:AD669" si="534">AC668</f>
        <v>47000</v>
      </c>
      <c r="AD667" s="508">
        <f t="shared" si="534"/>
        <v>47000</v>
      </c>
      <c r="AE667" s="529">
        <f>O667/M667*100</f>
        <v>201.04415312543878</v>
      </c>
      <c r="AF667" s="529">
        <f t="shared" ref="AF667:AG670" si="535">P667/O667*100</f>
        <v>111.22357142857145</v>
      </c>
      <c r="AG667" s="529">
        <f t="shared" si="535"/>
        <v>10.75268817204301</v>
      </c>
      <c r="AH667" s="529">
        <f>AC667/Q667*100</f>
        <v>940</v>
      </c>
      <c r="AI667" s="507"/>
      <c r="AJ667" s="507">
        <v>50000</v>
      </c>
      <c r="AK667" s="507"/>
      <c r="AL667" s="507">
        <f t="shared" ref="AL667:AM670" si="536">X667/W667*100</f>
        <v>28.000000000000004</v>
      </c>
      <c r="AM667" s="507">
        <f t="shared" si="536"/>
        <v>357.14285714285717</v>
      </c>
      <c r="AN667" s="509"/>
      <c r="AO667" s="510"/>
      <c r="AP667" s="510" t="e">
        <f t="shared" ca="1" si="498"/>
        <v>#NAME?</v>
      </c>
      <c r="AQ667" s="532">
        <f>AQ668</f>
        <v>12477.1</v>
      </c>
      <c r="AR667" s="533"/>
      <c r="AS667" s="533">
        <f>W667/V667*100</f>
        <v>100</v>
      </c>
      <c r="AT667" s="533"/>
      <c r="AU667" s="533">
        <f>AQ667/W667*100</f>
        <v>24.9542</v>
      </c>
      <c r="AV667" s="533"/>
      <c r="AW667" s="612"/>
      <c r="AX667" s="612"/>
      <c r="AY667" s="612"/>
      <c r="AZ667" s="612"/>
      <c r="BA667" s="612"/>
      <c r="BB667" s="612"/>
      <c r="BC667" s="612"/>
      <c r="BD667" s="612"/>
      <c r="BE667" s="612"/>
      <c r="BF667" s="612"/>
      <c r="BG667" s="612"/>
      <c r="BH667" s="612">
        <f t="shared" si="501"/>
        <v>0</v>
      </c>
      <c r="BI667" s="612">
        <f t="shared" si="519"/>
        <v>0</v>
      </c>
      <c r="BJ667" s="201">
        <f t="shared" si="532"/>
        <v>0</v>
      </c>
    </row>
    <row r="668" spans="1:62" ht="12" customHeight="1">
      <c r="A668" s="360"/>
      <c r="B668" s="360"/>
      <c r="C668" s="360"/>
      <c r="D668" s="360"/>
      <c r="E668" s="360"/>
      <c r="F668" s="360"/>
      <c r="G668" s="360"/>
      <c r="H668" s="23"/>
      <c r="I668" s="265"/>
      <c r="J668" s="228">
        <v>42</v>
      </c>
      <c r="K668" s="258" t="s">
        <v>563</v>
      </c>
      <c r="L668" s="111">
        <f t="shared" si="533"/>
        <v>156682</v>
      </c>
      <c r="M668" s="111">
        <f t="shared" si="533"/>
        <v>20795.275068020437</v>
      </c>
      <c r="N668" s="112">
        <f t="shared" si="533"/>
        <v>315000</v>
      </c>
      <c r="O668" s="112">
        <f t="shared" si="533"/>
        <v>41807.684650607203</v>
      </c>
      <c r="P668" s="113">
        <f t="shared" si="533"/>
        <v>46500</v>
      </c>
      <c r="Q668" s="113">
        <f t="shared" si="533"/>
        <v>5000</v>
      </c>
      <c r="R668" s="87">
        <f t="shared" si="533"/>
        <v>0</v>
      </c>
      <c r="S668" s="89" t="e">
        <f t="shared" ca="1" si="533"/>
        <v>#NAME?</v>
      </c>
      <c r="T668" s="89"/>
      <c r="U668" s="89"/>
      <c r="V668" s="532">
        <f>V669</f>
        <v>50000</v>
      </c>
      <c r="W668" s="532">
        <f t="shared" si="533"/>
        <v>50000</v>
      </c>
      <c r="X668" s="506">
        <f t="shared" si="533"/>
        <v>14000</v>
      </c>
      <c r="Y668" s="507">
        <f t="shared" si="533"/>
        <v>50000</v>
      </c>
      <c r="Z668" s="507">
        <f t="shared" si="533"/>
        <v>0</v>
      </c>
      <c r="AA668" s="562" t="e">
        <f t="shared" ca="1" si="500"/>
        <v>#NAME?</v>
      </c>
      <c r="AB668" s="507"/>
      <c r="AC668" s="508">
        <f t="shared" si="534"/>
        <v>47000</v>
      </c>
      <c r="AD668" s="508">
        <f t="shared" si="534"/>
        <v>47000</v>
      </c>
      <c r="AE668" s="529">
        <f>O668/M668*100</f>
        <v>201.04415312543878</v>
      </c>
      <c r="AF668" s="529">
        <f t="shared" si="535"/>
        <v>111.22357142857145</v>
      </c>
      <c r="AG668" s="529">
        <f t="shared" si="535"/>
        <v>10.75268817204301</v>
      </c>
      <c r="AH668" s="529">
        <f>AC668/Q668*100</f>
        <v>940</v>
      </c>
      <c r="AI668" s="507"/>
      <c r="AJ668" s="507">
        <v>50000</v>
      </c>
      <c r="AK668" s="507"/>
      <c r="AL668" s="507">
        <f t="shared" si="536"/>
        <v>28.000000000000004</v>
      </c>
      <c r="AM668" s="507">
        <f t="shared" si="536"/>
        <v>357.14285714285717</v>
      </c>
      <c r="AN668" s="509"/>
      <c r="AO668" s="510"/>
      <c r="AP668" s="510" t="e">
        <f t="shared" ca="1" si="498"/>
        <v>#NAME?</v>
      </c>
      <c r="AQ668" s="532">
        <f>AQ669</f>
        <v>12477.1</v>
      </c>
      <c r="AR668" s="533"/>
      <c r="AS668" s="533">
        <f>W668/V668*100</f>
        <v>100</v>
      </c>
      <c r="AT668" s="533"/>
      <c r="AU668" s="533">
        <f>AQ668/W668*100</f>
        <v>24.9542</v>
      </c>
      <c r="AV668" s="533"/>
      <c r="AW668" s="612"/>
      <c r="AX668" s="612"/>
      <c r="AY668" s="612"/>
      <c r="AZ668" s="612"/>
      <c r="BA668" s="612"/>
      <c r="BB668" s="612"/>
      <c r="BC668" s="612"/>
      <c r="BD668" s="612"/>
      <c r="BE668" s="612"/>
      <c r="BF668" s="612"/>
      <c r="BG668" s="612"/>
      <c r="BH668" s="612">
        <f t="shared" si="501"/>
        <v>0</v>
      </c>
      <c r="BI668" s="612">
        <f t="shared" si="519"/>
        <v>0</v>
      </c>
      <c r="BJ668" s="201">
        <f t="shared" si="532"/>
        <v>0</v>
      </c>
    </row>
    <row r="669" spans="1:62" ht="12" customHeight="1">
      <c r="A669" s="61"/>
      <c r="B669" s="357"/>
      <c r="C669" s="357">
        <v>3</v>
      </c>
      <c r="D669" s="357"/>
      <c r="E669" s="357"/>
      <c r="F669" s="357"/>
      <c r="G669" s="357"/>
      <c r="H669" s="358"/>
      <c r="I669" s="348"/>
      <c r="J669" s="229">
        <v>426</v>
      </c>
      <c r="K669" s="20" t="s">
        <v>564</v>
      </c>
      <c r="L669" s="111">
        <f t="shared" si="533"/>
        <v>156682</v>
      </c>
      <c r="M669" s="111">
        <f t="shared" si="533"/>
        <v>20795.275068020437</v>
      </c>
      <c r="N669" s="112">
        <f t="shared" si="533"/>
        <v>315000</v>
      </c>
      <c r="O669" s="112">
        <f t="shared" si="533"/>
        <v>41807.684650607203</v>
      </c>
      <c r="P669" s="113">
        <f t="shared" si="533"/>
        <v>46500</v>
      </c>
      <c r="Q669" s="113">
        <f t="shared" si="533"/>
        <v>5000</v>
      </c>
      <c r="R669" s="87">
        <f t="shared" si="533"/>
        <v>0</v>
      </c>
      <c r="S669" s="89" t="e">
        <f t="shared" ca="1" si="533"/>
        <v>#NAME?</v>
      </c>
      <c r="T669" s="89"/>
      <c r="U669" s="89"/>
      <c r="V669" s="532">
        <f>V670</f>
        <v>50000</v>
      </c>
      <c r="W669" s="532">
        <f t="shared" si="533"/>
        <v>50000</v>
      </c>
      <c r="X669" s="506">
        <f t="shared" si="533"/>
        <v>14000</v>
      </c>
      <c r="Y669" s="507">
        <f t="shared" si="533"/>
        <v>50000</v>
      </c>
      <c r="Z669" s="507">
        <f t="shared" si="533"/>
        <v>0</v>
      </c>
      <c r="AA669" s="562" t="e">
        <f t="shared" ca="1" si="500"/>
        <v>#NAME?</v>
      </c>
      <c r="AB669" s="507"/>
      <c r="AC669" s="508">
        <f t="shared" si="534"/>
        <v>47000</v>
      </c>
      <c r="AD669" s="508">
        <f t="shared" si="534"/>
        <v>47000</v>
      </c>
      <c r="AE669" s="529">
        <f>O669/M669*100</f>
        <v>201.04415312543878</v>
      </c>
      <c r="AF669" s="529">
        <f t="shared" si="535"/>
        <v>111.22357142857145</v>
      </c>
      <c r="AG669" s="529">
        <f t="shared" si="535"/>
        <v>10.75268817204301</v>
      </c>
      <c r="AH669" s="529">
        <f>AC669/Q669*100</f>
        <v>940</v>
      </c>
      <c r="AI669" s="507"/>
      <c r="AJ669" s="507">
        <v>50000</v>
      </c>
      <c r="AK669" s="507"/>
      <c r="AL669" s="507">
        <f t="shared" si="536"/>
        <v>28.000000000000004</v>
      </c>
      <c r="AM669" s="507">
        <f t="shared" si="536"/>
        <v>357.14285714285717</v>
      </c>
      <c r="AN669" s="509"/>
      <c r="AO669" s="510"/>
      <c r="AP669" s="510" t="e">
        <f t="shared" ca="1" si="498"/>
        <v>#NAME?</v>
      </c>
      <c r="AQ669" s="532">
        <f>AQ670</f>
        <v>12477.1</v>
      </c>
      <c r="AR669" s="533"/>
      <c r="AS669" s="533">
        <f>W669/V669*100</f>
        <v>100</v>
      </c>
      <c r="AT669" s="533"/>
      <c r="AU669" s="533">
        <f>AQ669/W669*100</f>
        <v>24.9542</v>
      </c>
      <c r="AV669" s="533"/>
      <c r="AW669" s="612"/>
      <c r="AX669" s="612"/>
      <c r="AY669" s="612"/>
      <c r="AZ669" s="612"/>
      <c r="BA669" s="612"/>
      <c r="BB669" s="612"/>
      <c r="BC669" s="612"/>
      <c r="BD669" s="612"/>
      <c r="BE669" s="612"/>
      <c r="BF669" s="612"/>
      <c r="BG669" s="612"/>
      <c r="BH669" s="612">
        <f t="shared" si="501"/>
        <v>0</v>
      </c>
      <c r="BI669" s="612">
        <f t="shared" si="519"/>
        <v>0</v>
      </c>
      <c r="BJ669" s="201">
        <f t="shared" si="532"/>
        <v>0</v>
      </c>
    </row>
    <row r="670" spans="1:62" ht="12" customHeight="1">
      <c r="A670" s="52"/>
      <c r="B670" s="52"/>
      <c r="C670" s="52"/>
      <c r="D670" s="52"/>
      <c r="E670" s="52"/>
      <c r="F670" s="52"/>
      <c r="G670" s="52"/>
      <c r="H670" s="2">
        <v>116</v>
      </c>
      <c r="I670" s="289">
        <v>620</v>
      </c>
      <c r="J670" s="185">
        <v>4263</v>
      </c>
      <c r="K670" s="19" t="s">
        <v>565</v>
      </c>
      <c r="L670" s="129">
        <v>156682</v>
      </c>
      <c r="M670" s="129">
        <f>156682/7.5345</f>
        <v>20795.275068020437</v>
      </c>
      <c r="N670" s="130">
        <v>315000</v>
      </c>
      <c r="O670" s="130">
        <f>N670/7.5345</f>
        <v>41807.684650607203</v>
      </c>
      <c r="P670" s="131">
        <v>46500</v>
      </c>
      <c r="Q670" s="156">
        <v>5000</v>
      </c>
      <c r="R670" s="153">
        <v>0</v>
      </c>
      <c r="S670" s="158" t="e">
        <f ca="1">__xlfn.XLOOKUP(H670,[1]Izvršenje_proračuna_po_pozicija!$B$2:$B$153,[1]Izvršenje_proračuna_po_pozicija!$E$2:$E$153,0)</f>
        <v>#NAME?</v>
      </c>
      <c r="T670" s="158"/>
      <c r="U670" s="158"/>
      <c r="V670" s="532">
        <v>50000</v>
      </c>
      <c r="W670" s="532">
        <v>50000</v>
      </c>
      <c r="X670" s="560">
        <v>14000</v>
      </c>
      <c r="Y670" s="561">
        <v>50000</v>
      </c>
      <c r="Z670" s="561"/>
      <c r="AA670" s="562" t="e">
        <f t="shared" ca="1" si="500"/>
        <v>#NAME?</v>
      </c>
      <c r="AB670" s="535"/>
      <c r="AC670" s="529">
        <v>47000</v>
      </c>
      <c r="AD670" s="529">
        <v>47000</v>
      </c>
      <c r="AE670" s="529">
        <f>O670/M670*100</f>
        <v>201.04415312543878</v>
      </c>
      <c r="AF670" s="529">
        <f t="shared" si="535"/>
        <v>111.22357142857145</v>
      </c>
      <c r="AG670" s="529">
        <f t="shared" si="535"/>
        <v>10.75268817204301</v>
      </c>
      <c r="AH670" s="529">
        <f>AC670/Q670*100</f>
        <v>940</v>
      </c>
      <c r="AI670" s="535"/>
      <c r="AJ670" s="561">
        <v>50000</v>
      </c>
      <c r="AK670" s="507"/>
      <c r="AL670" s="507">
        <f t="shared" si="536"/>
        <v>28.000000000000004</v>
      </c>
      <c r="AM670" s="507">
        <f t="shared" si="536"/>
        <v>357.14285714285717</v>
      </c>
      <c r="AN670" s="556"/>
      <c r="AO670" s="510"/>
      <c r="AP670" s="510" t="e">
        <f t="shared" ca="1" si="498"/>
        <v>#NAME?</v>
      </c>
      <c r="AQ670" s="532">
        <v>12477.1</v>
      </c>
      <c r="AR670" s="533"/>
      <c r="AS670" s="533">
        <f>W670/V670*100</f>
        <v>100</v>
      </c>
      <c r="AT670" s="533"/>
      <c r="AU670" s="533">
        <f>AQ670/W670*100</f>
        <v>24.9542</v>
      </c>
      <c r="AV670" s="533"/>
      <c r="AW670" s="612"/>
      <c r="AX670" s="612"/>
      <c r="AY670" s="612"/>
      <c r="AZ670" s="612"/>
      <c r="BA670" s="612"/>
      <c r="BB670" s="612"/>
      <c r="BC670" s="612"/>
      <c r="BD670" s="612"/>
      <c r="BE670" s="612">
        <f>AQ670</f>
        <v>12477.1</v>
      </c>
      <c r="BF670" s="612"/>
      <c r="BG670" s="612"/>
      <c r="BH670" s="612">
        <f t="shared" si="501"/>
        <v>12477.1</v>
      </c>
      <c r="BI670" s="612">
        <f t="shared" si="519"/>
        <v>0</v>
      </c>
      <c r="BJ670" s="201">
        <f t="shared" si="532"/>
        <v>0</v>
      </c>
    </row>
    <row r="671" spans="1:62" ht="12" customHeight="1">
      <c r="A671" s="52"/>
      <c r="B671" s="52"/>
      <c r="C671" s="52"/>
      <c r="D671" s="52"/>
      <c r="E671" s="52"/>
      <c r="F671" s="52"/>
      <c r="G671" s="52"/>
      <c r="H671" s="17"/>
      <c r="I671" s="365"/>
      <c r="J671" s="299"/>
      <c r="K671" s="304"/>
      <c r="L671" s="305"/>
      <c r="M671" s="305"/>
      <c r="N671" s="306"/>
      <c r="O671" s="306"/>
      <c r="P671" s="307"/>
      <c r="Q671" s="307"/>
      <c r="R671" s="312"/>
      <c r="S671" s="158" t="e">
        <f ca="1">__xlfn.XLOOKUP(H671,[1]Izvršenje_proračuna_po_pozicija!$B$2:$B$153,[1]Izvršenje_proračuna_po_pozicija!$E$2:$E$153,0)</f>
        <v>#NAME?</v>
      </c>
      <c r="T671" s="311"/>
      <c r="U671" s="311"/>
      <c r="V671" s="532"/>
      <c r="W671" s="532"/>
      <c r="X671" s="584"/>
      <c r="Y671" s="585"/>
      <c r="Z671" s="585"/>
      <c r="AA671" s="562" t="e">
        <f t="shared" ca="1" si="500"/>
        <v>#NAME?</v>
      </c>
      <c r="AB671" s="586"/>
      <c r="AC671" s="587"/>
      <c r="AD671" s="587"/>
      <c r="AE671" s="529"/>
      <c r="AF671" s="529"/>
      <c r="AG671" s="529"/>
      <c r="AH671" s="529"/>
      <c r="AI671" s="586"/>
      <c r="AJ671" s="585"/>
      <c r="AK671" s="507"/>
      <c r="AL671" s="507"/>
      <c r="AM671" s="507"/>
      <c r="AN671" s="588"/>
      <c r="AO671" s="510"/>
      <c r="AP671" s="510" t="e">
        <f t="shared" ca="1" si="498"/>
        <v>#NAME?</v>
      </c>
      <c r="AQ671" s="532"/>
      <c r="AR671" s="533"/>
      <c r="AS671" s="533"/>
      <c r="AT671" s="533"/>
      <c r="AU671" s="533"/>
      <c r="AV671" s="533"/>
      <c r="AW671" s="612"/>
      <c r="AX671" s="612"/>
      <c r="AY671" s="612"/>
      <c r="AZ671" s="612"/>
      <c r="BA671" s="612"/>
      <c r="BB671" s="612"/>
      <c r="BC671" s="612"/>
      <c r="BD671" s="612"/>
      <c r="BE671" s="612"/>
      <c r="BF671" s="612"/>
      <c r="BG671" s="612"/>
      <c r="BH671" s="612">
        <f t="shared" si="501"/>
        <v>0</v>
      </c>
      <c r="BI671" s="612">
        <f t="shared" si="519"/>
        <v>0</v>
      </c>
      <c r="BJ671" s="201">
        <f t="shared" si="532"/>
        <v>0</v>
      </c>
    </row>
    <row r="672" spans="1:62" ht="12" customHeight="1">
      <c r="A672" s="282" t="s">
        <v>522</v>
      </c>
      <c r="B672" s="283"/>
      <c r="C672" s="283"/>
      <c r="D672" s="283"/>
      <c r="E672" s="283"/>
      <c r="F672" s="283"/>
      <c r="G672" s="283"/>
      <c r="H672" s="318"/>
      <c r="I672" s="366" t="s">
        <v>566</v>
      </c>
      <c r="J672" s="367"/>
      <c r="K672" s="368"/>
      <c r="L672" s="250">
        <f t="shared" ref="L672:S672" si="537">L674</f>
        <v>0</v>
      </c>
      <c r="M672" s="250">
        <f t="shared" si="537"/>
        <v>0</v>
      </c>
      <c r="N672" s="251">
        <f t="shared" si="537"/>
        <v>0</v>
      </c>
      <c r="O672" s="251">
        <f t="shared" si="537"/>
        <v>0</v>
      </c>
      <c r="P672" s="252">
        <f t="shared" si="537"/>
        <v>50000</v>
      </c>
      <c r="Q672" s="252">
        <f t="shared" si="537"/>
        <v>0</v>
      </c>
      <c r="R672" s="272">
        <f t="shared" si="537"/>
        <v>0</v>
      </c>
      <c r="S672" s="273" t="e">
        <f t="shared" ca="1" si="537"/>
        <v>#NAME?</v>
      </c>
      <c r="T672" s="273"/>
      <c r="U672" s="273"/>
      <c r="V672" s="532">
        <f>V674</f>
        <v>0</v>
      </c>
      <c r="W672" s="532">
        <f>W674</f>
        <v>0</v>
      </c>
      <c r="X672" s="564">
        <f>X674</f>
        <v>0</v>
      </c>
      <c r="Y672" s="565">
        <f>Y674</f>
        <v>0</v>
      </c>
      <c r="Z672" s="565">
        <f>Z674</f>
        <v>0</v>
      </c>
      <c r="AA672" s="562" t="e">
        <f t="shared" ca="1" si="500"/>
        <v>#NAME?</v>
      </c>
      <c r="AB672" s="565"/>
      <c r="AC672" s="566">
        <f>AC674</f>
        <v>40000</v>
      </c>
      <c r="AD672" s="566">
        <f>AD674</f>
        <v>40000</v>
      </c>
      <c r="AE672" s="529"/>
      <c r="AF672" s="529"/>
      <c r="AG672" s="529"/>
      <c r="AH672" s="529"/>
      <c r="AI672" s="565"/>
      <c r="AJ672" s="565">
        <v>0</v>
      </c>
      <c r="AK672" s="507"/>
      <c r="AL672" s="507"/>
      <c r="AM672" s="507"/>
      <c r="AN672" s="567"/>
      <c r="AO672" s="510"/>
      <c r="AP672" s="510" t="e">
        <f t="shared" ca="1" si="498"/>
        <v>#NAME?</v>
      </c>
      <c r="AQ672" s="532">
        <f>AQ674</f>
        <v>0</v>
      </c>
      <c r="AR672" s="533"/>
      <c r="AS672" s="533"/>
      <c r="AT672" s="533"/>
      <c r="AU672" s="533"/>
      <c r="AV672" s="533"/>
      <c r="AW672" s="612"/>
      <c r="AX672" s="612"/>
      <c r="AY672" s="612"/>
      <c r="AZ672" s="612"/>
      <c r="BA672" s="612"/>
      <c r="BB672" s="612"/>
      <c r="BC672" s="612"/>
      <c r="BD672" s="612"/>
      <c r="BE672" s="612"/>
      <c r="BF672" s="612"/>
      <c r="BG672" s="612"/>
      <c r="BH672" s="612">
        <f t="shared" si="501"/>
        <v>0</v>
      </c>
      <c r="BI672" s="612">
        <f t="shared" si="519"/>
        <v>0</v>
      </c>
      <c r="BJ672" s="201"/>
    </row>
    <row r="673" spans="1:62" ht="12" customHeight="1">
      <c r="A673" s="41"/>
      <c r="B673" s="41"/>
      <c r="C673" s="41"/>
      <c r="D673" s="41"/>
      <c r="E673" s="41"/>
      <c r="F673" s="41"/>
      <c r="G673" s="41"/>
      <c r="H673" s="235"/>
      <c r="I673" s="15"/>
      <c r="J673" s="3"/>
      <c r="K673" s="211"/>
      <c r="L673" s="84"/>
      <c r="M673" s="84"/>
      <c r="N673" s="85"/>
      <c r="O673" s="85"/>
      <c r="P673" s="86"/>
      <c r="Q673" s="86"/>
      <c r="R673" s="154"/>
      <c r="S673" s="158" t="e">
        <f ca="1">__xlfn.XLOOKUP(H673,[1]Izvršenje_proračuna_po_pozicija!$B$2:$B$153,[1]Izvršenje_proračuna_po_pozicija!$E$2:$E$153,0)</f>
        <v>#NAME?</v>
      </c>
      <c r="T673" s="158"/>
      <c r="U673" s="158"/>
      <c r="V673" s="532"/>
      <c r="W673" s="532"/>
      <c r="X673" s="568"/>
      <c r="Y673" s="569"/>
      <c r="Z673" s="569"/>
      <c r="AA673" s="562" t="e">
        <f t="shared" ca="1" si="500"/>
        <v>#NAME?</v>
      </c>
      <c r="AB673" s="537"/>
      <c r="AC673" s="538"/>
      <c r="AD673" s="538"/>
      <c r="AE673" s="529"/>
      <c r="AF673" s="529"/>
      <c r="AG673" s="529"/>
      <c r="AH673" s="529"/>
      <c r="AI673" s="537"/>
      <c r="AJ673" s="569"/>
      <c r="AK673" s="507"/>
      <c r="AL673" s="507"/>
      <c r="AM673" s="507"/>
      <c r="AN673" s="557"/>
      <c r="AO673" s="510"/>
      <c r="AP673" s="510" t="e">
        <f t="shared" ca="1" si="498"/>
        <v>#NAME?</v>
      </c>
      <c r="AQ673" s="532"/>
      <c r="AR673" s="533"/>
      <c r="AS673" s="533"/>
      <c r="AT673" s="533"/>
      <c r="AU673" s="533"/>
      <c r="AV673" s="533"/>
      <c r="AW673" s="612"/>
      <c r="AX673" s="612"/>
      <c r="AY673" s="612"/>
      <c r="AZ673" s="612"/>
      <c r="BA673" s="612"/>
      <c r="BB673" s="612"/>
      <c r="BC673" s="612"/>
      <c r="BD673" s="612"/>
      <c r="BE673" s="612"/>
      <c r="BF673" s="612"/>
      <c r="BG673" s="612"/>
      <c r="BH673" s="612">
        <f t="shared" si="501"/>
        <v>0</v>
      </c>
      <c r="BI673" s="612">
        <f t="shared" si="519"/>
        <v>0</v>
      </c>
      <c r="BJ673" s="201"/>
    </row>
    <row r="674" spans="1:62" ht="12" customHeight="1">
      <c r="A674" s="25"/>
      <c r="B674" s="25"/>
      <c r="C674" s="25"/>
      <c r="D674" s="25"/>
      <c r="E674" s="25"/>
      <c r="F674" s="25"/>
      <c r="G674" s="25"/>
      <c r="H674" s="285"/>
      <c r="I674" s="349"/>
      <c r="J674" s="211">
        <v>3</v>
      </c>
      <c r="K674" s="3" t="s">
        <v>220</v>
      </c>
      <c r="L674" s="111">
        <f t="shared" ref="L674:AD676" si="538">L675</f>
        <v>0</v>
      </c>
      <c r="M674" s="111">
        <f t="shared" si="538"/>
        <v>0</v>
      </c>
      <c r="N674" s="112">
        <f t="shared" si="538"/>
        <v>0</v>
      </c>
      <c r="O674" s="112">
        <f t="shared" si="538"/>
        <v>0</v>
      </c>
      <c r="P674" s="113">
        <f t="shared" si="538"/>
        <v>50000</v>
      </c>
      <c r="Q674" s="113">
        <f t="shared" si="538"/>
        <v>0</v>
      </c>
      <c r="R674" s="87">
        <f t="shared" si="538"/>
        <v>0</v>
      </c>
      <c r="S674" s="89" t="e">
        <f t="shared" ca="1" si="538"/>
        <v>#NAME?</v>
      </c>
      <c r="T674" s="89"/>
      <c r="U674" s="89"/>
      <c r="V674" s="532">
        <f>V675</f>
        <v>0</v>
      </c>
      <c r="W674" s="532">
        <f t="shared" si="538"/>
        <v>0</v>
      </c>
      <c r="X674" s="506">
        <f t="shared" si="538"/>
        <v>0</v>
      </c>
      <c r="Y674" s="507">
        <f t="shared" si="538"/>
        <v>0</v>
      </c>
      <c r="Z674" s="507">
        <f t="shared" si="538"/>
        <v>0</v>
      </c>
      <c r="AA674" s="562" t="e">
        <f t="shared" ca="1" si="500"/>
        <v>#NAME?</v>
      </c>
      <c r="AB674" s="507"/>
      <c r="AC674" s="508">
        <f t="shared" si="538"/>
        <v>40000</v>
      </c>
      <c r="AD674" s="508">
        <f t="shared" si="538"/>
        <v>40000</v>
      </c>
      <c r="AE674" s="529"/>
      <c r="AF674" s="529"/>
      <c r="AG674" s="529"/>
      <c r="AH674" s="529"/>
      <c r="AI674" s="507"/>
      <c r="AJ674" s="507">
        <v>0</v>
      </c>
      <c r="AK674" s="507"/>
      <c r="AL674" s="507"/>
      <c r="AM674" s="507"/>
      <c r="AN674" s="509"/>
      <c r="AO674" s="510"/>
      <c r="AP674" s="510" t="e">
        <f t="shared" ca="1" si="498"/>
        <v>#NAME?</v>
      </c>
      <c r="AQ674" s="532">
        <f>AQ675</f>
        <v>0</v>
      </c>
      <c r="AR674" s="533"/>
      <c r="AS674" s="533"/>
      <c r="AT674" s="533"/>
      <c r="AU674" s="533"/>
      <c r="AV674" s="533"/>
      <c r="AW674" s="612"/>
      <c r="AX674" s="612"/>
      <c r="AY674" s="612"/>
      <c r="AZ674" s="612"/>
      <c r="BA674" s="612"/>
      <c r="BB674" s="612"/>
      <c r="BC674" s="612"/>
      <c r="BD674" s="612"/>
      <c r="BE674" s="612"/>
      <c r="BF674" s="612"/>
      <c r="BG674" s="612"/>
      <c r="BH674" s="612">
        <f t="shared" si="501"/>
        <v>0</v>
      </c>
      <c r="BI674" s="612">
        <f t="shared" si="519"/>
        <v>0</v>
      </c>
      <c r="BJ674" s="201"/>
    </row>
    <row r="675" spans="1:62" ht="12" customHeight="1">
      <c r="A675" s="227"/>
      <c r="B675" s="227"/>
      <c r="C675" s="227"/>
      <c r="D675" s="227"/>
      <c r="E675" s="227"/>
      <c r="F675" s="227"/>
      <c r="G675" s="227"/>
      <c r="H675" s="234"/>
      <c r="I675" s="265"/>
      <c r="J675" s="228">
        <v>38</v>
      </c>
      <c r="K675" s="258" t="s">
        <v>281</v>
      </c>
      <c r="L675" s="111">
        <f t="shared" si="538"/>
        <v>0</v>
      </c>
      <c r="M675" s="111">
        <f t="shared" si="538"/>
        <v>0</v>
      </c>
      <c r="N675" s="112">
        <f t="shared" si="538"/>
        <v>0</v>
      </c>
      <c r="O675" s="112">
        <f t="shared" si="538"/>
        <v>0</v>
      </c>
      <c r="P675" s="113">
        <f t="shared" si="538"/>
        <v>50000</v>
      </c>
      <c r="Q675" s="113">
        <f t="shared" si="538"/>
        <v>0</v>
      </c>
      <c r="R675" s="87">
        <f t="shared" si="538"/>
        <v>0</v>
      </c>
      <c r="S675" s="89" t="e">
        <f t="shared" ca="1" si="538"/>
        <v>#NAME?</v>
      </c>
      <c r="T675" s="89"/>
      <c r="U675" s="89"/>
      <c r="V675" s="532">
        <f>V676</f>
        <v>0</v>
      </c>
      <c r="W675" s="532">
        <f t="shared" si="538"/>
        <v>0</v>
      </c>
      <c r="X675" s="506">
        <f t="shared" si="538"/>
        <v>0</v>
      </c>
      <c r="Y675" s="507">
        <f t="shared" si="538"/>
        <v>0</v>
      </c>
      <c r="Z675" s="507">
        <f t="shared" si="538"/>
        <v>0</v>
      </c>
      <c r="AA675" s="562" t="e">
        <f t="shared" ca="1" si="500"/>
        <v>#NAME?</v>
      </c>
      <c r="AB675" s="507"/>
      <c r="AC675" s="508">
        <f t="shared" si="538"/>
        <v>40000</v>
      </c>
      <c r="AD675" s="508">
        <f t="shared" si="538"/>
        <v>40000</v>
      </c>
      <c r="AE675" s="529"/>
      <c r="AF675" s="529"/>
      <c r="AG675" s="529"/>
      <c r="AH675" s="529"/>
      <c r="AI675" s="507"/>
      <c r="AJ675" s="507">
        <v>0</v>
      </c>
      <c r="AK675" s="507"/>
      <c r="AL675" s="507"/>
      <c r="AM675" s="507"/>
      <c r="AN675" s="509"/>
      <c r="AO675" s="510"/>
      <c r="AP675" s="510" t="e">
        <f t="shared" ref="AP675:AP738" ca="1" si="539">__xlfn.ISFORMULA(X675)</f>
        <v>#NAME?</v>
      </c>
      <c r="AQ675" s="532">
        <f>AQ676</f>
        <v>0</v>
      </c>
      <c r="AR675" s="533"/>
      <c r="AS675" s="533"/>
      <c r="AT675" s="533"/>
      <c r="AU675" s="533"/>
      <c r="AV675" s="533"/>
      <c r="AW675" s="612"/>
      <c r="AX675" s="612"/>
      <c r="AY675" s="612"/>
      <c r="AZ675" s="612"/>
      <c r="BA675" s="612"/>
      <c r="BB675" s="612"/>
      <c r="BC675" s="612"/>
      <c r="BD675" s="612"/>
      <c r="BE675" s="612"/>
      <c r="BF675" s="612"/>
      <c r="BG675" s="612"/>
      <c r="BH675" s="612">
        <f t="shared" si="501"/>
        <v>0</v>
      </c>
      <c r="BI675" s="612">
        <f t="shared" si="519"/>
        <v>0</v>
      </c>
      <c r="BJ675" s="201"/>
    </row>
    <row r="676" spans="1:62" ht="12" customHeight="1">
      <c r="A676" s="61"/>
      <c r="B676" s="61"/>
      <c r="C676" s="61"/>
      <c r="D676" s="61"/>
      <c r="E676" s="61"/>
      <c r="F676" s="61"/>
      <c r="G676" s="61"/>
      <c r="H676" s="230"/>
      <c r="I676" s="348"/>
      <c r="J676" s="229">
        <v>386</v>
      </c>
      <c r="K676" s="20" t="s">
        <v>495</v>
      </c>
      <c r="L676" s="111">
        <f t="shared" si="538"/>
        <v>0</v>
      </c>
      <c r="M676" s="111">
        <f t="shared" si="538"/>
        <v>0</v>
      </c>
      <c r="N676" s="112">
        <f t="shared" si="538"/>
        <v>0</v>
      </c>
      <c r="O676" s="112">
        <f t="shared" si="538"/>
        <v>0</v>
      </c>
      <c r="P676" s="113">
        <f t="shared" si="538"/>
        <v>50000</v>
      </c>
      <c r="Q676" s="113">
        <f t="shared" si="538"/>
        <v>0</v>
      </c>
      <c r="R676" s="87">
        <f t="shared" si="538"/>
        <v>0</v>
      </c>
      <c r="S676" s="89" t="e">
        <f t="shared" ca="1" si="538"/>
        <v>#NAME?</v>
      </c>
      <c r="T676" s="89"/>
      <c r="U676" s="89"/>
      <c r="V676" s="532">
        <f>V677</f>
        <v>0</v>
      </c>
      <c r="W676" s="532">
        <f t="shared" si="538"/>
        <v>0</v>
      </c>
      <c r="X676" s="506">
        <f t="shared" si="538"/>
        <v>0</v>
      </c>
      <c r="Y676" s="507">
        <f t="shared" si="538"/>
        <v>0</v>
      </c>
      <c r="Z676" s="507">
        <f t="shared" si="538"/>
        <v>0</v>
      </c>
      <c r="AA676" s="562" t="e">
        <f t="shared" ca="1" si="500"/>
        <v>#NAME?</v>
      </c>
      <c r="AB676" s="507"/>
      <c r="AC676" s="508">
        <f>AC677</f>
        <v>40000</v>
      </c>
      <c r="AD676" s="508">
        <f>AD677</f>
        <v>40000</v>
      </c>
      <c r="AE676" s="529"/>
      <c r="AF676" s="529"/>
      <c r="AG676" s="529"/>
      <c r="AH676" s="529"/>
      <c r="AI676" s="507"/>
      <c r="AJ676" s="507">
        <v>0</v>
      </c>
      <c r="AK676" s="507"/>
      <c r="AL676" s="507"/>
      <c r="AM676" s="507"/>
      <c r="AN676" s="509"/>
      <c r="AO676" s="510"/>
      <c r="AP676" s="510" t="e">
        <f t="shared" ca="1" si="539"/>
        <v>#NAME?</v>
      </c>
      <c r="AQ676" s="532">
        <f>AQ677</f>
        <v>0</v>
      </c>
      <c r="AR676" s="533"/>
      <c r="AS676" s="533"/>
      <c r="AT676" s="533"/>
      <c r="AU676" s="533"/>
      <c r="AV676" s="533"/>
      <c r="AW676" s="612"/>
      <c r="AX676" s="612"/>
      <c r="AY676" s="612"/>
      <c r="AZ676" s="612"/>
      <c r="BA676" s="612"/>
      <c r="BB676" s="612"/>
      <c r="BC676" s="612"/>
      <c r="BD676" s="612"/>
      <c r="BE676" s="612"/>
      <c r="BF676" s="612"/>
      <c r="BG676" s="612"/>
      <c r="BH676" s="612">
        <f t="shared" si="501"/>
        <v>0</v>
      </c>
      <c r="BI676" s="612">
        <f t="shared" si="519"/>
        <v>0</v>
      </c>
      <c r="BJ676" s="201"/>
    </row>
    <row r="677" spans="1:62" ht="12" customHeight="1">
      <c r="A677" s="52"/>
      <c r="B677" s="52"/>
      <c r="C677" s="52"/>
      <c r="D677" s="52"/>
      <c r="E677" s="52"/>
      <c r="F677" s="52"/>
      <c r="G677" s="52"/>
      <c r="H677" s="2">
        <v>170</v>
      </c>
      <c r="I677" s="289">
        <v>630</v>
      </c>
      <c r="J677" s="185">
        <v>3861</v>
      </c>
      <c r="K677" s="478" t="s">
        <v>567</v>
      </c>
      <c r="L677" s="129">
        <v>0</v>
      </c>
      <c r="M677" s="129">
        <v>0</v>
      </c>
      <c r="N677" s="130">
        <v>0</v>
      </c>
      <c r="O677" s="130">
        <v>0</v>
      </c>
      <c r="P677" s="131">
        <v>50000</v>
      </c>
      <c r="Q677" s="156">
        <v>0</v>
      </c>
      <c r="R677" s="153">
        <v>0</v>
      </c>
      <c r="S677" s="158" t="e">
        <f ca="1">__xlfn.XLOOKUP(H677,[1]Izvršenje_proračuna_po_pozicija!$B$2:$B$153,[1]Izvršenje_proračuna_po_pozicija!$E$2:$E$153,0)</f>
        <v>#NAME?</v>
      </c>
      <c r="T677" s="158"/>
      <c r="U677" s="158"/>
      <c r="V677" s="532"/>
      <c r="W677" s="532"/>
      <c r="X677" s="560"/>
      <c r="Y677" s="561"/>
      <c r="Z677" s="561"/>
      <c r="AA677" s="562" t="e">
        <f t="shared" ref="AA677:AA740" ca="1" si="540">__xlfn.ISFORMULA(R677)</f>
        <v>#NAME?</v>
      </c>
      <c r="AB677" s="535"/>
      <c r="AC677" s="529">
        <v>40000</v>
      </c>
      <c r="AD677" s="529">
        <v>40000</v>
      </c>
      <c r="AE677" s="529"/>
      <c r="AF677" s="529"/>
      <c r="AG677" s="529"/>
      <c r="AH677" s="529"/>
      <c r="AI677" s="535"/>
      <c r="AJ677" s="561"/>
      <c r="AK677" s="507"/>
      <c r="AL677" s="507"/>
      <c r="AM677" s="507"/>
      <c r="AN677" s="556"/>
      <c r="AO677" s="510"/>
      <c r="AP677" s="510" t="e">
        <f t="shared" ca="1" si="539"/>
        <v>#NAME?</v>
      </c>
      <c r="AQ677" s="532"/>
      <c r="AR677" s="533"/>
      <c r="AS677" s="533"/>
      <c r="AT677" s="533"/>
      <c r="AU677" s="533"/>
      <c r="AV677" s="533"/>
      <c r="AW677" s="612"/>
      <c r="AX677" s="612"/>
      <c r="AY677" s="612"/>
      <c r="AZ677" s="612"/>
      <c r="BA677" s="612"/>
      <c r="BB677" s="612"/>
      <c r="BC677" s="612"/>
      <c r="BD677" s="612"/>
      <c r="BE677" s="612"/>
      <c r="BF677" s="612"/>
      <c r="BG677" s="612"/>
      <c r="BH677" s="612">
        <f t="shared" ref="BH677:BH740" si="541">SUM(AW677:BG677)</f>
        <v>0</v>
      </c>
      <c r="BI677" s="612">
        <f t="shared" si="519"/>
        <v>65515.11</v>
      </c>
      <c r="BJ677" s="201">
        <f>AQ684-BI677</f>
        <v>0</v>
      </c>
    </row>
    <row r="678" spans="1:62" ht="12" customHeight="1">
      <c r="A678" s="41"/>
      <c r="B678" s="41"/>
      <c r="C678" s="41"/>
      <c r="D678" s="41"/>
      <c r="E678" s="41"/>
      <c r="F678" s="41"/>
      <c r="G678" s="41"/>
      <c r="H678" s="235"/>
      <c r="I678" s="15"/>
      <c r="J678" s="3"/>
      <c r="K678" s="83"/>
      <c r="L678" s="84"/>
      <c r="M678" s="84"/>
      <c r="N678" s="85"/>
      <c r="O678" s="85"/>
      <c r="P678" s="86"/>
      <c r="Q678" s="86"/>
      <c r="R678" s="154"/>
      <c r="S678" s="158" t="e">
        <f ca="1">__xlfn.XLOOKUP(H678,[1]Izvršenje_proračuna_po_pozicija!$B$2:$B$153,[1]Izvršenje_proračuna_po_pozicija!$E$2:$E$153,0)</f>
        <v>#NAME?</v>
      </c>
      <c r="T678" s="158"/>
      <c r="U678" s="158"/>
      <c r="V678" s="532"/>
      <c r="W678" s="532"/>
      <c r="X678" s="568"/>
      <c r="Y678" s="569"/>
      <c r="Z678" s="569"/>
      <c r="AA678" s="562" t="e">
        <f t="shared" ca="1" si="540"/>
        <v>#NAME?</v>
      </c>
      <c r="AB678" s="537"/>
      <c r="AC678" s="538"/>
      <c r="AD678" s="538"/>
      <c r="AE678" s="529"/>
      <c r="AF678" s="529"/>
      <c r="AG678" s="529"/>
      <c r="AH678" s="529"/>
      <c r="AI678" s="537"/>
      <c r="AJ678" s="569"/>
      <c r="AK678" s="507"/>
      <c r="AL678" s="507"/>
      <c r="AM678" s="507"/>
      <c r="AN678" s="557"/>
      <c r="AO678" s="510"/>
      <c r="AP678" s="510" t="e">
        <f t="shared" ca="1" si="539"/>
        <v>#NAME?</v>
      </c>
      <c r="AQ678" s="532"/>
      <c r="AR678" s="533"/>
      <c r="AS678" s="533"/>
      <c r="AT678" s="533"/>
      <c r="AU678" s="533"/>
      <c r="AV678" s="533"/>
      <c r="AW678" s="612"/>
      <c r="AX678" s="612"/>
      <c r="AY678" s="612"/>
      <c r="AZ678" s="612"/>
      <c r="BA678" s="612"/>
      <c r="BB678" s="612"/>
      <c r="BC678" s="612"/>
      <c r="BD678" s="612"/>
      <c r="BE678" s="612"/>
      <c r="BF678" s="612"/>
      <c r="BG678" s="612"/>
      <c r="BH678" s="612">
        <f t="shared" si="541"/>
        <v>0</v>
      </c>
      <c r="BI678" s="612">
        <f t="shared" si="519"/>
        <v>0</v>
      </c>
      <c r="BJ678" s="201">
        <f>AQ685-BI678</f>
        <v>0</v>
      </c>
    </row>
    <row r="679" spans="1:62" ht="12" customHeight="1">
      <c r="A679" s="282" t="s">
        <v>568</v>
      </c>
      <c r="B679" s="283"/>
      <c r="C679" s="283"/>
      <c r="D679" s="283"/>
      <c r="E679" s="283"/>
      <c r="F679" s="283"/>
      <c r="G679" s="283"/>
      <c r="H679" s="284"/>
      <c r="I679" s="369" t="s">
        <v>569</v>
      </c>
      <c r="J679" s="370"/>
      <c r="K679" s="226"/>
      <c r="L679" s="111">
        <f t="shared" ref="L679:S679" si="542">L681</f>
        <v>763177</v>
      </c>
      <c r="M679" s="111">
        <f t="shared" si="542"/>
        <v>101290.99475744905</v>
      </c>
      <c r="N679" s="112">
        <f t="shared" si="542"/>
        <v>1155015</v>
      </c>
      <c r="O679" s="112">
        <f t="shared" si="542"/>
        <v>153296.83456101932</v>
      </c>
      <c r="P679" s="113">
        <f t="shared" si="542"/>
        <v>123000</v>
      </c>
      <c r="Q679" s="113">
        <f t="shared" si="542"/>
        <v>133000</v>
      </c>
      <c r="R679" s="87">
        <f t="shared" si="542"/>
        <v>123652</v>
      </c>
      <c r="S679" s="89" t="e">
        <f t="shared" ca="1" si="542"/>
        <v>#NAME?</v>
      </c>
      <c r="T679" s="89"/>
      <c r="U679" s="89"/>
      <c r="V679" s="532">
        <f>V681</f>
        <v>235000</v>
      </c>
      <c r="W679" s="532">
        <f>W681</f>
        <v>235000</v>
      </c>
      <c r="X679" s="506">
        <f>X681</f>
        <v>250000</v>
      </c>
      <c r="Y679" s="507">
        <f>Y681</f>
        <v>230000</v>
      </c>
      <c r="Z679" s="507">
        <f>Z681</f>
        <v>0</v>
      </c>
      <c r="AA679" s="562" t="e">
        <f t="shared" ca="1" si="540"/>
        <v>#NAME?</v>
      </c>
      <c r="AB679" s="507"/>
      <c r="AC679" s="508">
        <f>AC681</f>
        <v>129000</v>
      </c>
      <c r="AD679" s="508">
        <f>AD681</f>
        <v>129000</v>
      </c>
      <c r="AE679" s="529">
        <f>O679/M679*100</f>
        <v>151.3430043096163</v>
      </c>
      <c r="AF679" s="529">
        <f>P679/O679*100</f>
        <v>80.23649043518914</v>
      </c>
      <c r="AG679" s="529">
        <f>Q679/P679*100</f>
        <v>108.130081300813</v>
      </c>
      <c r="AH679" s="529">
        <f>AC679/Q679*100</f>
        <v>96.992481203007515</v>
      </c>
      <c r="AI679" s="507"/>
      <c r="AJ679" s="507">
        <v>230000</v>
      </c>
      <c r="AK679" s="507">
        <f t="shared" ref="AK679:AK729" si="543">W679/R679*100</f>
        <v>190.04949374049752</v>
      </c>
      <c r="AL679" s="507">
        <f>X679/W679*100</f>
        <v>106.38297872340425</v>
      </c>
      <c r="AM679" s="507">
        <f>Y679/X679*100</f>
        <v>92</v>
      </c>
      <c r="AN679" s="509"/>
      <c r="AO679" s="510"/>
      <c r="AP679" s="510" t="e">
        <f t="shared" ca="1" si="539"/>
        <v>#NAME?</v>
      </c>
      <c r="AQ679" s="532">
        <f>AQ681</f>
        <v>215163.59999999998</v>
      </c>
      <c r="AR679" s="533">
        <f>V679/R679*100</f>
        <v>190.04949374049752</v>
      </c>
      <c r="AS679" s="533">
        <f>W679/V679*100</f>
        <v>100</v>
      </c>
      <c r="AT679" s="533">
        <f>W679/R679*100</f>
        <v>190.04949374049752</v>
      </c>
      <c r="AU679" s="533">
        <f>AQ679/W679*100</f>
        <v>91.558978723404252</v>
      </c>
      <c r="AV679" s="533">
        <f>AQ679/R679*100</f>
        <v>174.00737553779962</v>
      </c>
      <c r="AW679" s="612"/>
      <c r="AX679" s="612"/>
      <c r="AY679" s="612"/>
      <c r="AZ679" s="612"/>
      <c r="BA679" s="612"/>
      <c r="BB679" s="612"/>
      <c r="BC679" s="612"/>
      <c r="BD679" s="612"/>
      <c r="BE679" s="612"/>
      <c r="BF679" s="612"/>
      <c r="BG679" s="612"/>
      <c r="BH679" s="612">
        <f t="shared" si="541"/>
        <v>0</v>
      </c>
      <c r="BI679" s="612">
        <f t="shared" si="519"/>
        <v>0</v>
      </c>
      <c r="BJ679" s="201"/>
    </row>
    <row r="680" spans="1:62" ht="12" customHeight="1">
      <c r="A680" s="68"/>
      <c r="B680" s="68"/>
      <c r="C680" s="68"/>
      <c r="D680" s="68"/>
      <c r="E680" s="68"/>
      <c r="F680" s="68"/>
      <c r="G680" s="68"/>
      <c r="H680" s="281"/>
      <c r="I680" s="256"/>
      <c r="J680" s="211"/>
      <c r="K680" s="69"/>
      <c r="L680" s="175"/>
      <c r="M680" s="175"/>
      <c r="N680" s="176"/>
      <c r="O680" s="176"/>
      <c r="P680" s="177"/>
      <c r="Q680" s="177"/>
      <c r="R680" s="212"/>
      <c r="S680" s="158" t="e">
        <f ca="1">__xlfn.XLOOKUP(H680,[1]Izvršenje_proračuna_po_pozicija!$B$2:$B$153,[1]Izvršenje_proračuna_po_pozicija!$E$2:$E$153,0)</f>
        <v>#NAME?</v>
      </c>
      <c r="T680" s="158"/>
      <c r="U680" s="158"/>
      <c r="V680" s="532"/>
      <c r="W680" s="532"/>
      <c r="X680" s="563"/>
      <c r="Y680" s="562"/>
      <c r="Z680" s="562"/>
      <c r="AA680" s="562" t="e">
        <f t="shared" ca="1" si="540"/>
        <v>#NAME?</v>
      </c>
      <c r="AB680" s="507"/>
      <c r="AC680" s="508"/>
      <c r="AD680" s="508"/>
      <c r="AE680" s="529"/>
      <c r="AF680" s="529"/>
      <c r="AG680" s="529"/>
      <c r="AH680" s="529"/>
      <c r="AI680" s="507"/>
      <c r="AJ680" s="562"/>
      <c r="AK680" s="507"/>
      <c r="AL680" s="507"/>
      <c r="AM680" s="507"/>
      <c r="AN680" s="509"/>
      <c r="AO680" s="590"/>
      <c r="AP680" s="510" t="e">
        <f t="shared" ca="1" si="539"/>
        <v>#NAME?</v>
      </c>
      <c r="AQ680" s="532"/>
      <c r="AR680" s="533"/>
      <c r="AS680" s="533"/>
      <c r="AT680" s="533"/>
      <c r="AU680" s="533"/>
      <c r="AV680" s="533"/>
      <c r="AW680" s="612"/>
      <c r="AX680" s="612"/>
      <c r="AY680" s="612"/>
      <c r="AZ680" s="612"/>
      <c r="BA680" s="612"/>
      <c r="BB680" s="612"/>
      <c r="BC680" s="612"/>
      <c r="BD680" s="612"/>
      <c r="BE680" s="612"/>
      <c r="BF680" s="612"/>
      <c r="BG680" s="612"/>
      <c r="BH680" s="612">
        <f t="shared" si="541"/>
        <v>0</v>
      </c>
      <c r="BI680" s="612">
        <f t="shared" si="519"/>
        <v>149648</v>
      </c>
      <c r="BJ680" s="201">
        <f>AQ687-BI680</f>
        <v>0.48999999999068677</v>
      </c>
    </row>
    <row r="681" spans="1:62" ht="12" customHeight="1">
      <c r="A681" s="25"/>
      <c r="B681" s="25"/>
      <c r="C681" s="25"/>
      <c r="D681" s="25"/>
      <c r="E681" s="25"/>
      <c r="F681" s="25"/>
      <c r="G681" s="25"/>
      <c r="H681" s="285"/>
      <c r="I681" s="349"/>
      <c r="J681" s="211">
        <v>3</v>
      </c>
      <c r="K681" s="3" t="s">
        <v>220</v>
      </c>
      <c r="L681" s="111">
        <f t="shared" ref="L681:Z681" si="544">L682</f>
        <v>763177</v>
      </c>
      <c r="M681" s="111">
        <f t="shared" si="544"/>
        <v>101290.99475744905</v>
      </c>
      <c r="N681" s="112">
        <f t="shared" si="544"/>
        <v>1155015</v>
      </c>
      <c r="O681" s="112">
        <f t="shared" si="544"/>
        <v>153296.83456101932</v>
      </c>
      <c r="P681" s="113">
        <f t="shared" si="544"/>
        <v>123000</v>
      </c>
      <c r="Q681" s="113">
        <f t="shared" si="544"/>
        <v>133000</v>
      </c>
      <c r="R681" s="87">
        <f t="shared" si="544"/>
        <v>123652</v>
      </c>
      <c r="S681" s="89" t="e">
        <f t="shared" ca="1" si="544"/>
        <v>#NAME?</v>
      </c>
      <c r="T681" s="89"/>
      <c r="U681" s="89"/>
      <c r="V681" s="532">
        <f t="shared" ref="V681:V686" si="545">V682</f>
        <v>235000</v>
      </c>
      <c r="W681" s="532">
        <f t="shared" si="544"/>
        <v>235000</v>
      </c>
      <c r="X681" s="506">
        <f t="shared" si="544"/>
        <v>250000</v>
      </c>
      <c r="Y681" s="507">
        <f t="shared" si="544"/>
        <v>230000</v>
      </c>
      <c r="Z681" s="507">
        <f t="shared" si="544"/>
        <v>0</v>
      </c>
      <c r="AA681" s="562" t="e">
        <f t="shared" ca="1" si="540"/>
        <v>#NAME?</v>
      </c>
      <c r="AB681" s="507"/>
      <c r="AC681" s="508">
        <f>AC682</f>
        <v>129000</v>
      </c>
      <c r="AD681" s="508">
        <f>AD682</f>
        <v>129000</v>
      </c>
      <c r="AE681" s="529">
        <f>O681/M681*100</f>
        <v>151.3430043096163</v>
      </c>
      <c r="AF681" s="529">
        <f t="shared" ref="AF681:AG684" si="546">P681/O681*100</f>
        <v>80.23649043518914</v>
      </c>
      <c r="AG681" s="529">
        <f t="shared" si="546"/>
        <v>108.130081300813</v>
      </c>
      <c r="AH681" s="529">
        <f>AC681/Q681*100</f>
        <v>96.992481203007515</v>
      </c>
      <c r="AI681" s="507"/>
      <c r="AJ681" s="507">
        <v>230000</v>
      </c>
      <c r="AK681" s="507">
        <f t="shared" si="543"/>
        <v>190.04949374049752</v>
      </c>
      <c r="AL681" s="507">
        <f t="shared" ref="AL681:AM684" si="547">X681/W681*100</f>
        <v>106.38297872340425</v>
      </c>
      <c r="AM681" s="507">
        <f t="shared" si="547"/>
        <v>92</v>
      </c>
      <c r="AN681" s="509"/>
      <c r="AO681" s="590"/>
      <c r="AP681" s="510" t="e">
        <f t="shared" ca="1" si="539"/>
        <v>#NAME?</v>
      </c>
      <c r="AQ681" s="532">
        <f>AQ682</f>
        <v>215163.59999999998</v>
      </c>
      <c r="AR681" s="533">
        <f>V681/R681*100</f>
        <v>190.04949374049752</v>
      </c>
      <c r="AS681" s="533">
        <f>W681/V681*100</f>
        <v>100</v>
      </c>
      <c r="AT681" s="533">
        <f>W681/R681*100</f>
        <v>190.04949374049752</v>
      </c>
      <c r="AU681" s="533">
        <f>AQ681/W681*100</f>
        <v>91.558978723404252</v>
      </c>
      <c r="AV681" s="533">
        <f>AQ681/R681*100</f>
        <v>174.00737553779962</v>
      </c>
      <c r="AW681" s="612"/>
      <c r="AX681" s="612"/>
      <c r="AY681" s="612"/>
      <c r="AZ681" s="612"/>
      <c r="BA681" s="612"/>
      <c r="BB681" s="612"/>
      <c r="BC681" s="612"/>
      <c r="BD681" s="612"/>
      <c r="BE681" s="612"/>
      <c r="BF681" s="612"/>
      <c r="BG681" s="612"/>
      <c r="BH681" s="612">
        <f t="shared" si="541"/>
        <v>0</v>
      </c>
      <c r="BI681" s="612">
        <f t="shared" si="519"/>
        <v>0</v>
      </c>
      <c r="BJ681" s="201">
        <f>AQ688-BI681</f>
        <v>0</v>
      </c>
    </row>
    <row r="682" spans="1:62" ht="12" customHeight="1">
      <c r="A682" s="227"/>
      <c r="B682" s="227"/>
      <c r="C682" s="227"/>
      <c r="D682" s="227"/>
      <c r="E682" s="227"/>
      <c r="F682" s="227"/>
      <c r="G682" s="227"/>
      <c r="H682" s="234"/>
      <c r="I682" s="265"/>
      <c r="J682" s="228">
        <v>32</v>
      </c>
      <c r="K682" s="258" t="s">
        <v>229</v>
      </c>
      <c r="L682" s="111">
        <f t="shared" ref="L682:S682" si="548">L683+L686</f>
        <v>763177</v>
      </c>
      <c r="M682" s="111">
        <f t="shared" si="548"/>
        <v>101290.99475744905</v>
      </c>
      <c r="N682" s="112">
        <f t="shared" si="548"/>
        <v>1155015</v>
      </c>
      <c r="O682" s="112">
        <f t="shared" si="548"/>
        <v>153296.83456101932</v>
      </c>
      <c r="P682" s="113">
        <f t="shared" si="548"/>
        <v>123000</v>
      </c>
      <c r="Q682" s="113">
        <f t="shared" si="548"/>
        <v>133000</v>
      </c>
      <c r="R682" s="87">
        <f t="shared" si="548"/>
        <v>123652</v>
      </c>
      <c r="S682" s="89" t="e">
        <f t="shared" ca="1" si="548"/>
        <v>#NAME?</v>
      </c>
      <c r="T682" s="89"/>
      <c r="U682" s="89"/>
      <c r="V682" s="532">
        <f>V683+V686</f>
        <v>235000</v>
      </c>
      <c r="W682" s="532">
        <f>W683+W686</f>
        <v>235000</v>
      </c>
      <c r="X682" s="506">
        <f>X683+X686</f>
        <v>250000</v>
      </c>
      <c r="Y682" s="507">
        <f>Y683+Y686</f>
        <v>230000</v>
      </c>
      <c r="Z682" s="507">
        <f>Z683+Z686</f>
        <v>0</v>
      </c>
      <c r="AA682" s="562" t="e">
        <f t="shared" ca="1" si="540"/>
        <v>#NAME?</v>
      </c>
      <c r="AB682" s="507"/>
      <c r="AC682" s="508">
        <f>AC683+AC686</f>
        <v>129000</v>
      </c>
      <c r="AD682" s="508">
        <f>AD683+AD686</f>
        <v>129000</v>
      </c>
      <c r="AE682" s="529">
        <f>O682/M682*100</f>
        <v>151.3430043096163</v>
      </c>
      <c r="AF682" s="529">
        <f t="shared" si="546"/>
        <v>80.23649043518914</v>
      </c>
      <c r="AG682" s="529">
        <f t="shared" si="546"/>
        <v>108.130081300813</v>
      </c>
      <c r="AH682" s="529">
        <f>AC682/Q682*100</f>
        <v>96.992481203007515</v>
      </c>
      <c r="AI682" s="507"/>
      <c r="AJ682" s="507">
        <v>230000</v>
      </c>
      <c r="AK682" s="507">
        <f t="shared" si="543"/>
        <v>190.04949374049752</v>
      </c>
      <c r="AL682" s="507">
        <f t="shared" si="547"/>
        <v>106.38297872340425</v>
      </c>
      <c r="AM682" s="507">
        <f t="shared" si="547"/>
        <v>92</v>
      </c>
      <c r="AN682" s="509"/>
      <c r="AO682" s="590"/>
      <c r="AP682" s="510" t="e">
        <f t="shared" ca="1" si="539"/>
        <v>#NAME?</v>
      </c>
      <c r="AQ682" s="532">
        <f>AQ683+AQ686</f>
        <v>215163.59999999998</v>
      </c>
      <c r="AR682" s="533">
        <f>V682/R682*100</f>
        <v>190.04949374049752</v>
      </c>
      <c r="AS682" s="533">
        <f>W682/V682*100</f>
        <v>100</v>
      </c>
      <c r="AT682" s="533">
        <f>W682/R682*100</f>
        <v>190.04949374049752</v>
      </c>
      <c r="AU682" s="533">
        <f>AQ682/W682*100</f>
        <v>91.558978723404252</v>
      </c>
      <c r="AV682" s="533">
        <f>AQ682/R682*100</f>
        <v>174.00737553779962</v>
      </c>
      <c r="AW682" s="612"/>
      <c r="AX682" s="612"/>
      <c r="AY682" s="612"/>
      <c r="AZ682" s="612"/>
      <c r="BA682" s="612"/>
      <c r="BB682" s="612"/>
      <c r="BC682" s="612"/>
      <c r="BD682" s="612"/>
      <c r="BE682" s="612"/>
      <c r="BF682" s="612"/>
      <c r="BG682" s="612"/>
      <c r="BH682" s="612">
        <f t="shared" si="541"/>
        <v>0</v>
      </c>
      <c r="BI682" s="612">
        <f t="shared" si="519"/>
        <v>0</v>
      </c>
      <c r="BJ682" s="201"/>
    </row>
    <row r="683" spans="1:62" ht="12" customHeight="1">
      <c r="A683" s="61"/>
      <c r="B683" s="61"/>
      <c r="C683" s="61">
        <v>3</v>
      </c>
      <c r="D683" s="61"/>
      <c r="E683" s="61"/>
      <c r="F683" s="61"/>
      <c r="G683" s="61"/>
      <c r="H683" s="230"/>
      <c r="I683" s="348"/>
      <c r="J683" s="229">
        <v>322</v>
      </c>
      <c r="K683" s="20" t="s">
        <v>570</v>
      </c>
      <c r="L683" s="111">
        <f t="shared" ref="L683:Z683" si="549">L684</f>
        <v>396699</v>
      </c>
      <c r="M683" s="111">
        <f t="shared" si="549"/>
        <v>52651.005375273737</v>
      </c>
      <c r="N683" s="112">
        <f t="shared" si="549"/>
        <v>774978</v>
      </c>
      <c r="O683" s="112">
        <f t="shared" si="549"/>
        <v>102857.25661955007</v>
      </c>
      <c r="P683" s="113">
        <f t="shared" si="549"/>
        <v>70000</v>
      </c>
      <c r="Q683" s="113">
        <f t="shared" si="549"/>
        <v>80000</v>
      </c>
      <c r="R683" s="87">
        <f t="shared" si="549"/>
        <v>70813</v>
      </c>
      <c r="S683" s="89" t="e">
        <f t="shared" ca="1" si="549"/>
        <v>#NAME?</v>
      </c>
      <c r="T683" s="89"/>
      <c r="U683" s="89"/>
      <c r="V683" s="532">
        <f t="shared" si="545"/>
        <v>85000</v>
      </c>
      <c r="W683" s="532">
        <f t="shared" si="549"/>
        <v>85000</v>
      </c>
      <c r="X683" s="506">
        <f t="shared" si="549"/>
        <v>100000</v>
      </c>
      <c r="Y683" s="507">
        <f t="shared" si="549"/>
        <v>110000</v>
      </c>
      <c r="Z683" s="507">
        <f t="shared" si="549"/>
        <v>0</v>
      </c>
      <c r="AA683" s="562" t="e">
        <f t="shared" ca="1" si="540"/>
        <v>#NAME?</v>
      </c>
      <c r="AB683" s="507"/>
      <c r="AC683" s="508">
        <f>AC684</f>
        <v>75000</v>
      </c>
      <c r="AD683" s="508">
        <f>AD684</f>
        <v>75000</v>
      </c>
      <c r="AE683" s="529">
        <f>O683/M683*100</f>
        <v>195.35668101003535</v>
      </c>
      <c r="AF683" s="529">
        <f t="shared" si="546"/>
        <v>68.055480284601629</v>
      </c>
      <c r="AG683" s="529">
        <f t="shared" si="546"/>
        <v>114.28571428571428</v>
      </c>
      <c r="AH683" s="529">
        <f>AC683/Q683*100</f>
        <v>93.75</v>
      </c>
      <c r="AI683" s="507"/>
      <c r="AJ683" s="507">
        <v>110000</v>
      </c>
      <c r="AK683" s="507">
        <f t="shared" si="543"/>
        <v>120.03445694999506</v>
      </c>
      <c r="AL683" s="507">
        <f t="shared" si="547"/>
        <v>117.64705882352942</v>
      </c>
      <c r="AM683" s="507">
        <f t="shared" si="547"/>
        <v>110.00000000000001</v>
      </c>
      <c r="AN683" s="509"/>
      <c r="AO683" s="590"/>
      <c r="AP683" s="510" t="e">
        <f t="shared" ca="1" si="539"/>
        <v>#NAME?</v>
      </c>
      <c r="AQ683" s="532">
        <f>AQ684</f>
        <v>65515.11</v>
      </c>
      <c r="AR683" s="533">
        <f>V683/R683*100</f>
        <v>120.03445694999506</v>
      </c>
      <c r="AS683" s="533">
        <f>W683/V683*100</f>
        <v>100</v>
      </c>
      <c r="AT683" s="533">
        <f>W683/R683*100</f>
        <v>120.03445694999506</v>
      </c>
      <c r="AU683" s="533">
        <f>AQ683/W683*100</f>
        <v>77.076600000000013</v>
      </c>
      <c r="AV683" s="533">
        <f>AQ683/R683*100</f>
        <v>92.518478245519887</v>
      </c>
      <c r="AW683" s="612"/>
      <c r="AX683" s="612"/>
      <c r="AY683" s="612"/>
      <c r="AZ683" s="612"/>
      <c r="BA683" s="612"/>
      <c r="BB683" s="612"/>
      <c r="BC683" s="612"/>
      <c r="BD683" s="612"/>
      <c r="BE683" s="612"/>
      <c r="BF683" s="612"/>
      <c r="BG683" s="612"/>
      <c r="BH683" s="612">
        <f t="shared" si="541"/>
        <v>0</v>
      </c>
      <c r="BI683" s="612">
        <f t="shared" si="519"/>
        <v>0</v>
      </c>
      <c r="BJ683" s="201">
        <f>AQ690-BI683</f>
        <v>0</v>
      </c>
    </row>
    <row r="684" spans="1:62" ht="12" customHeight="1">
      <c r="A684" s="52"/>
      <c r="B684" s="52"/>
      <c r="C684" s="52"/>
      <c r="D684" s="52"/>
      <c r="E684" s="52"/>
      <c r="F684" s="52"/>
      <c r="G684" s="52"/>
      <c r="H684" s="2">
        <v>70</v>
      </c>
      <c r="I684" s="289">
        <v>640</v>
      </c>
      <c r="J684" s="185">
        <v>3223</v>
      </c>
      <c r="K684" s="19" t="s">
        <v>238</v>
      </c>
      <c r="L684" s="129">
        <v>396699</v>
      </c>
      <c r="M684" s="129">
        <f>396699/7.5345</f>
        <v>52651.005375273737</v>
      </c>
      <c r="N684" s="130">
        <v>774978</v>
      </c>
      <c r="O684" s="130">
        <f>N684/7.5345</f>
        <v>102857.25661955007</v>
      </c>
      <c r="P684" s="131">
        <v>70000</v>
      </c>
      <c r="Q684" s="156">
        <v>80000</v>
      </c>
      <c r="R684" s="153">
        <v>70813</v>
      </c>
      <c r="S684" s="158" t="e">
        <f ca="1">__xlfn.XLOOKUP(H684,[1]Izvršenje_proračuna_po_pozicija!$B$2:$B$153,[1]Izvršenje_proračuna_po_pozicija!$E$2:$E$153,0)</f>
        <v>#NAME?</v>
      </c>
      <c r="T684" s="158"/>
      <c r="U684" s="158"/>
      <c r="V684" s="532">
        <v>85000</v>
      </c>
      <c r="W684" s="532">
        <v>85000</v>
      </c>
      <c r="X684" s="560">
        <v>100000</v>
      </c>
      <c r="Y684" s="561">
        <v>110000</v>
      </c>
      <c r="Z684" s="561"/>
      <c r="AA684" s="562" t="e">
        <f t="shared" ca="1" si="540"/>
        <v>#NAME?</v>
      </c>
      <c r="AB684" s="535"/>
      <c r="AC684" s="529">
        <v>75000</v>
      </c>
      <c r="AD684" s="529">
        <v>75000</v>
      </c>
      <c r="AE684" s="529">
        <f>O684/M684*100</f>
        <v>195.35668101003535</v>
      </c>
      <c r="AF684" s="529">
        <f t="shared" si="546"/>
        <v>68.055480284601629</v>
      </c>
      <c r="AG684" s="529">
        <f t="shared" si="546"/>
        <v>114.28571428571428</v>
      </c>
      <c r="AH684" s="529">
        <f>AC684/Q684*100</f>
        <v>93.75</v>
      </c>
      <c r="AI684" s="535"/>
      <c r="AJ684" s="561">
        <v>110000</v>
      </c>
      <c r="AK684" s="507">
        <f t="shared" si="543"/>
        <v>120.03445694999506</v>
      </c>
      <c r="AL684" s="507">
        <f t="shared" si="547"/>
        <v>117.64705882352942</v>
      </c>
      <c r="AM684" s="507">
        <f t="shared" si="547"/>
        <v>110.00000000000001</v>
      </c>
      <c r="AN684" s="556"/>
      <c r="AO684" s="590"/>
      <c r="AP684" s="510" t="e">
        <f t="shared" ca="1" si="539"/>
        <v>#NAME?</v>
      </c>
      <c r="AQ684" s="532">
        <v>65515.11</v>
      </c>
      <c r="AR684" s="533">
        <f>V684/R684*100</f>
        <v>120.03445694999506</v>
      </c>
      <c r="AS684" s="533">
        <f>W684/V684*100</f>
        <v>100</v>
      </c>
      <c r="AT684" s="533">
        <f>W684/R684*100</f>
        <v>120.03445694999506</v>
      </c>
      <c r="AU684" s="533">
        <f>AQ684/W684*100</f>
        <v>77.076600000000013</v>
      </c>
      <c r="AV684" s="533">
        <f>AQ684/R684*100</f>
        <v>92.518478245519887</v>
      </c>
      <c r="AW684" s="612"/>
      <c r="AX684" s="612"/>
      <c r="AY684" s="612"/>
      <c r="AZ684" s="612"/>
      <c r="BA684" s="612"/>
      <c r="BB684" s="612"/>
      <c r="BC684" s="612"/>
      <c r="BD684" s="612"/>
      <c r="BE684" s="612">
        <f>AQ684</f>
        <v>65515.11</v>
      </c>
      <c r="BF684" s="612"/>
      <c r="BG684" s="612"/>
      <c r="BH684" s="612">
        <f t="shared" si="541"/>
        <v>65515.11</v>
      </c>
      <c r="BI684" s="612">
        <f t="shared" si="519"/>
        <v>0</v>
      </c>
      <c r="BJ684" s="201"/>
    </row>
    <row r="685" spans="1:62" ht="12" customHeight="1">
      <c r="A685" s="52"/>
      <c r="B685" s="52"/>
      <c r="C685" s="52"/>
      <c r="D685" s="52"/>
      <c r="E685" s="52"/>
      <c r="F685" s="52"/>
      <c r="G685" s="52"/>
      <c r="H685" s="2"/>
      <c r="I685" s="289"/>
      <c r="J685" s="185"/>
      <c r="K685" s="19"/>
      <c r="L685" s="129"/>
      <c r="M685" s="129"/>
      <c r="N685" s="130"/>
      <c r="O685" s="130"/>
      <c r="P685" s="131"/>
      <c r="Q685" s="131"/>
      <c r="R685" s="153"/>
      <c r="S685" s="158" t="e">
        <f ca="1">__xlfn.XLOOKUP(H685,[1]Izvršenje_proračuna_po_pozicija!$B$2:$B$153,[1]Izvršenje_proračuna_po_pozicija!$E$2:$E$153,0)</f>
        <v>#NAME?</v>
      </c>
      <c r="T685" s="158"/>
      <c r="U685" s="158"/>
      <c r="V685" s="532"/>
      <c r="W685" s="532"/>
      <c r="X685" s="560"/>
      <c r="Y685" s="561"/>
      <c r="Z685" s="561"/>
      <c r="AA685" s="562" t="e">
        <f t="shared" ca="1" si="540"/>
        <v>#NAME?</v>
      </c>
      <c r="AB685" s="535"/>
      <c r="AC685" s="529"/>
      <c r="AD685" s="529"/>
      <c r="AE685" s="529"/>
      <c r="AF685" s="529"/>
      <c r="AG685" s="529"/>
      <c r="AH685" s="529"/>
      <c r="AI685" s="535"/>
      <c r="AJ685" s="561"/>
      <c r="AK685" s="507"/>
      <c r="AL685" s="507"/>
      <c r="AM685" s="507"/>
      <c r="AN685" s="556"/>
      <c r="AO685" s="590"/>
      <c r="AP685" s="510" t="e">
        <f t="shared" ca="1" si="539"/>
        <v>#NAME?</v>
      </c>
      <c r="AQ685" s="532"/>
      <c r="AR685" s="533"/>
      <c r="AS685" s="533"/>
      <c r="AT685" s="533"/>
      <c r="AU685" s="533"/>
      <c r="AV685" s="533"/>
      <c r="AW685" s="612"/>
      <c r="AX685" s="612"/>
      <c r="AY685" s="612"/>
      <c r="AZ685" s="612"/>
      <c r="BA685" s="612"/>
      <c r="BB685" s="612"/>
      <c r="BC685" s="612"/>
      <c r="BD685" s="612"/>
      <c r="BE685" s="612"/>
      <c r="BF685" s="612"/>
      <c r="BG685" s="612"/>
      <c r="BH685" s="612">
        <f t="shared" si="541"/>
        <v>0</v>
      </c>
      <c r="BI685" s="612">
        <f t="shared" si="519"/>
        <v>0</v>
      </c>
      <c r="BJ685" s="201"/>
    </row>
    <row r="686" spans="1:62" ht="12" customHeight="1">
      <c r="A686" s="61"/>
      <c r="B686" s="61"/>
      <c r="C686" s="61">
        <v>3</v>
      </c>
      <c r="D686" s="61"/>
      <c r="E686" s="61"/>
      <c r="F686" s="61"/>
      <c r="G686" s="61"/>
      <c r="H686" s="230"/>
      <c r="I686" s="348"/>
      <c r="J686" s="229">
        <v>323</v>
      </c>
      <c r="K686" s="20" t="s">
        <v>346</v>
      </c>
      <c r="L686" s="111">
        <f t="shared" ref="L686:Z686" si="550">L687</f>
        <v>366478</v>
      </c>
      <c r="M686" s="111">
        <f t="shared" si="550"/>
        <v>48639.989382175321</v>
      </c>
      <c r="N686" s="112">
        <f t="shared" si="550"/>
        <v>380037</v>
      </c>
      <c r="O686" s="112">
        <f t="shared" si="550"/>
        <v>50439.577941469237</v>
      </c>
      <c r="P686" s="113">
        <f t="shared" si="550"/>
        <v>53000</v>
      </c>
      <c r="Q686" s="113">
        <f t="shared" si="550"/>
        <v>53000</v>
      </c>
      <c r="R686" s="87">
        <f t="shared" si="550"/>
        <v>52839</v>
      </c>
      <c r="S686" s="89" t="e">
        <f t="shared" ca="1" si="550"/>
        <v>#NAME?</v>
      </c>
      <c r="T686" s="89"/>
      <c r="U686" s="89"/>
      <c r="V686" s="532">
        <f t="shared" si="545"/>
        <v>150000</v>
      </c>
      <c r="W686" s="532">
        <f t="shared" si="550"/>
        <v>150000</v>
      </c>
      <c r="X686" s="506">
        <f t="shared" si="550"/>
        <v>150000</v>
      </c>
      <c r="Y686" s="507">
        <f t="shared" si="550"/>
        <v>120000</v>
      </c>
      <c r="Z686" s="507">
        <f t="shared" si="550"/>
        <v>0</v>
      </c>
      <c r="AA686" s="562" t="e">
        <f t="shared" ca="1" si="540"/>
        <v>#NAME?</v>
      </c>
      <c r="AB686" s="507"/>
      <c r="AC686" s="508">
        <f>AC687</f>
        <v>54000</v>
      </c>
      <c r="AD686" s="508">
        <f>AD687</f>
        <v>54000</v>
      </c>
      <c r="AE686" s="529">
        <f>O686/M686*100</f>
        <v>103.69981281277458</v>
      </c>
      <c r="AF686" s="529">
        <f>P686/O686*100</f>
        <v>105.07621626315333</v>
      </c>
      <c r="AG686" s="529">
        <f>Q686/P686*100</f>
        <v>100</v>
      </c>
      <c r="AH686" s="529">
        <f>AC686/Q686*100</f>
        <v>101.88679245283019</v>
      </c>
      <c r="AI686" s="507"/>
      <c r="AJ686" s="507">
        <v>120000</v>
      </c>
      <c r="AK686" s="507">
        <f t="shared" si="543"/>
        <v>283.88122409583832</v>
      </c>
      <c r="AL686" s="507">
        <f>X686/W686*100</f>
        <v>100</v>
      </c>
      <c r="AM686" s="507">
        <f>Y686/X686*100</f>
        <v>80</v>
      </c>
      <c r="AN686" s="509"/>
      <c r="AO686" s="590"/>
      <c r="AP686" s="510" t="e">
        <f t="shared" ca="1" si="539"/>
        <v>#NAME?</v>
      </c>
      <c r="AQ686" s="532">
        <f>AQ687</f>
        <v>149648.49</v>
      </c>
      <c r="AR686" s="533">
        <f>V686/R686*100</f>
        <v>283.88122409583832</v>
      </c>
      <c r="AS686" s="533">
        <f>W686/V686*100</f>
        <v>100</v>
      </c>
      <c r="AT686" s="533">
        <f>W686/R686*100</f>
        <v>283.88122409583832</v>
      </c>
      <c r="AU686" s="533">
        <f>AQ686/W686*100</f>
        <v>99.765659999999983</v>
      </c>
      <c r="AV686" s="533">
        <f>AQ686/R686*100</f>
        <v>283.21597683529211</v>
      </c>
      <c r="AW686" s="612"/>
      <c r="AX686" s="612"/>
      <c r="AY686" s="612"/>
      <c r="AZ686" s="612"/>
      <c r="BA686" s="612"/>
      <c r="BB686" s="612"/>
      <c r="BC686" s="612"/>
      <c r="BD686" s="612"/>
      <c r="BE686" s="612"/>
      <c r="BF686" s="612"/>
      <c r="BG686" s="612"/>
      <c r="BH686" s="612">
        <f t="shared" si="541"/>
        <v>0</v>
      </c>
      <c r="BI686" s="612">
        <f t="shared" si="519"/>
        <v>95000</v>
      </c>
      <c r="BJ686" s="201"/>
    </row>
    <row r="687" spans="1:62" ht="12" customHeight="1">
      <c r="A687" s="52"/>
      <c r="B687" s="52"/>
      <c r="C687" s="52"/>
      <c r="D687" s="52"/>
      <c r="E687" s="52"/>
      <c r="F687" s="52"/>
      <c r="G687" s="52"/>
      <c r="H687" s="2">
        <v>97</v>
      </c>
      <c r="I687" s="289">
        <v>640</v>
      </c>
      <c r="J687" s="185">
        <v>3232</v>
      </c>
      <c r="K687" s="19" t="s">
        <v>571</v>
      </c>
      <c r="L687" s="129">
        <v>366478</v>
      </c>
      <c r="M687" s="129">
        <f>366478/7.5345</f>
        <v>48639.989382175321</v>
      </c>
      <c r="N687" s="130">
        <v>380037</v>
      </c>
      <c r="O687" s="130">
        <f>N687/7.5345</f>
        <v>50439.577941469237</v>
      </c>
      <c r="P687" s="131">
        <v>53000</v>
      </c>
      <c r="Q687" s="131">
        <v>53000</v>
      </c>
      <c r="R687" s="153">
        <v>52839</v>
      </c>
      <c r="S687" s="158" t="e">
        <f ca="1">__xlfn.XLOOKUP(H687,[1]Izvršenje_proračuna_po_pozicija!$B$2:$B$153,[1]Izvršenje_proračuna_po_pozicija!$E$2:$E$153,0)</f>
        <v>#NAME?</v>
      </c>
      <c r="T687" s="158"/>
      <c r="U687" s="158"/>
      <c r="V687" s="532">
        <v>150000</v>
      </c>
      <c r="W687" s="532">
        <v>150000</v>
      </c>
      <c r="X687" s="560">
        <v>150000</v>
      </c>
      <c r="Y687" s="561">
        <v>120000</v>
      </c>
      <c r="Z687" s="561"/>
      <c r="AA687" s="562" t="e">
        <f t="shared" ca="1" si="540"/>
        <v>#NAME?</v>
      </c>
      <c r="AB687" s="535"/>
      <c r="AC687" s="529">
        <v>54000</v>
      </c>
      <c r="AD687" s="529">
        <v>54000</v>
      </c>
      <c r="AE687" s="529">
        <f>O687/M687*100</f>
        <v>103.69981281277458</v>
      </c>
      <c r="AF687" s="529">
        <f>P687/O687*100</f>
        <v>105.07621626315333</v>
      </c>
      <c r="AG687" s="529">
        <f>Q687/P687*100</f>
        <v>100</v>
      </c>
      <c r="AH687" s="529">
        <f>AC687/Q687*100</f>
        <v>101.88679245283019</v>
      </c>
      <c r="AI687" s="535"/>
      <c r="AJ687" s="561">
        <v>120000</v>
      </c>
      <c r="AK687" s="507">
        <f t="shared" si="543"/>
        <v>283.88122409583832</v>
      </c>
      <c r="AL687" s="507">
        <f>X687/W687*100</f>
        <v>100</v>
      </c>
      <c r="AM687" s="507">
        <f>Y687/X687*100</f>
        <v>80</v>
      </c>
      <c r="AN687" s="556"/>
      <c r="AO687" s="590"/>
      <c r="AP687" s="510" t="e">
        <f t="shared" ca="1" si="539"/>
        <v>#NAME?</v>
      </c>
      <c r="AQ687" s="532">
        <v>149648.49</v>
      </c>
      <c r="AR687" s="533">
        <f>V687/R687*100</f>
        <v>283.88122409583832</v>
      </c>
      <c r="AS687" s="533">
        <f>W687/V687*100</f>
        <v>100</v>
      </c>
      <c r="AT687" s="533">
        <f>W687/R687*100</f>
        <v>283.88122409583832</v>
      </c>
      <c r="AU687" s="533">
        <f>AQ687/W687*100</f>
        <v>99.765659999999983</v>
      </c>
      <c r="AV687" s="533">
        <f>AQ687/R687*100</f>
        <v>283.21597683529211</v>
      </c>
      <c r="AW687" s="612"/>
      <c r="AX687" s="612"/>
      <c r="AY687" s="612"/>
      <c r="AZ687" s="612">
        <v>133810</v>
      </c>
      <c r="BA687" s="612"/>
      <c r="BB687" s="612"/>
      <c r="BC687" s="612"/>
      <c r="BD687" s="612"/>
      <c r="BE687" s="612">
        <v>15838</v>
      </c>
      <c r="BF687" s="612"/>
      <c r="BG687" s="612"/>
      <c r="BH687" s="612">
        <f>AQ687</f>
        <v>149648.49</v>
      </c>
      <c r="BI687" s="612">
        <f t="shared" si="519"/>
        <v>95000</v>
      </c>
      <c r="BJ687" s="201">
        <f t="shared" ref="BJ687:BJ702" si="551">AQ694-BI687</f>
        <v>0</v>
      </c>
    </row>
    <row r="688" spans="1:62" ht="12" customHeight="1">
      <c r="A688" s="52"/>
      <c r="B688" s="52"/>
      <c r="C688" s="52"/>
      <c r="D688" s="52"/>
      <c r="E688" s="52"/>
      <c r="F688" s="52"/>
      <c r="G688" s="52"/>
      <c r="H688" s="2"/>
      <c r="I688" s="289"/>
      <c r="J688" s="185"/>
      <c r="K688" s="19"/>
      <c r="L688" s="118"/>
      <c r="M688" s="118"/>
      <c r="N688" s="119"/>
      <c r="O688" s="119"/>
      <c r="P688" s="120"/>
      <c r="Q688" s="120"/>
      <c r="R688" s="151"/>
      <c r="S688" s="158" t="e">
        <f ca="1">__xlfn.XLOOKUP(H688,[1]Izvršenje_proračuna_po_pozicija!$B$2:$B$153,[1]Izvršenje_proračuna_po_pozicija!$E$2:$E$153,0)</f>
        <v>#NAME?</v>
      </c>
      <c r="T688" s="158"/>
      <c r="U688" s="158"/>
      <c r="V688" s="532"/>
      <c r="W688" s="532"/>
      <c r="X688" s="560"/>
      <c r="Y688" s="561"/>
      <c r="Z688" s="561"/>
      <c r="AA688" s="562" t="e">
        <f t="shared" ca="1" si="540"/>
        <v>#NAME?</v>
      </c>
      <c r="AB688" s="535"/>
      <c r="AC688" s="529"/>
      <c r="AD688" s="529"/>
      <c r="AE688" s="529"/>
      <c r="AF688" s="529"/>
      <c r="AG688" s="529"/>
      <c r="AH688" s="529"/>
      <c r="AI688" s="535"/>
      <c r="AJ688" s="561"/>
      <c r="AK688" s="507"/>
      <c r="AL688" s="507"/>
      <c r="AM688" s="507"/>
      <c r="AN688" s="556"/>
      <c r="AO688" s="590"/>
      <c r="AP688" s="510" t="e">
        <f t="shared" ca="1" si="539"/>
        <v>#NAME?</v>
      </c>
      <c r="AQ688" s="532"/>
      <c r="AR688" s="533"/>
      <c r="AS688" s="533"/>
      <c r="AT688" s="533"/>
      <c r="AU688" s="533"/>
      <c r="AV688" s="533"/>
      <c r="AW688" s="612"/>
      <c r="AX688" s="612"/>
      <c r="AY688" s="612"/>
      <c r="AZ688" s="612"/>
      <c r="BA688" s="612"/>
      <c r="BB688" s="612"/>
      <c r="BC688" s="612"/>
      <c r="BD688" s="612"/>
      <c r="BE688" s="612"/>
      <c r="BF688" s="612"/>
      <c r="BG688" s="612"/>
      <c r="BH688" s="612">
        <f t="shared" si="541"/>
        <v>0</v>
      </c>
      <c r="BI688" s="612">
        <f t="shared" si="519"/>
        <v>0</v>
      </c>
      <c r="BJ688" s="201">
        <f t="shared" si="551"/>
        <v>0</v>
      </c>
    </row>
    <row r="689" spans="1:62" ht="12" customHeight="1">
      <c r="A689" s="282" t="s">
        <v>416</v>
      </c>
      <c r="B689" s="283"/>
      <c r="C689" s="283"/>
      <c r="D689" s="283"/>
      <c r="E689" s="283"/>
      <c r="F689" s="283"/>
      <c r="G689" s="283"/>
      <c r="H689" s="284"/>
      <c r="I689" s="369" t="s">
        <v>572</v>
      </c>
      <c r="J689" s="370"/>
      <c r="K689" s="226"/>
      <c r="L689" s="111">
        <f t="shared" ref="L689:S689" si="552">L691</f>
        <v>670000</v>
      </c>
      <c r="M689" s="111">
        <f t="shared" si="552"/>
        <v>88924.281637799446</v>
      </c>
      <c r="N689" s="112">
        <f t="shared" si="552"/>
        <v>1144000</v>
      </c>
      <c r="O689" s="112">
        <f t="shared" si="552"/>
        <v>151834.89282633219</v>
      </c>
      <c r="P689" s="113">
        <f t="shared" si="552"/>
        <v>80000</v>
      </c>
      <c r="Q689" s="113">
        <f t="shared" si="552"/>
        <v>190000</v>
      </c>
      <c r="R689" s="87">
        <f t="shared" si="552"/>
        <v>171558</v>
      </c>
      <c r="S689" s="89" t="e">
        <f t="shared" ca="1" si="552"/>
        <v>#NAME?</v>
      </c>
      <c r="T689" s="89"/>
      <c r="U689" s="89"/>
      <c r="V689" s="532">
        <f>V691</f>
        <v>132000</v>
      </c>
      <c r="W689" s="532">
        <f>W691</f>
        <v>132000</v>
      </c>
      <c r="X689" s="506">
        <f>X691</f>
        <v>200000</v>
      </c>
      <c r="Y689" s="507">
        <f>Y691</f>
        <v>300000</v>
      </c>
      <c r="Z689" s="507">
        <f>Z691</f>
        <v>0</v>
      </c>
      <c r="AA689" s="562" t="e">
        <f t="shared" ca="1" si="540"/>
        <v>#NAME?</v>
      </c>
      <c r="AB689" s="507"/>
      <c r="AC689" s="508">
        <f>AC691</f>
        <v>85000</v>
      </c>
      <c r="AD689" s="508">
        <f>AD691</f>
        <v>85000</v>
      </c>
      <c r="AE689" s="529">
        <f>O689/M689*100</f>
        <v>170.74626865671644</v>
      </c>
      <c r="AF689" s="529">
        <f>P689/O689*100</f>
        <v>52.688811188811194</v>
      </c>
      <c r="AG689" s="529">
        <f>Q689/P689*100</f>
        <v>237.5</v>
      </c>
      <c r="AH689" s="529">
        <f>AC689/Q689*100</f>
        <v>44.736842105263158</v>
      </c>
      <c r="AI689" s="507"/>
      <c r="AJ689" s="507">
        <v>300000</v>
      </c>
      <c r="AK689" s="507">
        <f t="shared" si="543"/>
        <v>76.941908858811587</v>
      </c>
      <c r="AL689" s="507">
        <f>X689/W689*100</f>
        <v>151.5151515151515</v>
      </c>
      <c r="AM689" s="507">
        <f>Y689/X689*100</f>
        <v>150</v>
      </c>
      <c r="AN689" s="509"/>
      <c r="AO689" s="590"/>
      <c r="AP689" s="510" t="e">
        <f t="shared" ca="1" si="539"/>
        <v>#NAME?</v>
      </c>
      <c r="AQ689" s="532">
        <f>AQ691</f>
        <v>95000</v>
      </c>
      <c r="AR689" s="533">
        <f>V689/R689*100</f>
        <v>76.941908858811587</v>
      </c>
      <c r="AS689" s="533">
        <f>W689/V689*100</f>
        <v>100</v>
      </c>
      <c r="AT689" s="533">
        <f>W689/R689*100</f>
        <v>76.941908858811587</v>
      </c>
      <c r="AU689" s="533">
        <f>AQ689/W689*100</f>
        <v>71.969696969696969</v>
      </c>
      <c r="AV689" s="533">
        <f>AQ689/R689*100</f>
        <v>55.374858648387139</v>
      </c>
      <c r="AW689" s="612"/>
      <c r="AX689" s="612"/>
      <c r="AY689" s="612"/>
      <c r="AZ689" s="612"/>
      <c r="BA689" s="612"/>
      <c r="BB689" s="612"/>
      <c r="BC689" s="612"/>
      <c r="BD689" s="612"/>
      <c r="BE689" s="612"/>
      <c r="BF689" s="612"/>
      <c r="BG689" s="612"/>
      <c r="BH689" s="612">
        <f t="shared" si="541"/>
        <v>0</v>
      </c>
      <c r="BI689" s="612">
        <f t="shared" si="519"/>
        <v>0</v>
      </c>
      <c r="BJ689" s="201">
        <f t="shared" si="551"/>
        <v>0</v>
      </c>
    </row>
    <row r="690" spans="1:62" ht="12" customHeight="1">
      <c r="A690" s="68"/>
      <c r="B690" s="68"/>
      <c r="C690" s="68"/>
      <c r="D690" s="68"/>
      <c r="E690" s="68"/>
      <c r="F690" s="68"/>
      <c r="G690" s="68"/>
      <c r="H690" s="319"/>
      <c r="I690" s="4"/>
      <c r="J690" s="8"/>
      <c r="K690" s="141"/>
      <c r="L690" s="84"/>
      <c r="M690" s="84"/>
      <c r="N690" s="85"/>
      <c r="O690" s="85"/>
      <c r="P690" s="86"/>
      <c r="Q690" s="86"/>
      <c r="R690" s="154"/>
      <c r="S690" s="158" t="e">
        <f ca="1">__xlfn.XLOOKUP(H690,[1]Izvršenje_proračuna_po_pozicija!$B$2:$B$153,[1]Izvršenje_proračuna_po_pozicija!$E$2:$E$153,0)</f>
        <v>#NAME?</v>
      </c>
      <c r="T690" s="158"/>
      <c r="U690" s="158"/>
      <c r="V690" s="532"/>
      <c r="W690" s="532"/>
      <c r="X690" s="568"/>
      <c r="Y690" s="569"/>
      <c r="Z690" s="569"/>
      <c r="AA690" s="562" t="e">
        <f t="shared" ca="1" si="540"/>
        <v>#NAME?</v>
      </c>
      <c r="AB690" s="537"/>
      <c r="AC690" s="538"/>
      <c r="AD690" s="538"/>
      <c r="AE690" s="529"/>
      <c r="AF690" s="529"/>
      <c r="AG690" s="529"/>
      <c r="AH690" s="529"/>
      <c r="AI690" s="537"/>
      <c r="AJ690" s="569"/>
      <c r="AK690" s="507"/>
      <c r="AL690" s="507"/>
      <c r="AM690" s="507"/>
      <c r="AN690" s="557"/>
      <c r="AO690" s="590"/>
      <c r="AP690" s="510" t="e">
        <f t="shared" ca="1" si="539"/>
        <v>#NAME?</v>
      </c>
      <c r="AQ690" s="532"/>
      <c r="AR690" s="533"/>
      <c r="AS690" s="533"/>
      <c r="AT690" s="533"/>
      <c r="AU690" s="533"/>
      <c r="AV690" s="533"/>
      <c r="AW690" s="612"/>
      <c r="AX690" s="612"/>
      <c r="AY690" s="612"/>
      <c r="AZ690" s="612"/>
      <c r="BA690" s="612"/>
      <c r="BB690" s="612"/>
      <c r="BC690" s="612"/>
      <c r="BD690" s="612"/>
      <c r="BE690" s="612"/>
      <c r="BF690" s="612"/>
      <c r="BG690" s="612"/>
      <c r="BH690" s="612">
        <f t="shared" si="541"/>
        <v>0</v>
      </c>
      <c r="BI690" s="612">
        <f t="shared" si="519"/>
        <v>0</v>
      </c>
      <c r="BJ690" s="201">
        <f t="shared" si="551"/>
        <v>0</v>
      </c>
    </row>
    <row r="691" spans="1:62" ht="12" customHeight="1">
      <c r="A691" s="25"/>
      <c r="B691" s="25"/>
      <c r="C691" s="25"/>
      <c r="D691" s="25"/>
      <c r="E691" s="25"/>
      <c r="F691" s="25"/>
      <c r="G691" s="25"/>
      <c r="H691" s="285"/>
      <c r="I691" s="349"/>
      <c r="J691" s="211">
        <v>3</v>
      </c>
      <c r="K691" s="90" t="s">
        <v>220</v>
      </c>
      <c r="L691" s="111">
        <f t="shared" ref="L691:S693" si="553">L692</f>
        <v>670000</v>
      </c>
      <c r="M691" s="111">
        <f t="shared" si="553"/>
        <v>88924.281637799446</v>
      </c>
      <c r="N691" s="112">
        <f t="shared" si="553"/>
        <v>1144000</v>
      </c>
      <c r="O691" s="112">
        <f t="shared" si="553"/>
        <v>151834.89282633219</v>
      </c>
      <c r="P691" s="113">
        <f t="shared" si="553"/>
        <v>80000</v>
      </c>
      <c r="Q691" s="113">
        <f t="shared" si="553"/>
        <v>190000</v>
      </c>
      <c r="R691" s="87">
        <f t="shared" si="553"/>
        <v>171558</v>
      </c>
      <c r="S691" s="89" t="e">
        <f t="shared" ca="1" si="553"/>
        <v>#NAME?</v>
      </c>
      <c r="T691" s="89"/>
      <c r="U691" s="89"/>
      <c r="V691" s="532">
        <f>V692</f>
        <v>132000</v>
      </c>
      <c r="W691" s="532">
        <f t="shared" ref="W691:Z693" si="554">W692</f>
        <v>132000</v>
      </c>
      <c r="X691" s="506">
        <f t="shared" si="554"/>
        <v>200000</v>
      </c>
      <c r="Y691" s="507">
        <f t="shared" si="554"/>
        <v>300000</v>
      </c>
      <c r="Z691" s="507">
        <f t="shared" si="554"/>
        <v>0</v>
      </c>
      <c r="AA691" s="562" t="e">
        <f t="shared" ca="1" si="540"/>
        <v>#NAME?</v>
      </c>
      <c r="AB691" s="507"/>
      <c r="AC691" s="508">
        <f t="shared" ref="AC691:AD693" si="555">AC692</f>
        <v>85000</v>
      </c>
      <c r="AD691" s="508">
        <f t="shared" si="555"/>
        <v>85000</v>
      </c>
      <c r="AE691" s="529">
        <f>O691/M691*100</f>
        <v>170.74626865671644</v>
      </c>
      <c r="AF691" s="529">
        <f t="shared" ref="AF691:AG694" si="556">P691/O691*100</f>
        <v>52.688811188811194</v>
      </c>
      <c r="AG691" s="529">
        <f t="shared" si="556"/>
        <v>237.5</v>
      </c>
      <c r="AH691" s="529">
        <f>AC691/Q691*100</f>
        <v>44.736842105263158</v>
      </c>
      <c r="AI691" s="507"/>
      <c r="AJ691" s="507">
        <v>300000</v>
      </c>
      <c r="AK691" s="507">
        <f t="shared" si="543"/>
        <v>76.941908858811587</v>
      </c>
      <c r="AL691" s="507">
        <f t="shared" ref="AL691:AM694" si="557">X691/W691*100</f>
        <v>151.5151515151515</v>
      </c>
      <c r="AM691" s="507">
        <f t="shared" si="557"/>
        <v>150</v>
      </c>
      <c r="AN691" s="509"/>
      <c r="AO691" s="590"/>
      <c r="AP691" s="510" t="e">
        <f t="shared" ca="1" si="539"/>
        <v>#NAME?</v>
      </c>
      <c r="AQ691" s="532">
        <f>AQ692</f>
        <v>95000</v>
      </c>
      <c r="AR691" s="533">
        <f>V691/R691*100</f>
        <v>76.941908858811587</v>
      </c>
      <c r="AS691" s="533">
        <f>W691/V691*100</f>
        <v>100</v>
      </c>
      <c r="AT691" s="533">
        <f>W691/R691*100</f>
        <v>76.941908858811587</v>
      </c>
      <c r="AU691" s="533">
        <f>AQ691/W691*100</f>
        <v>71.969696969696969</v>
      </c>
      <c r="AV691" s="533">
        <f>AQ691/R691*100</f>
        <v>55.374858648387139</v>
      </c>
      <c r="AW691" s="612"/>
      <c r="AX691" s="612"/>
      <c r="AY691" s="612"/>
      <c r="AZ691" s="612"/>
      <c r="BA691" s="612"/>
      <c r="BB691" s="612"/>
      <c r="BC691" s="612"/>
      <c r="BD691" s="612"/>
      <c r="BE691" s="612"/>
      <c r="BF691" s="612"/>
      <c r="BG691" s="612"/>
      <c r="BH691" s="612">
        <f t="shared" si="541"/>
        <v>0</v>
      </c>
      <c r="BI691" s="612">
        <f t="shared" si="519"/>
        <v>0</v>
      </c>
      <c r="BJ691" s="201">
        <f t="shared" si="551"/>
        <v>0</v>
      </c>
    </row>
    <row r="692" spans="1:62" ht="12" customHeight="1">
      <c r="A692" s="227"/>
      <c r="B692" s="227"/>
      <c r="C692" s="227"/>
      <c r="D692" s="227"/>
      <c r="E692" s="227"/>
      <c r="F692" s="227"/>
      <c r="G692" s="227"/>
      <c r="H692" s="234"/>
      <c r="I692" s="265"/>
      <c r="J692" s="228">
        <v>38</v>
      </c>
      <c r="K692" s="371" t="s">
        <v>281</v>
      </c>
      <c r="L692" s="111">
        <f t="shared" si="553"/>
        <v>670000</v>
      </c>
      <c r="M692" s="111">
        <f t="shared" si="553"/>
        <v>88924.281637799446</v>
      </c>
      <c r="N692" s="112">
        <f t="shared" si="553"/>
        <v>1144000</v>
      </c>
      <c r="O692" s="112">
        <f t="shared" si="553"/>
        <v>151834.89282633219</v>
      </c>
      <c r="P692" s="113">
        <f t="shared" si="553"/>
        <v>80000</v>
      </c>
      <c r="Q692" s="113">
        <f t="shared" si="553"/>
        <v>190000</v>
      </c>
      <c r="R692" s="87">
        <f t="shared" si="553"/>
        <v>171558</v>
      </c>
      <c r="S692" s="89" t="e">
        <f t="shared" ca="1" si="553"/>
        <v>#NAME?</v>
      </c>
      <c r="T692" s="89"/>
      <c r="U692" s="89"/>
      <c r="V692" s="532">
        <f>V693</f>
        <v>132000</v>
      </c>
      <c r="W692" s="532">
        <f t="shared" si="554"/>
        <v>132000</v>
      </c>
      <c r="X692" s="506">
        <f t="shared" si="554"/>
        <v>200000</v>
      </c>
      <c r="Y692" s="507">
        <f t="shared" si="554"/>
        <v>300000</v>
      </c>
      <c r="Z692" s="507">
        <f t="shared" si="554"/>
        <v>0</v>
      </c>
      <c r="AA692" s="562" t="e">
        <f t="shared" ca="1" si="540"/>
        <v>#NAME?</v>
      </c>
      <c r="AB692" s="507"/>
      <c r="AC692" s="508">
        <f t="shared" si="555"/>
        <v>85000</v>
      </c>
      <c r="AD692" s="508">
        <f t="shared" si="555"/>
        <v>85000</v>
      </c>
      <c r="AE692" s="529">
        <f>O692/M692*100</f>
        <v>170.74626865671644</v>
      </c>
      <c r="AF692" s="529">
        <f t="shared" si="556"/>
        <v>52.688811188811194</v>
      </c>
      <c r="AG692" s="529">
        <f t="shared" si="556"/>
        <v>237.5</v>
      </c>
      <c r="AH692" s="529">
        <f>AC692/Q692*100</f>
        <v>44.736842105263158</v>
      </c>
      <c r="AI692" s="507"/>
      <c r="AJ692" s="507">
        <v>300000</v>
      </c>
      <c r="AK692" s="507">
        <f t="shared" si="543"/>
        <v>76.941908858811587</v>
      </c>
      <c r="AL692" s="507">
        <f t="shared" si="557"/>
        <v>151.5151515151515</v>
      </c>
      <c r="AM692" s="507">
        <f t="shared" si="557"/>
        <v>150</v>
      </c>
      <c r="AN692" s="509"/>
      <c r="AO692" s="590"/>
      <c r="AP692" s="510" t="e">
        <f t="shared" ca="1" si="539"/>
        <v>#NAME?</v>
      </c>
      <c r="AQ692" s="532">
        <f>AQ693</f>
        <v>95000</v>
      </c>
      <c r="AR692" s="533">
        <f>V692/R692*100</f>
        <v>76.941908858811587</v>
      </c>
      <c r="AS692" s="533">
        <f>W692/V692*100</f>
        <v>100</v>
      </c>
      <c r="AT692" s="533">
        <f>W692/R692*100</f>
        <v>76.941908858811587</v>
      </c>
      <c r="AU692" s="533">
        <f>AQ692/W692*100</f>
        <v>71.969696969696969</v>
      </c>
      <c r="AV692" s="533">
        <f>AQ692/R692*100</f>
        <v>55.374858648387139</v>
      </c>
      <c r="AW692" s="612"/>
      <c r="AX692" s="612"/>
      <c r="AY692" s="612"/>
      <c r="AZ692" s="612"/>
      <c r="BA692" s="612"/>
      <c r="BB692" s="612"/>
      <c r="BC692" s="612"/>
      <c r="BD692" s="612"/>
      <c r="BE692" s="612"/>
      <c r="BF692" s="612"/>
      <c r="BG692" s="612"/>
      <c r="BH692" s="612">
        <f t="shared" si="541"/>
        <v>0</v>
      </c>
      <c r="BI692" s="612">
        <f t="shared" si="519"/>
        <v>0</v>
      </c>
      <c r="BJ692" s="201">
        <f t="shared" si="551"/>
        <v>0</v>
      </c>
    </row>
    <row r="693" spans="1:62" ht="12" customHeight="1">
      <c r="A693" s="61"/>
      <c r="B693" s="61"/>
      <c r="C693" s="61">
        <v>3</v>
      </c>
      <c r="D693" s="61"/>
      <c r="E693" s="61"/>
      <c r="F693" s="61"/>
      <c r="G693" s="61"/>
      <c r="H693" s="230"/>
      <c r="I693" s="348"/>
      <c r="J693" s="229">
        <v>386</v>
      </c>
      <c r="K693" s="139" t="s">
        <v>495</v>
      </c>
      <c r="L693" s="111">
        <f t="shared" si="553"/>
        <v>670000</v>
      </c>
      <c r="M693" s="111">
        <f t="shared" si="553"/>
        <v>88924.281637799446</v>
      </c>
      <c r="N693" s="112">
        <f t="shared" si="553"/>
        <v>1144000</v>
      </c>
      <c r="O693" s="112">
        <f t="shared" si="553"/>
        <v>151834.89282633219</v>
      </c>
      <c r="P693" s="113">
        <f t="shared" si="553"/>
        <v>80000</v>
      </c>
      <c r="Q693" s="113">
        <f t="shared" si="553"/>
        <v>190000</v>
      </c>
      <c r="R693" s="87">
        <f t="shared" si="553"/>
        <v>171558</v>
      </c>
      <c r="S693" s="89" t="e">
        <f t="shared" ca="1" si="553"/>
        <v>#NAME?</v>
      </c>
      <c r="T693" s="89"/>
      <c r="U693" s="89"/>
      <c r="V693" s="532">
        <f>V694</f>
        <v>132000</v>
      </c>
      <c r="W693" s="532">
        <f t="shared" si="554"/>
        <v>132000</v>
      </c>
      <c r="X693" s="506">
        <f t="shared" si="554"/>
        <v>200000</v>
      </c>
      <c r="Y693" s="507">
        <f t="shared" si="554"/>
        <v>300000</v>
      </c>
      <c r="Z693" s="507">
        <f t="shared" si="554"/>
        <v>0</v>
      </c>
      <c r="AA693" s="562" t="e">
        <f t="shared" ca="1" si="540"/>
        <v>#NAME?</v>
      </c>
      <c r="AB693" s="507"/>
      <c r="AC693" s="508">
        <f t="shared" si="555"/>
        <v>85000</v>
      </c>
      <c r="AD693" s="508">
        <f t="shared" si="555"/>
        <v>85000</v>
      </c>
      <c r="AE693" s="529">
        <f>O693/M693*100</f>
        <v>170.74626865671644</v>
      </c>
      <c r="AF693" s="529">
        <f t="shared" si="556"/>
        <v>52.688811188811194</v>
      </c>
      <c r="AG693" s="529">
        <f t="shared" si="556"/>
        <v>237.5</v>
      </c>
      <c r="AH693" s="529">
        <f>AC693/Q693*100</f>
        <v>44.736842105263158</v>
      </c>
      <c r="AI693" s="507"/>
      <c r="AJ693" s="507">
        <v>300000</v>
      </c>
      <c r="AK693" s="507">
        <f t="shared" si="543"/>
        <v>76.941908858811587</v>
      </c>
      <c r="AL693" s="507">
        <f t="shared" si="557"/>
        <v>151.5151515151515</v>
      </c>
      <c r="AM693" s="507">
        <f t="shared" si="557"/>
        <v>150</v>
      </c>
      <c r="AN693" s="509"/>
      <c r="AO693" s="590"/>
      <c r="AP693" s="510" t="e">
        <f t="shared" ca="1" si="539"/>
        <v>#NAME?</v>
      </c>
      <c r="AQ693" s="532">
        <f>AQ694</f>
        <v>95000</v>
      </c>
      <c r="AR693" s="532">
        <f t="shared" ref="AR693:BG693" si="558">AR694</f>
        <v>76.941908858811587</v>
      </c>
      <c r="AS693" s="532">
        <f t="shared" si="558"/>
        <v>100</v>
      </c>
      <c r="AT693" s="532">
        <f t="shared" si="558"/>
        <v>76.941908858811587</v>
      </c>
      <c r="AU693" s="532">
        <f t="shared" si="558"/>
        <v>71.969696969696969</v>
      </c>
      <c r="AV693" s="532">
        <f t="shared" si="558"/>
        <v>55.374858648387139</v>
      </c>
      <c r="AW693" s="612">
        <f t="shared" si="558"/>
        <v>60949</v>
      </c>
      <c r="AX693" s="612">
        <f t="shared" si="558"/>
        <v>0</v>
      </c>
      <c r="AY693" s="612">
        <f t="shared" si="558"/>
        <v>0</v>
      </c>
      <c r="AZ693" s="612">
        <f t="shared" si="558"/>
        <v>0</v>
      </c>
      <c r="BA693" s="612">
        <f t="shared" si="558"/>
        <v>0</v>
      </c>
      <c r="BB693" s="612">
        <f t="shared" si="558"/>
        <v>0</v>
      </c>
      <c r="BC693" s="612">
        <f t="shared" si="558"/>
        <v>0</v>
      </c>
      <c r="BD693" s="612">
        <f t="shared" si="558"/>
        <v>10496</v>
      </c>
      <c r="BE693" s="612">
        <f t="shared" si="558"/>
        <v>20671</v>
      </c>
      <c r="BF693" s="612">
        <f t="shared" si="558"/>
        <v>0</v>
      </c>
      <c r="BG693" s="612">
        <f t="shared" si="558"/>
        <v>2884</v>
      </c>
      <c r="BH693" s="612">
        <f t="shared" si="541"/>
        <v>95000</v>
      </c>
      <c r="BI693" s="612">
        <f t="shared" si="519"/>
        <v>0</v>
      </c>
      <c r="BJ693" s="201">
        <f t="shared" si="551"/>
        <v>0</v>
      </c>
    </row>
    <row r="694" spans="1:62" ht="12" customHeight="1">
      <c r="A694" s="52"/>
      <c r="B694" s="52"/>
      <c r="C694" s="52"/>
      <c r="D694" s="52"/>
      <c r="E694" s="52"/>
      <c r="F694" s="52"/>
      <c r="G694" s="52"/>
      <c r="H694" s="2">
        <v>172</v>
      </c>
      <c r="I694" s="289">
        <v>640</v>
      </c>
      <c r="J694" s="185">
        <v>3861</v>
      </c>
      <c r="K694" s="479" t="s">
        <v>573</v>
      </c>
      <c r="L694" s="129">
        <v>670000</v>
      </c>
      <c r="M694" s="129">
        <f>670000/7.5345</f>
        <v>88924.281637799446</v>
      </c>
      <c r="N694" s="130">
        <v>1144000</v>
      </c>
      <c r="O694" s="130">
        <f>N694/7.5345</f>
        <v>151834.89282633219</v>
      </c>
      <c r="P694" s="131">
        <v>80000</v>
      </c>
      <c r="Q694" s="156">
        <v>190000</v>
      </c>
      <c r="R694" s="153">
        <v>171558</v>
      </c>
      <c r="S694" s="158" t="e">
        <f ca="1">__xlfn.XLOOKUP(H694,[1]Izvršenje_proračuna_po_pozicija!$B$2:$B$153,[1]Izvršenje_proračuna_po_pozicija!$E$2:$E$153,0)</f>
        <v>#NAME?</v>
      </c>
      <c r="T694" s="158"/>
      <c r="U694" s="158"/>
      <c r="V694" s="532">
        <v>132000</v>
      </c>
      <c r="W694" s="532">
        <v>132000</v>
      </c>
      <c r="X694" s="560">
        <v>200000</v>
      </c>
      <c r="Y694" s="561">
        <v>300000</v>
      </c>
      <c r="Z694" s="561"/>
      <c r="AA694" s="562" t="e">
        <f t="shared" ca="1" si="540"/>
        <v>#NAME?</v>
      </c>
      <c r="AB694" s="535"/>
      <c r="AC694" s="529">
        <v>85000</v>
      </c>
      <c r="AD694" s="529">
        <v>85000</v>
      </c>
      <c r="AE694" s="529">
        <f>O694/M694*100</f>
        <v>170.74626865671644</v>
      </c>
      <c r="AF694" s="529">
        <f t="shared" si="556"/>
        <v>52.688811188811194</v>
      </c>
      <c r="AG694" s="529">
        <f t="shared" si="556"/>
        <v>237.5</v>
      </c>
      <c r="AH694" s="529">
        <f>AC694/Q694*100</f>
        <v>44.736842105263158</v>
      </c>
      <c r="AI694" s="535"/>
      <c r="AJ694" s="561">
        <v>300000</v>
      </c>
      <c r="AK694" s="507">
        <f t="shared" si="543"/>
        <v>76.941908858811587</v>
      </c>
      <c r="AL694" s="507">
        <f t="shared" si="557"/>
        <v>151.5151515151515</v>
      </c>
      <c r="AM694" s="507">
        <f t="shared" si="557"/>
        <v>150</v>
      </c>
      <c r="AN694" s="556"/>
      <c r="AO694" s="510"/>
      <c r="AP694" s="510" t="e">
        <f t="shared" ca="1" si="539"/>
        <v>#NAME?</v>
      </c>
      <c r="AQ694" s="532">
        <v>95000</v>
      </c>
      <c r="AR694" s="533">
        <f>V694/R694*100</f>
        <v>76.941908858811587</v>
      </c>
      <c r="AS694" s="533">
        <f>W694/V694*100</f>
        <v>100</v>
      </c>
      <c r="AT694" s="533">
        <f>W694/R694*100</f>
        <v>76.941908858811587</v>
      </c>
      <c r="AU694" s="533">
        <f>AQ694/W694*100</f>
        <v>71.969696969696969</v>
      </c>
      <c r="AV694" s="533">
        <f>AQ694/R694*100</f>
        <v>55.374858648387139</v>
      </c>
      <c r="AW694" s="612">
        <v>60949</v>
      </c>
      <c r="AX694" s="612"/>
      <c r="AY694" s="612"/>
      <c r="AZ694" s="612"/>
      <c r="BA694" s="612"/>
      <c r="BB694" s="612"/>
      <c r="BC694" s="612"/>
      <c r="BD694" s="612">
        <v>10496</v>
      </c>
      <c r="BE694" s="612">
        <v>20671</v>
      </c>
      <c r="BF694" s="612"/>
      <c r="BG694" s="612">
        <v>2884</v>
      </c>
      <c r="BH694" s="612">
        <f t="shared" si="541"/>
        <v>95000</v>
      </c>
      <c r="BI694" s="612">
        <f t="shared" si="519"/>
        <v>0</v>
      </c>
      <c r="BJ694" s="201">
        <f t="shared" si="551"/>
        <v>0</v>
      </c>
    </row>
    <row r="695" spans="1:62" ht="12" customHeight="1">
      <c r="A695" s="41"/>
      <c r="B695" s="41"/>
      <c r="C695" s="41"/>
      <c r="D695" s="41"/>
      <c r="E695" s="41"/>
      <c r="F695" s="41"/>
      <c r="G695" s="41"/>
      <c r="H695" s="235"/>
      <c r="I695" s="15"/>
      <c r="J695" s="3"/>
      <c r="K695" s="83"/>
      <c r="L695" s="84"/>
      <c r="M695" s="84"/>
      <c r="N695" s="85"/>
      <c r="O695" s="85"/>
      <c r="P695" s="86"/>
      <c r="Q695" s="86"/>
      <c r="R695" s="154"/>
      <c r="S695" s="158" t="e">
        <f ca="1">__xlfn.XLOOKUP(H695,[1]Izvršenje_proračuna_po_pozicija!$B$2:$B$153,[1]Izvršenje_proračuna_po_pozicija!$E$2:$E$153,0)</f>
        <v>#NAME?</v>
      </c>
      <c r="T695" s="158"/>
      <c r="U695" s="158"/>
      <c r="V695" s="532"/>
      <c r="W695" s="532"/>
      <c r="X695" s="568"/>
      <c r="Y695" s="569"/>
      <c r="Z695" s="569"/>
      <c r="AA695" s="562" t="e">
        <f t="shared" ca="1" si="540"/>
        <v>#NAME?</v>
      </c>
      <c r="AB695" s="537"/>
      <c r="AC695" s="538"/>
      <c r="AD695" s="538"/>
      <c r="AE695" s="529"/>
      <c r="AF695" s="529"/>
      <c r="AG695" s="529"/>
      <c r="AH695" s="529"/>
      <c r="AI695" s="537"/>
      <c r="AJ695" s="569"/>
      <c r="AK695" s="507"/>
      <c r="AL695" s="507"/>
      <c r="AM695" s="507"/>
      <c r="AN695" s="557"/>
      <c r="AO695" s="510"/>
      <c r="AP695" s="510" t="e">
        <f t="shared" ca="1" si="539"/>
        <v>#NAME?</v>
      </c>
      <c r="AQ695" s="532"/>
      <c r="AR695" s="533"/>
      <c r="AS695" s="533"/>
      <c r="AT695" s="533"/>
      <c r="AU695" s="533"/>
      <c r="AV695" s="533"/>
      <c r="AW695" s="612"/>
      <c r="AX695" s="612"/>
      <c r="AY695" s="612"/>
      <c r="AZ695" s="612"/>
      <c r="BA695" s="612"/>
      <c r="BB695" s="612"/>
      <c r="BC695" s="612"/>
      <c r="BD695" s="612"/>
      <c r="BE695" s="612"/>
      <c r="BF695" s="612"/>
      <c r="BG695" s="612"/>
      <c r="BH695" s="612">
        <f t="shared" si="541"/>
        <v>0</v>
      </c>
      <c r="BI695" s="612">
        <f t="shared" si="519"/>
        <v>0</v>
      </c>
      <c r="BJ695" s="201">
        <f t="shared" si="551"/>
        <v>0</v>
      </c>
    </row>
    <row r="696" spans="1:62" ht="12" customHeight="1">
      <c r="A696" s="282" t="s">
        <v>574</v>
      </c>
      <c r="B696" s="283"/>
      <c r="C696" s="283"/>
      <c r="D696" s="283"/>
      <c r="E696" s="283"/>
      <c r="F696" s="283"/>
      <c r="G696" s="283"/>
      <c r="H696" s="284"/>
      <c r="I696" s="369" t="s">
        <v>575</v>
      </c>
      <c r="J696" s="370"/>
      <c r="K696" s="372"/>
      <c r="L696" s="111">
        <f t="shared" ref="L696:S696" si="559">L698</f>
        <v>0</v>
      </c>
      <c r="M696" s="111">
        <f t="shared" si="559"/>
        <v>0</v>
      </c>
      <c r="N696" s="112">
        <f t="shared" si="559"/>
        <v>0</v>
      </c>
      <c r="O696" s="112">
        <f t="shared" si="559"/>
        <v>0</v>
      </c>
      <c r="P696" s="113">
        <f t="shared" si="559"/>
        <v>0</v>
      </c>
      <c r="Q696" s="113">
        <f t="shared" si="559"/>
        <v>0</v>
      </c>
      <c r="R696" s="87">
        <f t="shared" si="559"/>
        <v>0</v>
      </c>
      <c r="S696" s="89" t="e">
        <f t="shared" ca="1" si="559"/>
        <v>#NAME?</v>
      </c>
      <c r="T696" s="89"/>
      <c r="U696" s="89"/>
      <c r="V696" s="532">
        <f>V698</f>
        <v>0</v>
      </c>
      <c r="W696" s="532">
        <f>W698</f>
        <v>0</v>
      </c>
      <c r="X696" s="506">
        <f>X698</f>
        <v>0</v>
      </c>
      <c r="Y696" s="507">
        <f>Y698</f>
        <v>0</v>
      </c>
      <c r="Z696" s="507">
        <f>Z698</f>
        <v>0</v>
      </c>
      <c r="AA696" s="562" t="e">
        <f t="shared" ca="1" si="540"/>
        <v>#NAME?</v>
      </c>
      <c r="AB696" s="507"/>
      <c r="AC696" s="508">
        <f>AC698</f>
        <v>0</v>
      </c>
      <c r="AD696" s="508">
        <f>AD698</f>
        <v>0</v>
      </c>
      <c r="AE696" s="529"/>
      <c r="AF696" s="529"/>
      <c r="AG696" s="529"/>
      <c r="AH696" s="529"/>
      <c r="AI696" s="507"/>
      <c r="AJ696" s="507">
        <v>0</v>
      </c>
      <c r="AK696" s="507"/>
      <c r="AL696" s="507"/>
      <c r="AM696" s="507"/>
      <c r="AN696" s="509"/>
      <c r="AO696" s="510"/>
      <c r="AP696" s="510" t="e">
        <f t="shared" ca="1" si="539"/>
        <v>#NAME?</v>
      </c>
      <c r="AQ696" s="532">
        <f>AQ698</f>
        <v>0</v>
      </c>
      <c r="AR696" s="533"/>
      <c r="AS696" s="533"/>
      <c r="AT696" s="533"/>
      <c r="AU696" s="533"/>
      <c r="AV696" s="533"/>
      <c r="AW696" s="612"/>
      <c r="AX696" s="612"/>
      <c r="AY696" s="612"/>
      <c r="AZ696" s="612"/>
      <c r="BA696" s="612"/>
      <c r="BB696" s="612"/>
      <c r="BC696" s="612"/>
      <c r="BD696" s="612"/>
      <c r="BE696" s="612"/>
      <c r="BF696" s="612"/>
      <c r="BG696" s="612"/>
      <c r="BH696" s="612">
        <f t="shared" si="541"/>
        <v>0</v>
      </c>
      <c r="BI696" s="612">
        <f t="shared" si="519"/>
        <v>0</v>
      </c>
      <c r="BJ696" s="201">
        <f t="shared" si="551"/>
        <v>0</v>
      </c>
    </row>
    <row r="697" spans="1:62" ht="12" customHeight="1">
      <c r="A697" s="41"/>
      <c r="B697" s="41"/>
      <c r="C697" s="41"/>
      <c r="D697" s="41"/>
      <c r="E697" s="41"/>
      <c r="F697" s="41"/>
      <c r="G697" s="41"/>
      <c r="H697" s="235"/>
      <c r="I697" s="15"/>
      <c r="J697" s="3"/>
      <c r="K697" s="83"/>
      <c r="L697" s="84"/>
      <c r="M697" s="84"/>
      <c r="N697" s="85"/>
      <c r="O697" s="85"/>
      <c r="P697" s="86"/>
      <c r="Q697" s="86"/>
      <c r="R697" s="154"/>
      <c r="S697" s="158" t="e">
        <f ca="1">__xlfn.XLOOKUP(H697,[1]Izvršenje_proračuna_po_pozicija!$B$2:$B$153,[1]Izvršenje_proračuna_po_pozicija!$E$2:$E$153,0)</f>
        <v>#NAME?</v>
      </c>
      <c r="T697" s="158"/>
      <c r="U697" s="158"/>
      <c r="V697" s="532"/>
      <c r="W697" s="532"/>
      <c r="X697" s="568"/>
      <c r="Y697" s="569"/>
      <c r="Z697" s="569"/>
      <c r="AA697" s="562" t="e">
        <f t="shared" ca="1" si="540"/>
        <v>#NAME?</v>
      </c>
      <c r="AB697" s="537"/>
      <c r="AC697" s="538"/>
      <c r="AD697" s="538"/>
      <c r="AE697" s="529"/>
      <c r="AF697" s="529"/>
      <c r="AG697" s="529"/>
      <c r="AH697" s="529"/>
      <c r="AI697" s="537"/>
      <c r="AJ697" s="569"/>
      <c r="AK697" s="507"/>
      <c r="AL697" s="507"/>
      <c r="AM697" s="507"/>
      <c r="AN697" s="557"/>
      <c r="AO697" s="510"/>
      <c r="AP697" s="510" t="e">
        <f t="shared" ca="1" si="539"/>
        <v>#NAME?</v>
      </c>
      <c r="AQ697" s="532"/>
      <c r="AR697" s="533"/>
      <c r="AS697" s="533"/>
      <c r="AT697" s="533"/>
      <c r="AU697" s="533"/>
      <c r="AV697" s="533"/>
      <c r="AW697" s="612"/>
      <c r="AX697" s="612"/>
      <c r="AY697" s="612"/>
      <c r="AZ697" s="612"/>
      <c r="BA697" s="612"/>
      <c r="BB697" s="612"/>
      <c r="BC697" s="612"/>
      <c r="BD697" s="612"/>
      <c r="BE697" s="612"/>
      <c r="BF697" s="612"/>
      <c r="BG697" s="612"/>
      <c r="BH697" s="612">
        <f t="shared" si="541"/>
        <v>0</v>
      </c>
      <c r="BI697" s="612">
        <f t="shared" si="519"/>
        <v>0</v>
      </c>
      <c r="BJ697" s="201">
        <f t="shared" si="551"/>
        <v>0</v>
      </c>
    </row>
    <row r="698" spans="1:62" ht="12" customHeight="1">
      <c r="A698" s="25"/>
      <c r="B698" s="25"/>
      <c r="C698" s="25"/>
      <c r="D698" s="25"/>
      <c r="E698" s="25"/>
      <c r="F698" s="25"/>
      <c r="G698" s="25"/>
      <c r="H698" s="285"/>
      <c r="I698" s="349"/>
      <c r="J698" s="211">
        <v>3</v>
      </c>
      <c r="K698" s="3" t="s">
        <v>220</v>
      </c>
      <c r="L698" s="111">
        <f t="shared" ref="L698:AD700" si="560">L699</f>
        <v>0</v>
      </c>
      <c r="M698" s="111">
        <f t="shared" si="560"/>
        <v>0</v>
      </c>
      <c r="N698" s="112">
        <f t="shared" si="560"/>
        <v>0</v>
      </c>
      <c r="O698" s="112">
        <f t="shared" si="560"/>
        <v>0</v>
      </c>
      <c r="P698" s="113">
        <f t="shared" si="560"/>
        <v>0</v>
      </c>
      <c r="Q698" s="113">
        <f t="shared" si="560"/>
        <v>0</v>
      </c>
      <c r="R698" s="87">
        <f t="shared" si="560"/>
        <v>0</v>
      </c>
      <c r="S698" s="89" t="e">
        <f t="shared" ca="1" si="560"/>
        <v>#NAME?</v>
      </c>
      <c r="T698" s="89"/>
      <c r="U698" s="89"/>
      <c r="V698" s="532">
        <f>V699</f>
        <v>0</v>
      </c>
      <c r="W698" s="532">
        <f t="shared" si="560"/>
        <v>0</v>
      </c>
      <c r="X698" s="506">
        <f t="shared" si="560"/>
        <v>0</v>
      </c>
      <c r="Y698" s="507">
        <f t="shared" si="560"/>
        <v>0</v>
      </c>
      <c r="Z698" s="507">
        <f t="shared" si="560"/>
        <v>0</v>
      </c>
      <c r="AA698" s="562" t="e">
        <f t="shared" ca="1" si="540"/>
        <v>#NAME?</v>
      </c>
      <c r="AB698" s="507"/>
      <c r="AC698" s="508">
        <f t="shared" si="560"/>
        <v>0</v>
      </c>
      <c r="AD698" s="508">
        <f t="shared" si="560"/>
        <v>0</v>
      </c>
      <c r="AE698" s="529"/>
      <c r="AF698" s="529"/>
      <c r="AG698" s="529"/>
      <c r="AH698" s="529"/>
      <c r="AI698" s="507"/>
      <c r="AJ698" s="507">
        <v>0</v>
      </c>
      <c r="AK698" s="507"/>
      <c r="AL698" s="507"/>
      <c r="AM698" s="507"/>
      <c r="AN698" s="509"/>
      <c r="AO698" s="510"/>
      <c r="AP698" s="510" t="e">
        <f t="shared" ca="1" si="539"/>
        <v>#NAME?</v>
      </c>
      <c r="AQ698" s="532">
        <f>AQ699</f>
        <v>0</v>
      </c>
      <c r="AR698" s="533"/>
      <c r="AS698" s="533"/>
      <c r="AT698" s="533"/>
      <c r="AU698" s="533"/>
      <c r="AV698" s="533"/>
      <c r="AW698" s="612"/>
      <c r="AX698" s="612"/>
      <c r="AY698" s="612"/>
      <c r="AZ698" s="612"/>
      <c r="BA698" s="612"/>
      <c r="BB698" s="612"/>
      <c r="BC698" s="612"/>
      <c r="BD698" s="612"/>
      <c r="BE698" s="612"/>
      <c r="BF698" s="612"/>
      <c r="BG698" s="612"/>
      <c r="BH698" s="612">
        <f t="shared" si="541"/>
        <v>0</v>
      </c>
      <c r="BI698" s="612">
        <f t="shared" si="519"/>
        <v>0</v>
      </c>
      <c r="BJ698" s="201">
        <f t="shared" si="551"/>
        <v>0</v>
      </c>
    </row>
    <row r="699" spans="1:62" ht="12" customHeight="1">
      <c r="A699" s="227"/>
      <c r="B699" s="227"/>
      <c r="C699" s="227"/>
      <c r="D699" s="227"/>
      <c r="E699" s="227"/>
      <c r="F699" s="227"/>
      <c r="G699" s="227"/>
      <c r="H699" s="234"/>
      <c r="I699" s="265"/>
      <c r="J699" s="228">
        <v>38</v>
      </c>
      <c r="K699" s="258" t="s">
        <v>281</v>
      </c>
      <c r="L699" s="111">
        <f t="shared" si="560"/>
        <v>0</v>
      </c>
      <c r="M699" s="111">
        <f t="shared" si="560"/>
        <v>0</v>
      </c>
      <c r="N699" s="112">
        <f t="shared" si="560"/>
        <v>0</v>
      </c>
      <c r="O699" s="112">
        <f t="shared" si="560"/>
        <v>0</v>
      </c>
      <c r="P699" s="113">
        <f t="shared" si="560"/>
        <v>0</v>
      </c>
      <c r="Q699" s="113">
        <f t="shared" si="560"/>
        <v>0</v>
      </c>
      <c r="R699" s="87">
        <f t="shared" si="560"/>
        <v>0</v>
      </c>
      <c r="S699" s="89" t="e">
        <f t="shared" ca="1" si="560"/>
        <v>#NAME?</v>
      </c>
      <c r="T699" s="89"/>
      <c r="U699" s="89"/>
      <c r="V699" s="532">
        <f>V700</f>
        <v>0</v>
      </c>
      <c r="W699" s="532">
        <f t="shared" si="560"/>
        <v>0</v>
      </c>
      <c r="X699" s="506">
        <f t="shared" si="560"/>
        <v>0</v>
      </c>
      <c r="Y699" s="507">
        <f t="shared" si="560"/>
        <v>0</v>
      </c>
      <c r="Z699" s="507">
        <f t="shared" si="560"/>
        <v>0</v>
      </c>
      <c r="AA699" s="562" t="e">
        <f t="shared" ca="1" si="540"/>
        <v>#NAME?</v>
      </c>
      <c r="AB699" s="507"/>
      <c r="AC699" s="508">
        <f t="shared" si="560"/>
        <v>0</v>
      </c>
      <c r="AD699" s="508">
        <f t="shared" si="560"/>
        <v>0</v>
      </c>
      <c r="AE699" s="529"/>
      <c r="AF699" s="529"/>
      <c r="AG699" s="529"/>
      <c r="AH699" s="529"/>
      <c r="AI699" s="507"/>
      <c r="AJ699" s="507">
        <v>0</v>
      </c>
      <c r="AK699" s="507"/>
      <c r="AL699" s="507"/>
      <c r="AM699" s="507"/>
      <c r="AN699" s="509"/>
      <c r="AO699" s="510"/>
      <c r="AP699" s="510" t="e">
        <f t="shared" ca="1" si="539"/>
        <v>#NAME?</v>
      </c>
      <c r="AQ699" s="532">
        <f>AQ700</f>
        <v>0</v>
      </c>
      <c r="AR699" s="533"/>
      <c r="AS699" s="533"/>
      <c r="AT699" s="533"/>
      <c r="AU699" s="533"/>
      <c r="AV699" s="533"/>
      <c r="AW699" s="612"/>
      <c r="AX699" s="612"/>
      <c r="AY699" s="612"/>
      <c r="AZ699" s="612"/>
      <c r="BA699" s="612"/>
      <c r="BB699" s="612"/>
      <c r="BC699" s="612"/>
      <c r="BD699" s="612"/>
      <c r="BE699" s="612"/>
      <c r="BF699" s="612"/>
      <c r="BG699" s="612"/>
      <c r="BH699" s="612">
        <f t="shared" si="541"/>
        <v>0</v>
      </c>
      <c r="BI699" s="612">
        <f t="shared" si="519"/>
        <v>0</v>
      </c>
      <c r="BJ699" s="201">
        <f t="shared" si="551"/>
        <v>0</v>
      </c>
    </row>
    <row r="700" spans="1:62" ht="12" customHeight="1">
      <c r="A700" s="61"/>
      <c r="B700" s="61"/>
      <c r="C700" s="61"/>
      <c r="D700" s="61"/>
      <c r="E700" s="61"/>
      <c r="F700" s="61"/>
      <c r="G700" s="61"/>
      <c r="H700" s="230"/>
      <c r="I700" s="348"/>
      <c r="J700" s="229">
        <v>382</v>
      </c>
      <c r="K700" s="20" t="s">
        <v>524</v>
      </c>
      <c r="L700" s="111">
        <f t="shared" si="560"/>
        <v>0</v>
      </c>
      <c r="M700" s="111">
        <f t="shared" si="560"/>
        <v>0</v>
      </c>
      <c r="N700" s="112">
        <f t="shared" si="560"/>
        <v>0</v>
      </c>
      <c r="O700" s="112">
        <f t="shared" si="560"/>
        <v>0</v>
      </c>
      <c r="P700" s="113">
        <f t="shared" si="560"/>
        <v>0</v>
      </c>
      <c r="Q700" s="113">
        <f t="shared" si="560"/>
        <v>0</v>
      </c>
      <c r="R700" s="87">
        <f t="shared" si="560"/>
        <v>0</v>
      </c>
      <c r="S700" s="89" t="e">
        <f t="shared" ca="1" si="560"/>
        <v>#NAME?</v>
      </c>
      <c r="T700" s="89"/>
      <c r="U700" s="89"/>
      <c r="V700" s="532">
        <f>V701</f>
        <v>0</v>
      </c>
      <c r="W700" s="532">
        <f t="shared" si="560"/>
        <v>0</v>
      </c>
      <c r="X700" s="506">
        <f t="shared" si="560"/>
        <v>0</v>
      </c>
      <c r="Y700" s="507">
        <f t="shared" si="560"/>
        <v>0</v>
      </c>
      <c r="Z700" s="507">
        <f t="shared" si="560"/>
        <v>0</v>
      </c>
      <c r="AA700" s="562" t="e">
        <f t="shared" ca="1" si="540"/>
        <v>#NAME?</v>
      </c>
      <c r="AB700" s="507"/>
      <c r="AC700" s="508">
        <f>AC701</f>
        <v>0</v>
      </c>
      <c r="AD700" s="508">
        <f>AD701</f>
        <v>0</v>
      </c>
      <c r="AE700" s="529"/>
      <c r="AF700" s="529"/>
      <c r="AG700" s="529"/>
      <c r="AH700" s="529"/>
      <c r="AI700" s="507"/>
      <c r="AJ700" s="507">
        <v>0</v>
      </c>
      <c r="AK700" s="507"/>
      <c r="AL700" s="507"/>
      <c r="AM700" s="507"/>
      <c r="AN700" s="509"/>
      <c r="AO700" s="510"/>
      <c r="AP700" s="510" t="e">
        <f t="shared" ca="1" si="539"/>
        <v>#NAME?</v>
      </c>
      <c r="AQ700" s="532">
        <f>AQ701</f>
        <v>0</v>
      </c>
      <c r="AR700" s="533"/>
      <c r="AS700" s="533"/>
      <c r="AT700" s="533"/>
      <c r="AU700" s="533"/>
      <c r="AV700" s="533"/>
      <c r="AW700" s="612"/>
      <c r="AX700" s="612"/>
      <c r="AY700" s="612"/>
      <c r="AZ700" s="612"/>
      <c r="BA700" s="612"/>
      <c r="BB700" s="612"/>
      <c r="BC700" s="612"/>
      <c r="BD700" s="612"/>
      <c r="BE700" s="612"/>
      <c r="BF700" s="612"/>
      <c r="BG700" s="612"/>
      <c r="BH700" s="612">
        <f t="shared" si="541"/>
        <v>0</v>
      </c>
      <c r="BI700" s="612">
        <f t="shared" ref="BI700:BI763" si="561">SUM(AW707:BG707)</f>
        <v>0</v>
      </c>
      <c r="BJ700" s="201">
        <f t="shared" si="551"/>
        <v>0</v>
      </c>
    </row>
    <row r="701" spans="1:62" ht="12" customHeight="1">
      <c r="A701" s="52"/>
      <c r="B701" s="52"/>
      <c r="C701" s="52"/>
      <c r="D701" s="52"/>
      <c r="E701" s="52"/>
      <c r="F701" s="52"/>
      <c r="G701" s="52"/>
      <c r="H701" s="2" t="s">
        <v>576</v>
      </c>
      <c r="I701" s="289">
        <v>640</v>
      </c>
      <c r="J701" s="185">
        <v>3822</v>
      </c>
      <c r="K701" s="19" t="s">
        <v>577</v>
      </c>
      <c r="L701" s="129">
        <v>0</v>
      </c>
      <c r="M701" s="129">
        <v>0</v>
      </c>
      <c r="N701" s="130">
        <v>0</v>
      </c>
      <c r="O701" s="130">
        <v>0</v>
      </c>
      <c r="P701" s="131">
        <v>0</v>
      </c>
      <c r="Q701" s="131">
        <v>0</v>
      </c>
      <c r="R701" s="153">
        <v>0</v>
      </c>
      <c r="S701" s="158" t="e">
        <f ca="1">__xlfn.XLOOKUP(H701,[1]Izvršenje_proračuna_po_pozicija!$B$2:$B$153,[1]Izvršenje_proračuna_po_pozicija!$E$2:$E$153,0)</f>
        <v>#NAME?</v>
      </c>
      <c r="T701" s="158"/>
      <c r="U701" s="158"/>
      <c r="V701" s="532"/>
      <c r="W701" s="532"/>
      <c r="X701" s="560"/>
      <c r="Y701" s="561"/>
      <c r="Z701" s="561"/>
      <c r="AA701" s="562" t="e">
        <f t="shared" ca="1" si="540"/>
        <v>#NAME?</v>
      </c>
      <c r="AB701" s="535"/>
      <c r="AC701" s="529">
        <v>0</v>
      </c>
      <c r="AD701" s="529">
        <v>0</v>
      </c>
      <c r="AE701" s="529"/>
      <c r="AF701" s="529"/>
      <c r="AG701" s="529"/>
      <c r="AH701" s="529"/>
      <c r="AI701" s="535"/>
      <c r="AJ701" s="561"/>
      <c r="AK701" s="507"/>
      <c r="AL701" s="507"/>
      <c r="AM701" s="507"/>
      <c r="AN701" s="556"/>
      <c r="AO701" s="510"/>
      <c r="AP701" s="510" t="e">
        <f t="shared" ca="1" si="539"/>
        <v>#NAME?</v>
      </c>
      <c r="AQ701" s="532"/>
      <c r="AR701" s="533"/>
      <c r="AS701" s="533"/>
      <c r="AT701" s="533"/>
      <c r="AU701" s="533"/>
      <c r="AV701" s="533"/>
      <c r="AW701" s="612"/>
      <c r="AX701" s="612"/>
      <c r="AY701" s="612"/>
      <c r="AZ701" s="612"/>
      <c r="BA701" s="612"/>
      <c r="BB701" s="612"/>
      <c r="BC701" s="612"/>
      <c r="BD701" s="612"/>
      <c r="BE701" s="612"/>
      <c r="BF701" s="612"/>
      <c r="BG701" s="612"/>
      <c r="BH701" s="612">
        <f t="shared" si="541"/>
        <v>0</v>
      </c>
      <c r="BI701" s="612">
        <f t="shared" si="561"/>
        <v>0</v>
      </c>
      <c r="BJ701" s="201">
        <f t="shared" si="551"/>
        <v>0</v>
      </c>
    </row>
    <row r="702" spans="1:62" ht="12" customHeight="1">
      <c r="A702" s="52"/>
      <c r="B702" s="52"/>
      <c r="C702" s="52"/>
      <c r="D702" s="52"/>
      <c r="E702" s="52"/>
      <c r="F702" s="52"/>
      <c r="G702" s="52"/>
      <c r="H702" s="2"/>
      <c r="I702" s="289"/>
      <c r="J702" s="185"/>
      <c r="K702" s="209"/>
      <c r="L702" s="129"/>
      <c r="M702" s="129"/>
      <c r="N702" s="130"/>
      <c r="O702" s="130"/>
      <c r="P702" s="131"/>
      <c r="Q702" s="131"/>
      <c r="R702" s="153"/>
      <c r="S702" s="158" t="e">
        <f ca="1">__xlfn.XLOOKUP(H702,[1]Izvršenje_proračuna_po_pozicija!$B$2:$B$153,[1]Izvršenje_proračuna_po_pozicija!$E$2:$E$153,0)</f>
        <v>#NAME?</v>
      </c>
      <c r="T702" s="158"/>
      <c r="U702" s="158"/>
      <c r="V702" s="532"/>
      <c r="W702" s="532"/>
      <c r="X702" s="560"/>
      <c r="Y702" s="561"/>
      <c r="Z702" s="561"/>
      <c r="AA702" s="562" t="e">
        <f t="shared" ca="1" si="540"/>
        <v>#NAME?</v>
      </c>
      <c r="AB702" s="535"/>
      <c r="AC702" s="529"/>
      <c r="AD702" s="529"/>
      <c r="AE702" s="529"/>
      <c r="AF702" s="529"/>
      <c r="AG702" s="529"/>
      <c r="AH702" s="529"/>
      <c r="AI702" s="535"/>
      <c r="AJ702" s="561"/>
      <c r="AK702" s="507"/>
      <c r="AL702" s="507"/>
      <c r="AM702" s="507"/>
      <c r="AN702" s="556"/>
      <c r="AO702" s="510"/>
      <c r="AP702" s="510" t="e">
        <f t="shared" ca="1" si="539"/>
        <v>#NAME?</v>
      </c>
      <c r="AQ702" s="532"/>
      <c r="AR702" s="533"/>
      <c r="AS702" s="533"/>
      <c r="AT702" s="533"/>
      <c r="AU702" s="533"/>
      <c r="AV702" s="533"/>
      <c r="AW702" s="612"/>
      <c r="AX702" s="612"/>
      <c r="AY702" s="612"/>
      <c r="AZ702" s="612"/>
      <c r="BA702" s="612"/>
      <c r="BB702" s="612"/>
      <c r="BC702" s="612"/>
      <c r="BD702" s="612"/>
      <c r="BE702" s="612"/>
      <c r="BF702" s="612"/>
      <c r="BG702" s="612"/>
      <c r="BH702" s="612">
        <f t="shared" si="541"/>
        <v>0</v>
      </c>
      <c r="BI702" s="612">
        <f t="shared" si="561"/>
        <v>0</v>
      </c>
      <c r="BJ702" s="201">
        <f t="shared" si="551"/>
        <v>0</v>
      </c>
    </row>
    <row r="703" spans="1:62" ht="12" customHeight="1">
      <c r="A703" s="282" t="s">
        <v>578</v>
      </c>
      <c r="B703" s="283"/>
      <c r="C703" s="283"/>
      <c r="D703" s="283"/>
      <c r="E703" s="283"/>
      <c r="F703" s="283"/>
      <c r="G703" s="283"/>
      <c r="H703" s="284"/>
      <c r="I703" s="369" t="s">
        <v>579</v>
      </c>
      <c r="J703" s="370"/>
      <c r="K703" s="372"/>
      <c r="L703" s="111">
        <f t="shared" ref="L703:S703" si="562">L705</f>
        <v>0</v>
      </c>
      <c r="M703" s="111">
        <f t="shared" si="562"/>
        <v>0</v>
      </c>
      <c r="N703" s="112">
        <f t="shared" si="562"/>
        <v>0</v>
      </c>
      <c r="O703" s="112">
        <f t="shared" si="562"/>
        <v>0</v>
      </c>
      <c r="P703" s="113">
        <f t="shared" si="562"/>
        <v>0</v>
      </c>
      <c r="Q703" s="113">
        <f t="shared" si="562"/>
        <v>0</v>
      </c>
      <c r="R703" s="87">
        <f t="shared" si="562"/>
        <v>0</v>
      </c>
      <c r="S703" s="89" t="e">
        <f t="shared" ca="1" si="562"/>
        <v>#NAME?</v>
      </c>
      <c r="T703" s="89"/>
      <c r="U703" s="89"/>
      <c r="V703" s="532">
        <f>V705</f>
        <v>0</v>
      </c>
      <c r="W703" s="532">
        <f>W705</f>
        <v>0</v>
      </c>
      <c r="X703" s="506">
        <f>X705</f>
        <v>0</v>
      </c>
      <c r="Y703" s="507">
        <f>Y705</f>
        <v>0</v>
      </c>
      <c r="Z703" s="507">
        <f>Z705</f>
        <v>0</v>
      </c>
      <c r="AA703" s="562" t="e">
        <f t="shared" ca="1" si="540"/>
        <v>#NAME?</v>
      </c>
      <c r="AB703" s="507"/>
      <c r="AC703" s="508">
        <f>AC705</f>
        <v>0</v>
      </c>
      <c r="AD703" s="508">
        <f>AD705</f>
        <v>0</v>
      </c>
      <c r="AE703" s="529"/>
      <c r="AF703" s="529"/>
      <c r="AG703" s="529"/>
      <c r="AH703" s="529"/>
      <c r="AI703" s="507"/>
      <c r="AJ703" s="507">
        <v>0</v>
      </c>
      <c r="AK703" s="507"/>
      <c r="AL703" s="507"/>
      <c r="AM703" s="507"/>
      <c r="AN703" s="509"/>
      <c r="AO703" s="510"/>
      <c r="AP703" s="510" t="e">
        <f t="shared" ca="1" si="539"/>
        <v>#NAME?</v>
      </c>
      <c r="AQ703" s="532">
        <f>AQ705</f>
        <v>0</v>
      </c>
      <c r="AR703" s="533"/>
      <c r="AS703" s="533"/>
      <c r="AT703" s="533"/>
      <c r="AU703" s="533"/>
      <c r="AV703" s="533"/>
      <c r="AW703" s="612"/>
      <c r="AX703" s="612"/>
      <c r="AY703" s="612"/>
      <c r="AZ703" s="612"/>
      <c r="BA703" s="612"/>
      <c r="BB703" s="612"/>
      <c r="BC703" s="612"/>
      <c r="BD703" s="612"/>
      <c r="BE703" s="612"/>
      <c r="BF703" s="612"/>
      <c r="BG703" s="612"/>
      <c r="BH703" s="612">
        <f t="shared" si="541"/>
        <v>0</v>
      </c>
      <c r="BI703" s="612">
        <f t="shared" si="561"/>
        <v>0</v>
      </c>
      <c r="BJ703" s="201"/>
    </row>
    <row r="704" spans="1:62" ht="12" customHeight="1">
      <c r="A704" s="41"/>
      <c r="B704" s="41"/>
      <c r="C704" s="41"/>
      <c r="D704" s="41"/>
      <c r="E704" s="41"/>
      <c r="F704" s="41"/>
      <c r="G704" s="41"/>
      <c r="H704" s="235"/>
      <c r="I704" s="15"/>
      <c r="J704" s="3"/>
      <c r="K704" s="83"/>
      <c r="L704" s="84">
        <v>1</v>
      </c>
      <c r="M704" s="84">
        <v>2</v>
      </c>
      <c r="N704" s="85">
        <v>3</v>
      </c>
      <c r="O704" s="85">
        <v>4</v>
      </c>
      <c r="P704" s="86">
        <v>5</v>
      </c>
      <c r="Q704" s="86">
        <v>6</v>
      </c>
      <c r="R704" s="154"/>
      <c r="S704" s="158" t="e">
        <f ca="1">__xlfn.XLOOKUP(H704,[1]Izvršenje_proračuna_po_pozicija!$B$2:$B$153,[1]Izvršenje_proračuna_po_pozicija!$E$2:$E$153,0)</f>
        <v>#NAME?</v>
      </c>
      <c r="T704" s="158"/>
      <c r="U704" s="158"/>
      <c r="V704" s="532"/>
      <c r="W704" s="532"/>
      <c r="X704" s="568"/>
      <c r="Y704" s="569"/>
      <c r="Z704" s="569"/>
      <c r="AA704" s="562" t="e">
        <f t="shared" ca="1" si="540"/>
        <v>#NAME?</v>
      </c>
      <c r="AB704" s="537"/>
      <c r="AC704" s="538">
        <v>7</v>
      </c>
      <c r="AD704" s="538">
        <v>8</v>
      </c>
      <c r="AE704" s="538">
        <v>9</v>
      </c>
      <c r="AF704" s="538">
        <v>10</v>
      </c>
      <c r="AG704" s="538">
        <v>11</v>
      </c>
      <c r="AH704" s="538">
        <v>12</v>
      </c>
      <c r="AI704" s="537"/>
      <c r="AJ704" s="569"/>
      <c r="AK704" s="507"/>
      <c r="AL704" s="507"/>
      <c r="AM704" s="507"/>
      <c r="AN704" s="557"/>
      <c r="AO704" s="510"/>
      <c r="AP704" s="510" t="e">
        <f t="shared" ca="1" si="539"/>
        <v>#NAME?</v>
      </c>
      <c r="AQ704" s="532"/>
      <c r="AR704" s="533"/>
      <c r="AS704" s="533"/>
      <c r="AT704" s="533"/>
      <c r="AU704" s="533"/>
      <c r="AV704" s="533"/>
      <c r="AW704" s="612"/>
      <c r="AX704" s="612"/>
      <c r="AY704" s="612"/>
      <c r="AZ704" s="612"/>
      <c r="BA704" s="612"/>
      <c r="BB704" s="612"/>
      <c r="BC704" s="612"/>
      <c r="BD704" s="612"/>
      <c r="BE704" s="612"/>
      <c r="BF704" s="612"/>
      <c r="BG704" s="612"/>
      <c r="BH704" s="612">
        <f t="shared" si="541"/>
        <v>0</v>
      </c>
      <c r="BI704" s="612">
        <f t="shared" si="561"/>
        <v>0</v>
      </c>
      <c r="BJ704" s="201"/>
    </row>
    <row r="705" spans="1:62" ht="12" customHeight="1">
      <c r="A705" s="25"/>
      <c r="B705" s="25"/>
      <c r="C705" s="25"/>
      <c r="D705" s="25"/>
      <c r="E705" s="25"/>
      <c r="F705" s="25"/>
      <c r="G705" s="25"/>
      <c r="H705" s="285"/>
      <c r="I705" s="349"/>
      <c r="J705" s="211">
        <v>4</v>
      </c>
      <c r="K705" s="3" t="s">
        <v>580</v>
      </c>
      <c r="L705" s="111">
        <f t="shared" ref="L705:AD707" si="563">L706</f>
        <v>0</v>
      </c>
      <c r="M705" s="111">
        <f t="shared" si="563"/>
        <v>0</v>
      </c>
      <c r="N705" s="112">
        <f t="shared" si="563"/>
        <v>0</v>
      </c>
      <c r="O705" s="112">
        <f t="shared" si="563"/>
        <v>0</v>
      </c>
      <c r="P705" s="113">
        <f t="shared" si="563"/>
        <v>0</v>
      </c>
      <c r="Q705" s="113">
        <f t="shared" si="563"/>
        <v>0</v>
      </c>
      <c r="R705" s="87">
        <f t="shared" si="563"/>
        <v>0</v>
      </c>
      <c r="S705" s="89" t="e">
        <f t="shared" ca="1" si="563"/>
        <v>#NAME?</v>
      </c>
      <c r="T705" s="89"/>
      <c r="U705" s="89"/>
      <c r="V705" s="532">
        <f>V706</f>
        <v>0</v>
      </c>
      <c r="W705" s="532">
        <f t="shared" si="563"/>
        <v>0</v>
      </c>
      <c r="X705" s="506">
        <f t="shared" si="563"/>
        <v>0</v>
      </c>
      <c r="Y705" s="507">
        <f t="shared" si="563"/>
        <v>0</v>
      </c>
      <c r="Z705" s="507">
        <f t="shared" si="563"/>
        <v>0</v>
      </c>
      <c r="AA705" s="562" t="e">
        <f t="shared" ca="1" si="540"/>
        <v>#NAME?</v>
      </c>
      <c r="AB705" s="507"/>
      <c r="AC705" s="508">
        <f t="shared" si="563"/>
        <v>0</v>
      </c>
      <c r="AD705" s="508">
        <f t="shared" si="563"/>
        <v>0</v>
      </c>
      <c r="AE705" s="529"/>
      <c r="AF705" s="529"/>
      <c r="AG705" s="529"/>
      <c r="AH705" s="529"/>
      <c r="AI705" s="507"/>
      <c r="AJ705" s="507">
        <v>0</v>
      </c>
      <c r="AK705" s="507"/>
      <c r="AL705" s="507"/>
      <c r="AM705" s="507"/>
      <c r="AN705" s="509"/>
      <c r="AO705" s="510"/>
      <c r="AP705" s="510" t="e">
        <f t="shared" ca="1" si="539"/>
        <v>#NAME?</v>
      </c>
      <c r="AQ705" s="532">
        <f>AQ706</f>
        <v>0</v>
      </c>
      <c r="AR705" s="533"/>
      <c r="AS705" s="533"/>
      <c r="AT705" s="533"/>
      <c r="AU705" s="533"/>
      <c r="AV705" s="533"/>
      <c r="AW705" s="612"/>
      <c r="AX705" s="612"/>
      <c r="AY705" s="612"/>
      <c r="AZ705" s="612"/>
      <c r="BA705" s="612"/>
      <c r="BB705" s="612"/>
      <c r="BC705" s="612"/>
      <c r="BD705" s="612"/>
      <c r="BE705" s="612"/>
      <c r="BF705" s="612"/>
      <c r="BG705" s="612"/>
      <c r="BH705" s="612">
        <f t="shared" si="541"/>
        <v>0</v>
      </c>
      <c r="BI705" s="612">
        <f t="shared" si="561"/>
        <v>0</v>
      </c>
      <c r="BJ705" s="201"/>
    </row>
    <row r="706" spans="1:62" ht="12" customHeight="1">
      <c r="A706" s="227"/>
      <c r="B706" s="227"/>
      <c r="C706" s="227"/>
      <c r="D706" s="227"/>
      <c r="E706" s="227"/>
      <c r="F706" s="227"/>
      <c r="G706" s="227"/>
      <c r="H706" s="234"/>
      <c r="I706" s="265"/>
      <c r="J706" s="228">
        <v>42</v>
      </c>
      <c r="K706" s="258" t="s">
        <v>581</v>
      </c>
      <c r="L706" s="111">
        <f t="shared" si="563"/>
        <v>0</v>
      </c>
      <c r="M706" s="111">
        <f t="shared" si="563"/>
        <v>0</v>
      </c>
      <c r="N706" s="112">
        <f t="shared" si="563"/>
        <v>0</v>
      </c>
      <c r="O706" s="112">
        <f t="shared" si="563"/>
        <v>0</v>
      </c>
      <c r="P706" s="113">
        <f t="shared" si="563"/>
        <v>0</v>
      </c>
      <c r="Q706" s="113">
        <f t="shared" si="563"/>
        <v>0</v>
      </c>
      <c r="R706" s="87">
        <f t="shared" si="563"/>
        <v>0</v>
      </c>
      <c r="S706" s="89" t="e">
        <f t="shared" ca="1" si="563"/>
        <v>#NAME?</v>
      </c>
      <c r="T706" s="89"/>
      <c r="U706" s="89"/>
      <c r="V706" s="532">
        <f>V707</f>
        <v>0</v>
      </c>
      <c r="W706" s="532">
        <f t="shared" si="563"/>
        <v>0</v>
      </c>
      <c r="X706" s="506">
        <f t="shared" si="563"/>
        <v>0</v>
      </c>
      <c r="Y706" s="507">
        <f t="shared" si="563"/>
        <v>0</v>
      </c>
      <c r="Z706" s="507">
        <f t="shared" si="563"/>
        <v>0</v>
      </c>
      <c r="AA706" s="562" t="e">
        <f t="shared" ca="1" si="540"/>
        <v>#NAME?</v>
      </c>
      <c r="AB706" s="507"/>
      <c r="AC706" s="508">
        <f t="shared" si="563"/>
        <v>0</v>
      </c>
      <c r="AD706" s="508">
        <f t="shared" si="563"/>
        <v>0</v>
      </c>
      <c r="AE706" s="529"/>
      <c r="AF706" s="529"/>
      <c r="AG706" s="529"/>
      <c r="AH706" s="529"/>
      <c r="AI706" s="507"/>
      <c r="AJ706" s="507">
        <v>0</v>
      </c>
      <c r="AK706" s="507"/>
      <c r="AL706" s="507"/>
      <c r="AM706" s="507"/>
      <c r="AN706" s="509"/>
      <c r="AO706" s="510"/>
      <c r="AP706" s="510" t="e">
        <f t="shared" ca="1" si="539"/>
        <v>#NAME?</v>
      </c>
      <c r="AQ706" s="532">
        <f>AQ707</f>
        <v>0</v>
      </c>
      <c r="AR706" s="533"/>
      <c r="AS706" s="533"/>
      <c r="AT706" s="533"/>
      <c r="AU706" s="533"/>
      <c r="AV706" s="533"/>
      <c r="AW706" s="612"/>
      <c r="AX706" s="612"/>
      <c r="AY706" s="612"/>
      <c r="AZ706" s="612"/>
      <c r="BA706" s="612"/>
      <c r="BB706" s="612"/>
      <c r="BC706" s="612"/>
      <c r="BD706" s="612"/>
      <c r="BE706" s="612"/>
      <c r="BF706" s="612"/>
      <c r="BG706" s="612"/>
      <c r="BH706" s="612">
        <f t="shared" si="541"/>
        <v>0</v>
      </c>
      <c r="BI706" s="612">
        <f t="shared" si="561"/>
        <v>0</v>
      </c>
      <c r="BJ706" s="201"/>
    </row>
    <row r="707" spans="1:62" ht="12" customHeight="1">
      <c r="A707" s="61"/>
      <c r="B707" s="61"/>
      <c r="C707" s="61"/>
      <c r="D707" s="61">
        <v>4</v>
      </c>
      <c r="E707" s="61"/>
      <c r="F707" s="61"/>
      <c r="G707" s="61"/>
      <c r="H707" s="230"/>
      <c r="I707" s="348"/>
      <c r="J707" s="229">
        <v>422</v>
      </c>
      <c r="K707" s="20" t="s">
        <v>409</v>
      </c>
      <c r="L707" s="111">
        <f t="shared" si="563"/>
        <v>0</v>
      </c>
      <c r="M707" s="111">
        <f t="shared" si="563"/>
        <v>0</v>
      </c>
      <c r="N707" s="112">
        <f t="shared" si="563"/>
        <v>0</v>
      </c>
      <c r="O707" s="112">
        <f t="shared" si="563"/>
        <v>0</v>
      </c>
      <c r="P707" s="113">
        <f t="shared" si="563"/>
        <v>0</v>
      </c>
      <c r="Q707" s="113">
        <f t="shared" si="563"/>
        <v>0</v>
      </c>
      <c r="R707" s="87">
        <f t="shared" si="563"/>
        <v>0</v>
      </c>
      <c r="S707" s="89" t="e">
        <f t="shared" ca="1" si="563"/>
        <v>#NAME?</v>
      </c>
      <c r="T707" s="89"/>
      <c r="U707" s="89"/>
      <c r="V707" s="532">
        <f>V708</f>
        <v>0</v>
      </c>
      <c r="W707" s="532">
        <f t="shared" si="563"/>
        <v>0</v>
      </c>
      <c r="X707" s="506">
        <f t="shared" si="563"/>
        <v>0</v>
      </c>
      <c r="Y707" s="507">
        <f t="shared" si="563"/>
        <v>0</v>
      </c>
      <c r="Z707" s="507">
        <f t="shared" si="563"/>
        <v>0</v>
      </c>
      <c r="AA707" s="562" t="e">
        <f t="shared" ca="1" si="540"/>
        <v>#NAME?</v>
      </c>
      <c r="AB707" s="507"/>
      <c r="AC707" s="508">
        <f t="shared" si="563"/>
        <v>0</v>
      </c>
      <c r="AD707" s="508">
        <f t="shared" si="563"/>
        <v>0</v>
      </c>
      <c r="AE707" s="529"/>
      <c r="AF707" s="529"/>
      <c r="AG707" s="529"/>
      <c r="AH707" s="529"/>
      <c r="AI707" s="507"/>
      <c r="AJ707" s="507">
        <v>0</v>
      </c>
      <c r="AK707" s="507"/>
      <c r="AL707" s="507"/>
      <c r="AM707" s="507"/>
      <c r="AN707" s="509"/>
      <c r="AO707" s="510"/>
      <c r="AP707" s="510" t="e">
        <f t="shared" ca="1" si="539"/>
        <v>#NAME?</v>
      </c>
      <c r="AQ707" s="532">
        <f>AQ708</f>
        <v>0</v>
      </c>
      <c r="AR707" s="533"/>
      <c r="AS707" s="533"/>
      <c r="AT707" s="533"/>
      <c r="AU707" s="533"/>
      <c r="AV707" s="533"/>
      <c r="AW707" s="612"/>
      <c r="AX707" s="612"/>
      <c r="AY707" s="612"/>
      <c r="AZ707" s="612"/>
      <c r="BA707" s="612"/>
      <c r="BB707" s="612"/>
      <c r="BC707" s="612"/>
      <c r="BD707" s="612"/>
      <c r="BE707" s="612"/>
      <c r="BF707" s="612"/>
      <c r="BG707" s="612"/>
      <c r="BH707" s="612">
        <f t="shared" si="541"/>
        <v>0</v>
      </c>
      <c r="BI707" s="612">
        <f t="shared" si="561"/>
        <v>0</v>
      </c>
      <c r="BJ707" s="201"/>
    </row>
    <row r="708" spans="1:62" ht="12" customHeight="1">
      <c r="A708" s="52"/>
      <c r="B708" s="52"/>
      <c r="C708" s="52"/>
      <c r="D708" s="52"/>
      <c r="E708" s="52"/>
      <c r="F708" s="52"/>
      <c r="G708" s="52"/>
      <c r="H708" s="2" t="s">
        <v>582</v>
      </c>
      <c r="I708" s="289">
        <v>640</v>
      </c>
      <c r="J708" s="185">
        <v>4227</v>
      </c>
      <c r="K708" s="19" t="s">
        <v>583</v>
      </c>
      <c r="L708" s="129">
        <v>0</v>
      </c>
      <c r="M708" s="129">
        <v>0</v>
      </c>
      <c r="N708" s="130">
        <v>0</v>
      </c>
      <c r="O708" s="130">
        <v>0</v>
      </c>
      <c r="P708" s="131">
        <v>0</v>
      </c>
      <c r="Q708" s="131">
        <v>0</v>
      </c>
      <c r="R708" s="153">
        <v>0</v>
      </c>
      <c r="S708" s="158" t="e">
        <f ca="1">__xlfn.XLOOKUP(H708,[1]Izvršenje_proračuna_po_pozicija!$B$2:$B$153,[1]Izvršenje_proračuna_po_pozicija!$E$2:$E$153,0)</f>
        <v>#NAME?</v>
      </c>
      <c r="T708" s="158"/>
      <c r="U708" s="158"/>
      <c r="V708" s="532"/>
      <c r="W708" s="532"/>
      <c r="X708" s="560"/>
      <c r="Y708" s="561"/>
      <c r="Z708" s="561"/>
      <c r="AA708" s="562" t="e">
        <f t="shared" ca="1" si="540"/>
        <v>#NAME?</v>
      </c>
      <c r="AB708" s="535"/>
      <c r="AC708" s="529">
        <v>0</v>
      </c>
      <c r="AD708" s="529">
        <v>0</v>
      </c>
      <c r="AE708" s="529"/>
      <c r="AF708" s="529"/>
      <c r="AG708" s="529"/>
      <c r="AH708" s="529"/>
      <c r="AI708" s="535"/>
      <c r="AJ708" s="561"/>
      <c r="AK708" s="507"/>
      <c r="AL708" s="507"/>
      <c r="AM708" s="507"/>
      <c r="AN708" s="556"/>
      <c r="AO708" s="510"/>
      <c r="AP708" s="510" t="e">
        <f t="shared" ca="1" si="539"/>
        <v>#NAME?</v>
      </c>
      <c r="AQ708" s="532"/>
      <c r="AR708" s="533"/>
      <c r="AS708" s="533"/>
      <c r="AT708" s="533"/>
      <c r="AU708" s="533"/>
      <c r="AV708" s="533"/>
      <c r="AW708" s="612"/>
      <c r="AX708" s="612"/>
      <c r="AY708" s="612"/>
      <c r="AZ708" s="612"/>
      <c r="BA708" s="612"/>
      <c r="BB708" s="612"/>
      <c r="BC708" s="612"/>
      <c r="BD708" s="612"/>
      <c r="BE708" s="612"/>
      <c r="BF708" s="612"/>
      <c r="BG708" s="612"/>
      <c r="BH708" s="612">
        <f t="shared" si="541"/>
        <v>0</v>
      </c>
      <c r="BI708" s="612">
        <f t="shared" si="561"/>
        <v>54980.73</v>
      </c>
      <c r="BJ708" s="201">
        <f>AQ715-BI708</f>
        <v>0</v>
      </c>
    </row>
    <row r="709" spans="1:62" ht="12" customHeight="1">
      <c r="A709" s="52"/>
      <c r="B709" s="52"/>
      <c r="C709" s="52"/>
      <c r="D709" s="52"/>
      <c r="E709" s="52"/>
      <c r="F709" s="52"/>
      <c r="G709" s="52"/>
      <c r="H709" s="2"/>
      <c r="I709" s="289"/>
      <c r="J709" s="185"/>
      <c r="K709" s="19"/>
      <c r="L709" s="305"/>
      <c r="M709" s="305"/>
      <c r="N709" s="306"/>
      <c r="O709" s="306"/>
      <c r="P709" s="307"/>
      <c r="Q709" s="307"/>
      <c r="R709" s="312"/>
      <c r="S709" s="158" t="e">
        <f ca="1">__xlfn.XLOOKUP(H709,[1]Izvršenje_proračuna_po_pozicija!$B$2:$B$153,[1]Izvršenje_proračuna_po_pozicija!$E$2:$E$153,0)</f>
        <v>#NAME?</v>
      </c>
      <c r="T709" s="311"/>
      <c r="U709" s="311"/>
      <c r="V709" s="532"/>
      <c r="W709" s="532"/>
      <c r="X709" s="584"/>
      <c r="Y709" s="585"/>
      <c r="Z709" s="585"/>
      <c r="AA709" s="562" t="e">
        <f t="shared" ca="1" si="540"/>
        <v>#NAME?</v>
      </c>
      <c r="AB709" s="586"/>
      <c r="AC709" s="587"/>
      <c r="AD709" s="587"/>
      <c r="AE709" s="529"/>
      <c r="AF709" s="529"/>
      <c r="AG709" s="529"/>
      <c r="AH709" s="529"/>
      <c r="AI709" s="586"/>
      <c r="AJ709" s="585"/>
      <c r="AK709" s="507"/>
      <c r="AL709" s="507"/>
      <c r="AM709" s="507"/>
      <c r="AN709" s="588"/>
      <c r="AO709" s="510"/>
      <c r="AP709" s="510" t="e">
        <f t="shared" ca="1" si="539"/>
        <v>#NAME?</v>
      </c>
      <c r="AQ709" s="532"/>
      <c r="AR709" s="533"/>
      <c r="AS709" s="533"/>
      <c r="AT709" s="533"/>
      <c r="AU709" s="533"/>
      <c r="AV709" s="533"/>
      <c r="AW709" s="612"/>
      <c r="AX709" s="612"/>
      <c r="AY709" s="612"/>
      <c r="AZ709" s="612"/>
      <c r="BA709" s="612"/>
      <c r="BB709" s="612"/>
      <c r="BC709" s="612"/>
      <c r="BD709" s="612"/>
      <c r="BE709" s="612"/>
      <c r="BF709" s="612"/>
      <c r="BG709" s="612"/>
      <c r="BH709" s="612">
        <f t="shared" si="541"/>
        <v>0</v>
      </c>
      <c r="BI709" s="612">
        <f t="shared" si="561"/>
        <v>0</v>
      </c>
      <c r="BJ709" s="201">
        <f>AQ716-BI709</f>
        <v>0</v>
      </c>
    </row>
    <row r="710" spans="1:62" ht="12" customHeight="1">
      <c r="A710" s="282" t="s">
        <v>584</v>
      </c>
      <c r="B710" s="283"/>
      <c r="C710" s="283"/>
      <c r="D710" s="283"/>
      <c r="E710" s="283"/>
      <c r="F710" s="283"/>
      <c r="G710" s="283"/>
      <c r="H710" s="284"/>
      <c r="I710" s="369" t="s">
        <v>585</v>
      </c>
      <c r="J710" s="370"/>
      <c r="K710" s="226"/>
      <c r="L710" s="250">
        <f t="shared" ref="L710:S710" si="564">L712</f>
        <v>279798</v>
      </c>
      <c r="M710" s="250">
        <f t="shared" si="564"/>
        <v>37135.576348795541</v>
      </c>
      <c r="N710" s="251">
        <f t="shared" si="564"/>
        <v>196163</v>
      </c>
      <c r="O710" s="251">
        <f t="shared" si="564"/>
        <v>26035.304267038289</v>
      </c>
      <c r="P710" s="252">
        <f t="shared" si="564"/>
        <v>40000</v>
      </c>
      <c r="Q710" s="252">
        <f t="shared" si="564"/>
        <v>40000</v>
      </c>
      <c r="R710" s="272">
        <f t="shared" si="564"/>
        <v>38666</v>
      </c>
      <c r="S710" s="273" t="e">
        <f t="shared" ca="1" si="564"/>
        <v>#NAME?</v>
      </c>
      <c r="T710" s="273"/>
      <c r="U710" s="273"/>
      <c r="V710" s="532">
        <f>V712</f>
        <v>55000</v>
      </c>
      <c r="W710" s="532">
        <f>W712</f>
        <v>55000</v>
      </c>
      <c r="X710" s="564">
        <f>X712</f>
        <v>60000</v>
      </c>
      <c r="Y710" s="565">
        <f>Y712</f>
        <v>70000</v>
      </c>
      <c r="Z710" s="565">
        <f>Z712</f>
        <v>0</v>
      </c>
      <c r="AA710" s="562" t="e">
        <f t="shared" ca="1" si="540"/>
        <v>#NAME?</v>
      </c>
      <c r="AB710" s="565"/>
      <c r="AC710" s="566">
        <f>AC712</f>
        <v>40000</v>
      </c>
      <c r="AD710" s="566">
        <f>AD712</f>
        <v>40000</v>
      </c>
      <c r="AE710" s="529">
        <f>O710/M710*100</f>
        <v>70.108792771928321</v>
      </c>
      <c r="AF710" s="529">
        <f>P710/O710*100</f>
        <v>153.63753613066683</v>
      </c>
      <c r="AG710" s="529">
        <f>Q710/P710*100</f>
        <v>100</v>
      </c>
      <c r="AH710" s="529">
        <f>AC710/Q710*100</f>
        <v>100</v>
      </c>
      <c r="AI710" s="565"/>
      <c r="AJ710" s="565">
        <v>70000</v>
      </c>
      <c r="AK710" s="507">
        <f t="shared" si="543"/>
        <v>142.24383179020327</v>
      </c>
      <c r="AL710" s="507">
        <f>X710/W710*100</f>
        <v>109.09090909090908</v>
      </c>
      <c r="AM710" s="507">
        <f>Y710/X710*100</f>
        <v>116.66666666666667</v>
      </c>
      <c r="AN710" s="567"/>
      <c r="AO710" s="510"/>
      <c r="AP710" s="510" t="e">
        <f t="shared" ca="1" si="539"/>
        <v>#NAME?</v>
      </c>
      <c r="AQ710" s="532">
        <f>AQ712</f>
        <v>54980.73</v>
      </c>
      <c r="AR710" s="533">
        <f>V710/R710*100</f>
        <v>142.24383179020327</v>
      </c>
      <c r="AS710" s="533">
        <f>W710/V710*100</f>
        <v>100</v>
      </c>
      <c r="AT710" s="533">
        <f>W710/R710*100</f>
        <v>142.24383179020327</v>
      </c>
      <c r="AU710" s="533">
        <f>AQ710/W710*100</f>
        <v>99.964963636363649</v>
      </c>
      <c r="AV710" s="533">
        <f>AQ710/R710*100</f>
        <v>142.19399472404697</v>
      </c>
      <c r="AW710" s="612"/>
      <c r="AX710" s="612"/>
      <c r="AY710" s="612"/>
      <c r="AZ710" s="612"/>
      <c r="BA710" s="612"/>
      <c r="BB710" s="612"/>
      <c r="BC710" s="612"/>
      <c r="BD710" s="612"/>
      <c r="BE710" s="612"/>
      <c r="BF710" s="612"/>
      <c r="BG710" s="612"/>
      <c r="BH710" s="612">
        <f t="shared" si="541"/>
        <v>0</v>
      </c>
      <c r="BI710" s="612">
        <f t="shared" si="561"/>
        <v>0</v>
      </c>
      <c r="BJ710" s="201"/>
    </row>
    <row r="711" spans="1:62" ht="12" customHeight="1">
      <c r="A711" s="41"/>
      <c r="B711" s="41"/>
      <c r="C711" s="41"/>
      <c r="D711" s="41"/>
      <c r="E711" s="41"/>
      <c r="F711" s="41"/>
      <c r="G711" s="41"/>
      <c r="H711" s="235"/>
      <c r="I711" s="15"/>
      <c r="J711" s="3"/>
      <c r="K711" s="211"/>
      <c r="L711" s="84"/>
      <c r="M711" s="84"/>
      <c r="N711" s="85"/>
      <c r="O711" s="85"/>
      <c r="P711" s="86"/>
      <c r="Q711" s="86"/>
      <c r="R711" s="154"/>
      <c r="S711" s="158" t="e">
        <f ca="1">__xlfn.XLOOKUP(H711,[1]Izvršenje_proračuna_po_pozicija!$B$2:$B$153,[1]Izvršenje_proračuna_po_pozicija!$E$2:$E$153,0)</f>
        <v>#NAME?</v>
      </c>
      <c r="T711" s="158"/>
      <c r="U711" s="158"/>
      <c r="V711" s="532"/>
      <c r="W711" s="532"/>
      <c r="X711" s="568"/>
      <c r="Y711" s="569"/>
      <c r="Z711" s="569"/>
      <c r="AA711" s="562" t="e">
        <f t="shared" ca="1" si="540"/>
        <v>#NAME?</v>
      </c>
      <c r="AB711" s="537"/>
      <c r="AC711" s="538"/>
      <c r="AD711" s="538"/>
      <c r="AE711" s="529"/>
      <c r="AF711" s="529"/>
      <c r="AG711" s="529"/>
      <c r="AH711" s="529"/>
      <c r="AI711" s="537"/>
      <c r="AJ711" s="569"/>
      <c r="AK711" s="507"/>
      <c r="AL711" s="507"/>
      <c r="AM711" s="507"/>
      <c r="AN711" s="557"/>
      <c r="AO711" s="510"/>
      <c r="AP711" s="510" t="e">
        <f t="shared" ca="1" si="539"/>
        <v>#NAME?</v>
      </c>
      <c r="AQ711" s="532"/>
      <c r="AR711" s="533"/>
      <c r="AS711" s="533"/>
      <c r="AT711" s="533"/>
      <c r="AU711" s="533"/>
      <c r="AV711" s="533"/>
      <c r="AW711" s="612"/>
      <c r="AX711" s="612"/>
      <c r="AY711" s="612"/>
      <c r="AZ711" s="612"/>
      <c r="BA711" s="612"/>
      <c r="BB711" s="612"/>
      <c r="BC711" s="612"/>
      <c r="BD711" s="612"/>
      <c r="BE711" s="612"/>
      <c r="BF711" s="612"/>
      <c r="BG711" s="612"/>
      <c r="BH711" s="612">
        <f t="shared" si="541"/>
        <v>0</v>
      </c>
      <c r="BI711" s="612">
        <f t="shared" si="561"/>
        <v>0</v>
      </c>
      <c r="BJ711" s="201"/>
    </row>
    <row r="712" spans="1:62" ht="12" customHeight="1">
      <c r="A712" s="25"/>
      <c r="B712" s="25"/>
      <c r="C712" s="25"/>
      <c r="D712" s="25"/>
      <c r="E712" s="25"/>
      <c r="F712" s="25"/>
      <c r="G712" s="25"/>
      <c r="H712" s="285"/>
      <c r="I712" s="349"/>
      <c r="J712" s="211">
        <v>3</v>
      </c>
      <c r="K712" s="3" t="s">
        <v>220</v>
      </c>
      <c r="L712" s="111">
        <f t="shared" ref="L712:AD714" si="565">L713</f>
        <v>279798</v>
      </c>
      <c r="M712" s="111">
        <f t="shared" si="565"/>
        <v>37135.576348795541</v>
      </c>
      <c r="N712" s="112">
        <f t="shared" si="565"/>
        <v>196163</v>
      </c>
      <c r="O712" s="112">
        <f t="shared" si="565"/>
        <v>26035.304267038289</v>
      </c>
      <c r="P712" s="113">
        <f t="shared" si="565"/>
        <v>40000</v>
      </c>
      <c r="Q712" s="113">
        <f t="shared" si="565"/>
        <v>40000</v>
      </c>
      <c r="R712" s="87">
        <f t="shared" si="565"/>
        <v>38666</v>
      </c>
      <c r="S712" s="89" t="e">
        <f t="shared" ca="1" si="565"/>
        <v>#NAME?</v>
      </c>
      <c r="T712" s="89"/>
      <c r="U712" s="89"/>
      <c r="V712" s="532">
        <f>V713</f>
        <v>55000</v>
      </c>
      <c r="W712" s="532">
        <f t="shared" si="565"/>
        <v>55000</v>
      </c>
      <c r="X712" s="506">
        <f t="shared" si="565"/>
        <v>60000</v>
      </c>
      <c r="Y712" s="507">
        <f t="shared" si="565"/>
        <v>70000</v>
      </c>
      <c r="Z712" s="507">
        <f t="shared" si="565"/>
        <v>0</v>
      </c>
      <c r="AA712" s="562" t="e">
        <f t="shared" ca="1" si="540"/>
        <v>#NAME?</v>
      </c>
      <c r="AB712" s="507"/>
      <c r="AC712" s="508">
        <f t="shared" si="565"/>
        <v>40000</v>
      </c>
      <c r="AD712" s="508">
        <f t="shared" si="565"/>
        <v>40000</v>
      </c>
      <c r="AE712" s="529">
        <f>O712/M712*100</f>
        <v>70.108792771928321</v>
      </c>
      <c r="AF712" s="529">
        <f t="shared" ref="AF712:AG715" si="566">P712/O712*100</f>
        <v>153.63753613066683</v>
      </c>
      <c r="AG712" s="529">
        <f t="shared" si="566"/>
        <v>100</v>
      </c>
      <c r="AH712" s="529">
        <f>AC712/Q712*100</f>
        <v>100</v>
      </c>
      <c r="AI712" s="507"/>
      <c r="AJ712" s="507">
        <v>70000</v>
      </c>
      <c r="AK712" s="507">
        <f t="shared" si="543"/>
        <v>142.24383179020327</v>
      </c>
      <c r="AL712" s="507">
        <f t="shared" ref="AL712:AM715" si="567">X712/W712*100</f>
        <v>109.09090909090908</v>
      </c>
      <c r="AM712" s="507">
        <f t="shared" si="567"/>
        <v>116.66666666666667</v>
      </c>
      <c r="AN712" s="509"/>
      <c r="AO712" s="510"/>
      <c r="AP712" s="510" t="e">
        <f t="shared" ca="1" si="539"/>
        <v>#NAME?</v>
      </c>
      <c r="AQ712" s="532">
        <f>AQ713</f>
        <v>54980.73</v>
      </c>
      <c r="AR712" s="533">
        <f>V712/R712*100</f>
        <v>142.24383179020327</v>
      </c>
      <c r="AS712" s="533">
        <f>W712/V712*100</f>
        <v>100</v>
      </c>
      <c r="AT712" s="533">
        <f>W712/R712*100</f>
        <v>142.24383179020327</v>
      </c>
      <c r="AU712" s="533">
        <f>AQ712/W712*100</f>
        <v>99.964963636363649</v>
      </c>
      <c r="AV712" s="533">
        <f>AQ712/R712*100</f>
        <v>142.19399472404697</v>
      </c>
      <c r="AW712" s="612"/>
      <c r="AX712" s="612"/>
      <c r="AY712" s="612"/>
      <c r="AZ712" s="612"/>
      <c r="BA712" s="612"/>
      <c r="BB712" s="612"/>
      <c r="BC712" s="612"/>
      <c r="BD712" s="612"/>
      <c r="BE712" s="612"/>
      <c r="BF712" s="612"/>
      <c r="BG712" s="612"/>
      <c r="BH712" s="612">
        <f t="shared" si="541"/>
        <v>0</v>
      </c>
      <c r="BI712" s="612">
        <f t="shared" si="561"/>
        <v>0</v>
      </c>
      <c r="BJ712" s="201"/>
    </row>
    <row r="713" spans="1:62" ht="12" customHeight="1">
      <c r="A713" s="227"/>
      <c r="B713" s="227"/>
      <c r="C713" s="227"/>
      <c r="D713" s="227"/>
      <c r="E713" s="227"/>
      <c r="F713" s="227"/>
      <c r="G713" s="227"/>
      <c r="H713" s="234"/>
      <c r="I713" s="265"/>
      <c r="J713" s="228">
        <v>32</v>
      </c>
      <c r="K713" s="258" t="s">
        <v>229</v>
      </c>
      <c r="L713" s="111">
        <f t="shared" si="565"/>
        <v>279798</v>
      </c>
      <c r="M713" s="111">
        <f t="shared" si="565"/>
        <v>37135.576348795541</v>
      </c>
      <c r="N713" s="112">
        <f t="shared" si="565"/>
        <v>196163</v>
      </c>
      <c r="O713" s="112">
        <f t="shared" si="565"/>
        <v>26035.304267038289</v>
      </c>
      <c r="P713" s="113">
        <f t="shared" si="565"/>
        <v>40000</v>
      </c>
      <c r="Q713" s="113">
        <f t="shared" si="565"/>
        <v>40000</v>
      </c>
      <c r="R713" s="87">
        <f t="shared" si="565"/>
        <v>38666</v>
      </c>
      <c r="S713" s="89" t="e">
        <f t="shared" ca="1" si="565"/>
        <v>#NAME?</v>
      </c>
      <c r="T713" s="89"/>
      <c r="U713" s="89"/>
      <c r="V713" s="532">
        <f>V714</f>
        <v>55000</v>
      </c>
      <c r="W713" s="532">
        <f t="shared" si="565"/>
        <v>55000</v>
      </c>
      <c r="X713" s="506">
        <f t="shared" si="565"/>
        <v>60000</v>
      </c>
      <c r="Y713" s="507">
        <f t="shared" si="565"/>
        <v>70000</v>
      </c>
      <c r="Z713" s="507">
        <f t="shared" si="565"/>
        <v>0</v>
      </c>
      <c r="AA713" s="562" t="e">
        <f t="shared" ca="1" si="540"/>
        <v>#NAME?</v>
      </c>
      <c r="AB713" s="507"/>
      <c r="AC713" s="508">
        <f t="shared" si="565"/>
        <v>40000</v>
      </c>
      <c r="AD713" s="508">
        <f t="shared" si="565"/>
        <v>40000</v>
      </c>
      <c r="AE713" s="529">
        <f>O713/M713*100</f>
        <v>70.108792771928321</v>
      </c>
      <c r="AF713" s="529">
        <f t="shared" si="566"/>
        <v>153.63753613066683</v>
      </c>
      <c r="AG713" s="529">
        <f t="shared" si="566"/>
        <v>100</v>
      </c>
      <c r="AH713" s="529">
        <f>AC713/Q713*100</f>
        <v>100</v>
      </c>
      <c r="AI713" s="507"/>
      <c r="AJ713" s="507">
        <v>70000</v>
      </c>
      <c r="AK713" s="507">
        <f t="shared" si="543"/>
        <v>142.24383179020327</v>
      </c>
      <c r="AL713" s="507">
        <f t="shared" si="567"/>
        <v>109.09090909090908</v>
      </c>
      <c r="AM713" s="507">
        <f t="shared" si="567"/>
        <v>116.66666666666667</v>
      </c>
      <c r="AN713" s="509"/>
      <c r="AO713" s="510"/>
      <c r="AP713" s="510" t="e">
        <f t="shared" ca="1" si="539"/>
        <v>#NAME?</v>
      </c>
      <c r="AQ713" s="532">
        <f>AQ714</f>
        <v>54980.73</v>
      </c>
      <c r="AR713" s="533">
        <f>V713/R713*100</f>
        <v>142.24383179020327</v>
      </c>
      <c r="AS713" s="533">
        <f>W713/V713*100</f>
        <v>100</v>
      </c>
      <c r="AT713" s="533">
        <f>W713/R713*100</f>
        <v>142.24383179020327</v>
      </c>
      <c r="AU713" s="533">
        <f>AQ713/W713*100</f>
        <v>99.964963636363649</v>
      </c>
      <c r="AV713" s="533">
        <f>AQ713/R713*100</f>
        <v>142.19399472404697</v>
      </c>
      <c r="AW713" s="612"/>
      <c r="AX713" s="612"/>
      <c r="AY713" s="612"/>
      <c r="AZ713" s="612"/>
      <c r="BA713" s="612"/>
      <c r="BB713" s="612"/>
      <c r="BC713" s="612"/>
      <c r="BD713" s="612"/>
      <c r="BE713" s="612"/>
      <c r="BF713" s="612"/>
      <c r="BG713" s="612"/>
      <c r="BH713" s="612">
        <f t="shared" si="541"/>
        <v>0</v>
      </c>
      <c r="BI713" s="612">
        <f t="shared" si="561"/>
        <v>0</v>
      </c>
      <c r="BJ713" s="201"/>
    </row>
    <row r="714" spans="1:62" ht="12" customHeight="1">
      <c r="A714" s="61"/>
      <c r="B714" s="61"/>
      <c r="C714" s="61">
        <v>3</v>
      </c>
      <c r="D714" s="61"/>
      <c r="E714" s="61"/>
      <c r="F714" s="61"/>
      <c r="G714" s="61"/>
      <c r="H714" s="230"/>
      <c r="I714" s="348"/>
      <c r="J714" s="229">
        <v>323</v>
      </c>
      <c r="K714" s="20" t="s">
        <v>346</v>
      </c>
      <c r="L714" s="111">
        <f t="shared" si="565"/>
        <v>279798</v>
      </c>
      <c r="M714" s="111">
        <f t="shared" si="565"/>
        <v>37135.576348795541</v>
      </c>
      <c r="N714" s="112">
        <f t="shared" si="565"/>
        <v>196163</v>
      </c>
      <c r="O714" s="112">
        <f t="shared" si="565"/>
        <v>26035.304267038289</v>
      </c>
      <c r="P714" s="113">
        <f t="shared" si="565"/>
        <v>40000</v>
      </c>
      <c r="Q714" s="113">
        <f t="shared" si="565"/>
        <v>40000</v>
      </c>
      <c r="R714" s="87">
        <f t="shared" si="565"/>
        <v>38666</v>
      </c>
      <c r="S714" s="89" t="e">
        <f t="shared" ca="1" si="565"/>
        <v>#NAME?</v>
      </c>
      <c r="T714" s="89"/>
      <c r="U714" s="89"/>
      <c r="V714" s="532">
        <f>V715</f>
        <v>55000</v>
      </c>
      <c r="W714" s="532">
        <f t="shared" si="565"/>
        <v>55000</v>
      </c>
      <c r="X714" s="506">
        <f t="shared" si="565"/>
        <v>60000</v>
      </c>
      <c r="Y714" s="507">
        <f t="shared" si="565"/>
        <v>70000</v>
      </c>
      <c r="Z714" s="507">
        <f t="shared" si="565"/>
        <v>0</v>
      </c>
      <c r="AA714" s="562" t="e">
        <f t="shared" ca="1" si="540"/>
        <v>#NAME?</v>
      </c>
      <c r="AB714" s="507"/>
      <c r="AC714" s="508">
        <f>AC715</f>
        <v>40000</v>
      </c>
      <c r="AD714" s="508">
        <f>AD715</f>
        <v>40000</v>
      </c>
      <c r="AE714" s="529">
        <f>O714/M714*100</f>
        <v>70.108792771928321</v>
      </c>
      <c r="AF714" s="529">
        <f t="shared" si="566"/>
        <v>153.63753613066683</v>
      </c>
      <c r="AG714" s="529">
        <f t="shared" si="566"/>
        <v>100</v>
      </c>
      <c r="AH714" s="529">
        <f>AC714/Q714*100</f>
        <v>100</v>
      </c>
      <c r="AI714" s="507"/>
      <c r="AJ714" s="507">
        <v>70000</v>
      </c>
      <c r="AK714" s="507">
        <f t="shared" si="543"/>
        <v>142.24383179020327</v>
      </c>
      <c r="AL714" s="507">
        <f t="shared" si="567"/>
        <v>109.09090909090908</v>
      </c>
      <c r="AM714" s="507">
        <f t="shared" si="567"/>
        <v>116.66666666666667</v>
      </c>
      <c r="AN714" s="509"/>
      <c r="AO714" s="510"/>
      <c r="AP714" s="510" t="e">
        <f t="shared" ca="1" si="539"/>
        <v>#NAME?</v>
      </c>
      <c r="AQ714" s="532">
        <f>AQ715</f>
        <v>54980.73</v>
      </c>
      <c r="AR714" s="533">
        <f>V714/R714*100</f>
        <v>142.24383179020327</v>
      </c>
      <c r="AS714" s="533">
        <f>W714/V714*100</f>
        <v>100</v>
      </c>
      <c r="AT714" s="533">
        <f>W714/R714*100</f>
        <v>142.24383179020327</v>
      </c>
      <c r="AU714" s="533">
        <f>AQ714/W714*100</f>
        <v>99.964963636363649</v>
      </c>
      <c r="AV714" s="533">
        <f>AQ714/R714*100</f>
        <v>142.19399472404697</v>
      </c>
      <c r="AW714" s="612"/>
      <c r="AX714" s="612"/>
      <c r="AY714" s="612"/>
      <c r="AZ714" s="612"/>
      <c r="BA714" s="612"/>
      <c r="BB714" s="612"/>
      <c r="BC714" s="612"/>
      <c r="BD714" s="612"/>
      <c r="BE714" s="612"/>
      <c r="BF714" s="612"/>
      <c r="BG714" s="612"/>
      <c r="BH714" s="612">
        <f t="shared" si="541"/>
        <v>0</v>
      </c>
      <c r="BI714" s="612">
        <f t="shared" si="561"/>
        <v>0</v>
      </c>
      <c r="BJ714" s="201"/>
    </row>
    <row r="715" spans="1:62" ht="12" customHeight="1">
      <c r="A715" s="52"/>
      <c r="B715" s="52"/>
      <c r="C715" s="52"/>
      <c r="D715" s="52"/>
      <c r="E715" s="52"/>
      <c r="F715" s="52"/>
      <c r="G715" s="52"/>
      <c r="H715" s="2" t="s">
        <v>586</v>
      </c>
      <c r="I715" s="289">
        <v>660</v>
      </c>
      <c r="J715" s="185">
        <v>3232</v>
      </c>
      <c r="K715" s="19" t="s">
        <v>587</v>
      </c>
      <c r="L715" s="129">
        <v>279798</v>
      </c>
      <c r="M715" s="129">
        <f>279798/7.5345</f>
        <v>37135.576348795541</v>
      </c>
      <c r="N715" s="130">
        <v>196163</v>
      </c>
      <c r="O715" s="130">
        <f>N715/7.5345</f>
        <v>26035.304267038289</v>
      </c>
      <c r="P715" s="131">
        <v>40000</v>
      </c>
      <c r="Q715" s="131">
        <v>40000</v>
      </c>
      <c r="R715" s="153">
        <v>38666</v>
      </c>
      <c r="S715" s="158" t="e">
        <f ca="1">__xlfn.XLOOKUP(H715,[1]Izvršenje_proračuna_po_pozicija!$B$2:$B$153,[1]Izvršenje_proračuna_po_pozicija!$E$2:$E$153,0)</f>
        <v>#NAME?</v>
      </c>
      <c r="T715" s="158"/>
      <c r="U715" s="158"/>
      <c r="V715" s="532">
        <v>55000</v>
      </c>
      <c r="W715" s="532">
        <v>55000</v>
      </c>
      <c r="X715" s="560">
        <v>60000</v>
      </c>
      <c r="Y715" s="561">
        <v>70000</v>
      </c>
      <c r="Z715" s="561"/>
      <c r="AA715" s="562" t="e">
        <f t="shared" ca="1" si="540"/>
        <v>#NAME?</v>
      </c>
      <c r="AB715" s="535"/>
      <c r="AC715" s="529">
        <v>40000</v>
      </c>
      <c r="AD715" s="529">
        <v>40000</v>
      </c>
      <c r="AE715" s="529">
        <f>O715/M715*100</f>
        <v>70.108792771928321</v>
      </c>
      <c r="AF715" s="529">
        <f t="shared" si="566"/>
        <v>153.63753613066683</v>
      </c>
      <c r="AG715" s="529">
        <f t="shared" si="566"/>
        <v>100</v>
      </c>
      <c r="AH715" s="529">
        <f>AC715/Q715*100</f>
        <v>100</v>
      </c>
      <c r="AI715" s="535"/>
      <c r="AJ715" s="561">
        <v>70000</v>
      </c>
      <c r="AK715" s="507">
        <f t="shared" si="543"/>
        <v>142.24383179020327</v>
      </c>
      <c r="AL715" s="507">
        <f t="shared" si="567"/>
        <v>109.09090909090908</v>
      </c>
      <c r="AM715" s="507">
        <f t="shared" si="567"/>
        <v>116.66666666666667</v>
      </c>
      <c r="AN715" s="556"/>
      <c r="AO715" s="510"/>
      <c r="AP715" s="510" t="e">
        <f t="shared" ca="1" si="539"/>
        <v>#NAME?</v>
      </c>
      <c r="AQ715" s="532">
        <v>54980.73</v>
      </c>
      <c r="AR715" s="533">
        <f>V715/R715*100</f>
        <v>142.24383179020327</v>
      </c>
      <c r="AS715" s="533">
        <f>W715/V715*100</f>
        <v>100</v>
      </c>
      <c r="AT715" s="533">
        <f>W715/R715*100</f>
        <v>142.24383179020327</v>
      </c>
      <c r="AU715" s="533">
        <f>AQ715/W715*100</f>
        <v>99.964963636363649</v>
      </c>
      <c r="AV715" s="533">
        <f>AQ715/R715*100</f>
        <v>142.19399472404697</v>
      </c>
      <c r="AW715" s="612">
        <f>AQ715</f>
        <v>54980.73</v>
      </c>
      <c r="AX715" s="612"/>
      <c r="AY715" s="612"/>
      <c r="AZ715" s="612"/>
      <c r="BA715" s="612"/>
      <c r="BB715" s="612"/>
      <c r="BC715" s="612"/>
      <c r="BD715" s="612"/>
      <c r="BE715" s="612"/>
      <c r="BF715" s="612"/>
      <c r="BG715" s="612"/>
      <c r="BH715" s="612">
        <f t="shared" si="541"/>
        <v>54980.73</v>
      </c>
      <c r="BI715" s="612">
        <f t="shared" si="561"/>
        <v>9799.23</v>
      </c>
      <c r="BJ715" s="201">
        <f>AQ722-BI715</f>
        <v>0</v>
      </c>
    </row>
    <row r="716" spans="1:62" ht="12" customHeight="1">
      <c r="A716" s="41"/>
      <c r="B716" s="41"/>
      <c r="C716" s="41"/>
      <c r="D716" s="41"/>
      <c r="E716" s="41"/>
      <c r="F716" s="41"/>
      <c r="G716" s="41"/>
      <c r="H716" s="235"/>
      <c r="I716" s="15"/>
      <c r="J716" s="3"/>
      <c r="K716" s="83"/>
      <c r="L716" s="84"/>
      <c r="M716" s="84"/>
      <c r="N716" s="85"/>
      <c r="O716" s="85"/>
      <c r="P716" s="86"/>
      <c r="Q716" s="86"/>
      <c r="R716" s="154"/>
      <c r="S716" s="158" t="e">
        <f ca="1">__xlfn.XLOOKUP(H716,[1]Izvršenje_proračuna_po_pozicija!$B$2:$B$153,[1]Izvršenje_proračuna_po_pozicija!$E$2:$E$153,0)</f>
        <v>#NAME?</v>
      </c>
      <c r="T716" s="158"/>
      <c r="U716" s="158"/>
      <c r="V716" s="532"/>
      <c r="W716" s="532"/>
      <c r="X716" s="568"/>
      <c r="Y716" s="569"/>
      <c r="Z716" s="569"/>
      <c r="AA716" s="562" t="e">
        <f t="shared" ca="1" si="540"/>
        <v>#NAME?</v>
      </c>
      <c r="AB716" s="537"/>
      <c r="AC716" s="538"/>
      <c r="AD716" s="538"/>
      <c r="AE716" s="529"/>
      <c r="AF716" s="529"/>
      <c r="AG716" s="529"/>
      <c r="AH716" s="529"/>
      <c r="AI716" s="537"/>
      <c r="AJ716" s="569"/>
      <c r="AK716" s="507"/>
      <c r="AL716" s="507"/>
      <c r="AM716" s="507"/>
      <c r="AN716" s="557"/>
      <c r="AO716" s="510"/>
      <c r="AP716" s="510" t="e">
        <f t="shared" ca="1" si="539"/>
        <v>#NAME?</v>
      </c>
      <c r="AQ716" s="532"/>
      <c r="AR716" s="533"/>
      <c r="AS716" s="533"/>
      <c r="AT716" s="533"/>
      <c r="AU716" s="533"/>
      <c r="AV716" s="533"/>
      <c r="AW716" s="612"/>
      <c r="AX716" s="612"/>
      <c r="AY716" s="612"/>
      <c r="AZ716" s="612"/>
      <c r="BA716" s="612"/>
      <c r="BB716" s="612"/>
      <c r="BC716" s="612"/>
      <c r="BD716" s="612"/>
      <c r="BE716" s="612"/>
      <c r="BF716" s="612"/>
      <c r="BG716" s="612"/>
      <c r="BH716" s="612">
        <f t="shared" si="541"/>
        <v>0</v>
      </c>
      <c r="BI716" s="612">
        <f t="shared" si="561"/>
        <v>0</v>
      </c>
      <c r="BJ716" s="201">
        <f>AQ723-BI716</f>
        <v>0</v>
      </c>
    </row>
    <row r="717" spans="1:62" ht="12" customHeight="1">
      <c r="A717" s="282" t="s">
        <v>588</v>
      </c>
      <c r="B717" s="283"/>
      <c r="C717" s="283"/>
      <c r="D717" s="283"/>
      <c r="E717" s="283"/>
      <c r="F717" s="283"/>
      <c r="G717" s="283"/>
      <c r="H717" s="318"/>
      <c r="I717" s="366" t="s">
        <v>589</v>
      </c>
      <c r="J717" s="367"/>
      <c r="K717" s="226"/>
      <c r="L717" s="250">
        <f t="shared" ref="L717:S717" si="568">L719</f>
        <v>80930</v>
      </c>
      <c r="M717" s="250">
        <f t="shared" si="568"/>
        <v>10741.256884995686</v>
      </c>
      <c r="N717" s="251">
        <f t="shared" si="568"/>
        <v>53542</v>
      </c>
      <c r="O717" s="251">
        <f t="shared" si="568"/>
        <v>7106.2446081359076</v>
      </c>
      <c r="P717" s="252">
        <f t="shared" si="568"/>
        <v>8000</v>
      </c>
      <c r="Q717" s="252">
        <f t="shared" si="568"/>
        <v>8000</v>
      </c>
      <c r="R717" s="272">
        <f t="shared" si="568"/>
        <v>6424</v>
      </c>
      <c r="S717" s="273" t="e">
        <f t="shared" ca="1" si="568"/>
        <v>#NAME?</v>
      </c>
      <c r="T717" s="273"/>
      <c r="U717" s="273"/>
      <c r="V717" s="532">
        <f>V719</f>
        <v>11000</v>
      </c>
      <c r="W717" s="532">
        <f>W719</f>
        <v>11000</v>
      </c>
      <c r="X717" s="564">
        <f>X719</f>
        <v>12000</v>
      </c>
      <c r="Y717" s="565">
        <f>Y719</f>
        <v>14000</v>
      </c>
      <c r="Z717" s="565">
        <f>Z719</f>
        <v>0</v>
      </c>
      <c r="AA717" s="562" t="e">
        <f t="shared" ca="1" si="540"/>
        <v>#NAME?</v>
      </c>
      <c r="AB717" s="565"/>
      <c r="AC717" s="566">
        <f>AC719</f>
        <v>9000</v>
      </c>
      <c r="AD717" s="566">
        <f>AD719</f>
        <v>9000</v>
      </c>
      <c r="AE717" s="529">
        <f>O717/M717*100</f>
        <v>66.158408501173852</v>
      </c>
      <c r="AF717" s="529">
        <f>P717/O717*100</f>
        <v>112.57704232191553</v>
      </c>
      <c r="AG717" s="529">
        <f>Q717/P717*100</f>
        <v>100</v>
      </c>
      <c r="AH717" s="529">
        <f>AC717/Q717*100</f>
        <v>112.5</v>
      </c>
      <c r="AI717" s="565"/>
      <c r="AJ717" s="565">
        <v>14000</v>
      </c>
      <c r="AK717" s="507">
        <f t="shared" si="543"/>
        <v>171.23287671232876</v>
      </c>
      <c r="AL717" s="507">
        <f>X717/W717*100</f>
        <v>109.09090909090908</v>
      </c>
      <c r="AM717" s="507">
        <f>Y717/X717*100</f>
        <v>116.66666666666667</v>
      </c>
      <c r="AN717" s="567"/>
      <c r="AO717" s="510"/>
      <c r="AP717" s="510" t="e">
        <f t="shared" ca="1" si="539"/>
        <v>#NAME?</v>
      </c>
      <c r="AQ717" s="532">
        <f>AQ719</f>
        <v>9799.23</v>
      </c>
      <c r="AR717" s="533">
        <f>V717/R717*100</f>
        <v>171.23287671232876</v>
      </c>
      <c r="AS717" s="533">
        <f>W717/V717*100</f>
        <v>100</v>
      </c>
      <c r="AT717" s="533">
        <f>W717/R717*100</f>
        <v>171.23287671232876</v>
      </c>
      <c r="AU717" s="533">
        <f>AQ717/W717*100</f>
        <v>89.083909090909088</v>
      </c>
      <c r="AV717" s="533">
        <f>AQ717/R717*100</f>
        <v>152.54094022415941</v>
      </c>
      <c r="AW717" s="612"/>
      <c r="AX717" s="612"/>
      <c r="AY717" s="612"/>
      <c r="AZ717" s="612"/>
      <c r="BA717" s="612"/>
      <c r="BB717" s="612"/>
      <c r="BC717" s="612"/>
      <c r="BD717" s="612"/>
      <c r="BE717" s="612"/>
      <c r="BF717" s="612"/>
      <c r="BG717" s="612"/>
      <c r="BH717" s="612">
        <f t="shared" si="541"/>
        <v>0</v>
      </c>
      <c r="BI717" s="612">
        <f t="shared" si="561"/>
        <v>0</v>
      </c>
      <c r="BJ717" s="201"/>
    </row>
    <row r="718" spans="1:62" ht="12" customHeight="1">
      <c r="A718" s="68"/>
      <c r="B718" s="68"/>
      <c r="C718" s="68"/>
      <c r="D718" s="68"/>
      <c r="E718" s="68"/>
      <c r="F718" s="68"/>
      <c r="G718" s="68"/>
      <c r="H718" s="281"/>
      <c r="I718" s="256"/>
      <c r="J718" s="211"/>
      <c r="K718" s="69"/>
      <c r="L718" s="175"/>
      <c r="M718" s="175"/>
      <c r="N718" s="176"/>
      <c r="O718" s="176"/>
      <c r="P718" s="177"/>
      <c r="Q718" s="177"/>
      <c r="R718" s="212"/>
      <c r="S718" s="158" t="e">
        <f ca="1">__xlfn.XLOOKUP(H718,[1]Izvršenje_proračuna_po_pozicija!$B$2:$B$153,[1]Izvršenje_proračuna_po_pozicija!$E$2:$E$153,0)</f>
        <v>#NAME?</v>
      </c>
      <c r="T718" s="158"/>
      <c r="U718" s="158"/>
      <c r="V718" s="532"/>
      <c r="W718" s="532"/>
      <c r="X718" s="563"/>
      <c r="Y718" s="562"/>
      <c r="Z718" s="562"/>
      <c r="AA718" s="562" t="e">
        <f t="shared" ca="1" si="540"/>
        <v>#NAME?</v>
      </c>
      <c r="AB718" s="507"/>
      <c r="AC718" s="508"/>
      <c r="AD718" s="508"/>
      <c r="AE718" s="529"/>
      <c r="AF718" s="529"/>
      <c r="AG718" s="529"/>
      <c r="AH718" s="529"/>
      <c r="AI718" s="507"/>
      <c r="AJ718" s="562"/>
      <c r="AK718" s="507"/>
      <c r="AL718" s="507"/>
      <c r="AM718" s="507"/>
      <c r="AN718" s="509"/>
      <c r="AO718" s="510"/>
      <c r="AP718" s="510" t="e">
        <f t="shared" ca="1" si="539"/>
        <v>#NAME?</v>
      </c>
      <c r="AQ718" s="532"/>
      <c r="AR718" s="533"/>
      <c r="AS718" s="533"/>
      <c r="AT718" s="533"/>
      <c r="AU718" s="533"/>
      <c r="AV718" s="533"/>
      <c r="AW718" s="612"/>
      <c r="AX718" s="612"/>
      <c r="AY718" s="612"/>
      <c r="AZ718" s="612"/>
      <c r="BA718" s="612"/>
      <c r="BB718" s="612"/>
      <c r="BC718" s="612"/>
      <c r="BD718" s="612"/>
      <c r="BE718" s="612"/>
      <c r="BF718" s="612"/>
      <c r="BG718" s="612"/>
      <c r="BH718" s="612">
        <f t="shared" si="541"/>
        <v>0</v>
      </c>
      <c r="BI718" s="612">
        <f t="shared" si="561"/>
        <v>0</v>
      </c>
      <c r="BJ718" s="201"/>
    </row>
    <row r="719" spans="1:62" ht="12" customHeight="1">
      <c r="A719" s="25"/>
      <c r="B719" s="25"/>
      <c r="C719" s="25"/>
      <c r="D719" s="25"/>
      <c r="E719" s="25"/>
      <c r="F719" s="25"/>
      <c r="G719" s="25"/>
      <c r="H719" s="285"/>
      <c r="I719" s="349"/>
      <c r="J719" s="211">
        <v>3</v>
      </c>
      <c r="K719" s="3" t="s">
        <v>220</v>
      </c>
      <c r="L719" s="111">
        <f t="shared" ref="L719:AD721" si="569">L720</f>
        <v>80930</v>
      </c>
      <c r="M719" s="111">
        <f t="shared" si="569"/>
        <v>10741.256884995686</v>
      </c>
      <c r="N719" s="112">
        <f t="shared" si="569"/>
        <v>53542</v>
      </c>
      <c r="O719" s="112">
        <f t="shared" si="569"/>
        <v>7106.2446081359076</v>
      </c>
      <c r="P719" s="113">
        <f t="shared" si="569"/>
        <v>8000</v>
      </c>
      <c r="Q719" s="113">
        <f t="shared" si="569"/>
        <v>8000</v>
      </c>
      <c r="R719" s="87">
        <f t="shared" si="569"/>
        <v>6424</v>
      </c>
      <c r="S719" s="89" t="e">
        <f t="shared" ca="1" si="569"/>
        <v>#NAME?</v>
      </c>
      <c r="T719" s="89"/>
      <c r="U719" s="89"/>
      <c r="V719" s="532">
        <f>V720</f>
        <v>11000</v>
      </c>
      <c r="W719" s="532">
        <f t="shared" si="569"/>
        <v>11000</v>
      </c>
      <c r="X719" s="506">
        <f t="shared" si="569"/>
        <v>12000</v>
      </c>
      <c r="Y719" s="507">
        <f t="shared" si="569"/>
        <v>14000</v>
      </c>
      <c r="Z719" s="507">
        <f t="shared" si="569"/>
        <v>0</v>
      </c>
      <c r="AA719" s="562" t="e">
        <f t="shared" ca="1" si="540"/>
        <v>#NAME?</v>
      </c>
      <c r="AB719" s="507"/>
      <c r="AC719" s="508">
        <f t="shared" si="569"/>
        <v>9000</v>
      </c>
      <c r="AD719" s="508">
        <f t="shared" si="569"/>
        <v>9000</v>
      </c>
      <c r="AE719" s="529">
        <f>O719/M719*100</f>
        <v>66.158408501173852</v>
      </c>
      <c r="AF719" s="529">
        <f t="shared" ref="AF719:AG722" si="570">P719/O719*100</f>
        <v>112.57704232191553</v>
      </c>
      <c r="AG719" s="529">
        <f t="shared" si="570"/>
        <v>100</v>
      </c>
      <c r="AH719" s="529">
        <f>AC719/Q719*100</f>
        <v>112.5</v>
      </c>
      <c r="AI719" s="507"/>
      <c r="AJ719" s="507">
        <v>14000</v>
      </c>
      <c r="AK719" s="507">
        <f t="shared" si="543"/>
        <v>171.23287671232876</v>
      </c>
      <c r="AL719" s="507">
        <f t="shared" ref="AL719:AM722" si="571">X719/W719*100</f>
        <v>109.09090909090908</v>
      </c>
      <c r="AM719" s="507">
        <f t="shared" si="571"/>
        <v>116.66666666666667</v>
      </c>
      <c r="AN719" s="509"/>
      <c r="AO719" s="510"/>
      <c r="AP719" s="510" t="e">
        <f t="shared" ca="1" si="539"/>
        <v>#NAME?</v>
      </c>
      <c r="AQ719" s="532">
        <f>AQ720</f>
        <v>9799.23</v>
      </c>
      <c r="AR719" s="533">
        <f>V719/R719*100</f>
        <v>171.23287671232876</v>
      </c>
      <c r="AS719" s="533">
        <f>W719/V719*100</f>
        <v>100</v>
      </c>
      <c r="AT719" s="533">
        <f>W719/R719*100</f>
        <v>171.23287671232876</v>
      </c>
      <c r="AU719" s="533">
        <f>AQ719/W719*100</f>
        <v>89.083909090909088</v>
      </c>
      <c r="AV719" s="533">
        <f>AQ719/R719*100</f>
        <v>152.54094022415941</v>
      </c>
      <c r="AW719" s="612"/>
      <c r="AX719" s="612"/>
      <c r="AY719" s="612"/>
      <c r="AZ719" s="612"/>
      <c r="BA719" s="612"/>
      <c r="BB719" s="612"/>
      <c r="BC719" s="612"/>
      <c r="BD719" s="612"/>
      <c r="BE719" s="612"/>
      <c r="BF719" s="612"/>
      <c r="BG719" s="612"/>
      <c r="BH719" s="612">
        <f t="shared" si="541"/>
        <v>0</v>
      </c>
      <c r="BI719" s="612">
        <f t="shared" si="561"/>
        <v>0</v>
      </c>
      <c r="BJ719" s="201"/>
    </row>
    <row r="720" spans="1:62" ht="12" customHeight="1">
      <c r="A720" s="227"/>
      <c r="B720" s="227"/>
      <c r="C720" s="227"/>
      <c r="D720" s="227"/>
      <c r="E720" s="227"/>
      <c r="F720" s="227"/>
      <c r="G720" s="227"/>
      <c r="H720" s="234"/>
      <c r="I720" s="265"/>
      <c r="J720" s="228">
        <v>32</v>
      </c>
      <c r="K720" s="258" t="s">
        <v>229</v>
      </c>
      <c r="L720" s="111">
        <f t="shared" si="569"/>
        <v>80930</v>
      </c>
      <c r="M720" s="111">
        <f t="shared" si="569"/>
        <v>10741.256884995686</v>
      </c>
      <c r="N720" s="112">
        <f t="shared" si="569"/>
        <v>53542</v>
      </c>
      <c r="O720" s="112">
        <f t="shared" si="569"/>
        <v>7106.2446081359076</v>
      </c>
      <c r="P720" s="113">
        <f t="shared" si="569"/>
        <v>8000</v>
      </c>
      <c r="Q720" s="113">
        <f t="shared" si="569"/>
        <v>8000</v>
      </c>
      <c r="R720" s="87">
        <f t="shared" si="569"/>
        <v>6424</v>
      </c>
      <c r="S720" s="89" t="e">
        <f t="shared" ca="1" si="569"/>
        <v>#NAME?</v>
      </c>
      <c r="T720" s="89"/>
      <c r="U720" s="89"/>
      <c r="V720" s="532">
        <f>V721</f>
        <v>11000</v>
      </c>
      <c r="W720" s="532">
        <f t="shared" si="569"/>
        <v>11000</v>
      </c>
      <c r="X720" s="506">
        <f t="shared" si="569"/>
        <v>12000</v>
      </c>
      <c r="Y720" s="507">
        <f t="shared" si="569"/>
        <v>14000</v>
      </c>
      <c r="Z720" s="507">
        <f t="shared" si="569"/>
        <v>0</v>
      </c>
      <c r="AA720" s="562" t="e">
        <f t="shared" ca="1" si="540"/>
        <v>#NAME?</v>
      </c>
      <c r="AB720" s="507"/>
      <c r="AC720" s="508">
        <f t="shared" si="569"/>
        <v>9000</v>
      </c>
      <c r="AD720" s="508">
        <f t="shared" si="569"/>
        <v>9000</v>
      </c>
      <c r="AE720" s="529">
        <f>O720/M720*100</f>
        <v>66.158408501173852</v>
      </c>
      <c r="AF720" s="529">
        <f t="shared" si="570"/>
        <v>112.57704232191553</v>
      </c>
      <c r="AG720" s="529">
        <f t="shared" si="570"/>
        <v>100</v>
      </c>
      <c r="AH720" s="529">
        <f>AC720/Q720*100</f>
        <v>112.5</v>
      </c>
      <c r="AI720" s="507"/>
      <c r="AJ720" s="507">
        <v>14000</v>
      </c>
      <c r="AK720" s="507">
        <f t="shared" si="543"/>
        <v>171.23287671232876</v>
      </c>
      <c r="AL720" s="507">
        <f t="shared" si="571"/>
        <v>109.09090909090908</v>
      </c>
      <c r="AM720" s="507">
        <f t="shared" si="571"/>
        <v>116.66666666666667</v>
      </c>
      <c r="AN720" s="509"/>
      <c r="AO720" s="510"/>
      <c r="AP720" s="510" t="e">
        <f t="shared" ca="1" si="539"/>
        <v>#NAME?</v>
      </c>
      <c r="AQ720" s="532">
        <f>AQ721</f>
        <v>9799.23</v>
      </c>
      <c r="AR720" s="533">
        <f>V720/R720*100</f>
        <v>171.23287671232876</v>
      </c>
      <c r="AS720" s="533">
        <f>W720/V720*100</f>
        <v>100</v>
      </c>
      <c r="AT720" s="533">
        <f>W720/R720*100</f>
        <v>171.23287671232876</v>
      </c>
      <c r="AU720" s="533">
        <f>AQ720/W720*100</f>
        <v>89.083909090909088</v>
      </c>
      <c r="AV720" s="533">
        <f>AQ720/R720*100</f>
        <v>152.54094022415941</v>
      </c>
      <c r="AW720" s="612"/>
      <c r="AX720" s="612"/>
      <c r="AY720" s="612"/>
      <c r="AZ720" s="612"/>
      <c r="BA720" s="612"/>
      <c r="BB720" s="612"/>
      <c r="BC720" s="612"/>
      <c r="BD720" s="612"/>
      <c r="BE720" s="612"/>
      <c r="BF720" s="612"/>
      <c r="BG720" s="612"/>
      <c r="BH720" s="612">
        <f t="shared" si="541"/>
        <v>0</v>
      </c>
      <c r="BI720" s="612">
        <f t="shared" si="561"/>
        <v>0</v>
      </c>
      <c r="BJ720" s="201"/>
    </row>
    <row r="721" spans="1:62" ht="12" customHeight="1">
      <c r="A721" s="61"/>
      <c r="B721" s="61"/>
      <c r="C721" s="61"/>
      <c r="D721" s="61"/>
      <c r="E721" s="61"/>
      <c r="F721" s="61"/>
      <c r="G721" s="61"/>
      <c r="H721" s="230"/>
      <c r="I721" s="348"/>
      <c r="J721" s="229">
        <v>323</v>
      </c>
      <c r="K721" s="20" t="s">
        <v>346</v>
      </c>
      <c r="L721" s="111">
        <f t="shared" si="569"/>
        <v>80930</v>
      </c>
      <c r="M721" s="111">
        <f t="shared" si="569"/>
        <v>10741.256884995686</v>
      </c>
      <c r="N721" s="112">
        <f t="shared" si="569"/>
        <v>53542</v>
      </c>
      <c r="O721" s="112">
        <f t="shared" si="569"/>
        <v>7106.2446081359076</v>
      </c>
      <c r="P721" s="113">
        <f t="shared" si="569"/>
        <v>8000</v>
      </c>
      <c r="Q721" s="113">
        <f t="shared" si="569"/>
        <v>8000</v>
      </c>
      <c r="R721" s="87">
        <f t="shared" si="569"/>
        <v>6424</v>
      </c>
      <c r="S721" s="89" t="e">
        <f t="shared" ca="1" si="569"/>
        <v>#NAME?</v>
      </c>
      <c r="T721" s="89"/>
      <c r="U721" s="89"/>
      <c r="V721" s="532">
        <f>V722</f>
        <v>11000</v>
      </c>
      <c r="W721" s="532">
        <f t="shared" si="569"/>
        <v>11000</v>
      </c>
      <c r="X721" s="506">
        <f t="shared" si="569"/>
        <v>12000</v>
      </c>
      <c r="Y721" s="507">
        <f t="shared" si="569"/>
        <v>14000</v>
      </c>
      <c r="Z721" s="507">
        <f t="shared" si="569"/>
        <v>0</v>
      </c>
      <c r="AA721" s="562" t="e">
        <f t="shared" ca="1" si="540"/>
        <v>#NAME?</v>
      </c>
      <c r="AB721" s="507"/>
      <c r="AC721" s="508">
        <f t="shared" si="569"/>
        <v>9000</v>
      </c>
      <c r="AD721" s="508">
        <f t="shared" si="569"/>
        <v>9000</v>
      </c>
      <c r="AE721" s="529">
        <f>O721/M721*100</f>
        <v>66.158408501173852</v>
      </c>
      <c r="AF721" s="529">
        <f t="shared" si="570"/>
        <v>112.57704232191553</v>
      </c>
      <c r="AG721" s="529">
        <f t="shared" si="570"/>
        <v>100</v>
      </c>
      <c r="AH721" s="529">
        <f>AC721/Q721*100</f>
        <v>112.5</v>
      </c>
      <c r="AI721" s="507"/>
      <c r="AJ721" s="507">
        <v>14000</v>
      </c>
      <c r="AK721" s="507">
        <f t="shared" si="543"/>
        <v>171.23287671232876</v>
      </c>
      <c r="AL721" s="507">
        <f t="shared" si="571"/>
        <v>109.09090909090908</v>
      </c>
      <c r="AM721" s="507">
        <f t="shared" si="571"/>
        <v>116.66666666666667</v>
      </c>
      <c r="AN721" s="509"/>
      <c r="AO721" s="510"/>
      <c r="AP721" s="510" t="e">
        <f t="shared" ca="1" si="539"/>
        <v>#NAME?</v>
      </c>
      <c r="AQ721" s="532">
        <f>AQ722</f>
        <v>9799.23</v>
      </c>
      <c r="AR721" s="533">
        <f>V721/R721*100</f>
        <v>171.23287671232876</v>
      </c>
      <c r="AS721" s="533">
        <f>W721/V721*100</f>
        <v>100</v>
      </c>
      <c r="AT721" s="533">
        <f>W721/R721*100</f>
        <v>171.23287671232876</v>
      </c>
      <c r="AU721" s="533">
        <f>AQ721/W721*100</f>
        <v>89.083909090909088</v>
      </c>
      <c r="AV721" s="533">
        <f>AQ721/R721*100</f>
        <v>152.54094022415941</v>
      </c>
      <c r="AW721" s="612"/>
      <c r="AX721" s="612"/>
      <c r="AY721" s="612"/>
      <c r="AZ721" s="612"/>
      <c r="BA721" s="612"/>
      <c r="BB721" s="612"/>
      <c r="BC721" s="612"/>
      <c r="BD721" s="612"/>
      <c r="BE721" s="612"/>
      <c r="BF721" s="612"/>
      <c r="BG721" s="612"/>
      <c r="BH721" s="612">
        <f t="shared" si="541"/>
        <v>0</v>
      </c>
      <c r="BI721" s="612">
        <f t="shared" si="561"/>
        <v>0</v>
      </c>
      <c r="BJ721" s="201"/>
    </row>
    <row r="722" spans="1:62" ht="12" customHeight="1">
      <c r="A722" s="52"/>
      <c r="B722" s="52"/>
      <c r="C722" s="52"/>
      <c r="D722" s="52"/>
      <c r="E722" s="52"/>
      <c r="F722" s="52"/>
      <c r="G722" s="52"/>
      <c r="H722" s="2">
        <v>110</v>
      </c>
      <c r="I722" s="289">
        <v>660</v>
      </c>
      <c r="J722" s="185">
        <v>3234</v>
      </c>
      <c r="K722" s="19" t="s">
        <v>590</v>
      </c>
      <c r="L722" s="129">
        <v>80930</v>
      </c>
      <c r="M722" s="129">
        <f>80930/7.5345</f>
        <v>10741.256884995686</v>
      </c>
      <c r="N722" s="130">
        <v>53542</v>
      </c>
      <c r="O722" s="130">
        <f>N722/7.5345</f>
        <v>7106.2446081359076</v>
      </c>
      <c r="P722" s="131">
        <v>8000</v>
      </c>
      <c r="Q722" s="131">
        <v>8000</v>
      </c>
      <c r="R722" s="153">
        <v>6424</v>
      </c>
      <c r="S722" s="158" t="e">
        <f ca="1">__xlfn.XLOOKUP(H722,[1]Izvršenje_proračuna_po_pozicija!$B$2:$B$153,[1]Izvršenje_proračuna_po_pozicija!$E$2:$E$153,0)</f>
        <v>#NAME?</v>
      </c>
      <c r="T722" s="158"/>
      <c r="U722" s="158"/>
      <c r="V722" s="532">
        <v>11000</v>
      </c>
      <c r="W722" s="532">
        <v>11000</v>
      </c>
      <c r="X722" s="560">
        <v>12000</v>
      </c>
      <c r="Y722" s="561">
        <v>14000</v>
      </c>
      <c r="Z722" s="561"/>
      <c r="AA722" s="562" t="e">
        <f t="shared" ca="1" si="540"/>
        <v>#NAME?</v>
      </c>
      <c r="AB722" s="535"/>
      <c r="AC722" s="529">
        <v>9000</v>
      </c>
      <c r="AD722" s="529">
        <v>9000</v>
      </c>
      <c r="AE722" s="529">
        <f>O722/M722*100</f>
        <v>66.158408501173852</v>
      </c>
      <c r="AF722" s="529">
        <f t="shared" si="570"/>
        <v>112.57704232191553</v>
      </c>
      <c r="AG722" s="529">
        <f t="shared" si="570"/>
        <v>100</v>
      </c>
      <c r="AH722" s="529">
        <f>AC722/Q722*100</f>
        <v>112.5</v>
      </c>
      <c r="AI722" s="535"/>
      <c r="AJ722" s="561">
        <v>14000</v>
      </c>
      <c r="AK722" s="507">
        <f t="shared" si="543"/>
        <v>171.23287671232876</v>
      </c>
      <c r="AL722" s="507">
        <f t="shared" si="571"/>
        <v>109.09090909090908</v>
      </c>
      <c r="AM722" s="507">
        <f t="shared" si="571"/>
        <v>116.66666666666667</v>
      </c>
      <c r="AN722" s="556"/>
      <c r="AO722" s="510"/>
      <c r="AP722" s="510" t="e">
        <f t="shared" ca="1" si="539"/>
        <v>#NAME?</v>
      </c>
      <c r="AQ722" s="532">
        <v>9799.23</v>
      </c>
      <c r="AR722" s="533">
        <f>V722/R722*100</f>
        <v>171.23287671232876</v>
      </c>
      <c r="AS722" s="533">
        <f>W722/V722*100</f>
        <v>100</v>
      </c>
      <c r="AT722" s="533">
        <f>W722/R722*100</f>
        <v>171.23287671232876</v>
      </c>
      <c r="AU722" s="533">
        <f>AQ722/W722*100</f>
        <v>89.083909090909088</v>
      </c>
      <c r="AV722" s="533">
        <f>AQ722/R722*100</f>
        <v>152.54094022415941</v>
      </c>
      <c r="AW722" s="612">
        <f>AQ722</f>
        <v>9799.23</v>
      </c>
      <c r="AX722" s="612"/>
      <c r="AY722" s="612"/>
      <c r="AZ722" s="612"/>
      <c r="BA722" s="612"/>
      <c r="BB722" s="612"/>
      <c r="BC722" s="612"/>
      <c r="BD722" s="612"/>
      <c r="BE722" s="612"/>
      <c r="BF722" s="612"/>
      <c r="BG722" s="612"/>
      <c r="BH722" s="612">
        <f t="shared" si="541"/>
        <v>9799.23</v>
      </c>
      <c r="BI722" s="612">
        <f t="shared" si="561"/>
        <v>0</v>
      </c>
      <c r="BJ722" s="201">
        <f>AQ729-BI722</f>
        <v>0</v>
      </c>
    </row>
    <row r="723" spans="1:62" ht="12" customHeight="1">
      <c r="A723" s="68"/>
      <c r="B723" s="68"/>
      <c r="C723" s="68"/>
      <c r="D723" s="68"/>
      <c r="E723" s="68"/>
      <c r="F723" s="68"/>
      <c r="G723" s="68"/>
      <c r="H723" s="281"/>
      <c r="I723" s="333"/>
      <c r="J723" s="8"/>
      <c r="K723" s="69"/>
      <c r="L723" s="175"/>
      <c r="M723" s="175"/>
      <c r="N723" s="176"/>
      <c r="O723" s="176"/>
      <c r="P723" s="177"/>
      <c r="Q723" s="177"/>
      <c r="R723" s="212"/>
      <c r="S723" s="158" t="e">
        <f ca="1">__xlfn.XLOOKUP(H723,[1]Izvršenje_proračuna_po_pozicija!$B$2:$B$153,[1]Izvršenje_proračuna_po_pozicija!$E$2:$E$153,0)</f>
        <v>#NAME?</v>
      </c>
      <c r="T723" s="158"/>
      <c r="U723" s="158"/>
      <c r="V723" s="532"/>
      <c r="W723" s="532"/>
      <c r="X723" s="563"/>
      <c r="Y723" s="562"/>
      <c r="Z723" s="562"/>
      <c r="AA723" s="562" t="e">
        <f t="shared" ca="1" si="540"/>
        <v>#NAME?</v>
      </c>
      <c r="AB723" s="507"/>
      <c r="AC723" s="508"/>
      <c r="AD723" s="508"/>
      <c r="AE723" s="529"/>
      <c r="AF723" s="529"/>
      <c r="AG723" s="529"/>
      <c r="AH723" s="529"/>
      <c r="AI723" s="507"/>
      <c r="AJ723" s="562"/>
      <c r="AK723" s="507"/>
      <c r="AL723" s="507"/>
      <c r="AM723" s="507"/>
      <c r="AN723" s="509"/>
      <c r="AO723" s="510"/>
      <c r="AP723" s="510" t="e">
        <f t="shared" ca="1" si="539"/>
        <v>#NAME?</v>
      </c>
      <c r="AQ723" s="532"/>
      <c r="AR723" s="533"/>
      <c r="AS723" s="533"/>
      <c r="AT723" s="533"/>
      <c r="AU723" s="533"/>
      <c r="AV723" s="533"/>
      <c r="AW723" s="612"/>
      <c r="AX723" s="612"/>
      <c r="AY723" s="612"/>
      <c r="AZ723" s="612"/>
      <c r="BA723" s="612"/>
      <c r="BB723" s="612"/>
      <c r="BC723" s="612"/>
      <c r="BD723" s="612"/>
      <c r="BE723" s="612"/>
      <c r="BF723" s="612"/>
      <c r="BG723" s="612"/>
      <c r="BH723" s="612">
        <f t="shared" si="541"/>
        <v>0</v>
      </c>
      <c r="BI723" s="612">
        <f t="shared" si="561"/>
        <v>0</v>
      </c>
      <c r="BJ723" s="201">
        <f>AQ730-BI723</f>
        <v>0</v>
      </c>
    </row>
    <row r="724" spans="1:62" ht="12" customHeight="1">
      <c r="A724" s="282" t="s">
        <v>591</v>
      </c>
      <c r="B724" s="283"/>
      <c r="C724" s="283"/>
      <c r="D724" s="283"/>
      <c r="E724" s="283"/>
      <c r="F724" s="283"/>
      <c r="G724" s="283"/>
      <c r="H724" s="284"/>
      <c r="I724" s="369" t="s">
        <v>592</v>
      </c>
      <c r="J724" s="338"/>
      <c r="K724" s="123"/>
      <c r="L724" s="111">
        <f t="shared" ref="L724:S724" si="572">L726</f>
        <v>315333</v>
      </c>
      <c r="M724" s="111">
        <f t="shared" si="572"/>
        <v>41851.881345809277</v>
      </c>
      <c r="N724" s="112">
        <f t="shared" si="572"/>
        <v>681027</v>
      </c>
      <c r="O724" s="112">
        <f t="shared" si="572"/>
        <v>90387.816046187538</v>
      </c>
      <c r="P724" s="113">
        <f t="shared" si="572"/>
        <v>82300</v>
      </c>
      <c r="Q724" s="113">
        <f t="shared" si="572"/>
        <v>66000</v>
      </c>
      <c r="R724" s="87">
        <f t="shared" si="572"/>
        <v>62420</v>
      </c>
      <c r="S724" s="89" t="e">
        <f t="shared" ca="1" si="572"/>
        <v>#NAME?</v>
      </c>
      <c r="T724" s="89"/>
      <c r="U724" s="89"/>
      <c r="V724" s="532">
        <f>V726</f>
        <v>57500</v>
      </c>
      <c r="W724" s="532">
        <f>W726</f>
        <v>57500</v>
      </c>
      <c r="X724" s="506">
        <f>X726</f>
        <v>43000</v>
      </c>
      <c r="Y724" s="507">
        <f>Y726</f>
        <v>63000</v>
      </c>
      <c r="Z724" s="507">
        <f>Z726</f>
        <v>0</v>
      </c>
      <c r="AA724" s="562" t="e">
        <f t="shared" ca="1" si="540"/>
        <v>#NAME?</v>
      </c>
      <c r="AB724" s="507"/>
      <c r="AC724" s="508">
        <f>AC726</f>
        <v>83000</v>
      </c>
      <c r="AD724" s="508">
        <f>AD726</f>
        <v>83000</v>
      </c>
      <c r="AE724" s="529">
        <f>O724/M724*100</f>
        <v>215.9707356984521</v>
      </c>
      <c r="AF724" s="529">
        <f>P724/O724*100</f>
        <v>91.052094850864933</v>
      </c>
      <c r="AG724" s="529">
        <f>Q724/P724*100</f>
        <v>80.194410692588093</v>
      </c>
      <c r="AH724" s="529">
        <f>AC724/Q724*100</f>
        <v>125.75757575757575</v>
      </c>
      <c r="AI724" s="507"/>
      <c r="AJ724" s="507">
        <v>63000</v>
      </c>
      <c r="AK724" s="507">
        <f t="shared" si="543"/>
        <v>92.117910925985257</v>
      </c>
      <c r="AL724" s="507">
        <f>X724/W724*100</f>
        <v>74.782608695652172</v>
      </c>
      <c r="AM724" s="507">
        <f>Y724/X724*100</f>
        <v>146.51162790697674</v>
      </c>
      <c r="AN724" s="509"/>
      <c r="AO724" s="510"/>
      <c r="AP724" s="510" t="e">
        <f t="shared" ca="1" si="539"/>
        <v>#NAME?</v>
      </c>
      <c r="AQ724" s="532">
        <f>AQ726</f>
        <v>43428.57</v>
      </c>
      <c r="AR724" s="533">
        <f>V724/R724*100</f>
        <v>92.117910925985257</v>
      </c>
      <c r="AS724" s="533">
        <f>W724/V724*100</f>
        <v>100</v>
      </c>
      <c r="AT724" s="533">
        <f>W724/R724*100</f>
        <v>92.117910925985257</v>
      </c>
      <c r="AU724" s="533">
        <f>AQ724/W724*100</f>
        <v>75.527947826086958</v>
      </c>
      <c r="AV724" s="533">
        <f>AQ724/R724*100</f>
        <v>69.5747677026594</v>
      </c>
      <c r="AW724" s="612"/>
      <c r="AX724" s="612"/>
      <c r="AY724" s="612"/>
      <c r="AZ724" s="612"/>
      <c r="BA724" s="612"/>
      <c r="BB724" s="612"/>
      <c r="BC724" s="612"/>
      <c r="BD724" s="612"/>
      <c r="BE724" s="612"/>
      <c r="BF724" s="612"/>
      <c r="BG724" s="612"/>
      <c r="BH724" s="612">
        <f t="shared" si="541"/>
        <v>0</v>
      </c>
      <c r="BI724" s="612">
        <f t="shared" si="561"/>
        <v>0</v>
      </c>
      <c r="BJ724" s="201"/>
    </row>
    <row r="725" spans="1:62" ht="12" customHeight="1">
      <c r="A725" s="52"/>
      <c r="B725" s="52"/>
      <c r="C725" s="52"/>
      <c r="D725" s="52"/>
      <c r="E725" s="52"/>
      <c r="F725" s="52"/>
      <c r="G725" s="52"/>
      <c r="H725" s="2"/>
      <c r="I725" s="289"/>
      <c r="J725" s="185"/>
      <c r="K725" s="19"/>
      <c r="L725" s="350"/>
      <c r="M725" s="350"/>
      <c r="N725" s="351"/>
      <c r="O725" s="351"/>
      <c r="P725" s="352"/>
      <c r="Q725" s="352"/>
      <c r="R725" s="212"/>
      <c r="S725" s="158" t="e">
        <f ca="1">__xlfn.XLOOKUP(H725,[1]Izvršenje_proračuna_po_pozicija!$B$2:$B$153,[1]Izvršenje_proračuna_po_pozicija!$E$2:$E$153,0)</f>
        <v>#NAME?</v>
      </c>
      <c r="T725" s="158"/>
      <c r="U725" s="158"/>
      <c r="V725" s="532"/>
      <c r="W725" s="532"/>
      <c r="X725" s="563"/>
      <c r="Y725" s="562"/>
      <c r="Z725" s="562"/>
      <c r="AA725" s="562" t="e">
        <f t="shared" ca="1" si="540"/>
        <v>#NAME?</v>
      </c>
      <c r="AB725" s="507"/>
      <c r="AC725" s="508"/>
      <c r="AD725" s="508"/>
      <c r="AE725" s="529"/>
      <c r="AF725" s="529"/>
      <c r="AG725" s="529"/>
      <c r="AH725" s="529"/>
      <c r="AI725" s="507"/>
      <c r="AJ725" s="562"/>
      <c r="AK725" s="507"/>
      <c r="AL725" s="507"/>
      <c r="AM725" s="507"/>
      <c r="AN725" s="509"/>
      <c r="AO725" s="510"/>
      <c r="AP725" s="510" t="e">
        <f t="shared" ca="1" si="539"/>
        <v>#NAME?</v>
      </c>
      <c r="AQ725" s="532"/>
      <c r="AR725" s="533"/>
      <c r="AS725" s="533"/>
      <c r="AT725" s="533"/>
      <c r="AU725" s="533"/>
      <c r="AV725" s="533"/>
      <c r="AW725" s="612"/>
      <c r="AX725" s="612"/>
      <c r="AY725" s="612"/>
      <c r="AZ725" s="612"/>
      <c r="BA725" s="612"/>
      <c r="BB725" s="612"/>
      <c r="BC725" s="612"/>
      <c r="BD725" s="612"/>
      <c r="BE725" s="612"/>
      <c r="BF725" s="612"/>
      <c r="BG725" s="612"/>
      <c r="BH725" s="612">
        <f t="shared" si="541"/>
        <v>0</v>
      </c>
      <c r="BI725" s="612">
        <f t="shared" si="561"/>
        <v>43428.57</v>
      </c>
      <c r="BJ725" s="201">
        <f t="shared" ref="BJ725:BJ737" si="573">AQ732-BI725</f>
        <v>0</v>
      </c>
    </row>
    <row r="726" spans="1:62" ht="12" customHeight="1">
      <c r="A726" s="25"/>
      <c r="B726" s="25"/>
      <c r="C726" s="25"/>
      <c r="D726" s="25"/>
      <c r="E726" s="25"/>
      <c r="F726" s="25"/>
      <c r="G726" s="25"/>
      <c r="H726" s="285"/>
      <c r="I726" s="349"/>
      <c r="J726" s="211">
        <v>3</v>
      </c>
      <c r="K726" s="3" t="s">
        <v>220</v>
      </c>
      <c r="L726" s="111">
        <f t="shared" ref="L726:Z726" si="574">L727</f>
        <v>315333</v>
      </c>
      <c r="M726" s="111">
        <f t="shared" si="574"/>
        <v>41851.881345809277</v>
      </c>
      <c r="N726" s="112">
        <f t="shared" si="574"/>
        <v>681027</v>
      </c>
      <c r="O726" s="112">
        <f t="shared" si="574"/>
        <v>90387.816046187538</v>
      </c>
      <c r="P726" s="113">
        <f t="shared" si="574"/>
        <v>82300</v>
      </c>
      <c r="Q726" s="113">
        <f t="shared" si="574"/>
        <v>66000</v>
      </c>
      <c r="R726" s="87">
        <f t="shared" si="574"/>
        <v>62420</v>
      </c>
      <c r="S726" s="89" t="e">
        <f t="shared" ca="1" si="574"/>
        <v>#NAME?</v>
      </c>
      <c r="T726" s="89"/>
      <c r="U726" s="89"/>
      <c r="V726" s="532">
        <f t="shared" ref="V726:V731" si="575">V727</f>
        <v>57500</v>
      </c>
      <c r="W726" s="532">
        <f t="shared" si="574"/>
        <v>57500</v>
      </c>
      <c r="X726" s="506">
        <f t="shared" si="574"/>
        <v>43000</v>
      </c>
      <c r="Y726" s="507">
        <f t="shared" si="574"/>
        <v>63000</v>
      </c>
      <c r="Z726" s="507">
        <f t="shared" si="574"/>
        <v>0</v>
      </c>
      <c r="AA726" s="562" t="e">
        <f t="shared" ca="1" si="540"/>
        <v>#NAME?</v>
      </c>
      <c r="AB726" s="507"/>
      <c r="AC726" s="508">
        <f>AC727</f>
        <v>83000</v>
      </c>
      <c r="AD726" s="508">
        <f>AD727</f>
        <v>83000</v>
      </c>
      <c r="AE726" s="529">
        <f>O726/M726*100</f>
        <v>215.9707356984521</v>
      </c>
      <c r="AF726" s="529">
        <f>P726/O726*100</f>
        <v>91.052094850864933</v>
      </c>
      <c r="AG726" s="529">
        <f>Q726/P726*100</f>
        <v>80.194410692588093</v>
      </c>
      <c r="AH726" s="529">
        <f>AC726/Q726*100</f>
        <v>125.75757575757575</v>
      </c>
      <c r="AI726" s="507"/>
      <c r="AJ726" s="507">
        <v>63000</v>
      </c>
      <c r="AK726" s="507">
        <f t="shared" si="543"/>
        <v>92.117910925985257</v>
      </c>
      <c r="AL726" s="507">
        <f t="shared" ref="AL726:AM729" si="576">X726/W726*100</f>
        <v>74.782608695652172</v>
      </c>
      <c r="AM726" s="507">
        <f t="shared" si="576"/>
        <v>146.51162790697674</v>
      </c>
      <c r="AN726" s="509"/>
      <c r="AO726" s="510"/>
      <c r="AP726" s="510" t="e">
        <f t="shared" ca="1" si="539"/>
        <v>#NAME?</v>
      </c>
      <c r="AQ726" s="532">
        <f>AQ727</f>
        <v>43428.57</v>
      </c>
      <c r="AR726" s="533">
        <f>V726/R726*100</f>
        <v>92.117910925985257</v>
      </c>
      <c r="AS726" s="533">
        <f>W726/V726*100</f>
        <v>100</v>
      </c>
      <c r="AT726" s="533">
        <f>W726/R726*100</f>
        <v>92.117910925985257</v>
      </c>
      <c r="AU726" s="533">
        <f>AQ726/W726*100</f>
        <v>75.527947826086958</v>
      </c>
      <c r="AV726" s="533">
        <f>AQ726/R726*100</f>
        <v>69.5747677026594</v>
      </c>
      <c r="AW726" s="612"/>
      <c r="AX726" s="612"/>
      <c r="AY726" s="612"/>
      <c r="AZ726" s="612"/>
      <c r="BA726" s="612"/>
      <c r="BB726" s="612"/>
      <c r="BC726" s="612"/>
      <c r="BD726" s="612"/>
      <c r="BE726" s="612"/>
      <c r="BF726" s="612"/>
      <c r="BG726" s="612"/>
      <c r="BH726" s="612">
        <f t="shared" si="541"/>
        <v>0</v>
      </c>
      <c r="BI726" s="612">
        <f t="shared" si="561"/>
        <v>0</v>
      </c>
      <c r="BJ726" s="201">
        <f t="shared" si="573"/>
        <v>0</v>
      </c>
    </row>
    <row r="727" spans="1:62" ht="12" customHeight="1">
      <c r="A727" s="227"/>
      <c r="B727" s="227"/>
      <c r="C727" s="227"/>
      <c r="D727" s="227"/>
      <c r="E727" s="227"/>
      <c r="F727" s="227"/>
      <c r="G727" s="227"/>
      <c r="H727" s="234"/>
      <c r="I727" s="265"/>
      <c r="J727" s="228">
        <v>32</v>
      </c>
      <c r="K727" s="258" t="s">
        <v>229</v>
      </c>
      <c r="L727" s="111">
        <f t="shared" ref="L727:S727" si="577">L728+L731</f>
        <v>315333</v>
      </c>
      <c r="M727" s="111">
        <f t="shared" si="577"/>
        <v>41851.881345809277</v>
      </c>
      <c r="N727" s="112">
        <f t="shared" si="577"/>
        <v>681027</v>
      </c>
      <c r="O727" s="112">
        <f t="shared" si="577"/>
        <v>90387.816046187538</v>
      </c>
      <c r="P727" s="113">
        <f t="shared" si="577"/>
        <v>82300</v>
      </c>
      <c r="Q727" s="113">
        <f t="shared" si="577"/>
        <v>66000</v>
      </c>
      <c r="R727" s="87">
        <f t="shared" si="577"/>
        <v>62420</v>
      </c>
      <c r="S727" s="89" t="e">
        <f t="shared" ca="1" si="577"/>
        <v>#NAME?</v>
      </c>
      <c r="T727" s="89"/>
      <c r="U727" s="89"/>
      <c r="V727" s="532">
        <f>V728+V731</f>
        <v>57500</v>
      </c>
      <c r="W727" s="532">
        <f>W728+W731</f>
        <v>57500</v>
      </c>
      <c r="X727" s="506">
        <f>X728+X731</f>
        <v>43000</v>
      </c>
      <c r="Y727" s="507">
        <f>Y728+Y731</f>
        <v>63000</v>
      </c>
      <c r="Z727" s="507">
        <f>Z728+Z731</f>
        <v>0</v>
      </c>
      <c r="AA727" s="562" t="e">
        <f t="shared" ca="1" si="540"/>
        <v>#NAME?</v>
      </c>
      <c r="AB727" s="507"/>
      <c r="AC727" s="508">
        <f>AC728+AC731</f>
        <v>83000</v>
      </c>
      <c r="AD727" s="508">
        <f>AD728+AD731</f>
        <v>83000</v>
      </c>
      <c r="AE727" s="529">
        <f>O727/M727*100</f>
        <v>215.9707356984521</v>
      </c>
      <c r="AF727" s="529">
        <f>P727/O727*100</f>
        <v>91.052094850864933</v>
      </c>
      <c r="AG727" s="529">
        <f>Q727/P727*100</f>
        <v>80.194410692588093</v>
      </c>
      <c r="AH727" s="529">
        <f>AC727/Q727*100</f>
        <v>125.75757575757575</v>
      </c>
      <c r="AI727" s="507"/>
      <c r="AJ727" s="507">
        <v>63000</v>
      </c>
      <c r="AK727" s="507">
        <f t="shared" si="543"/>
        <v>92.117910925985257</v>
      </c>
      <c r="AL727" s="507">
        <f t="shared" si="576"/>
        <v>74.782608695652172</v>
      </c>
      <c r="AM727" s="507">
        <f t="shared" si="576"/>
        <v>146.51162790697674</v>
      </c>
      <c r="AN727" s="509"/>
      <c r="AO727" s="510"/>
      <c r="AP727" s="510" t="e">
        <f t="shared" ca="1" si="539"/>
        <v>#NAME?</v>
      </c>
      <c r="AQ727" s="532">
        <f>AQ728+AQ731</f>
        <v>43428.57</v>
      </c>
      <c r="AR727" s="533">
        <f>V727/R727*100</f>
        <v>92.117910925985257</v>
      </c>
      <c r="AS727" s="533">
        <f>W727/V727*100</f>
        <v>100</v>
      </c>
      <c r="AT727" s="533">
        <f>W727/R727*100</f>
        <v>92.117910925985257</v>
      </c>
      <c r="AU727" s="533">
        <f>AQ727/W727*100</f>
        <v>75.527947826086958</v>
      </c>
      <c r="AV727" s="533">
        <f>AQ727/R727*100</f>
        <v>69.5747677026594</v>
      </c>
      <c r="AW727" s="612"/>
      <c r="AX727" s="612"/>
      <c r="AY727" s="612"/>
      <c r="AZ727" s="612"/>
      <c r="BA727" s="612"/>
      <c r="BB727" s="612"/>
      <c r="BC727" s="612"/>
      <c r="BD727" s="612"/>
      <c r="BE727" s="612"/>
      <c r="BF727" s="612"/>
      <c r="BG727" s="612"/>
      <c r="BH727" s="612">
        <f t="shared" si="541"/>
        <v>0</v>
      </c>
      <c r="BI727" s="612">
        <f t="shared" si="561"/>
        <v>0</v>
      </c>
      <c r="BJ727" s="201">
        <f t="shared" si="573"/>
        <v>0</v>
      </c>
    </row>
    <row r="728" spans="1:62" ht="12" customHeight="1">
      <c r="A728" s="61"/>
      <c r="B728" s="61"/>
      <c r="C728" s="61"/>
      <c r="D728" s="61"/>
      <c r="E728" s="61"/>
      <c r="F728" s="61"/>
      <c r="G728" s="61"/>
      <c r="H728" s="230"/>
      <c r="I728" s="348"/>
      <c r="J728" s="229">
        <v>322</v>
      </c>
      <c r="K728" s="20" t="s">
        <v>467</v>
      </c>
      <c r="L728" s="111">
        <f t="shared" ref="L728:Z728" si="578">L729</f>
        <v>0</v>
      </c>
      <c r="M728" s="111">
        <f t="shared" si="578"/>
        <v>0</v>
      </c>
      <c r="N728" s="112">
        <f t="shared" si="578"/>
        <v>0</v>
      </c>
      <c r="O728" s="112">
        <f t="shared" si="578"/>
        <v>0</v>
      </c>
      <c r="P728" s="113">
        <f t="shared" si="578"/>
        <v>3000</v>
      </c>
      <c r="Q728" s="113">
        <f t="shared" si="578"/>
        <v>3000</v>
      </c>
      <c r="R728" s="87">
        <f t="shared" si="578"/>
        <v>2635</v>
      </c>
      <c r="S728" s="89" t="e">
        <f t="shared" ca="1" si="578"/>
        <v>#NAME?</v>
      </c>
      <c r="T728" s="89"/>
      <c r="U728" s="89"/>
      <c r="V728" s="532">
        <f t="shared" si="575"/>
        <v>500</v>
      </c>
      <c r="W728" s="532">
        <f t="shared" si="578"/>
        <v>500</v>
      </c>
      <c r="X728" s="506">
        <f t="shared" si="578"/>
        <v>3000</v>
      </c>
      <c r="Y728" s="507">
        <f t="shared" si="578"/>
        <v>3000</v>
      </c>
      <c r="Z728" s="507">
        <f t="shared" si="578"/>
        <v>0</v>
      </c>
      <c r="AA728" s="562" t="e">
        <f t="shared" ca="1" si="540"/>
        <v>#NAME?</v>
      </c>
      <c r="AB728" s="507"/>
      <c r="AC728" s="508">
        <f>AC729</f>
        <v>3000</v>
      </c>
      <c r="AD728" s="508">
        <f>AD729</f>
        <v>3000</v>
      </c>
      <c r="AE728" s="529"/>
      <c r="AF728" s="529"/>
      <c r="AG728" s="529"/>
      <c r="AH728" s="529"/>
      <c r="AI728" s="507"/>
      <c r="AJ728" s="507">
        <v>3000</v>
      </c>
      <c r="AK728" s="507">
        <f t="shared" si="543"/>
        <v>18.975332068311197</v>
      </c>
      <c r="AL728" s="507">
        <f t="shared" si="576"/>
        <v>600</v>
      </c>
      <c r="AM728" s="507">
        <f t="shared" si="576"/>
        <v>100</v>
      </c>
      <c r="AN728" s="509"/>
      <c r="AO728" s="590"/>
      <c r="AP728" s="510" t="e">
        <f t="shared" ca="1" si="539"/>
        <v>#NAME?</v>
      </c>
      <c r="AQ728" s="532">
        <f>AQ729</f>
        <v>0</v>
      </c>
      <c r="AR728" s="533">
        <f>V728/R728*100</f>
        <v>18.975332068311197</v>
      </c>
      <c r="AS728" s="533">
        <f>W728/V728*100</f>
        <v>100</v>
      </c>
      <c r="AT728" s="533">
        <f>W728/R728*100</f>
        <v>18.975332068311197</v>
      </c>
      <c r="AU728" s="533">
        <f>AQ728/W728*100</f>
        <v>0</v>
      </c>
      <c r="AV728" s="533">
        <f>AQ728/R728*100</f>
        <v>0</v>
      </c>
      <c r="AW728" s="612"/>
      <c r="AX728" s="612"/>
      <c r="AY728" s="612"/>
      <c r="AZ728" s="612"/>
      <c r="BA728" s="612"/>
      <c r="BB728" s="612"/>
      <c r="BC728" s="612"/>
      <c r="BD728" s="612"/>
      <c r="BE728" s="612"/>
      <c r="BF728" s="612"/>
      <c r="BG728" s="612"/>
      <c r="BH728" s="612">
        <f t="shared" si="541"/>
        <v>0</v>
      </c>
      <c r="BI728" s="612">
        <f t="shared" si="561"/>
        <v>0</v>
      </c>
      <c r="BJ728" s="201">
        <f t="shared" si="573"/>
        <v>0</v>
      </c>
    </row>
    <row r="729" spans="1:62" ht="12" customHeight="1">
      <c r="A729" s="52"/>
      <c r="B729" s="52"/>
      <c r="C729" s="52"/>
      <c r="D729" s="52"/>
      <c r="E729" s="52"/>
      <c r="F729" s="52"/>
      <c r="G729" s="52"/>
      <c r="H729" s="2">
        <v>71</v>
      </c>
      <c r="I729" s="289">
        <v>660</v>
      </c>
      <c r="J729" s="185">
        <v>3224</v>
      </c>
      <c r="K729" s="19" t="s">
        <v>593</v>
      </c>
      <c r="L729" s="129">
        <v>0</v>
      </c>
      <c r="M729" s="129">
        <v>0</v>
      </c>
      <c r="N729" s="130">
        <v>0</v>
      </c>
      <c r="O729" s="130">
        <f>N729/7.5345</f>
        <v>0</v>
      </c>
      <c r="P729" s="131">
        <v>3000</v>
      </c>
      <c r="Q729" s="131">
        <v>3000</v>
      </c>
      <c r="R729" s="153">
        <v>2635</v>
      </c>
      <c r="S729" s="158" t="e">
        <f ca="1">__xlfn.XLOOKUP(H729,[1]Izvršenje_proračuna_po_pozicija!$B$2:$B$153,[1]Izvršenje_proračuna_po_pozicija!$E$2:$E$153,0)</f>
        <v>#NAME?</v>
      </c>
      <c r="T729" s="158"/>
      <c r="U729" s="158"/>
      <c r="V729" s="532">
        <v>500</v>
      </c>
      <c r="W729" s="532">
        <v>500</v>
      </c>
      <c r="X729" s="560">
        <v>3000</v>
      </c>
      <c r="Y729" s="561">
        <v>3000</v>
      </c>
      <c r="Z729" s="561"/>
      <c r="AA729" s="562" t="e">
        <f t="shared" ca="1" si="540"/>
        <v>#NAME?</v>
      </c>
      <c r="AB729" s="535"/>
      <c r="AC729" s="529">
        <v>3000</v>
      </c>
      <c r="AD729" s="529">
        <v>3000</v>
      </c>
      <c r="AE729" s="529"/>
      <c r="AF729" s="529"/>
      <c r="AG729" s="529"/>
      <c r="AH729" s="529"/>
      <c r="AI729" s="535"/>
      <c r="AJ729" s="561">
        <v>3000</v>
      </c>
      <c r="AK729" s="507">
        <f t="shared" si="543"/>
        <v>18.975332068311197</v>
      </c>
      <c r="AL729" s="507">
        <f t="shared" si="576"/>
        <v>600</v>
      </c>
      <c r="AM729" s="507">
        <f t="shared" si="576"/>
        <v>100</v>
      </c>
      <c r="AN729" s="556"/>
      <c r="AO729" s="510"/>
      <c r="AP729" s="510" t="e">
        <f t="shared" ca="1" si="539"/>
        <v>#NAME?</v>
      </c>
      <c r="AQ729" s="532"/>
      <c r="AR729" s="533">
        <f>V729/R729*100</f>
        <v>18.975332068311197</v>
      </c>
      <c r="AS729" s="533">
        <f>W729/V729*100</f>
        <v>100</v>
      </c>
      <c r="AT729" s="533">
        <f>W729/R729*100</f>
        <v>18.975332068311197</v>
      </c>
      <c r="AU729" s="533">
        <f>AQ729/W729*100</f>
        <v>0</v>
      </c>
      <c r="AV729" s="533">
        <f>AQ729/R729*100</f>
        <v>0</v>
      </c>
      <c r="AW729" s="612"/>
      <c r="AX729" s="612"/>
      <c r="AY729" s="612"/>
      <c r="AZ729" s="612"/>
      <c r="BA729" s="612"/>
      <c r="BB729" s="612"/>
      <c r="BC729" s="612"/>
      <c r="BD729" s="612"/>
      <c r="BE729" s="612"/>
      <c r="BF729" s="612"/>
      <c r="BG729" s="612"/>
      <c r="BH729" s="612">
        <f t="shared" si="541"/>
        <v>0</v>
      </c>
      <c r="BI729" s="612">
        <f t="shared" si="561"/>
        <v>0</v>
      </c>
      <c r="BJ729" s="201">
        <f t="shared" si="573"/>
        <v>0</v>
      </c>
    </row>
    <row r="730" spans="1:62" ht="12" customHeight="1">
      <c r="A730" s="52"/>
      <c r="B730" s="52"/>
      <c r="C730" s="52"/>
      <c r="D730" s="52"/>
      <c r="E730" s="52"/>
      <c r="F730" s="52"/>
      <c r="G730" s="52"/>
      <c r="H730" s="2"/>
      <c r="I730" s="289"/>
      <c r="J730" s="185"/>
      <c r="K730" s="19"/>
      <c r="L730" s="118"/>
      <c r="M730" s="118"/>
      <c r="N730" s="119"/>
      <c r="O730" s="119"/>
      <c r="P730" s="120"/>
      <c r="Q730" s="120"/>
      <c r="R730" s="151"/>
      <c r="S730" s="158" t="e">
        <f ca="1">__xlfn.XLOOKUP(H730,[1]Izvršenje_proračuna_po_pozicija!$B$2:$B$153,[1]Izvršenje_proračuna_po_pozicija!$E$2:$E$153,0)</f>
        <v>#NAME?</v>
      </c>
      <c r="T730" s="158"/>
      <c r="U730" s="158"/>
      <c r="V730" s="532"/>
      <c r="W730" s="532"/>
      <c r="X730" s="560"/>
      <c r="Y730" s="561"/>
      <c r="Z730" s="561"/>
      <c r="AA730" s="562" t="e">
        <f t="shared" ca="1" si="540"/>
        <v>#NAME?</v>
      </c>
      <c r="AB730" s="535"/>
      <c r="AC730" s="529"/>
      <c r="AD730" s="529"/>
      <c r="AE730" s="529"/>
      <c r="AF730" s="529"/>
      <c r="AG730" s="529"/>
      <c r="AH730" s="529"/>
      <c r="AI730" s="535"/>
      <c r="AJ730" s="561"/>
      <c r="AK730" s="507"/>
      <c r="AL730" s="507"/>
      <c r="AM730" s="507"/>
      <c r="AN730" s="556"/>
      <c r="AO730" s="510"/>
      <c r="AP730" s="510" t="e">
        <f t="shared" ca="1" si="539"/>
        <v>#NAME?</v>
      </c>
      <c r="AQ730" s="532"/>
      <c r="AR730" s="533"/>
      <c r="AS730" s="533"/>
      <c r="AT730" s="533"/>
      <c r="AU730" s="533"/>
      <c r="AV730" s="533"/>
      <c r="AW730" s="612"/>
      <c r="AX730" s="612"/>
      <c r="AY730" s="612"/>
      <c r="AZ730" s="612"/>
      <c r="BA730" s="612"/>
      <c r="BB730" s="612"/>
      <c r="BC730" s="612"/>
      <c r="BD730" s="612"/>
      <c r="BE730" s="612"/>
      <c r="BF730" s="612"/>
      <c r="BG730" s="612"/>
      <c r="BH730" s="612">
        <f t="shared" si="541"/>
        <v>0</v>
      </c>
      <c r="BI730" s="612">
        <f t="shared" si="561"/>
        <v>0</v>
      </c>
      <c r="BJ730" s="201">
        <f t="shared" si="573"/>
        <v>0</v>
      </c>
    </row>
    <row r="731" spans="1:62" ht="12" customHeight="1">
      <c r="A731" s="61"/>
      <c r="B731" s="61"/>
      <c r="C731" s="61"/>
      <c r="D731" s="61"/>
      <c r="E731" s="61"/>
      <c r="F731" s="61"/>
      <c r="G731" s="61"/>
      <c r="H731" s="230"/>
      <c r="I731" s="348"/>
      <c r="J731" s="229">
        <v>323</v>
      </c>
      <c r="K731" s="20" t="s">
        <v>346</v>
      </c>
      <c r="L731" s="111">
        <f t="shared" ref="L731:Z731" si="579">L732</f>
        <v>315333</v>
      </c>
      <c r="M731" s="111">
        <f t="shared" si="579"/>
        <v>41851.881345809277</v>
      </c>
      <c r="N731" s="112">
        <f t="shared" si="579"/>
        <v>681027</v>
      </c>
      <c r="O731" s="112">
        <f t="shared" si="579"/>
        <v>90387.816046187538</v>
      </c>
      <c r="P731" s="113">
        <f t="shared" si="579"/>
        <v>79300</v>
      </c>
      <c r="Q731" s="113">
        <f t="shared" si="579"/>
        <v>63000</v>
      </c>
      <c r="R731" s="87">
        <f t="shared" si="579"/>
        <v>59785</v>
      </c>
      <c r="S731" s="89" t="e">
        <f t="shared" ca="1" si="579"/>
        <v>#NAME?</v>
      </c>
      <c r="T731" s="89"/>
      <c r="U731" s="89"/>
      <c r="V731" s="532">
        <f t="shared" si="575"/>
        <v>57000</v>
      </c>
      <c r="W731" s="532">
        <f t="shared" si="579"/>
        <v>57000</v>
      </c>
      <c r="X731" s="506">
        <f t="shared" si="579"/>
        <v>40000</v>
      </c>
      <c r="Y731" s="507">
        <f t="shared" si="579"/>
        <v>60000</v>
      </c>
      <c r="Z731" s="507">
        <f t="shared" si="579"/>
        <v>0</v>
      </c>
      <c r="AA731" s="562" t="e">
        <f t="shared" ca="1" si="540"/>
        <v>#NAME?</v>
      </c>
      <c r="AB731" s="507"/>
      <c r="AC731" s="508">
        <f>AC732</f>
        <v>80000</v>
      </c>
      <c r="AD731" s="508">
        <f>AD732</f>
        <v>80000</v>
      </c>
      <c r="AE731" s="529">
        <f>O731/M731*100</f>
        <v>215.9707356984521</v>
      </c>
      <c r="AF731" s="529">
        <f>P731/O731*100</f>
        <v>87.733063446823692</v>
      </c>
      <c r="AG731" s="529">
        <f>Q731/P731*100</f>
        <v>79.445145018915511</v>
      </c>
      <c r="AH731" s="529">
        <f>AC731/Q731*100</f>
        <v>126.98412698412697</v>
      </c>
      <c r="AI731" s="507"/>
      <c r="AJ731" s="507">
        <v>60000</v>
      </c>
      <c r="AK731" s="507">
        <f>W731/R731*100</f>
        <v>95.341640879819352</v>
      </c>
      <c r="AL731" s="507">
        <f>X731/W731*100</f>
        <v>70.175438596491219</v>
      </c>
      <c r="AM731" s="507">
        <f>Y731/X731*100</f>
        <v>150</v>
      </c>
      <c r="AN731" s="509"/>
      <c r="AO731" s="590"/>
      <c r="AP731" s="510" t="e">
        <f t="shared" ca="1" si="539"/>
        <v>#NAME?</v>
      </c>
      <c r="AQ731" s="532">
        <f>AQ732</f>
        <v>43428.57</v>
      </c>
      <c r="AR731" s="533">
        <f>V731/R731*100</f>
        <v>95.341640879819352</v>
      </c>
      <c r="AS731" s="533">
        <f>W731/V731*100</f>
        <v>100</v>
      </c>
      <c r="AT731" s="533">
        <f>W731/R731*100</f>
        <v>95.341640879819352</v>
      </c>
      <c r="AU731" s="533">
        <f>AQ731/W731*100</f>
        <v>76.190473684210531</v>
      </c>
      <c r="AV731" s="533">
        <f>AQ731/R731*100</f>
        <v>72.641247804633267</v>
      </c>
      <c r="AW731" s="612"/>
      <c r="AX731" s="612"/>
      <c r="AY731" s="612"/>
      <c r="AZ731" s="612"/>
      <c r="BA731" s="612"/>
      <c r="BB731" s="612"/>
      <c r="BC731" s="612"/>
      <c r="BD731" s="612"/>
      <c r="BE731" s="612"/>
      <c r="BF731" s="612"/>
      <c r="BG731" s="612"/>
      <c r="BH731" s="612">
        <f t="shared" si="541"/>
        <v>0</v>
      </c>
      <c r="BI731" s="612">
        <f t="shared" si="561"/>
        <v>0</v>
      </c>
      <c r="BJ731" s="201">
        <f t="shared" si="573"/>
        <v>0</v>
      </c>
    </row>
    <row r="732" spans="1:62" ht="12" customHeight="1">
      <c r="A732" s="52"/>
      <c r="B732" s="52"/>
      <c r="C732" s="52"/>
      <c r="D732" s="52"/>
      <c r="E732" s="52"/>
      <c r="F732" s="52"/>
      <c r="G732" s="52"/>
      <c r="H732" s="2">
        <v>90</v>
      </c>
      <c r="I732" s="289">
        <v>660</v>
      </c>
      <c r="J732" s="185">
        <v>3232</v>
      </c>
      <c r="K732" s="19" t="s">
        <v>594</v>
      </c>
      <c r="L732" s="129">
        <v>315333</v>
      </c>
      <c r="M732" s="129">
        <f>315333/7.5345</f>
        <v>41851.881345809277</v>
      </c>
      <c r="N732" s="130">
        <v>681027</v>
      </c>
      <c r="O732" s="130">
        <f>N732/7.5345</f>
        <v>90387.816046187538</v>
      </c>
      <c r="P732" s="131">
        <f>P733+P734+P735+P736</f>
        <v>79300</v>
      </c>
      <c r="Q732" s="156">
        <f>Q733+Q734+Q735+Q736</f>
        <v>63000</v>
      </c>
      <c r="R732" s="153">
        <v>59785</v>
      </c>
      <c r="S732" s="158" t="e">
        <f ca="1">__xlfn.XLOOKUP(H732,[1]Izvršenje_proračuna_po_pozicija!$B$2:$B$153,[1]Izvršenje_proračuna_po_pozicija!$E$2:$E$153,0)</f>
        <v>#NAME?</v>
      </c>
      <c r="T732" s="158"/>
      <c r="U732" s="158"/>
      <c r="V732" s="532">
        <v>57000</v>
      </c>
      <c r="W732" s="532">
        <v>57000</v>
      </c>
      <c r="X732" s="560">
        <v>40000</v>
      </c>
      <c r="Y732" s="561">
        <v>60000</v>
      </c>
      <c r="Z732" s="561"/>
      <c r="AA732" s="562" t="e">
        <f t="shared" ca="1" si="540"/>
        <v>#NAME?</v>
      </c>
      <c r="AB732" s="535"/>
      <c r="AC732" s="529">
        <v>80000</v>
      </c>
      <c r="AD732" s="529">
        <v>80000</v>
      </c>
      <c r="AE732" s="529">
        <f>O732/M732*100</f>
        <v>215.9707356984521</v>
      </c>
      <c r="AF732" s="529">
        <f>P732/O732*100</f>
        <v>87.733063446823692</v>
      </c>
      <c r="AG732" s="529">
        <f>Q732/P732*100</f>
        <v>79.445145018915511</v>
      </c>
      <c r="AH732" s="529">
        <f>AC732/Q732*100</f>
        <v>126.98412698412697</v>
      </c>
      <c r="AI732" s="535"/>
      <c r="AJ732" s="561">
        <v>60000</v>
      </c>
      <c r="AK732" s="507">
        <f>W732/R732*100</f>
        <v>95.341640879819352</v>
      </c>
      <c r="AL732" s="507">
        <f>X732/W732*100</f>
        <v>70.175438596491219</v>
      </c>
      <c r="AM732" s="507">
        <f>Y732/X732*100</f>
        <v>150</v>
      </c>
      <c r="AN732" s="556"/>
      <c r="AO732" s="510"/>
      <c r="AP732" s="510" t="e">
        <f t="shared" ca="1" si="539"/>
        <v>#NAME?</v>
      </c>
      <c r="AQ732" s="532">
        <v>43428.57</v>
      </c>
      <c r="AR732" s="533">
        <f>V732/R732*100</f>
        <v>95.341640879819352</v>
      </c>
      <c r="AS732" s="533">
        <f>W732/V732*100</f>
        <v>100</v>
      </c>
      <c r="AT732" s="533">
        <f>W732/R732*100</f>
        <v>95.341640879819352</v>
      </c>
      <c r="AU732" s="533">
        <f>AQ732/W732*100</f>
        <v>76.190473684210531</v>
      </c>
      <c r="AV732" s="533">
        <f>AQ732/R732*100</f>
        <v>72.641247804633267</v>
      </c>
      <c r="AW732" s="612">
        <f>AQ732</f>
        <v>43428.57</v>
      </c>
      <c r="AX732" s="612"/>
      <c r="AY732" s="612"/>
      <c r="AZ732" s="612"/>
      <c r="BA732" s="612"/>
      <c r="BB732" s="612"/>
      <c r="BC732" s="612"/>
      <c r="BD732" s="612"/>
      <c r="BE732" s="612"/>
      <c r="BF732" s="612"/>
      <c r="BG732" s="612"/>
      <c r="BH732" s="612">
        <f t="shared" si="541"/>
        <v>43428.57</v>
      </c>
      <c r="BI732" s="612">
        <f t="shared" si="561"/>
        <v>0</v>
      </c>
      <c r="BJ732" s="201">
        <f t="shared" si="573"/>
        <v>0</v>
      </c>
    </row>
    <row r="733" spans="1:62" ht="12" customHeight="1">
      <c r="A733" s="52"/>
      <c r="B733" s="52"/>
      <c r="C733" s="52"/>
      <c r="D733" s="52"/>
      <c r="E733" s="52"/>
      <c r="F733" s="52"/>
      <c r="G733" s="52"/>
      <c r="H733" s="2"/>
      <c r="I733" s="289"/>
      <c r="J733" s="185"/>
      <c r="K733" s="19" t="s">
        <v>595</v>
      </c>
      <c r="L733" s="129"/>
      <c r="M733" s="129"/>
      <c r="N733" s="130"/>
      <c r="O733" s="130"/>
      <c r="P733" s="131">
        <v>10000</v>
      </c>
      <c r="Q733" s="131">
        <v>0</v>
      </c>
      <c r="R733" s="153">
        <v>0</v>
      </c>
      <c r="S733" s="158" t="e">
        <f ca="1">__xlfn.XLOOKUP(H733,[1]Izvršenje_proračuna_po_pozicija!$B$2:$B$153,[1]Izvršenje_proračuna_po_pozicija!$E$2:$E$153,0)</f>
        <v>#NAME?</v>
      </c>
      <c r="T733" s="158"/>
      <c r="U733" s="158"/>
      <c r="V733" s="532"/>
      <c r="W733" s="532"/>
      <c r="X733" s="560"/>
      <c r="Y733" s="561"/>
      <c r="Z733" s="561"/>
      <c r="AA733" s="562" t="e">
        <f t="shared" ca="1" si="540"/>
        <v>#NAME?</v>
      </c>
      <c r="AB733" s="535"/>
      <c r="AC733" s="529"/>
      <c r="AD733" s="529"/>
      <c r="AE733" s="529"/>
      <c r="AF733" s="529"/>
      <c r="AG733" s="529"/>
      <c r="AH733" s="529"/>
      <c r="AI733" s="535"/>
      <c r="AJ733" s="561"/>
      <c r="AK733" s="507"/>
      <c r="AL733" s="507"/>
      <c r="AM733" s="507"/>
      <c r="AN733" s="556"/>
      <c r="AO733" s="510"/>
      <c r="AP733" s="510" t="e">
        <f t="shared" ca="1" si="539"/>
        <v>#NAME?</v>
      </c>
      <c r="AQ733" s="532"/>
      <c r="AR733" s="533"/>
      <c r="AS733" s="533"/>
      <c r="AT733" s="533"/>
      <c r="AU733" s="533"/>
      <c r="AV733" s="533"/>
      <c r="AW733" s="612"/>
      <c r="AX733" s="612"/>
      <c r="AY733" s="612"/>
      <c r="AZ733" s="612"/>
      <c r="BA733" s="612"/>
      <c r="BB733" s="612"/>
      <c r="BC733" s="612"/>
      <c r="BD733" s="612"/>
      <c r="BE733" s="612"/>
      <c r="BF733" s="612"/>
      <c r="BG733" s="612"/>
      <c r="BH733" s="612">
        <f t="shared" si="541"/>
        <v>0</v>
      </c>
      <c r="BI733" s="612">
        <f t="shared" si="561"/>
        <v>0</v>
      </c>
      <c r="BJ733" s="201">
        <f t="shared" si="573"/>
        <v>0</v>
      </c>
    </row>
    <row r="734" spans="1:62" ht="12" customHeight="1">
      <c r="A734" s="52"/>
      <c r="B734" s="52"/>
      <c r="C734" s="52"/>
      <c r="D734" s="52"/>
      <c r="E734" s="52"/>
      <c r="F734" s="52"/>
      <c r="G734" s="52"/>
      <c r="H734" s="2"/>
      <c r="I734" s="289"/>
      <c r="J734" s="185"/>
      <c r="K734" s="19" t="s">
        <v>596</v>
      </c>
      <c r="L734" s="129"/>
      <c r="M734" s="129"/>
      <c r="N734" s="130"/>
      <c r="O734" s="130"/>
      <c r="P734" s="131">
        <v>5300</v>
      </c>
      <c r="Q734" s="131">
        <v>0</v>
      </c>
      <c r="R734" s="153">
        <v>0</v>
      </c>
      <c r="S734" s="158" t="e">
        <f ca="1">__xlfn.XLOOKUP(H734,[1]Izvršenje_proračuna_po_pozicija!$B$2:$B$153,[1]Izvršenje_proračuna_po_pozicija!$E$2:$E$153,0)</f>
        <v>#NAME?</v>
      </c>
      <c r="T734" s="158"/>
      <c r="U734" s="158"/>
      <c r="V734" s="532"/>
      <c r="W734" s="532"/>
      <c r="X734" s="560"/>
      <c r="Y734" s="561"/>
      <c r="Z734" s="561"/>
      <c r="AA734" s="562" t="e">
        <f t="shared" ca="1" si="540"/>
        <v>#NAME?</v>
      </c>
      <c r="AB734" s="535"/>
      <c r="AC734" s="529"/>
      <c r="AD734" s="529"/>
      <c r="AE734" s="529"/>
      <c r="AF734" s="529"/>
      <c r="AG734" s="529"/>
      <c r="AH734" s="529"/>
      <c r="AI734" s="535"/>
      <c r="AJ734" s="561"/>
      <c r="AK734" s="507"/>
      <c r="AL734" s="507"/>
      <c r="AM734" s="507"/>
      <c r="AN734" s="556"/>
      <c r="AO734" s="510"/>
      <c r="AP734" s="510" t="e">
        <f t="shared" ca="1" si="539"/>
        <v>#NAME?</v>
      </c>
      <c r="AQ734" s="532"/>
      <c r="AR734" s="533"/>
      <c r="AS734" s="533"/>
      <c r="AT734" s="533"/>
      <c r="AU734" s="533"/>
      <c r="AV734" s="533"/>
      <c r="AW734" s="612"/>
      <c r="AX734" s="612"/>
      <c r="AY734" s="612"/>
      <c r="AZ734" s="612"/>
      <c r="BA734" s="612"/>
      <c r="BB734" s="612"/>
      <c r="BC734" s="612"/>
      <c r="BD734" s="612"/>
      <c r="BE734" s="612"/>
      <c r="BF734" s="612"/>
      <c r="BG734" s="612"/>
      <c r="BH734" s="612">
        <f t="shared" si="541"/>
        <v>0</v>
      </c>
      <c r="BI734" s="612">
        <f t="shared" si="561"/>
        <v>0</v>
      </c>
      <c r="BJ734" s="201">
        <f t="shared" si="573"/>
        <v>0</v>
      </c>
    </row>
    <row r="735" spans="1:62" ht="12" customHeight="1">
      <c r="A735" s="52"/>
      <c r="B735" s="52"/>
      <c r="C735" s="52"/>
      <c r="D735" s="52"/>
      <c r="E735" s="52"/>
      <c r="F735" s="52"/>
      <c r="G735" s="52"/>
      <c r="H735" s="2"/>
      <c r="I735" s="289"/>
      <c r="J735" s="185"/>
      <c r="K735" s="19" t="s">
        <v>597</v>
      </c>
      <c r="L735" s="129"/>
      <c r="M735" s="129"/>
      <c r="N735" s="130"/>
      <c r="O735" s="130"/>
      <c r="P735" s="131">
        <v>14000</v>
      </c>
      <c r="Q735" s="131">
        <v>0</v>
      </c>
      <c r="R735" s="153">
        <v>0</v>
      </c>
      <c r="S735" s="158" t="e">
        <f ca="1">__xlfn.XLOOKUP(H735,[1]Izvršenje_proračuna_po_pozicija!$B$2:$B$153,[1]Izvršenje_proračuna_po_pozicija!$E$2:$E$153,0)</f>
        <v>#NAME?</v>
      </c>
      <c r="T735" s="158"/>
      <c r="U735" s="158"/>
      <c r="V735" s="532"/>
      <c r="W735" s="532"/>
      <c r="X735" s="560"/>
      <c r="Y735" s="561"/>
      <c r="Z735" s="561"/>
      <c r="AA735" s="562" t="e">
        <f t="shared" ca="1" si="540"/>
        <v>#NAME?</v>
      </c>
      <c r="AB735" s="535"/>
      <c r="AC735" s="529"/>
      <c r="AD735" s="529"/>
      <c r="AE735" s="529"/>
      <c r="AF735" s="529"/>
      <c r="AG735" s="529"/>
      <c r="AH735" s="529"/>
      <c r="AI735" s="535"/>
      <c r="AJ735" s="561"/>
      <c r="AK735" s="507"/>
      <c r="AL735" s="507"/>
      <c r="AM735" s="507"/>
      <c r="AN735" s="556"/>
      <c r="AO735" s="510"/>
      <c r="AP735" s="510" t="e">
        <f t="shared" ca="1" si="539"/>
        <v>#NAME?</v>
      </c>
      <c r="AQ735" s="532"/>
      <c r="AR735" s="533"/>
      <c r="AS735" s="533"/>
      <c r="AT735" s="533"/>
      <c r="AU735" s="533"/>
      <c r="AV735" s="533"/>
      <c r="AW735" s="612"/>
      <c r="AX735" s="612"/>
      <c r="AY735" s="612"/>
      <c r="AZ735" s="612"/>
      <c r="BA735" s="612"/>
      <c r="BB735" s="612"/>
      <c r="BC735" s="612"/>
      <c r="BD735" s="612"/>
      <c r="BE735" s="612"/>
      <c r="BF735" s="612"/>
      <c r="BG735" s="612"/>
      <c r="BH735" s="612">
        <f t="shared" si="541"/>
        <v>0</v>
      </c>
      <c r="BI735" s="612">
        <f t="shared" si="561"/>
        <v>0</v>
      </c>
      <c r="BJ735" s="201">
        <f t="shared" si="573"/>
        <v>0</v>
      </c>
    </row>
    <row r="736" spans="1:62" ht="12" customHeight="1">
      <c r="A736" s="52"/>
      <c r="B736" s="52"/>
      <c r="C736" s="52"/>
      <c r="D736" s="52"/>
      <c r="E736" s="52"/>
      <c r="F736" s="52"/>
      <c r="G736" s="52"/>
      <c r="H736" s="2"/>
      <c r="I736" s="289"/>
      <c r="J736" s="185"/>
      <c r="K736" s="19" t="s">
        <v>598</v>
      </c>
      <c r="L736" s="129"/>
      <c r="M736" s="129"/>
      <c r="N736" s="130"/>
      <c r="O736" s="130"/>
      <c r="P736" s="131">
        <v>50000</v>
      </c>
      <c r="Q736" s="131">
        <v>63000</v>
      </c>
      <c r="R736" s="153">
        <v>0</v>
      </c>
      <c r="S736" s="158" t="e">
        <f ca="1">__xlfn.XLOOKUP(H736,[1]Izvršenje_proračuna_po_pozicija!$B$2:$B$153,[1]Izvršenje_proračuna_po_pozicija!$E$2:$E$153,0)</f>
        <v>#NAME?</v>
      </c>
      <c r="T736" s="158"/>
      <c r="U736" s="158"/>
      <c r="V736" s="532"/>
      <c r="W736" s="532"/>
      <c r="X736" s="560"/>
      <c r="Y736" s="561"/>
      <c r="Z736" s="561"/>
      <c r="AA736" s="562" t="e">
        <f t="shared" ca="1" si="540"/>
        <v>#NAME?</v>
      </c>
      <c r="AB736" s="535"/>
      <c r="AC736" s="529"/>
      <c r="AD736" s="529"/>
      <c r="AE736" s="529"/>
      <c r="AF736" s="529"/>
      <c r="AG736" s="529"/>
      <c r="AH736" s="529"/>
      <c r="AI736" s="535"/>
      <c r="AJ736" s="561"/>
      <c r="AK736" s="507"/>
      <c r="AL736" s="507"/>
      <c r="AM736" s="507"/>
      <c r="AN736" s="556"/>
      <c r="AO736" s="510"/>
      <c r="AP736" s="510" t="e">
        <f t="shared" ca="1" si="539"/>
        <v>#NAME?</v>
      </c>
      <c r="AQ736" s="532"/>
      <c r="AR736" s="533"/>
      <c r="AS736" s="533"/>
      <c r="AT736" s="533"/>
      <c r="AU736" s="533"/>
      <c r="AV736" s="533"/>
      <c r="AW736" s="612"/>
      <c r="AX736" s="612"/>
      <c r="AY736" s="612"/>
      <c r="AZ736" s="612"/>
      <c r="BA736" s="612"/>
      <c r="BB736" s="612"/>
      <c r="BC736" s="612"/>
      <c r="BD736" s="612"/>
      <c r="BE736" s="612"/>
      <c r="BF736" s="612"/>
      <c r="BG736" s="612"/>
      <c r="BH736" s="612">
        <f t="shared" si="541"/>
        <v>0</v>
      </c>
      <c r="BI736" s="612">
        <f t="shared" si="561"/>
        <v>0</v>
      </c>
      <c r="BJ736" s="201">
        <f t="shared" si="573"/>
        <v>0</v>
      </c>
    </row>
    <row r="737" spans="1:62" ht="12" customHeight="1">
      <c r="A737" s="68"/>
      <c r="B737" s="68"/>
      <c r="C737" s="68"/>
      <c r="D737" s="68"/>
      <c r="E737" s="68"/>
      <c r="F737" s="68"/>
      <c r="G737" s="68"/>
      <c r="H737" s="319"/>
      <c r="I737" s="4"/>
      <c r="J737" s="8"/>
      <c r="K737" s="8"/>
      <c r="L737" s="84"/>
      <c r="M737" s="84"/>
      <c r="N737" s="85"/>
      <c r="O737" s="85"/>
      <c r="P737" s="86"/>
      <c r="Q737" s="86"/>
      <c r="R737" s="154"/>
      <c r="S737" s="158" t="e">
        <f ca="1">__xlfn.XLOOKUP(H737,[1]Izvršenje_proračuna_po_pozicija!$B$2:$B$153,[1]Izvršenje_proračuna_po_pozicija!$E$2:$E$153,0)</f>
        <v>#NAME?</v>
      </c>
      <c r="T737" s="158"/>
      <c r="U737" s="158"/>
      <c r="V737" s="532"/>
      <c r="W737" s="532"/>
      <c r="X737" s="568"/>
      <c r="Y737" s="569"/>
      <c r="Z737" s="569"/>
      <c r="AA737" s="562" t="e">
        <f t="shared" ca="1" si="540"/>
        <v>#NAME?</v>
      </c>
      <c r="AB737" s="537"/>
      <c r="AC737" s="538"/>
      <c r="AD737" s="538"/>
      <c r="AE737" s="529"/>
      <c r="AF737" s="529"/>
      <c r="AG737" s="529"/>
      <c r="AH737" s="529"/>
      <c r="AI737" s="537"/>
      <c r="AJ737" s="569"/>
      <c r="AK737" s="507"/>
      <c r="AL737" s="507"/>
      <c r="AM737" s="507"/>
      <c r="AN737" s="557"/>
      <c r="AO737" s="510"/>
      <c r="AP737" s="510" t="e">
        <f t="shared" ca="1" si="539"/>
        <v>#NAME?</v>
      </c>
      <c r="AQ737" s="532"/>
      <c r="AR737" s="533"/>
      <c r="AS737" s="533"/>
      <c r="AT737" s="533"/>
      <c r="AU737" s="533"/>
      <c r="AV737" s="533"/>
      <c r="AW737" s="612"/>
      <c r="AX737" s="612"/>
      <c r="AY737" s="612"/>
      <c r="AZ737" s="612"/>
      <c r="BA737" s="612"/>
      <c r="BB737" s="612"/>
      <c r="BC737" s="612"/>
      <c r="BD737" s="612"/>
      <c r="BE737" s="612"/>
      <c r="BF737" s="612"/>
      <c r="BG737" s="612"/>
      <c r="BH737" s="612">
        <f t="shared" si="541"/>
        <v>0</v>
      </c>
      <c r="BI737" s="612">
        <f t="shared" si="561"/>
        <v>0</v>
      </c>
      <c r="BJ737" s="201">
        <f t="shared" si="573"/>
        <v>0</v>
      </c>
    </row>
    <row r="738" spans="1:62" ht="12" customHeight="1">
      <c r="A738" s="282" t="s">
        <v>599</v>
      </c>
      <c r="B738" s="283"/>
      <c r="C738" s="283"/>
      <c r="D738" s="283"/>
      <c r="E738" s="283"/>
      <c r="F738" s="283"/>
      <c r="G738" s="283"/>
      <c r="H738" s="284"/>
      <c r="I738" s="369" t="s">
        <v>600</v>
      </c>
      <c r="J738" s="370"/>
      <c r="K738" s="226"/>
      <c r="L738" s="111">
        <f t="shared" ref="L738:S738" si="580">L740</f>
        <v>0</v>
      </c>
      <c r="M738" s="111">
        <f t="shared" si="580"/>
        <v>0</v>
      </c>
      <c r="N738" s="112">
        <f t="shared" si="580"/>
        <v>0</v>
      </c>
      <c r="O738" s="112">
        <f t="shared" si="580"/>
        <v>0</v>
      </c>
      <c r="P738" s="113">
        <f t="shared" si="580"/>
        <v>40000</v>
      </c>
      <c r="Q738" s="113">
        <f t="shared" si="580"/>
        <v>0</v>
      </c>
      <c r="R738" s="87">
        <f t="shared" si="580"/>
        <v>0</v>
      </c>
      <c r="S738" s="89" t="e">
        <f t="shared" ca="1" si="580"/>
        <v>#NAME?</v>
      </c>
      <c r="T738" s="89"/>
      <c r="U738" s="89"/>
      <c r="V738" s="532">
        <f>V740</f>
        <v>0</v>
      </c>
      <c r="W738" s="532">
        <f>W740</f>
        <v>0</v>
      </c>
      <c r="X738" s="506">
        <f>X740</f>
        <v>40000</v>
      </c>
      <c r="Y738" s="507">
        <f>Y740</f>
        <v>0</v>
      </c>
      <c r="Z738" s="507">
        <f>Z740</f>
        <v>0</v>
      </c>
      <c r="AA738" s="562" t="e">
        <f t="shared" ca="1" si="540"/>
        <v>#NAME?</v>
      </c>
      <c r="AB738" s="507"/>
      <c r="AC738" s="508">
        <f>AC740</f>
        <v>0</v>
      </c>
      <c r="AD738" s="508">
        <f>AD740</f>
        <v>0</v>
      </c>
      <c r="AE738" s="529"/>
      <c r="AF738" s="529"/>
      <c r="AG738" s="529"/>
      <c r="AH738" s="529"/>
      <c r="AI738" s="507"/>
      <c r="AJ738" s="507">
        <v>0</v>
      </c>
      <c r="AK738" s="507"/>
      <c r="AL738" s="507"/>
      <c r="AM738" s="507">
        <f>Y738/X738*100</f>
        <v>0</v>
      </c>
      <c r="AN738" s="509"/>
      <c r="AO738" s="510"/>
      <c r="AP738" s="510" t="e">
        <f t="shared" ca="1" si="539"/>
        <v>#NAME?</v>
      </c>
      <c r="AQ738" s="532">
        <f>AQ740</f>
        <v>0</v>
      </c>
      <c r="AR738" s="533"/>
      <c r="AS738" s="533"/>
      <c r="AT738" s="533"/>
      <c r="AU738" s="533"/>
      <c r="AV738" s="533"/>
      <c r="AW738" s="612"/>
      <c r="AX738" s="612"/>
      <c r="AY738" s="612"/>
      <c r="AZ738" s="612"/>
      <c r="BA738" s="612"/>
      <c r="BB738" s="612"/>
      <c r="BC738" s="612"/>
      <c r="BD738" s="612"/>
      <c r="BE738" s="612"/>
      <c r="BF738" s="612"/>
      <c r="BG738" s="612"/>
      <c r="BH738" s="612">
        <f t="shared" si="541"/>
        <v>0</v>
      </c>
      <c r="BI738" s="612">
        <f t="shared" si="561"/>
        <v>0</v>
      </c>
      <c r="BJ738" s="201"/>
    </row>
    <row r="739" spans="1:62" ht="12" customHeight="1">
      <c r="A739" s="52"/>
      <c r="B739" s="52"/>
      <c r="C739" s="52"/>
      <c r="D739" s="52"/>
      <c r="E739" s="52"/>
      <c r="F739" s="52"/>
      <c r="G739" s="52"/>
      <c r="H739" s="2"/>
      <c r="I739" s="289"/>
      <c r="J739" s="185"/>
      <c r="K739" s="19"/>
      <c r="L739" s="350"/>
      <c r="M739" s="350"/>
      <c r="N739" s="351"/>
      <c r="O739" s="351"/>
      <c r="P739" s="352"/>
      <c r="Q739" s="352"/>
      <c r="R739" s="212"/>
      <c r="S739" s="158" t="e">
        <f ca="1">__xlfn.XLOOKUP(H739,[1]Izvršenje_proračuna_po_pozicija!$B$2:$B$153,[1]Izvršenje_proračuna_po_pozicija!$E$2:$E$153,0)</f>
        <v>#NAME?</v>
      </c>
      <c r="T739" s="158"/>
      <c r="U739" s="158"/>
      <c r="V739" s="532"/>
      <c r="W739" s="532"/>
      <c r="X739" s="563"/>
      <c r="Y739" s="562"/>
      <c r="Z739" s="562"/>
      <c r="AA739" s="562" t="e">
        <f t="shared" ca="1" si="540"/>
        <v>#NAME?</v>
      </c>
      <c r="AB739" s="507"/>
      <c r="AC739" s="508"/>
      <c r="AD739" s="508"/>
      <c r="AE739" s="529"/>
      <c r="AF739" s="529"/>
      <c r="AG739" s="529"/>
      <c r="AH739" s="529"/>
      <c r="AI739" s="507"/>
      <c r="AJ739" s="562"/>
      <c r="AK739" s="507"/>
      <c r="AL739" s="507"/>
      <c r="AM739" s="507"/>
      <c r="AN739" s="509"/>
      <c r="AO739" s="510"/>
      <c r="AP739" s="510" t="e">
        <f t="shared" ref="AP739:AP802" ca="1" si="581">__xlfn.ISFORMULA(X739)</f>
        <v>#NAME?</v>
      </c>
      <c r="AQ739" s="532"/>
      <c r="AR739" s="533"/>
      <c r="AS739" s="533"/>
      <c r="AT739" s="533"/>
      <c r="AU739" s="533"/>
      <c r="AV739" s="533"/>
      <c r="AW739" s="612"/>
      <c r="AX739" s="612"/>
      <c r="AY739" s="612"/>
      <c r="AZ739" s="612"/>
      <c r="BA739" s="612"/>
      <c r="BB739" s="612"/>
      <c r="BC739" s="612"/>
      <c r="BD739" s="612"/>
      <c r="BE739" s="612"/>
      <c r="BF739" s="612"/>
      <c r="BG739" s="612"/>
      <c r="BH739" s="612">
        <f t="shared" si="541"/>
        <v>0</v>
      </c>
      <c r="BI739" s="612">
        <f t="shared" si="561"/>
        <v>0</v>
      </c>
      <c r="BJ739" s="201"/>
    </row>
    <row r="740" spans="1:62" ht="12" customHeight="1">
      <c r="A740" s="25"/>
      <c r="B740" s="25"/>
      <c r="C740" s="25"/>
      <c r="D740" s="25"/>
      <c r="E740" s="25"/>
      <c r="F740" s="25"/>
      <c r="G740" s="25"/>
      <c r="H740" s="285"/>
      <c r="I740" s="349"/>
      <c r="J740" s="211">
        <v>4</v>
      </c>
      <c r="K740" s="3" t="s">
        <v>601</v>
      </c>
      <c r="L740" s="111">
        <f t="shared" ref="L740:Z742" si="582">L741</f>
        <v>0</v>
      </c>
      <c r="M740" s="111">
        <f t="shared" si="582"/>
        <v>0</v>
      </c>
      <c r="N740" s="112">
        <f t="shared" si="582"/>
        <v>0</v>
      </c>
      <c r="O740" s="112">
        <f t="shared" si="582"/>
        <v>0</v>
      </c>
      <c r="P740" s="113">
        <f t="shared" si="582"/>
        <v>40000</v>
      </c>
      <c r="Q740" s="113">
        <f t="shared" si="582"/>
        <v>0</v>
      </c>
      <c r="R740" s="87">
        <f t="shared" si="582"/>
        <v>0</v>
      </c>
      <c r="S740" s="89" t="e">
        <f t="shared" ca="1" si="582"/>
        <v>#NAME?</v>
      </c>
      <c r="T740" s="89"/>
      <c r="U740" s="89"/>
      <c r="V740" s="532">
        <f>V741</f>
        <v>0</v>
      </c>
      <c r="W740" s="532">
        <f t="shared" si="582"/>
        <v>0</v>
      </c>
      <c r="X740" s="506">
        <f t="shared" si="582"/>
        <v>40000</v>
      </c>
      <c r="Y740" s="507">
        <f t="shared" si="582"/>
        <v>0</v>
      </c>
      <c r="Z740" s="507">
        <f t="shared" si="582"/>
        <v>0</v>
      </c>
      <c r="AA740" s="562" t="e">
        <f t="shared" ca="1" si="540"/>
        <v>#NAME?</v>
      </c>
      <c r="AB740" s="507"/>
      <c r="AC740" s="508">
        <f t="shared" ref="AC740:AD742" si="583">AC741</f>
        <v>0</v>
      </c>
      <c r="AD740" s="508">
        <f t="shared" si="583"/>
        <v>0</v>
      </c>
      <c r="AE740" s="529"/>
      <c r="AF740" s="529"/>
      <c r="AG740" s="529"/>
      <c r="AH740" s="529"/>
      <c r="AI740" s="507"/>
      <c r="AJ740" s="507">
        <v>0</v>
      </c>
      <c r="AK740" s="507"/>
      <c r="AL740" s="507"/>
      <c r="AM740" s="507">
        <f>Y740/X740*100</f>
        <v>0</v>
      </c>
      <c r="AN740" s="509"/>
      <c r="AO740" s="510"/>
      <c r="AP740" s="510" t="e">
        <f t="shared" ca="1" si="581"/>
        <v>#NAME?</v>
      </c>
      <c r="AQ740" s="532">
        <f>AQ741</f>
        <v>0</v>
      </c>
      <c r="AR740" s="533"/>
      <c r="AS740" s="533"/>
      <c r="AT740" s="533"/>
      <c r="AU740" s="533"/>
      <c r="AV740" s="533"/>
      <c r="AW740" s="612"/>
      <c r="AX740" s="612"/>
      <c r="AY740" s="612"/>
      <c r="AZ740" s="612"/>
      <c r="BA740" s="612"/>
      <c r="BB740" s="612"/>
      <c r="BC740" s="612"/>
      <c r="BD740" s="612"/>
      <c r="BE740" s="612"/>
      <c r="BF740" s="612"/>
      <c r="BG740" s="612"/>
      <c r="BH740" s="612">
        <f t="shared" si="541"/>
        <v>0</v>
      </c>
      <c r="BI740" s="612">
        <f t="shared" si="561"/>
        <v>0</v>
      </c>
      <c r="BJ740" s="201"/>
    </row>
    <row r="741" spans="1:62" ht="12" customHeight="1">
      <c r="A741" s="227"/>
      <c r="B741" s="227"/>
      <c r="C741" s="227"/>
      <c r="D741" s="227"/>
      <c r="E741" s="227"/>
      <c r="F741" s="227"/>
      <c r="G741" s="227"/>
      <c r="H741" s="234"/>
      <c r="I741" s="265"/>
      <c r="J741" s="228">
        <v>42</v>
      </c>
      <c r="K741" s="258" t="s">
        <v>602</v>
      </c>
      <c r="L741" s="111">
        <f t="shared" si="582"/>
        <v>0</v>
      </c>
      <c r="M741" s="111">
        <f t="shared" si="582"/>
        <v>0</v>
      </c>
      <c r="N741" s="112">
        <f t="shared" si="582"/>
        <v>0</v>
      </c>
      <c r="O741" s="112">
        <f t="shared" si="582"/>
        <v>0</v>
      </c>
      <c r="P741" s="113">
        <f t="shared" si="582"/>
        <v>40000</v>
      </c>
      <c r="Q741" s="113">
        <f t="shared" si="582"/>
        <v>0</v>
      </c>
      <c r="R741" s="87">
        <f t="shared" si="582"/>
        <v>0</v>
      </c>
      <c r="S741" s="89" t="e">
        <f t="shared" ca="1" si="582"/>
        <v>#NAME?</v>
      </c>
      <c r="T741" s="89"/>
      <c r="U741" s="89"/>
      <c r="V741" s="532">
        <f>V742</f>
        <v>0</v>
      </c>
      <c r="W741" s="532">
        <f t="shared" si="582"/>
        <v>0</v>
      </c>
      <c r="X741" s="506">
        <f t="shared" si="582"/>
        <v>40000</v>
      </c>
      <c r="Y741" s="507">
        <f t="shared" si="582"/>
        <v>0</v>
      </c>
      <c r="Z741" s="507">
        <f t="shared" si="582"/>
        <v>0</v>
      </c>
      <c r="AA741" s="562" t="e">
        <f t="shared" ref="AA741:AA804" ca="1" si="584">__xlfn.ISFORMULA(R741)</f>
        <v>#NAME?</v>
      </c>
      <c r="AB741" s="507"/>
      <c r="AC741" s="508">
        <f t="shared" si="583"/>
        <v>0</v>
      </c>
      <c r="AD741" s="508">
        <f t="shared" si="583"/>
        <v>0</v>
      </c>
      <c r="AE741" s="529"/>
      <c r="AF741" s="529"/>
      <c r="AG741" s="529"/>
      <c r="AH741" s="529"/>
      <c r="AI741" s="507"/>
      <c r="AJ741" s="507">
        <v>0</v>
      </c>
      <c r="AK741" s="507"/>
      <c r="AL741" s="507"/>
      <c r="AM741" s="507">
        <f>Y741/X741*100</f>
        <v>0</v>
      </c>
      <c r="AN741" s="509"/>
      <c r="AO741" s="510"/>
      <c r="AP741" s="510" t="e">
        <f t="shared" ca="1" si="581"/>
        <v>#NAME?</v>
      </c>
      <c r="AQ741" s="532">
        <f>AQ742</f>
        <v>0</v>
      </c>
      <c r="AR741" s="533"/>
      <c r="AS741" s="533"/>
      <c r="AT741" s="533"/>
      <c r="AU741" s="533"/>
      <c r="AV741" s="533"/>
      <c r="AW741" s="612"/>
      <c r="AX741" s="612"/>
      <c r="AY741" s="612"/>
      <c r="AZ741" s="612"/>
      <c r="BA741" s="612"/>
      <c r="BB741" s="612"/>
      <c r="BC741" s="612"/>
      <c r="BD741" s="612"/>
      <c r="BE741" s="612"/>
      <c r="BF741" s="612"/>
      <c r="BG741" s="612"/>
      <c r="BH741" s="612">
        <f t="shared" ref="BH741:BH804" si="585">SUM(AW741:BG741)</f>
        <v>0</v>
      </c>
      <c r="BI741" s="612">
        <f t="shared" si="561"/>
        <v>0</v>
      </c>
      <c r="BJ741" s="201"/>
    </row>
    <row r="742" spans="1:62" ht="12" customHeight="1">
      <c r="A742" s="61"/>
      <c r="B742" s="61"/>
      <c r="C742" s="61"/>
      <c r="D742" s="61"/>
      <c r="E742" s="61"/>
      <c r="F742" s="61"/>
      <c r="G742" s="61"/>
      <c r="H742" s="230"/>
      <c r="I742" s="348"/>
      <c r="J742" s="229">
        <v>421</v>
      </c>
      <c r="K742" s="20" t="s">
        <v>455</v>
      </c>
      <c r="L742" s="111">
        <f t="shared" si="582"/>
        <v>0</v>
      </c>
      <c r="M742" s="111">
        <f t="shared" si="582"/>
        <v>0</v>
      </c>
      <c r="N742" s="112">
        <f t="shared" si="582"/>
        <v>0</v>
      </c>
      <c r="O742" s="112">
        <f t="shared" si="582"/>
        <v>0</v>
      </c>
      <c r="P742" s="113">
        <f t="shared" si="582"/>
        <v>40000</v>
      </c>
      <c r="Q742" s="113">
        <f t="shared" si="582"/>
        <v>0</v>
      </c>
      <c r="R742" s="87">
        <f t="shared" si="582"/>
        <v>0</v>
      </c>
      <c r="S742" s="89" t="e">
        <f t="shared" ca="1" si="582"/>
        <v>#NAME?</v>
      </c>
      <c r="T742" s="89"/>
      <c r="U742" s="89"/>
      <c r="V742" s="532">
        <f>V743</f>
        <v>0</v>
      </c>
      <c r="W742" s="532">
        <f t="shared" si="582"/>
        <v>0</v>
      </c>
      <c r="X742" s="506">
        <f t="shared" si="582"/>
        <v>40000</v>
      </c>
      <c r="Y742" s="507">
        <f t="shared" si="582"/>
        <v>0</v>
      </c>
      <c r="Z742" s="507">
        <f t="shared" si="582"/>
        <v>0</v>
      </c>
      <c r="AA742" s="562" t="e">
        <f t="shared" ca="1" si="584"/>
        <v>#NAME?</v>
      </c>
      <c r="AB742" s="507"/>
      <c r="AC742" s="508">
        <f t="shared" si="583"/>
        <v>0</v>
      </c>
      <c r="AD742" s="508">
        <f t="shared" si="583"/>
        <v>0</v>
      </c>
      <c r="AE742" s="529"/>
      <c r="AF742" s="529"/>
      <c r="AG742" s="529"/>
      <c r="AH742" s="529"/>
      <c r="AI742" s="507"/>
      <c r="AJ742" s="507">
        <v>0</v>
      </c>
      <c r="AK742" s="507"/>
      <c r="AL742" s="507"/>
      <c r="AM742" s="507">
        <f>Y742/X742*100</f>
        <v>0</v>
      </c>
      <c r="AN742" s="509"/>
      <c r="AO742" s="510"/>
      <c r="AP742" s="510" t="e">
        <f t="shared" ca="1" si="581"/>
        <v>#NAME?</v>
      </c>
      <c r="AQ742" s="532">
        <f>AQ743</f>
        <v>0</v>
      </c>
      <c r="AR742" s="533"/>
      <c r="AS742" s="533"/>
      <c r="AT742" s="533"/>
      <c r="AU742" s="533"/>
      <c r="AV742" s="533"/>
      <c r="AW742" s="612"/>
      <c r="AX742" s="612"/>
      <c r="AY742" s="612"/>
      <c r="AZ742" s="612"/>
      <c r="BA742" s="612"/>
      <c r="BB742" s="612"/>
      <c r="BC742" s="612"/>
      <c r="BD742" s="612"/>
      <c r="BE742" s="612"/>
      <c r="BF742" s="612"/>
      <c r="BG742" s="612"/>
      <c r="BH742" s="612">
        <f t="shared" si="585"/>
        <v>0</v>
      </c>
      <c r="BI742" s="612">
        <f t="shared" si="561"/>
        <v>25000</v>
      </c>
      <c r="BJ742" s="201"/>
    </row>
    <row r="743" spans="1:62" ht="12" customHeight="1">
      <c r="A743" s="52"/>
      <c r="B743" s="52"/>
      <c r="C743" s="52"/>
      <c r="D743" s="52"/>
      <c r="E743" s="52"/>
      <c r="F743" s="52"/>
      <c r="G743" s="52"/>
      <c r="H743" s="2" t="s">
        <v>603</v>
      </c>
      <c r="I743" s="289">
        <v>660</v>
      </c>
      <c r="J743" s="185">
        <v>4212</v>
      </c>
      <c r="K743" s="19" t="s">
        <v>604</v>
      </c>
      <c r="L743" s="129">
        <v>0</v>
      </c>
      <c r="M743" s="129">
        <v>0</v>
      </c>
      <c r="N743" s="130">
        <v>0</v>
      </c>
      <c r="O743" s="130">
        <v>0</v>
      </c>
      <c r="P743" s="131">
        <v>40000</v>
      </c>
      <c r="Q743" s="156">
        <v>0</v>
      </c>
      <c r="R743" s="153">
        <v>0</v>
      </c>
      <c r="S743" s="158" t="e">
        <f ca="1">__xlfn.XLOOKUP(H743,[1]Izvršenje_proračuna_po_pozicija!$B$2:$B$153,[1]Izvršenje_proračuna_po_pozicija!$E$2:$E$153,0)</f>
        <v>#NAME?</v>
      </c>
      <c r="T743" s="158"/>
      <c r="U743" s="158"/>
      <c r="V743" s="532">
        <v>0</v>
      </c>
      <c r="W743" s="532">
        <v>0</v>
      </c>
      <c r="X743" s="560">
        <v>40000</v>
      </c>
      <c r="Y743" s="561">
        <v>0</v>
      </c>
      <c r="Z743" s="561"/>
      <c r="AA743" s="562" t="e">
        <f t="shared" ca="1" si="584"/>
        <v>#NAME?</v>
      </c>
      <c r="AB743" s="535"/>
      <c r="AC743" s="529">
        <v>0</v>
      </c>
      <c r="AD743" s="529">
        <v>0</v>
      </c>
      <c r="AE743" s="529"/>
      <c r="AF743" s="529"/>
      <c r="AG743" s="529"/>
      <c r="AH743" s="529"/>
      <c r="AI743" s="535"/>
      <c r="AJ743" s="561">
        <v>0</v>
      </c>
      <c r="AK743" s="507"/>
      <c r="AL743" s="507"/>
      <c r="AM743" s="507">
        <f>Y743/X743*100</f>
        <v>0</v>
      </c>
      <c r="AN743" s="556"/>
      <c r="AO743" s="510"/>
      <c r="AP743" s="510" t="e">
        <f t="shared" ca="1" si="581"/>
        <v>#NAME?</v>
      </c>
      <c r="AQ743" s="532"/>
      <c r="AR743" s="533"/>
      <c r="AS743" s="533"/>
      <c r="AT743" s="533"/>
      <c r="AU743" s="533"/>
      <c r="AV743" s="533"/>
      <c r="AW743" s="612"/>
      <c r="AX743" s="612"/>
      <c r="AY743" s="612"/>
      <c r="AZ743" s="612"/>
      <c r="BA743" s="612"/>
      <c r="BB743" s="612"/>
      <c r="BC743" s="612"/>
      <c r="BD743" s="612"/>
      <c r="BE743" s="612"/>
      <c r="BF743" s="612"/>
      <c r="BG743" s="612"/>
      <c r="BH743" s="612">
        <f t="shared" si="585"/>
        <v>0</v>
      </c>
      <c r="BI743" s="612">
        <f t="shared" si="561"/>
        <v>25000</v>
      </c>
      <c r="BJ743" s="201">
        <f t="shared" ref="BJ743:BJ749" si="586">AQ750-BI743</f>
        <v>0</v>
      </c>
    </row>
    <row r="744" spans="1:62" ht="12" customHeight="1">
      <c r="A744" s="41"/>
      <c r="B744" s="41"/>
      <c r="C744" s="41"/>
      <c r="D744" s="41"/>
      <c r="E744" s="41"/>
      <c r="F744" s="41"/>
      <c r="G744" s="41"/>
      <c r="H744" s="235"/>
      <c r="I744" s="15"/>
      <c r="J744" s="3"/>
      <c r="K744" s="83"/>
      <c r="L744" s="84">
        <v>1</v>
      </c>
      <c r="M744" s="84">
        <v>2</v>
      </c>
      <c r="N744" s="85">
        <v>3</v>
      </c>
      <c r="O744" s="85">
        <v>4</v>
      </c>
      <c r="P744" s="86">
        <v>5</v>
      </c>
      <c r="Q744" s="86">
        <v>6</v>
      </c>
      <c r="R744" s="154"/>
      <c r="S744" s="158" t="e">
        <f ca="1">__xlfn.XLOOKUP(H744,[1]Izvršenje_proračuna_po_pozicija!$B$2:$B$153,[1]Izvršenje_proračuna_po_pozicija!$E$2:$E$153,0)</f>
        <v>#NAME?</v>
      </c>
      <c r="T744" s="158"/>
      <c r="U744" s="158"/>
      <c r="V744" s="532"/>
      <c r="W744" s="532"/>
      <c r="X744" s="568"/>
      <c r="Y744" s="569"/>
      <c r="Z744" s="569"/>
      <c r="AA744" s="562" t="e">
        <f t="shared" ca="1" si="584"/>
        <v>#NAME?</v>
      </c>
      <c r="AB744" s="537"/>
      <c r="AC744" s="538">
        <v>7</v>
      </c>
      <c r="AD744" s="538">
        <v>8</v>
      </c>
      <c r="AE744" s="538">
        <v>9</v>
      </c>
      <c r="AF744" s="538">
        <v>10</v>
      </c>
      <c r="AG744" s="538">
        <v>11</v>
      </c>
      <c r="AH744" s="538">
        <v>12</v>
      </c>
      <c r="AI744" s="537"/>
      <c r="AJ744" s="569"/>
      <c r="AK744" s="507"/>
      <c r="AL744" s="507"/>
      <c r="AM744" s="507"/>
      <c r="AN744" s="557"/>
      <c r="AO744" s="510"/>
      <c r="AP744" s="510" t="e">
        <f t="shared" ca="1" si="581"/>
        <v>#NAME?</v>
      </c>
      <c r="AQ744" s="532"/>
      <c r="AR744" s="533"/>
      <c r="AS744" s="533"/>
      <c r="AT744" s="533"/>
      <c r="AU744" s="533"/>
      <c r="AV744" s="533"/>
      <c r="AW744" s="612"/>
      <c r="AX744" s="612"/>
      <c r="AY744" s="612"/>
      <c r="AZ744" s="612"/>
      <c r="BA744" s="612"/>
      <c r="BB744" s="612"/>
      <c r="BC744" s="612"/>
      <c r="BD744" s="612"/>
      <c r="BE744" s="612"/>
      <c r="BF744" s="612"/>
      <c r="BG744" s="612"/>
      <c r="BH744" s="612">
        <f t="shared" si="585"/>
        <v>0</v>
      </c>
      <c r="BI744" s="612">
        <f t="shared" si="561"/>
        <v>0</v>
      </c>
      <c r="BJ744" s="201">
        <f t="shared" si="586"/>
        <v>0</v>
      </c>
    </row>
    <row r="745" spans="1:62" ht="12" customHeight="1">
      <c r="A745" s="282" t="s">
        <v>605</v>
      </c>
      <c r="B745" s="283"/>
      <c r="C745" s="283"/>
      <c r="D745" s="283"/>
      <c r="E745" s="283"/>
      <c r="F745" s="283"/>
      <c r="G745" s="283"/>
      <c r="H745" s="284"/>
      <c r="I745" s="369" t="s">
        <v>606</v>
      </c>
      <c r="J745" s="370"/>
      <c r="K745" s="226"/>
      <c r="L745" s="111">
        <f t="shared" ref="L745:S745" si="587">L747+L752</f>
        <v>0</v>
      </c>
      <c r="M745" s="111">
        <f t="shared" si="587"/>
        <v>0</v>
      </c>
      <c r="N745" s="112">
        <f t="shared" si="587"/>
        <v>0</v>
      </c>
      <c r="O745" s="112">
        <f t="shared" si="587"/>
        <v>0</v>
      </c>
      <c r="P745" s="113">
        <f t="shared" si="587"/>
        <v>160000</v>
      </c>
      <c r="Q745" s="113">
        <f t="shared" si="587"/>
        <v>50000</v>
      </c>
      <c r="R745" s="87">
        <f t="shared" si="587"/>
        <v>0</v>
      </c>
      <c r="S745" s="89" t="e">
        <f t="shared" ca="1" si="587"/>
        <v>#NAME?</v>
      </c>
      <c r="T745" s="89"/>
      <c r="U745" s="89"/>
      <c r="V745" s="532">
        <f>V747+V752</f>
        <v>33500</v>
      </c>
      <c r="W745" s="532">
        <f>W747+W752</f>
        <v>33500</v>
      </c>
      <c r="X745" s="506">
        <f>X747+X752</f>
        <v>450000</v>
      </c>
      <c r="Y745" s="507">
        <f>Y747+Y752</f>
        <v>100000</v>
      </c>
      <c r="Z745" s="507">
        <f>Z747+Z752</f>
        <v>0</v>
      </c>
      <c r="AA745" s="562" t="e">
        <f t="shared" ca="1" si="584"/>
        <v>#NAME?</v>
      </c>
      <c r="AB745" s="507"/>
      <c r="AC745" s="508">
        <f>AC747+AC752</f>
        <v>160000</v>
      </c>
      <c r="AD745" s="508">
        <f>AD747+AD752</f>
        <v>160000</v>
      </c>
      <c r="AE745" s="529"/>
      <c r="AF745" s="529"/>
      <c r="AG745" s="529"/>
      <c r="AH745" s="529"/>
      <c r="AI745" s="507"/>
      <c r="AJ745" s="507">
        <v>100000</v>
      </c>
      <c r="AK745" s="507"/>
      <c r="AL745" s="507">
        <f>X745/W745*100</f>
        <v>1343.2835820895523</v>
      </c>
      <c r="AM745" s="507">
        <f>Y745/X745*100</f>
        <v>22.222222222222221</v>
      </c>
      <c r="AN745" s="509"/>
      <c r="AO745" s="510"/>
      <c r="AP745" s="510" t="e">
        <f t="shared" ca="1" si="581"/>
        <v>#NAME?</v>
      </c>
      <c r="AQ745" s="532">
        <f>AQ747+AQ752</f>
        <v>25000</v>
      </c>
      <c r="AR745" s="533"/>
      <c r="AS745" s="533">
        <f>W745/V745*100</f>
        <v>100</v>
      </c>
      <c r="AT745" s="533"/>
      <c r="AU745" s="533">
        <f>AQ745/W745*100</f>
        <v>74.626865671641795</v>
      </c>
      <c r="AV745" s="533"/>
      <c r="AW745" s="612"/>
      <c r="AX745" s="612"/>
      <c r="AY745" s="612"/>
      <c r="AZ745" s="612"/>
      <c r="BA745" s="612"/>
      <c r="BB745" s="612"/>
      <c r="BC745" s="612"/>
      <c r="BD745" s="612"/>
      <c r="BE745" s="612"/>
      <c r="BF745" s="612"/>
      <c r="BG745" s="612"/>
      <c r="BH745" s="612">
        <f t="shared" si="585"/>
        <v>0</v>
      </c>
      <c r="BI745" s="612">
        <f t="shared" si="561"/>
        <v>0</v>
      </c>
      <c r="BJ745" s="201">
        <f t="shared" si="586"/>
        <v>0</v>
      </c>
    </row>
    <row r="746" spans="1:62" ht="12" customHeight="1">
      <c r="A746" s="52"/>
      <c r="B746" s="52"/>
      <c r="C746" s="52"/>
      <c r="D746" s="52"/>
      <c r="E746" s="52"/>
      <c r="F746" s="52"/>
      <c r="G746" s="52"/>
      <c r="H746" s="2"/>
      <c r="I746" s="289"/>
      <c r="J746" s="185"/>
      <c r="K746" s="19"/>
      <c r="L746" s="111"/>
      <c r="M746" s="111"/>
      <c r="N746" s="112"/>
      <c r="O746" s="112"/>
      <c r="P746" s="113"/>
      <c r="Q746" s="113"/>
      <c r="R746" s="87"/>
      <c r="S746" s="158" t="e">
        <f ca="1">__xlfn.XLOOKUP(H746,[1]Izvršenje_proračuna_po_pozicija!$B$2:$B$153,[1]Izvršenje_proračuna_po_pozicija!$E$2:$E$153,0)</f>
        <v>#NAME?</v>
      </c>
      <c r="T746" s="158"/>
      <c r="U746" s="158"/>
      <c r="V746" s="532"/>
      <c r="W746" s="532"/>
      <c r="X746" s="563"/>
      <c r="Y746" s="562"/>
      <c r="Z746" s="562"/>
      <c r="AA746" s="562" t="e">
        <f t="shared" ca="1" si="584"/>
        <v>#NAME?</v>
      </c>
      <c r="AB746" s="507"/>
      <c r="AC746" s="508"/>
      <c r="AD746" s="508"/>
      <c r="AE746" s="529"/>
      <c r="AF746" s="529"/>
      <c r="AG746" s="529"/>
      <c r="AH746" s="529"/>
      <c r="AI746" s="507"/>
      <c r="AJ746" s="562"/>
      <c r="AK746" s="507"/>
      <c r="AL746" s="507"/>
      <c r="AM746" s="507"/>
      <c r="AN746" s="509"/>
      <c r="AO746" s="510"/>
      <c r="AP746" s="510" t="e">
        <f t="shared" ca="1" si="581"/>
        <v>#NAME?</v>
      </c>
      <c r="AQ746" s="532"/>
      <c r="AR746" s="533"/>
      <c r="AS746" s="533"/>
      <c r="AT746" s="533"/>
      <c r="AU746" s="533"/>
      <c r="AV746" s="533"/>
      <c r="AW746" s="612"/>
      <c r="AX746" s="612"/>
      <c r="AY746" s="612"/>
      <c r="AZ746" s="612"/>
      <c r="BA746" s="612"/>
      <c r="BB746" s="612"/>
      <c r="BC746" s="612"/>
      <c r="BD746" s="612"/>
      <c r="BE746" s="612"/>
      <c r="BF746" s="612"/>
      <c r="BG746" s="612"/>
      <c r="BH746" s="612">
        <f t="shared" si="585"/>
        <v>0</v>
      </c>
      <c r="BI746" s="612">
        <f t="shared" si="561"/>
        <v>0</v>
      </c>
      <c r="BJ746" s="201">
        <f t="shared" si="586"/>
        <v>0</v>
      </c>
    </row>
    <row r="747" spans="1:62" ht="12" customHeight="1">
      <c r="A747" s="25"/>
      <c r="B747" s="25"/>
      <c r="C747" s="25"/>
      <c r="D747" s="25"/>
      <c r="E747" s="25"/>
      <c r="F747" s="25"/>
      <c r="G747" s="25"/>
      <c r="H747" s="285"/>
      <c r="I747" s="349"/>
      <c r="J747" s="211">
        <v>3</v>
      </c>
      <c r="K747" s="3" t="s">
        <v>220</v>
      </c>
      <c r="L747" s="111">
        <f t="shared" ref="L747:AD749" si="588">L748</f>
        <v>0</v>
      </c>
      <c r="M747" s="111">
        <f t="shared" si="588"/>
        <v>0</v>
      </c>
      <c r="N747" s="112">
        <f t="shared" si="588"/>
        <v>0</v>
      </c>
      <c r="O747" s="112">
        <f t="shared" si="588"/>
        <v>0</v>
      </c>
      <c r="P747" s="113">
        <f t="shared" si="588"/>
        <v>160000</v>
      </c>
      <c r="Q747" s="113">
        <f t="shared" si="588"/>
        <v>50000</v>
      </c>
      <c r="R747" s="87">
        <f t="shared" si="588"/>
        <v>0</v>
      </c>
      <c r="S747" s="89" t="e">
        <f t="shared" ca="1" si="588"/>
        <v>#NAME?</v>
      </c>
      <c r="T747" s="89"/>
      <c r="U747" s="89"/>
      <c r="V747" s="532">
        <f>V748</f>
        <v>33500</v>
      </c>
      <c r="W747" s="532">
        <f t="shared" si="588"/>
        <v>33500</v>
      </c>
      <c r="X747" s="506">
        <f t="shared" si="588"/>
        <v>450000</v>
      </c>
      <c r="Y747" s="507">
        <f t="shared" si="588"/>
        <v>100000</v>
      </c>
      <c r="Z747" s="507">
        <f t="shared" si="588"/>
        <v>0</v>
      </c>
      <c r="AA747" s="562" t="e">
        <f t="shared" ca="1" si="584"/>
        <v>#NAME?</v>
      </c>
      <c r="AB747" s="507"/>
      <c r="AC747" s="508">
        <f t="shared" si="588"/>
        <v>160000</v>
      </c>
      <c r="AD747" s="508">
        <f t="shared" si="588"/>
        <v>160000</v>
      </c>
      <c r="AE747" s="529"/>
      <c r="AF747" s="529"/>
      <c r="AG747" s="529"/>
      <c r="AH747" s="529"/>
      <c r="AI747" s="507"/>
      <c r="AJ747" s="507">
        <v>100000</v>
      </c>
      <c r="AK747" s="507"/>
      <c r="AL747" s="507">
        <f t="shared" ref="AL747:AM750" si="589">X747/W747*100</f>
        <v>1343.2835820895523</v>
      </c>
      <c r="AM747" s="507">
        <f t="shared" si="589"/>
        <v>22.222222222222221</v>
      </c>
      <c r="AN747" s="509"/>
      <c r="AO747" s="510"/>
      <c r="AP747" s="510" t="e">
        <f t="shared" ca="1" si="581"/>
        <v>#NAME?</v>
      </c>
      <c r="AQ747" s="532">
        <f>AQ748</f>
        <v>25000</v>
      </c>
      <c r="AR747" s="533"/>
      <c r="AS747" s="533">
        <f>W747/V747*100</f>
        <v>100</v>
      </c>
      <c r="AT747" s="533"/>
      <c r="AU747" s="533">
        <f>AQ747/W747*100</f>
        <v>74.626865671641795</v>
      </c>
      <c r="AV747" s="533"/>
      <c r="AW747" s="612"/>
      <c r="AX747" s="612"/>
      <c r="AY747" s="612"/>
      <c r="AZ747" s="612"/>
      <c r="BA747" s="612"/>
      <c r="BB747" s="612"/>
      <c r="BC747" s="612"/>
      <c r="BD747" s="612"/>
      <c r="BE747" s="612"/>
      <c r="BF747" s="612"/>
      <c r="BG747" s="612"/>
      <c r="BH747" s="612">
        <f t="shared" si="585"/>
        <v>0</v>
      </c>
      <c r="BI747" s="612">
        <f t="shared" si="561"/>
        <v>0</v>
      </c>
      <c r="BJ747" s="201">
        <f t="shared" si="586"/>
        <v>0</v>
      </c>
    </row>
    <row r="748" spans="1:62" ht="12" customHeight="1">
      <c r="A748" s="227"/>
      <c r="B748" s="227"/>
      <c r="C748" s="227"/>
      <c r="D748" s="227"/>
      <c r="E748" s="227"/>
      <c r="F748" s="227"/>
      <c r="G748" s="227"/>
      <c r="H748" s="234"/>
      <c r="I748" s="265"/>
      <c r="J748" s="228">
        <v>38</v>
      </c>
      <c r="K748" s="258" t="s">
        <v>281</v>
      </c>
      <c r="L748" s="111">
        <f t="shared" si="588"/>
        <v>0</v>
      </c>
      <c r="M748" s="111">
        <f t="shared" si="588"/>
        <v>0</v>
      </c>
      <c r="N748" s="112">
        <f t="shared" si="588"/>
        <v>0</v>
      </c>
      <c r="O748" s="112">
        <f t="shared" si="588"/>
        <v>0</v>
      </c>
      <c r="P748" s="113">
        <f t="shared" si="588"/>
        <v>160000</v>
      </c>
      <c r="Q748" s="113">
        <f t="shared" si="588"/>
        <v>50000</v>
      </c>
      <c r="R748" s="87">
        <f t="shared" si="588"/>
        <v>0</v>
      </c>
      <c r="S748" s="89" t="e">
        <f t="shared" ca="1" si="588"/>
        <v>#NAME?</v>
      </c>
      <c r="T748" s="89"/>
      <c r="U748" s="89"/>
      <c r="V748" s="532">
        <f>V749</f>
        <v>33500</v>
      </c>
      <c r="W748" s="532">
        <f t="shared" si="588"/>
        <v>33500</v>
      </c>
      <c r="X748" s="506">
        <f t="shared" si="588"/>
        <v>450000</v>
      </c>
      <c r="Y748" s="507">
        <f t="shared" si="588"/>
        <v>100000</v>
      </c>
      <c r="Z748" s="507">
        <f t="shared" si="588"/>
        <v>0</v>
      </c>
      <c r="AA748" s="562" t="e">
        <f t="shared" ca="1" si="584"/>
        <v>#NAME?</v>
      </c>
      <c r="AB748" s="507"/>
      <c r="AC748" s="508">
        <f t="shared" si="588"/>
        <v>160000</v>
      </c>
      <c r="AD748" s="508">
        <f t="shared" si="588"/>
        <v>160000</v>
      </c>
      <c r="AE748" s="529"/>
      <c r="AF748" s="529"/>
      <c r="AG748" s="529"/>
      <c r="AH748" s="529"/>
      <c r="AI748" s="507"/>
      <c r="AJ748" s="507">
        <v>100000</v>
      </c>
      <c r="AK748" s="507"/>
      <c r="AL748" s="507">
        <f t="shared" si="589"/>
        <v>1343.2835820895523</v>
      </c>
      <c r="AM748" s="507">
        <f t="shared" si="589"/>
        <v>22.222222222222221</v>
      </c>
      <c r="AN748" s="509"/>
      <c r="AO748" s="510"/>
      <c r="AP748" s="510" t="e">
        <f t="shared" ca="1" si="581"/>
        <v>#NAME?</v>
      </c>
      <c r="AQ748" s="532">
        <f>AQ749</f>
        <v>25000</v>
      </c>
      <c r="AR748" s="533"/>
      <c r="AS748" s="533">
        <f>W748/V748*100</f>
        <v>100</v>
      </c>
      <c r="AT748" s="533"/>
      <c r="AU748" s="533">
        <f>AQ748/W748*100</f>
        <v>74.626865671641795</v>
      </c>
      <c r="AV748" s="533"/>
      <c r="AW748" s="612"/>
      <c r="AX748" s="612"/>
      <c r="AY748" s="612"/>
      <c r="AZ748" s="612"/>
      <c r="BA748" s="612"/>
      <c r="BB748" s="612"/>
      <c r="BC748" s="612"/>
      <c r="BD748" s="612"/>
      <c r="BE748" s="612"/>
      <c r="BF748" s="612"/>
      <c r="BG748" s="612"/>
      <c r="BH748" s="612">
        <f t="shared" si="585"/>
        <v>0</v>
      </c>
      <c r="BI748" s="612">
        <f t="shared" si="561"/>
        <v>0</v>
      </c>
      <c r="BJ748" s="201">
        <f t="shared" si="586"/>
        <v>0</v>
      </c>
    </row>
    <row r="749" spans="1:62" ht="12" customHeight="1">
      <c r="A749" s="61"/>
      <c r="B749" s="61"/>
      <c r="C749" s="61">
        <v>3</v>
      </c>
      <c r="D749" s="61"/>
      <c r="E749" s="61"/>
      <c r="F749" s="61"/>
      <c r="G749" s="61"/>
      <c r="H749" s="230"/>
      <c r="I749" s="348"/>
      <c r="J749" s="229">
        <v>386</v>
      </c>
      <c r="K749" s="20" t="s">
        <v>495</v>
      </c>
      <c r="L749" s="111">
        <f t="shared" si="588"/>
        <v>0</v>
      </c>
      <c r="M749" s="111">
        <f t="shared" si="588"/>
        <v>0</v>
      </c>
      <c r="N749" s="112">
        <f t="shared" si="588"/>
        <v>0</v>
      </c>
      <c r="O749" s="112">
        <f t="shared" si="588"/>
        <v>0</v>
      </c>
      <c r="P749" s="113">
        <f t="shared" si="588"/>
        <v>160000</v>
      </c>
      <c r="Q749" s="113">
        <f t="shared" si="588"/>
        <v>50000</v>
      </c>
      <c r="R749" s="87">
        <f t="shared" si="588"/>
        <v>0</v>
      </c>
      <c r="S749" s="89" t="e">
        <f t="shared" ca="1" si="588"/>
        <v>#NAME?</v>
      </c>
      <c r="T749" s="89"/>
      <c r="U749" s="89"/>
      <c r="V749" s="532">
        <f>V750</f>
        <v>33500</v>
      </c>
      <c r="W749" s="532">
        <f t="shared" si="588"/>
        <v>33500</v>
      </c>
      <c r="X749" s="506">
        <f t="shared" si="588"/>
        <v>450000</v>
      </c>
      <c r="Y749" s="507">
        <f t="shared" si="588"/>
        <v>100000</v>
      </c>
      <c r="Z749" s="507">
        <f t="shared" si="588"/>
        <v>0</v>
      </c>
      <c r="AA749" s="562" t="e">
        <f t="shared" ca="1" si="584"/>
        <v>#NAME?</v>
      </c>
      <c r="AB749" s="507"/>
      <c r="AC749" s="508">
        <f t="shared" si="588"/>
        <v>160000</v>
      </c>
      <c r="AD749" s="508">
        <f t="shared" si="588"/>
        <v>160000</v>
      </c>
      <c r="AE749" s="529"/>
      <c r="AF749" s="529"/>
      <c r="AG749" s="529"/>
      <c r="AH749" s="529"/>
      <c r="AI749" s="507"/>
      <c r="AJ749" s="507">
        <v>100000</v>
      </c>
      <c r="AK749" s="507"/>
      <c r="AL749" s="507">
        <f t="shared" si="589"/>
        <v>1343.2835820895523</v>
      </c>
      <c r="AM749" s="507">
        <f t="shared" si="589"/>
        <v>22.222222222222221</v>
      </c>
      <c r="AN749" s="509"/>
      <c r="AO749" s="590"/>
      <c r="AP749" s="510" t="e">
        <f t="shared" ca="1" si="581"/>
        <v>#NAME?</v>
      </c>
      <c r="AQ749" s="532">
        <f>AQ750</f>
        <v>25000</v>
      </c>
      <c r="AR749" s="532">
        <f t="shared" ref="AR749:BG749" si="590">AR750</f>
        <v>0</v>
      </c>
      <c r="AS749" s="532">
        <f t="shared" si="590"/>
        <v>100</v>
      </c>
      <c r="AT749" s="532">
        <f t="shared" si="590"/>
        <v>0</v>
      </c>
      <c r="AU749" s="532">
        <f t="shared" si="590"/>
        <v>74.626865671641795</v>
      </c>
      <c r="AV749" s="532">
        <f t="shared" si="590"/>
        <v>0</v>
      </c>
      <c r="AW749" s="612">
        <f t="shared" si="590"/>
        <v>25000</v>
      </c>
      <c r="AX749" s="612">
        <f t="shared" si="590"/>
        <v>0</v>
      </c>
      <c r="AY749" s="612">
        <f t="shared" si="590"/>
        <v>0</v>
      </c>
      <c r="AZ749" s="612">
        <f t="shared" si="590"/>
        <v>0</v>
      </c>
      <c r="BA749" s="612">
        <f t="shared" si="590"/>
        <v>0</v>
      </c>
      <c r="BB749" s="612">
        <f t="shared" si="590"/>
        <v>0</v>
      </c>
      <c r="BC749" s="612">
        <f t="shared" si="590"/>
        <v>0</v>
      </c>
      <c r="BD749" s="612">
        <f t="shared" si="590"/>
        <v>0</v>
      </c>
      <c r="BE749" s="612">
        <f t="shared" si="590"/>
        <v>0</v>
      </c>
      <c r="BF749" s="612">
        <f t="shared" si="590"/>
        <v>0</v>
      </c>
      <c r="BG749" s="612">
        <f t="shared" si="590"/>
        <v>0</v>
      </c>
      <c r="BH749" s="612">
        <f t="shared" si="585"/>
        <v>25000</v>
      </c>
      <c r="BI749" s="612">
        <f t="shared" si="561"/>
        <v>0</v>
      </c>
      <c r="BJ749" s="201">
        <f t="shared" si="586"/>
        <v>0</v>
      </c>
    </row>
    <row r="750" spans="1:62" ht="12" customHeight="1">
      <c r="A750" s="52"/>
      <c r="B750" s="52"/>
      <c r="C750" s="52"/>
      <c r="D750" s="52"/>
      <c r="E750" s="52"/>
      <c r="F750" s="52"/>
      <c r="G750" s="52"/>
      <c r="H750" s="2" t="s">
        <v>607</v>
      </c>
      <c r="I750" s="289">
        <v>660</v>
      </c>
      <c r="J750" s="185">
        <v>3861</v>
      </c>
      <c r="K750" s="19" t="s">
        <v>608</v>
      </c>
      <c r="L750" s="129">
        <v>0</v>
      </c>
      <c r="M750" s="129">
        <v>0</v>
      </c>
      <c r="N750" s="130">
        <v>0</v>
      </c>
      <c r="O750" s="130">
        <v>0</v>
      </c>
      <c r="P750" s="131">
        <v>160000</v>
      </c>
      <c r="Q750" s="156">
        <v>50000</v>
      </c>
      <c r="R750" s="153">
        <v>0</v>
      </c>
      <c r="S750" s="158" t="e">
        <f ca="1">__xlfn.XLOOKUP(H750,[1]Izvršenje_proračuna_po_pozicija!$B$2:$B$153,[1]Izvršenje_proračuna_po_pozicija!$E$2:$E$153,0)</f>
        <v>#NAME?</v>
      </c>
      <c r="T750" s="158"/>
      <c r="U750" s="158"/>
      <c r="V750" s="532">
        <v>33500</v>
      </c>
      <c r="W750" s="532">
        <v>33500</v>
      </c>
      <c r="X750" s="560">
        <v>450000</v>
      </c>
      <c r="Y750" s="561">
        <v>100000</v>
      </c>
      <c r="Z750" s="561"/>
      <c r="AA750" s="562" t="e">
        <f t="shared" ca="1" si="584"/>
        <v>#NAME?</v>
      </c>
      <c r="AB750" s="535"/>
      <c r="AC750" s="529">
        <v>160000</v>
      </c>
      <c r="AD750" s="529">
        <v>160000</v>
      </c>
      <c r="AE750" s="529"/>
      <c r="AF750" s="529"/>
      <c r="AG750" s="529"/>
      <c r="AH750" s="529"/>
      <c r="AI750" s="535"/>
      <c r="AJ750" s="561">
        <v>100000</v>
      </c>
      <c r="AK750" s="507"/>
      <c r="AL750" s="507">
        <f t="shared" si="589"/>
        <v>1343.2835820895523</v>
      </c>
      <c r="AM750" s="507">
        <f t="shared" si="589"/>
        <v>22.222222222222221</v>
      </c>
      <c r="AN750" s="556"/>
      <c r="AO750" s="510"/>
      <c r="AP750" s="510" t="e">
        <f t="shared" ca="1" si="581"/>
        <v>#NAME?</v>
      </c>
      <c r="AQ750" s="532">
        <v>25000</v>
      </c>
      <c r="AR750" s="533"/>
      <c r="AS750" s="533">
        <f>W750/V750*100</f>
        <v>100</v>
      </c>
      <c r="AT750" s="533"/>
      <c r="AU750" s="533">
        <f>AQ750/W750*100</f>
        <v>74.626865671641795</v>
      </c>
      <c r="AV750" s="533"/>
      <c r="AW750" s="612">
        <v>25000</v>
      </c>
      <c r="AX750" s="612"/>
      <c r="AY750" s="612"/>
      <c r="AZ750" s="612"/>
      <c r="BA750" s="612"/>
      <c r="BB750" s="612"/>
      <c r="BC750" s="612"/>
      <c r="BD750" s="612"/>
      <c r="BE750" s="612"/>
      <c r="BF750" s="612"/>
      <c r="BG750" s="612"/>
      <c r="BH750" s="612">
        <f t="shared" si="585"/>
        <v>25000</v>
      </c>
      <c r="BI750" s="612">
        <f t="shared" si="561"/>
        <v>0</v>
      </c>
      <c r="BJ750" s="201"/>
    </row>
    <row r="751" spans="1:62" ht="12" customHeight="1">
      <c r="A751" s="41"/>
      <c r="B751" s="41"/>
      <c r="C751" s="41"/>
      <c r="D751" s="41"/>
      <c r="E751" s="41"/>
      <c r="F751" s="41"/>
      <c r="G751" s="41"/>
      <c r="H751" s="235"/>
      <c r="I751" s="15"/>
      <c r="J751" s="3"/>
      <c r="K751" s="211"/>
      <c r="L751" s="84"/>
      <c r="M751" s="84"/>
      <c r="N751" s="85"/>
      <c r="O751" s="85"/>
      <c r="P751" s="86"/>
      <c r="Q751" s="86"/>
      <c r="R751" s="154"/>
      <c r="S751" s="158" t="e">
        <f ca="1">__xlfn.XLOOKUP(H751,[1]Izvršenje_proračuna_po_pozicija!$B$2:$B$153,[1]Izvršenje_proračuna_po_pozicija!$E$2:$E$153,0)</f>
        <v>#NAME?</v>
      </c>
      <c r="T751" s="158"/>
      <c r="U751" s="158"/>
      <c r="V751" s="532"/>
      <c r="W751" s="532"/>
      <c r="X751" s="568"/>
      <c r="Y751" s="569"/>
      <c r="Z751" s="569"/>
      <c r="AA751" s="562" t="e">
        <f t="shared" ca="1" si="584"/>
        <v>#NAME?</v>
      </c>
      <c r="AB751" s="537"/>
      <c r="AC751" s="538"/>
      <c r="AD751" s="538"/>
      <c r="AE751" s="529"/>
      <c r="AF751" s="529"/>
      <c r="AG751" s="529"/>
      <c r="AH751" s="529"/>
      <c r="AI751" s="537"/>
      <c r="AJ751" s="569"/>
      <c r="AK751" s="507"/>
      <c r="AL751" s="507"/>
      <c r="AM751" s="507"/>
      <c r="AN751" s="557"/>
      <c r="AO751" s="510"/>
      <c r="AP751" s="510" t="e">
        <f t="shared" ca="1" si="581"/>
        <v>#NAME?</v>
      </c>
      <c r="AQ751" s="532"/>
      <c r="AR751" s="533"/>
      <c r="AS751" s="533"/>
      <c r="AT751" s="533"/>
      <c r="AU751" s="533"/>
      <c r="AV751" s="533"/>
      <c r="AW751" s="612"/>
      <c r="AX751" s="612"/>
      <c r="AY751" s="612"/>
      <c r="AZ751" s="612"/>
      <c r="BA751" s="612"/>
      <c r="BB751" s="612"/>
      <c r="BC751" s="612"/>
      <c r="BD751" s="612"/>
      <c r="BE751" s="612"/>
      <c r="BF751" s="612"/>
      <c r="BG751" s="612"/>
      <c r="BH751" s="612">
        <f t="shared" si="585"/>
        <v>0</v>
      </c>
      <c r="BI751" s="612">
        <f t="shared" si="561"/>
        <v>0</v>
      </c>
      <c r="BJ751" s="201"/>
    </row>
    <row r="752" spans="1:62" ht="12" customHeight="1">
      <c r="A752" s="25"/>
      <c r="B752" s="25"/>
      <c r="C752" s="25"/>
      <c r="D752" s="25"/>
      <c r="E752" s="25"/>
      <c r="F752" s="25"/>
      <c r="G752" s="25"/>
      <c r="H752" s="285"/>
      <c r="I752" s="349"/>
      <c r="J752" s="211">
        <v>4</v>
      </c>
      <c r="K752" s="3" t="s">
        <v>601</v>
      </c>
      <c r="L752" s="111">
        <f t="shared" ref="L752:Z754" si="591">L753</f>
        <v>0</v>
      </c>
      <c r="M752" s="111">
        <f t="shared" si="591"/>
        <v>0</v>
      </c>
      <c r="N752" s="112">
        <f t="shared" si="591"/>
        <v>0</v>
      </c>
      <c r="O752" s="112">
        <f t="shared" si="591"/>
        <v>0</v>
      </c>
      <c r="P752" s="113">
        <f t="shared" si="591"/>
        <v>0</v>
      </c>
      <c r="Q752" s="113">
        <f t="shared" si="591"/>
        <v>0</v>
      </c>
      <c r="R752" s="87">
        <f t="shared" si="591"/>
        <v>0</v>
      </c>
      <c r="S752" s="89" t="e">
        <f t="shared" ca="1" si="591"/>
        <v>#NAME?</v>
      </c>
      <c r="T752" s="89"/>
      <c r="U752" s="89"/>
      <c r="V752" s="532">
        <f>V753</f>
        <v>0</v>
      </c>
      <c r="W752" s="532">
        <f t="shared" si="591"/>
        <v>0</v>
      </c>
      <c r="X752" s="506">
        <f t="shared" si="591"/>
        <v>0</v>
      </c>
      <c r="Y752" s="507">
        <f t="shared" si="591"/>
        <v>0</v>
      </c>
      <c r="Z752" s="507">
        <f t="shared" si="591"/>
        <v>0</v>
      </c>
      <c r="AA752" s="562" t="e">
        <f t="shared" ca="1" si="584"/>
        <v>#NAME?</v>
      </c>
      <c r="AB752" s="507"/>
      <c r="AC752" s="508">
        <f t="shared" ref="AC752:AD754" si="592">AC753</f>
        <v>0</v>
      </c>
      <c r="AD752" s="508">
        <f t="shared" si="592"/>
        <v>0</v>
      </c>
      <c r="AE752" s="529"/>
      <c r="AF752" s="529"/>
      <c r="AG752" s="529"/>
      <c r="AH752" s="529"/>
      <c r="AI752" s="507"/>
      <c r="AJ752" s="507">
        <v>0</v>
      </c>
      <c r="AK752" s="507"/>
      <c r="AL752" s="507"/>
      <c r="AM752" s="507"/>
      <c r="AN752" s="509"/>
      <c r="AO752" s="510"/>
      <c r="AP752" s="510" t="e">
        <f t="shared" ca="1" si="581"/>
        <v>#NAME?</v>
      </c>
      <c r="AQ752" s="532">
        <f>AQ753</f>
        <v>0</v>
      </c>
      <c r="AR752" s="533"/>
      <c r="AS752" s="533"/>
      <c r="AT752" s="533"/>
      <c r="AU752" s="533"/>
      <c r="AV752" s="533"/>
      <c r="AW752" s="612"/>
      <c r="AX752" s="612"/>
      <c r="AY752" s="612"/>
      <c r="AZ752" s="612"/>
      <c r="BA752" s="612"/>
      <c r="BB752" s="612"/>
      <c r="BC752" s="612"/>
      <c r="BD752" s="612"/>
      <c r="BE752" s="612"/>
      <c r="BF752" s="612"/>
      <c r="BG752" s="612"/>
      <c r="BH752" s="612">
        <f t="shared" si="585"/>
        <v>0</v>
      </c>
      <c r="BI752" s="612">
        <f t="shared" si="561"/>
        <v>0</v>
      </c>
      <c r="BJ752" s="201"/>
    </row>
    <row r="753" spans="1:62" ht="12" customHeight="1">
      <c r="A753" s="227"/>
      <c r="B753" s="227"/>
      <c r="C753" s="227"/>
      <c r="D753" s="227"/>
      <c r="E753" s="227"/>
      <c r="F753" s="227"/>
      <c r="G753" s="227"/>
      <c r="H753" s="234"/>
      <c r="I753" s="265"/>
      <c r="J753" s="228">
        <v>42</v>
      </c>
      <c r="K753" s="258" t="s">
        <v>602</v>
      </c>
      <c r="L753" s="111">
        <f t="shared" si="591"/>
        <v>0</v>
      </c>
      <c r="M753" s="111">
        <f t="shared" si="591"/>
        <v>0</v>
      </c>
      <c r="N753" s="112">
        <f t="shared" si="591"/>
        <v>0</v>
      </c>
      <c r="O753" s="112">
        <f t="shared" si="591"/>
        <v>0</v>
      </c>
      <c r="P753" s="113">
        <f t="shared" si="591"/>
        <v>0</v>
      </c>
      <c r="Q753" s="113">
        <f t="shared" si="591"/>
        <v>0</v>
      </c>
      <c r="R753" s="87">
        <f t="shared" si="591"/>
        <v>0</v>
      </c>
      <c r="S753" s="89" t="e">
        <f t="shared" ca="1" si="591"/>
        <v>#NAME?</v>
      </c>
      <c r="T753" s="89"/>
      <c r="U753" s="89"/>
      <c r="V753" s="532">
        <f>V754</f>
        <v>0</v>
      </c>
      <c r="W753" s="532">
        <f t="shared" si="591"/>
        <v>0</v>
      </c>
      <c r="X753" s="506">
        <f t="shared" si="591"/>
        <v>0</v>
      </c>
      <c r="Y753" s="507">
        <f t="shared" si="591"/>
        <v>0</v>
      </c>
      <c r="Z753" s="507">
        <f t="shared" si="591"/>
        <v>0</v>
      </c>
      <c r="AA753" s="562" t="e">
        <f t="shared" ca="1" si="584"/>
        <v>#NAME?</v>
      </c>
      <c r="AB753" s="507"/>
      <c r="AC753" s="508">
        <f t="shared" si="592"/>
        <v>0</v>
      </c>
      <c r="AD753" s="508">
        <f t="shared" si="592"/>
        <v>0</v>
      </c>
      <c r="AE753" s="529"/>
      <c r="AF753" s="529"/>
      <c r="AG753" s="529"/>
      <c r="AH753" s="529"/>
      <c r="AI753" s="507"/>
      <c r="AJ753" s="507">
        <v>0</v>
      </c>
      <c r="AK753" s="507"/>
      <c r="AL753" s="507"/>
      <c r="AM753" s="507"/>
      <c r="AN753" s="509"/>
      <c r="AO753" s="510"/>
      <c r="AP753" s="510" t="e">
        <f t="shared" ca="1" si="581"/>
        <v>#NAME?</v>
      </c>
      <c r="AQ753" s="532">
        <f>AQ754</f>
        <v>0</v>
      </c>
      <c r="AR753" s="533"/>
      <c r="AS753" s="533"/>
      <c r="AT753" s="533"/>
      <c r="AU753" s="533"/>
      <c r="AV753" s="533"/>
      <c r="AW753" s="612"/>
      <c r="AX753" s="612"/>
      <c r="AY753" s="612"/>
      <c r="AZ753" s="612"/>
      <c r="BA753" s="612"/>
      <c r="BB753" s="612"/>
      <c r="BC753" s="612"/>
      <c r="BD753" s="612"/>
      <c r="BE753" s="612"/>
      <c r="BF753" s="612"/>
      <c r="BG753" s="612"/>
      <c r="BH753" s="612">
        <f t="shared" si="585"/>
        <v>0</v>
      </c>
      <c r="BI753" s="612">
        <f t="shared" si="561"/>
        <v>0</v>
      </c>
      <c r="BJ753" s="201"/>
    </row>
    <row r="754" spans="1:62" ht="12" customHeight="1">
      <c r="A754" s="61"/>
      <c r="B754" s="61"/>
      <c r="C754" s="61"/>
      <c r="D754" s="61"/>
      <c r="E754" s="61"/>
      <c r="F754" s="61"/>
      <c r="G754" s="61"/>
      <c r="H754" s="230"/>
      <c r="I754" s="348"/>
      <c r="J754" s="229">
        <v>421</v>
      </c>
      <c r="K754" s="20" t="s">
        <v>455</v>
      </c>
      <c r="L754" s="111">
        <f t="shared" si="591"/>
        <v>0</v>
      </c>
      <c r="M754" s="111">
        <f t="shared" si="591"/>
        <v>0</v>
      </c>
      <c r="N754" s="112">
        <f t="shared" si="591"/>
        <v>0</v>
      </c>
      <c r="O754" s="112">
        <f t="shared" si="591"/>
        <v>0</v>
      </c>
      <c r="P754" s="113">
        <f t="shared" si="591"/>
        <v>0</v>
      </c>
      <c r="Q754" s="113">
        <f t="shared" si="591"/>
        <v>0</v>
      </c>
      <c r="R754" s="87">
        <f t="shared" si="591"/>
        <v>0</v>
      </c>
      <c r="S754" s="89" t="e">
        <f t="shared" ca="1" si="591"/>
        <v>#NAME?</v>
      </c>
      <c r="T754" s="89"/>
      <c r="U754" s="89"/>
      <c r="V754" s="532">
        <f>V755</f>
        <v>0</v>
      </c>
      <c r="W754" s="532">
        <f t="shared" si="591"/>
        <v>0</v>
      </c>
      <c r="X754" s="506">
        <f t="shared" si="591"/>
        <v>0</v>
      </c>
      <c r="Y754" s="507">
        <f t="shared" si="591"/>
        <v>0</v>
      </c>
      <c r="Z754" s="507">
        <f t="shared" si="591"/>
        <v>0</v>
      </c>
      <c r="AA754" s="562" t="e">
        <f t="shared" ca="1" si="584"/>
        <v>#NAME?</v>
      </c>
      <c r="AB754" s="507"/>
      <c r="AC754" s="508">
        <f t="shared" si="592"/>
        <v>0</v>
      </c>
      <c r="AD754" s="508">
        <f t="shared" si="592"/>
        <v>0</v>
      </c>
      <c r="AE754" s="529"/>
      <c r="AF754" s="529"/>
      <c r="AG754" s="529"/>
      <c r="AH754" s="529"/>
      <c r="AI754" s="507"/>
      <c r="AJ754" s="507">
        <v>0</v>
      </c>
      <c r="AK754" s="507"/>
      <c r="AL754" s="507"/>
      <c r="AM754" s="507"/>
      <c r="AN754" s="509"/>
      <c r="AO754" s="510"/>
      <c r="AP754" s="510" t="e">
        <f t="shared" ca="1" si="581"/>
        <v>#NAME?</v>
      </c>
      <c r="AQ754" s="532">
        <f>AQ755</f>
        <v>0</v>
      </c>
      <c r="AR754" s="533"/>
      <c r="AS754" s="533"/>
      <c r="AT754" s="533"/>
      <c r="AU754" s="533"/>
      <c r="AV754" s="533"/>
      <c r="AW754" s="612"/>
      <c r="AX754" s="612"/>
      <c r="AY754" s="612"/>
      <c r="AZ754" s="612"/>
      <c r="BA754" s="612"/>
      <c r="BB754" s="612"/>
      <c r="BC754" s="612"/>
      <c r="BD754" s="612"/>
      <c r="BE754" s="612"/>
      <c r="BF754" s="612"/>
      <c r="BG754" s="612"/>
      <c r="BH754" s="612">
        <f t="shared" si="585"/>
        <v>0</v>
      </c>
      <c r="BI754" s="612">
        <f t="shared" si="561"/>
        <v>0</v>
      </c>
      <c r="BJ754" s="201"/>
    </row>
    <row r="755" spans="1:62" ht="12" customHeight="1">
      <c r="A755" s="52"/>
      <c r="B755" s="52"/>
      <c r="C755" s="52"/>
      <c r="D755" s="52"/>
      <c r="E755" s="52"/>
      <c r="F755" s="52"/>
      <c r="G755" s="52"/>
      <c r="H755" s="2" t="s">
        <v>609</v>
      </c>
      <c r="I755" s="289">
        <v>660</v>
      </c>
      <c r="J755" s="185">
        <v>4214</v>
      </c>
      <c r="K755" s="19" t="s">
        <v>610</v>
      </c>
      <c r="L755" s="129"/>
      <c r="M755" s="129"/>
      <c r="N755" s="130"/>
      <c r="O755" s="130"/>
      <c r="P755" s="131"/>
      <c r="Q755" s="131"/>
      <c r="R755" s="153"/>
      <c r="S755" s="158" t="e">
        <f ca="1">__xlfn.XLOOKUP(H755,[1]Izvršenje_proračuna_po_pozicija!$B$2:$B$153,[1]Izvršenje_proračuna_po_pozicija!$E$2:$E$153,0)</f>
        <v>#NAME?</v>
      </c>
      <c r="T755" s="158"/>
      <c r="U755" s="158"/>
      <c r="V755" s="532"/>
      <c r="W755" s="532"/>
      <c r="X755" s="560"/>
      <c r="Y755" s="561"/>
      <c r="Z755" s="561"/>
      <c r="AA755" s="562" t="e">
        <f t="shared" ca="1" si="584"/>
        <v>#NAME?</v>
      </c>
      <c r="AB755" s="535"/>
      <c r="AC755" s="529"/>
      <c r="AD755" s="529"/>
      <c r="AE755" s="529"/>
      <c r="AF755" s="529"/>
      <c r="AG755" s="529"/>
      <c r="AH755" s="529"/>
      <c r="AI755" s="535"/>
      <c r="AJ755" s="561"/>
      <c r="AK755" s="507"/>
      <c r="AL755" s="507"/>
      <c r="AM755" s="507"/>
      <c r="AN755" s="556"/>
      <c r="AO755" s="510"/>
      <c r="AP755" s="510" t="e">
        <f t="shared" ca="1" si="581"/>
        <v>#NAME?</v>
      </c>
      <c r="AQ755" s="532"/>
      <c r="AR755" s="533"/>
      <c r="AS755" s="533"/>
      <c r="AT755" s="533"/>
      <c r="AU755" s="533"/>
      <c r="AV755" s="533"/>
      <c r="AW755" s="612"/>
      <c r="AX755" s="612"/>
      <c r="AY755" s="612"/>
      <c r="AZ755" s="612"/>
      <c r="BA755" s="612"/>
      <c r="BB755" s="612"/>
      <c r="BC755" s="612"/>
      <c r="BD755" s="612"/>
      <c r="BE755" s="612"/>
      <c r="BF755" s="612"/>
      <c r="BG755" s="612"/>
      <c r="BH755" s="612">
        <f t="shared" si="585"/>
        <v>0</v>
      </c>
      <c r="BI755" s="612">
        <f t="shared" si="561"/>
        <v>0</v>
      </c>
      <c r="BJ755" s="201">
        <f>AQ762-BI755</f>
        <v>0</v>
      </c>
    </row>
    <row r="756" spans="1:62" ht="12" customHeight="1">
      <c r="A756" s="41"/>
      <c r="B756" s="41"/>
      <c r="C756" s="41"/>
      <c r="D756" s="41"/>
      <c r="E756" s="41"/>
      <c r="F756" s="41"/>
      <c r="G756" s="41"/>
      <c r="H756" s="235"/>
      <c r="I756" s="15"/>
      <c r="J756" s="3"/>
      <c r="K756" s="83"/>
      <c r="L756" s="84"/>
      <c r="M756" s="84"/>
      <c r="N756" s="85"/>
      <c r="O756" s="85"/>
      <c r="P756" s="86"/>
      <c r="Q756" s="86"/>
      <c r="R756" s="154"/>
      <c r="S756" s="158" t="e">
        <f ca="1">__xlfn.XLOOKUP(H756,[1]Izvršenje_proračuna_po_pozicija!$B$2:$B$153,[1]Izvršenje_proračuna_po_pozicija!$E$2:$E$153,0)</f>
        <v>#NAME?</v>
      </c>
      <c r="T756" s="158"/>
      <c r="U756" s="158"/>
      <c r="V756" s="532"/>
      <c r="W756" s="532"/>
      <c r="X756" s="568"/>
      <c r="Y756" s="569"/>
      <c r="Z756" s="569"/>
      <c r="AA756" s="562" t="e">
        <f t="shared" ca="1" si="584"/>
        <v>#NAME?</v>
      </c>
      <c r="AB756" s="537"/>
      <c r="AC756" s="538"/>
      <c r="AD756" s="538"/>
      <c r="AE756" s="529"/>
      <c r="AF756" s="529"/>
      <c r="AG756" s="529"/>
      <c r="AH756" s="529"/>
      <c r="AI756" s="537"/>
      <c r="AJ756" s="569"/>
      <c r="AK756" s="507"/>
      <c r="AL756" s="507"/>
      <c r="AM756" s="507"/>
      <c r="AN756" s="557"/>
      <c r="AO756" s="510"/>
      <c r="AP756" s="510" t="e">
        <f t="shared" ca="1" si="581"/>
        <v>#NAME?</v>
      </c>
      <c r="AQ756" s="532"/>
      <c r="AR756" s="533"/>
      <c r="AS756" s="533"/>
      <c r="AT756" s="533"/>
      <c r="AU756" s="533"/>
      <c r="AV756" s="533"/>
      <c r="AW756" s="612"/>
      <c r="AX756" s="612"/>
      <c r="AY756" s="612"/>
      <c r="AZ756" s="612"/>
      <c r="BA756" s="612"/>
      <c r="BB756" s="612"/>
      <c r="BC756" s="612"/>
      <c r="BD756" s="612"/>
      <c r="BE756" s="612"/>
      <c r="BF756" s="612"/>
      <c r="BG756" s="612"/>
      <c r="BH756" s="612">
        <f t="shared" si="585"/>
        <v>0</v>
      </c>
      <c r="BI756" s="612">
        <f t="shared" si="561"/>
        <v>443654.24</v>
      </c>
      <c r="BJ756" s="201">
        <f>AQ763-BI756</f>
        <v>0</v>
      </c>
    </row>
    <row r="757" spans="1:62" ht="12" customHeight="1">
      <c r="A757" s="282" t="s">
        <v>611</v>
      </c>
      <c r="B757" s="283"/>
      <c r="C757" s="283"/>
      <c r="D757" s="283"/>
      <c r="E757" s="283"/>
      <c r="F757" s="283"/>
      <c r="G757" s="283"/>
      <c r="H757" s="284"/>
      <c r="I757" s="369" t="s">
        <v>612</v>
      </c>
      <c r="J757" s="370"/>
      <c r="K757" s="226"/>
      <c r="L757" s="111">
        <f t="shared" ref="L757:S757" si="593">L759</f>
        <v>220425</v>
      </c>
      <c r="M757" s="111">
        <f t="shared" si="593"/>
        <v>29255.425044793945</v>
      </c>
      <c r="N757" s="112">
        <f t="shared" si="593"/>
        <v>0</v>
      </c>
      <c r="O757" s="112">
        <f t="shared" si="593"/>
        <v>0</v>
      </c>
      <c r="P757" s="113">
        <f t="shared" si="593"/>
        <v>265000</v>
      </c>
      <c r="Q757" s="113">
        <f t="shared" si="593"/>
        <v>1000</v>
      </c>
      <c r="R757" s="87">
        <f t="shared" si="593"/>
        <v>70444</v>
      </c>
      <c r="S757" s="89" t="e">
        <f t="shared" ca="1" si="593"/>
        <v>#NAME?</v>
      </c>
      <c r="T757" s="89"/>
      <c r="U757" s="89"/>
      <c r="V757" s="532">
        <f>V759</f>
        <v>450000</v>
      </c>
      <c r="W757" s="532">
        <f>W759</f>
        <v>450000</v>
      </c>
      <c r="X757" s="506">
        <f>X759</f>
        <v>0</v>
      </c>
      <c r="Y757" s="507">
        <f>Y759</f>
        <v>0</v>
      </c>
      <c r="Z757" s="507">
        <f>Z759</f>
        <v>0</v>
      </c>
      <c r="AA757" s="562" t="e">
        <f t="shared" ca="1" si="584"/>
        <v>#NAME?</v>
      </c>
      <c r="AB757" s="507"/>
      <c r="AC757" s="508">
        <f>AC759</f>
        <v>0</v>
      </c>
      <c r="AD757" s="508">
        <f>AD759</f>
        <v>0</v>
      </c>
      <c r="AE757" s="529">
        <f>O757/M757*100</f>
        <v>0</v>
      </c>
      <c r="AF757" s="529"/>
      <c r="AG757" s="529"/>
      <c r="AH757" s="529"/>
      <c r="AI757" s="507"/>
      <c r="AJ757" s="507">
        <v>0</v>
      </c>
      <c r="AK757" s="507">
        <f>W757/R757*100</f>
        <v>638.80529214695366</v>
      </c>
      <c r="AL757" s="507">
        <f>X757/W757*100</f>
        <v>0</v>
      </c>
      <c r="AM757" s="507"/>
      <c r="AN757" s="509"/>
      <c r="AO757" s="510"/>
      <c r="AP757" s="510" t="e">
        <f t="shared" ca="1" si="581"/>
        <v>#NAME?</v>
      </c>
      <c r="AQ757" s="532">
        <f>AQ759</f>
        <v>443654.24</v>
      </c>
      <c r="AR757" s="533">
        <f t="shared" ref="AR757:AR803" si="594">V757/R757*100</f>
        <v>638.80529214695366</v>
      </c>
      <c r="AS757" s="533">
        <f>W757/V757*100</f>
        <v>100</v>
      </c>
      <c r="AT757" s="533">
        <f t="shared" ref="AT757:AT803" si="595">W757/R757*100</f>
        <v>638.80529214695366</v>
      </c>
      <c r="AU757" s="533">
        <f>AQ757/W757*100</f>
        <v>98.58983111111111</v>
      </c>
      <c r="AV757" s="533">
        <f>AQ757/R757*100</f>
        <v>629.79705865652147</v>
      </c>
      <c r="AW757" s="612"/>
      <c r="AX757" s="612"/>
      <c r="AY757" s="612"/>
      <c r="AZ757" s="612"/>
      <c r="BA757" s="612"/>
      <c r="BB757" s="612"/>
      <c r="BC757" s="612"/>
      <c r="BD757" s="612"/>
      <c r="BE757" s="612"/>
      <c r="BF757" s="612"/>
      <c r="BG757" s="612"/>
      <c r="BH757" s="612">
        <f t="shared" si="585"/>
        <v>0</v>
      </c>
      <c r="BI757" s="612">
        <f t="shared" si="561"/>
        <v>0</v>
      </c>
      <c r="BJ757" s="201">
        <f>AQ764-BI757</f>
        <v>0</v>
      </c>
    </row>
    <row r="758" spans="1:62" ht="12" customHeight="1">
      <c r="A758" s="52"/>
      <c r="B758" s="52"/>
      <c r="C758" s="52"/>
      <c r="D758" s="52"/>
      <c r="E758" s="52"/>
      <c r="F758" s="52"/>
      <c r="G758" s="52"/>
      <c r="H758" s="2"/>
      <c r="I758" s="289"/>
      <c r="J758" s="185"/>
      <c r="K758" s="19"/>
      <c r="L758" s="350"/>
      <c r="M758" s="350"/>
      <c r="N758" s="351"/>
      <c r="O758" s="351"/>
      <c r="P758" s="352"/>
      <c r="Q758" s="352"/>
      <c r="R758" s="212"/>
      <c r="S758" s="158" t="e">
        <f ca="1">__xlfn.XLOOKUP(H758,[1]Izvršenje_proračuna_po_pozicija!$B$2:$B$153,[1]Izvršenje_proračuna_po_pozicija!$E$2:$E$153,0)</f>
        <v>#NAME?</v>
      </c>
      <c r="T758" s="158"/>
      <c r="U758" s="158"/>
      <c r="V758" s="532"/>
      <c r="W758" s="532"/>
      <c r="X758" s="563"/>
      <c r="Y758" s="562"/>
      <c r="Z758" s="562"/>
      <c r="AA758" s="562" t="e">
        <f t="shared" ca="1" si="584"/>
        <v>#NAME?</v>
      </c>
      <c r="AB758" s="507"/>
      <c r="AC758" s="508"/>
      <c r="AD758" s="508"/>
      <c r="AE758" s="529"/>
      <c r="AF758" s="529"/>
      <c r="AG758" s="529"/>
      <c r="AH758" s="529"/>
      <c r="AI758" s="507"/>
      <c r="AJ758" s="562"/>
      <c r="AK758" s="507"/>
      <c r="AL758" s="507"/>
      <c r="AM758" s="507"/>
      <c r="AN758" s="509"/>
      <c r="AO758" s="510"/>
      <c r="AP758" s="510" t="e">
        <f t="shared" ca="1" si="581"/>
        <v>#NAME?</v>
      </c>
      <c r="AQ758" s="532"/>
      <c r="AR758" s="533"/>
      <c r="AS758" s="533"/>
      <c r="AT758" s="533"/>
      <c r="AU758" s="533"/>
      <c r="AV758" s="533"/>
      <c r="AW758" s="612"/>
      <c r="AX758" s="612"/>
      <c r="AY758" s="612"/>
      <c r="AZ758" s="612"/>
      <c r="BA758" s="612"/>
      <c r="BB758" s="612"/>
      <c r="BC758" s="612"/>
      <c r="BD758" s="612"/>
      <c r="BE758" s="612"/>
      <c r="BF758" s="612"/>
      <c r="BG758" s="612"/>
      <c r="BH758" s="612">
        <f t="shared" si="585"/>
        <v>0</v>
      </c>
      <c r="BI758" s="612">
        <f t="shared" si="561"/>
        <v>0</v>
      </c>
      <c r="BJ758" s="201"/>
    </row>
    <row r="759" spans="1:62" ht="12" customHeight="1">
      <c r="A759" s="25"/>
      <c r="B759" s="25"/>
      <c r="C759" s="25"/>
      <c r="D759" s="25"/>
      <c r="E759" s="25"/>
      <c r="F759" s="25"/>
      <c r="G759" s="25"/>
      <c r="H759" s="285"/>
      <c r="I759" s="349"/>
      <c r="J759" s="211">
        <v>4</v>
      </c>
      <c r="K759" s="3" t="s">
        <v>601</v>
      </c>
      <c r="L759" s="111">
        <f t="shared" ref="L759:S760" si="596">L760</f>
        <v>220425</v>
      </c>
      <c r="M759" s="111">
        <f t="shared" si="596"/>
        <v>29255.425044793945</v>
      </c>
      <c r="N759" s="112">
        <f t="shared" si="596"/>
        <v>0</v>
      </c>
      <c r="O759" s="112">
        <f t="shared" si="596"/>
        <v>0</v>
      </c>
      <c r="P759" s="113">
        <f t="shared" si="596"/>
        <v>265000</v>
      </c>
      <c r="Q759" s="113">
        <f t="shared" si="596"/>
        <v>1000</v>
      </c>
      <c r="R759" s="87">
        <f t="shared" si="596"/>
        <v>70444</v>
      </c>
      <c r="S759" s="89" t="e">
        <f t="shared" ca="1" si="596"/>
        <v>#NAME?</v>
      </c>
      <c r="T759" s="89"/>
      <c r="U759" s="89"/>
      <c r="V759" s="532">
        <f>V760</f>
        <v>450000</v>
      </c>
      <c r="W759" s="532">
        <f t="shared" ref="W759:Z760" si="597">W760</f>
        <v>450000</v>
      </c>
      <c r="X759" s="506">
        <f t="shared" si="597"/>
        <v>0</v>
      </c>
      <c r="Y759" s="507">
        <f t="shared" si="597"/>
        <v>0</v>
      </c>
      <c r="Z759" s="507">
        <f t="shared" si="597"/>
        <v>0</v>
      </c>
      <c r="AA759" s="562" t="e">
        <f t="shared" ca="1" si="584"/>
        <v>#NAME?</v>
      </c>
      <c r="AB759" s="507"/>
      <c r="AC759" s="508">
        <f>AC760</f>
        <v>0</v>
      </c>
      <c r="AD759" s="508">
        <f>AD760</f>
        <v>0</v>
      </c>
      <c r="AE759" s="529">
        <f>O759/M759*100</f>
        <v>0</v>
      </c>
      <c r="AF759" s="529"/>
      <c r="AG759" s="529"/>
      <c r="AH759" s="529"/>
      <c r="AI759" s="507"/>
      <c r="AJ759" s="507">
        <v>0</v>
      </c>
      <c r="AK759" s="507">
        <f>W759/R759*100</f>
        <v>638.80529214695366</v>
      </c>
      <c r="AL759" s="507">
        <f>X759/W759*100</f>
        <v>0</v>
      </c>
      <c r="AM759" s="507"/>
      <c r="AN759" s="509"/>
      <c r="AO759" s="510"/>
      <c r="AP759" s="510" t="e">
        <f t="shared" ca="1" si="581"/>
        <v>#NAME?</v>
      </c>
      <c r="AQ759" s="532">
        <f>AQ760</f>
        <v>443654.24</v>
      </c>
      <c r="AR759" s="533">
        <f t="shared" si="594"/>
        <v>638.80529214695366</v>
      </c>
      <c r="AS759" s="533">
        <f>W759/V759*100</f>
        <v>100</v>
      </c>
      <c r="AT759" s="533">
        <f t="shared" si="595"/>
        <v>638.80529214695366</v>
      </c>
      <c r="AU759" s="533">
        <f>AQ759/W759*100</f>
        <v>98.58983111111111</v>
      </c>
      <c r="AV759" s="533">
        <f>AQ759/R759*100</f>
        <v>629.79705865652147</v>
      </c>
      <c r="AW759" s="612"/>
      <c r="AX759" s="612"/>
      <c r="AY759" s="612"/>
      <c r="AZ759" s="612"/>
      <c r="BA759" s="612"/>
      <c r="BB759" s="612"/>
      <c r="BC759" s="612"/>
      <c r="BD759" s="612"/>
      <c r="BE759" s="612"/>
      <c r="BF759" s="612"/>
      <c r="BG759" s="612"/>
      <c r="BH759" s="612">
        <f t="shared" si="585"/>
        <v>0</v>
      </c>
      <c r="BI759" s="612">
        <f t="shared" si="561"/>
        <v>0</v>
      </c>
      <c r="BJ759" s="201">
        <f>AQ766-BI759</f>
        <v>0</v>
      </c>
    </row>
    <row r="760" spans="1:62" ht="12" customHeight="1">
      <c r="A760" s="227"/>
      <c r="B760" s="227"/>
      <c r="C760" s="227"/>
      <c r="D760" s="227"/>
      <c r="E760" s="227"/>
      <c r="F760" s="227"/>
      <c r="G760" s="227"/>
      <c r="H760" s="234"/>
      <c r="I760" s="265"/>
      <c r="J760" s="228">
        <v>42</v>
      </c>
      <c r="K760" s="258" t="s">
        <v>602</v>
      </c>
      <c r="L760" s="111">
        <f t="shared" si="596"/>
        <v>220425</v>
      </c>
      <c r="M760" s="111">
        <f t="shared" si="596"/>
        <v>29255.425044793945</v>
      </c>
      <c r="N760" s="112">
        <f t="shared" si="596"/>
        <v>0</v>
      </c>
      <c r="O760" s="112">
        <f t="shared" si="596"/>
        <v>0</v>
      </c>
      <c r="P760" s="113">
        <f t="shared" si="596"/>
        <v>265000</v>
      </c>
      <c r="Q760" s="113">
        <f t="shared" si="596"/>
        <v>1000</v>
      </c>
      <c r="R760" s="87">
        <f t="shared" si="596"/>
        <v>70444</v>
      </c>
      <c r="S760" s="89" t="e">
        <f t="shared" ca="1" si="596"/>
        <v>#NAME?</v>
      </c>
      <c r="T760" s="89"/>
      <c r="U760" s="89"/>
      <c r="V760" s="532">
        <f>V761</f>
        <v>450000</v>
      </c>
      <c r="W760" s="532">
        <f t="shared" si="597"/>
        <v>450000</v>
      </c>
      <c r="X760" s="506">
        <f t="shared" si="597"/>
        <v>0</v>
      </c>
      <c r="Y760" s="507">
        <f t="shared" si="597"/>
        <v>0</v>
      </c>
      <c r="Z760" s="507">
        <f t="shared" si="597"/>
        <v>0</v>
      </c>
      <c r="AA760" s="562" t="e">
        <f t="shared" ca="1" si="584"/>
        <v>#NAME?</v>
      </c>
      <c r="AB760" s="507"/>
      <c r="AC760" s="508">
        <f>AC761</f>
        <v>0</v>
      </c>
      <c r="AD760" s="508">
        <f>AD761</f>
        <v>0</v>
      </c>
      <c r="AE760" s="529">
        <f>O760/M760*100</f>
        <v>0</v>
      </c>
      <c r="AF760" s="529"/>
      <c r="AG760" s="529"/>
      <c r="AH760" s="529"/>
      <c r="AI760" s="507"/>
      <c r="AJ760" s="507">
        <v>0</v>
      </c>
      <c r="AK760" s="507">
        <f>W760/R760*100</f>
        <v>638.80529214695366</v>
      </c>
      <c r="AL760" s="507">
        <f>X760/W760*100</f>
        <v>0</v>
      </c>
      <c r="AM760" s="507"/>
      <c r="AN760" s="509"/>
      <c r="AO760" s="510"/>
      <c r="AP760" s="510" t="e">
        <f t="shared" ca="1" si="581"/>
        <v>#NAME?</v>
      </c>
      <c r="AQ760" s="532">
        <f>AQ761</f>
        <v>443654.24</v>
      </c>
      <c r="AR760" s="533">
        <f t="shared" si="594"/>
        <v>638.80529214695366</v>
      </c>
      <c r="AS760" s="533">
        <f>W760/V760*100</f>
        <v>100</v>
      </c>
      <c r="AT760" s="533">
        <f t="shared" si="595"/>
        <v>638.80529214695366</v>
      </c>
      <c r="AU760" s="533">
        <f>AQ760/W760*100</f>
        <v>98.58983111111111</v>
      </c>
      <c r="AV760" s="533">
        <f>AQ760/R760*100</f>
        <v>629.79705865652147</v>
      </c>
      <c r="AW760" s="612"/>
      <c r="AX760" s="612"/>
      <c r="AY760" s="612"/>
      <c r="AZ760" s="612"/>
      <c r="BA760" s="612"/>
      <c r="BB760" s="612"/>
      <c r="BC760" s="612"/>
      <c r="BD760" s="612"/>
      <c r="BE760" s="612"/>
      <c r="BF760" s="612"/>
      <c r="BG760" s="612"/>
      <c r="BH760" s="612">
        <f t="shared" si="585"/>
        <v>0</v>
      </c>
      <c r="BI760" s="612">
        <f t="shared" si="561"/>
        <v>0</v>
      </c>
      <c r="BJ760" s="201"/>
    </row>
    <row r="761" spans="1:62" ht="12" customHeight="1">
      <c r="A761" s="61"/>
      <c r="B761" s="61"/>
      <c r="C761" s="61"/>
      <c r="D761" s="61"/>
      <c r="E761" s="61"/>
      <c r="F761" s="61">
        <v>6</v>
      </c>
      <c r="G761" s="61"/>
      <c r="H761" s="230"/>
      <c r="I761" s="348"/>
      <c r="J761" s="229">
        <v>421</v>
      </c>
      <c r="K761" s="20" t="s">
        <v>455</v>
      </c>
      <c r="L761" s="111">
        <f>L762</f>
        <v>220425</v>
      </c>
      <c r="M761" s="111">
        <f>M762</f>
        <v>29255.425044793945</v>
      </c>
      <c r="N761" s="112">
        <f t="shared" ref="N761:S761" si="598">N762+N763</f>
        <v>0</v>
      </c>
      <c r="O761" s="112">
        <f t="shared" si="598"/>
        <v>0</v>
      </c>
      <c r="P761" s="113">
        <f t="shared" si="598"/>
        <v>265000</v>
      </c>
      <c r="Q761" s="113">
        <f t="shared" si="598"/>
        <v>1000</v>
      </c>
      <c r="R761" s="87">
        <f t="shared" si="598"/>
        <v>70444</v>
      </c>
      <c r="S761" s="89" t="e">
        <f t="shared" ca="1" si="598"/>
        <v>#NAME?</v>
      </c>
      <c r="T761" s="89"/>
      <c r="U761" s="89"/>
      <c r="V761" s="532">
        <f>V762+V763</f>
        <v>450000</v>
      </c>
      <c r="W761" s="532">
        <f>W762+W763</f>
        <v>450000</v>
      </c>
      <c r="X761" s="506">
        <f>X762+X763</f>
        <v>0</v>
      </c>
      <c r="Y761" s="507">
        <f>Y762+Y763</f>
        <v>0</v>
      </c>
      <c r="Z761" s="507">
        <f>Z762+Z763</f>
        <v>0</v>
      </c>
      <c r="AA761" s="562" t="e">
        <f t="shared" ca="1" si="584"/>
        <v>#NAME?</v>
      </c>
      <c r="AB761" s="507"/>
      <c r="AC761" s="508">
        <f>AC762+AC763</f>
        <v>0</v>
      </c>
      <c r="AD761" s="508">
        <f>AD762+AD763</f>
        <v>0</v>
      </c>
      <c r="AE761" s="529">
        <f>O761/M761*100</f>
        <v>0</v>
      </c>
      <c r="AF761" s="529"/>
      <c r="AG761" s="529"/>
      <c r="AH761" s="529"/>
      <c r="AI761" s="507"/>
      <c r="AJ761" s="507">
        <v>0</v>
      </c>
      <c r="AK761" s="507">
        <f>W761/R761*100</f>
        <v>638.80529214695366</v>
      </c>
      <c r="AL761" s="507">
        <f>X761/W761*100</f>
        <v>0</v>
      </c>
      <c r="AM761" s="507"/>
      <c r="AN761" s="509"/>
      <c r="AO761" s="590"/>
      <c r="AP761" s="510" t="e">
        <f t="shared" ca="1" si="581"/>
        <v>#NAME?</v>
      </c>
      <c r="AQ761" s="532">
        <f>AQ762+AQ763</f>
        <v>443654.24</v>
      </c>
      <c r="AR761" s="533">
        <f t="shared" si="594"/>
        <v>638.80529214695366</v>
      </c>
      <c r="AS761" s="533">
        <f>W761/V761*100</f>
        <v>100</v>
      </c>
      <c r="AT761" s="533">
        <f t="shared" si="595"/>
        <v>638.80529214695366</v>
      </c>
      <c r="AU761" s="533">
        <f>AQ761/W761*100</f>
        <v>98.58983111111111</v>
      </c>
      <c r="AV761" s="533">
        <f>AQ761/R761*100</f>
        <v>629.79705865652147</v>
      </c>
      <c r="AW761" s="612"/>
      <c r="AX761" s="612"/>
      <c r="AY761" s="612"/>
      <c r="AZ761" s="612"/>
      <c r="BA761" s="612"/>
      <c r="BB761" s="612"/>
      <c r="BC761" s="612"/>
      <c r="BD761" s="612"/>
      <c r="BE761" s="612"/>
      <c r="BF761" s="612"/>
      <c r="BG761" s="612"/>
      <c r="BH761" s="612">
        <f t="shared" si="585"/>
        <v>0</v>
      </c>
      <c r="BI761" s="612">
        <f t="shared" si="561"/>
        <v>0</v>
      </c>
      <c r="BJ761" s="201"/>
    </row>
    <row r="762" spans="1:62" ht="12" customHeight="1">
      <c r="A762" s="52"/>
      <c r="B762" s="52"/>
      <c r="C762" s="52"/>
      <c r="D762" s="52"/>
      <c r="E762" s="52"/>
      <c r="F762" s="52"/>
      <c r="G762" s="52"/>
      <c r="H762" s="2" t="s">
        <v>613</v>
      </c>
      <c r="I762" s="289">
        <v>660</v>
      </c>
      <c r="J762" s="185">
        <v>4212</v>
      </c>
      <c r="K762" s="19" t="s">
        <v>614</v>
      </c>
      <c r="L762" s="129">
        <v>220425</v>
      </c>
      <c r="M762" s="129">
        <f>220425/7.5345</f>
        <v>29255.425044793945</v>
      </c>
      <c r="N762" s="130">
        <v>0</v>
      </c>
      <c r="O762" s="130">
        <v>0</v>
      </c>
      <c r="P762" s="131">
        <v>0</v>
      </c>
      <c r="Q762" s="131">
        <v>0</v>
      </c>
      <c r="R762" s="153">
        <v>0</v>
      </c>
      <c r="S762" s="158" t="e">
        <f ca="1">__xlfn.XLOOKUP(H762,[1]Izvršenje_proračuna_po_pozicija!$B$2:$B$153,[1]Izvršenje_proračuna_po_pozicija!$E$2:$E$153,0)</f>
        <v>#NAME?</v>
      </c>
      <c r="T762" s="158"/>
      <c r="U762" s="158"/>
      <c r="V762" s="532"/>
      <c r="W762" s="532"/>
      <c r="X762" s="560"/>
      <c r="Y762" s="561"/>
      <c r="Z762" s="561"/>
      <c r="AA762" s="562" t="e">
        <f t="shared" ca="1" si="584"/>
        <v>#NAME?</v>
      </c>
      <c r="AB762" s="535"/>
      <c r="AC762" s="529">
        <v>0</v>
      </c>
      <c r="AD762" s="529">
        <v>0</v>
      </c>
      <c r="AE762" s="529">
        <f>O762/M762*100</f>
        <v>0</v>
      </c>
      <c r="AF762" s="529"/>
      <c r="AG762" s="529"/>
      <c r="AH762" s="529"/>
      <c r="AI762" s="535"/>
      <c r="AJ762" s="561"/>
      <c r="AK762" s="507"/>
      <c r="AL762" s="507"/>
      <c r="AM762" s="507"/>
      <c r="AN762" s="556"/>
      <c r="AO762" s="590"/>
      <c r="AP762" s="510" t="e">
        <f t="shared" ca="1" si="581"/>
        <v>#NAME?</v>
      </c>
      <c r="AQ762" s="532"/>
      <c r="AR762" s="533"/>
      <c r="AS762" s="533"/>
      <c r="AT762" s="533"/>
      <c r="AU762" s="533"/>
      <c r="AV762" s="533"/>
      <c r="AW762" s="612"/>
      <c r="AX762" s="612"/>
      <c r="AY762" s="612"/>
      <c r="AZ762" s="612"/>
      <c r="BA762" s="612"/>
      <c r="BB762" s="612"/>
      <c r="BC762" s="612"/>
      <c r="BD762" s="612"/>
      <c r="BE762" s="612"/>
      <c r="BF762" s="612"/>
      <c r="BG762" s="612"/>
      <c r="BH762" s="612">
        <f t="shared" si="585"/>
        <v>0</v>
      </c>
      <c r="BI762" s="612">
        <f t="shared" si="561"/>
        <v>0</v>
      </c>
      <c r="BJ762" s="201"/>
    </row>
    <row r="763" spans="1:62" ht="12" customHeight="1">
      <c r="A763" s="52"/>
      <c r="B763" s="52"/>
      <c r="C763" s="52"/>
      <c r="D763" s="52"/>
      <c r="E763" s="52"/>
      <c r="F763" s="52"/>
      <c r="G763" s="52"/>
      <c r="H763" s="2" t="s">
        <v>615</v>
      </c>
      <c r="I763" s="289">
        <v>660</v>
      </c>
      <c r="J763" s="185">
        <v>4212</v>
      </c>
      <c r="K763" s="209" t="s">
        <v>616</v>
      </c>
      <c r="L763" s="129"/>
      <c r="M763" s="129"/>
      <c r="N763" s="130">
        <v>0</v>
      </c>
      <c r="O763" s="130">
        <f>N763/7.5345</f>
        <v>0</v>
      </c>
      <c r="P763" s="131">
        <v>265000</v>
      </c>
      <c r="Q763" s="156">
        <v>1000</v>
      </c>
      <c r="R763" s="153">
        <v>70444</v>
      </c>
      <c r="S763" s="158" t="e">
        <f ca="1">__xlfn.XLOOKUP(H763,[1]Izvršenje_proračuna_po_pozicija!$B$2:$B$153,[1]Izvršenje_proračuna_po_pozicija!$E$2:$E$153,0)</f>
        <v>#NAME?</v>
      </c>
      <c r="T763" s="158"/>
      <c r="U763" s="158"/>
      <c r="V763" s="532">
        <v>450000</v>
      </c>
      <c r="W763" s="532">
        <v>450000</v>
      </c>
      <c r="X763" s="560"/>
      <c r="Y763" s="561"/>
      <c r="Z763" s="561"/>
      <c r="AA763" s="562" t="e">
        <f t="shared" ca="1" si="584"/>
        <v>#NAME?</v>
      </c>
      <c r="AB763" s="535"/>
      <c r="AC763" s="529">
        <v>0</v>
      </c>
      <c r="AD763" s="529">
        <v>0</v>
      </c>
      <c r="AE763" s="529"/>
      <c r="AF763" s="529"/>
      <c r="AG763" s="529"/>
      <c r="AH763" s="529"/>
      <c r="AI763" s="535"/>
      <c r="AJ763" s="561"/>
      <c r="AK763" s="507">
        <f>W763/R763*100</f>
        <v>638.80529214695366</v>
      </c>
      <c r="AL763" s="507">
        <f>X763/W763*100</f>
        <v>0</v>
      </c>
      <c r="AM763" s="507"/>
      <c r="AN763" s="556"/>
      <c r="AO763" s="590"/>
      <c r="AP763" s="510" t="e">
        <f t="shared" ca="1" si="581"/>
        <v>#NAME?</v>
      </c>
      <c r="AQ763" s="532">
        <v>443654.24</v>
      </c>
      <c r="AR763" s="533">
        <f t="shared" si="594"/>
        <v>638.80529214695366</v>
      </c>
      <c r="AS763" s="533">
        <f>W763/V763*100</f>
        <v>100</v>
      </c>
      <c r="AT763" s="533">
        <f t="shared" si="595"/>
        <v>638.80529214695366</v>
      </c>
      <c r="AU763" s="533">
        <f>AQ763/W763*100</f>
        <v>98.58983111111111</v>
      </c>
      <c r="AV763" s="533">
        <f>AQ763/R763*100</f>
        <v>629.79705865652147</v>
      </c>
      <c r="AW763" s="612">
        <f>AQ763-BE763</f>
        <v>241602.13999999998</v>
      </c>
      <c r="AX763" s="612"/>
      <c r="AY763" s="612"/>
      <c r="AZ763" s="612"/>
      <c r="BA763" s="612"/>
      <c r="BB763" s="612"/>
      <c r="BC763" s="612"/>
      <c r="BD763" s="612"/>
      <c r="BE763" s="612">
        <v>202052.1</v>
      </c>
      <c r="BF763" s="612"/>
      <c r="BG763" s="612"/>
      <c r="BH763" s="612">
        <f t="shared" si="585"/>
        <v>443654.24</v>
      </c>
      <c r="BI763" s="612">
        <f t="shared" si="561"/>
        <v>15771.47</v>
      </c>
      <c r="BJ763" s="201">
        <f>AQ770-BI763</f>
        <v>0</v>
      </c>
    </row>
    <row r="764" spans="1:62" ht="12" customHeight="1">
      <c r="A764" s="41"/>
      <c r="B764" s="41"/>
      <c r="C764" s="41"/>
      <c r="D764" s="41"/>
      <c r="E764" s="41"/>
      <c r="F764" s="41"/>
      <c r="G764" s="41"/>
      <c r="H764" s="235"/>
      <c r="I764" s="15"/>
      <c r="J764" s="3"/>
      <c r="K764" s="83"/>
      <c r="L764" s="84"/>
      <c r="M764" s="84"/>
      <c r="N764" s="85"/>
      <c r="O764" s="85"/>
      <c r="P764" s="86"/>
      <c r="Q764" s="86"/>
      <c r="R764" s="154"/>
      <c r="S764" s="158" t="e">
        <f ca="1">__xlfn.XLOOKUP(H764,[1]Izvršenje_proračuna_po_pozicija!$B$2:$B$153,[1]Izvršenje_proračuna_po_pozicija!$E$2:$E$153,0)</f>
        <v>#NAME?</v>
      </c>
      <c r="T764" s="158"/>
      <c r="U764" s="158"/>
      <c r="V764" s="532"/>
      <c r="W764" s="532"/>
      <c r="X764" s="568"/>
      <c r="Y764" s="569"/>
      <c r="Z764" s="569"/>
      <c r="AA764" s="562" t="e">
        <f t="shared" ca="1" si="584"/>
        <v>#NAME?</v>
      </c>
      <c r="AB764" s="537"/>
      <c r="AC764" s="538"/>
      <c r="AD764" s="538"/>
      <c r="AE764" s="529"/>
      <c r="AF764" s="529"/>
      <c r="AG764" s="529"/>
      <c r="AH764" s="529"/>
      <c r="AI764" s="537"/>
      <c r="AJ764" s="569"/>
      <c r="AK764" s="507"/>
      <c r="AL764" s="507"/>
      <c r="AM764" s="507"/>
      <c r="AN764" s="557"/>
      <c r="AO764" s="510"/>
      <c r="AP764" s="510" t="e">
        <f t="shared" ca="1" si="581"/>
        <v>#NAME?</v>
      </c>
      <c r="AQ764" s="532"/>
      <c r="AR764" s="533"/>
      <c r="AS764" s="533"/>
      <c r="AT764" s="533"/>
      <c r="AU764" s="533"/>
      <c r="AV764" s="533"/>
      <c r="AW764" s="612"/>
      <c r="AX764" s="612"/>
      <c r="AY764" s="612"/>
      <c r="AZ764" s="612"/>
      <c r="BA764" s="612"/>
      <c r="BB764" s="612"/>
      <c r="BC764" s="612"/>
      <c r="BD764" s="612"/>
      <c r="BE764" s="612"/>
      <c r="BF764" s="612"/>
      <c r="BG764" s="612"/>
      <c r="BH764" s="612">
        <f t="shared" si="585"/>
        <v>0</v>
      </c>
      <c r="BI764" s="612">
        <f t="shared" ref="BI764:BI827" si="599">SUM(AW771:BG771)</f>
        <v>0</v>
      </c>
      <c r="BJ764" s="201">
        <f>AQ771-BI764</f>
        <v>0</v>
      </c>
    </row>
    <row r="765" spans="1:62" ht="12" customHeight="1">
      <c r="A765" s="282" t="s">
        <v>617</v>
      </c>
      <c r="B765" s="283"/>
      <c r="C765" s="283"/>
      <c r="D765" s="283"/>
      <c r="E765" s="283"/>
      <c r="F765" s="283"/>
      <c r="G765" s="283"/>
      <c r="H765" s="284"/>
      <c r="I765" s="369" t="s">
        <v>618</v>
      </c>
      <c r="J765" s="370"/>
      <c r="K765" s="226"/>
      <c r="L765" s="111">
        <f t="shared" ref="L765:S765" si="600">L767</f>
        <v>0</v>
      </c>
      <c r="M765" s="111">
        <f t="shared" si="600"/>
        <v>0</v>
      </c>
      <c r="N765" s="112">
        <f t="shared" si="600"/>
        <v>16000</v>
      </c>
      <c r="O765" s="112">
        <f t="shared" si="600"/>
        <v>2123.5649346340169</v>
      </c>
      <c r="P765" s="113">
        <f t="shared" si="600"/>
        <v>425000</v>
      </c>
      <c r="Q765" s="113">
        <f t="shared" si="600"/>
        <v>525000</v>
      </c>
      <c r="R765" s="87">
        <f t="shared" si="600"/>
        <v>520620</v>
      </c>
      <c r="S765" s="89" t="e">
        <f t="shared" ca="1" si="600"/>
        <v>#NAME?</v>
      </c>
      <c r="T765" s="89"/>
      <c r="U765" s="89"/>
      <c r="V765" s="532">
        <f>V767</f>
        <v>15000</v>
      </c>
      <c r="W765" s="532">
        <f>W767</f>
        <v>15771</v>
      </c>
      <c r="X765" s="506">
        <f>X767</f>
        <v>0</v>
      </c>
      <c r="Y765" s="507">
        <f>Y767</f>
        <v>0</v>
      </c>
      <c r="Z765" s="507">
        <f>Z767</f>
        <v>0</v>
      </c>
      <c r="AA765" s="562" t="e">
        <f t="shared" ca="1" si="584"/>
        <v>#NAME?</v>
      </c>
      <c r="AB765" s="507"/>
      <c r="AC765" s="508">
        <f>AC767</f>
        <v>0</v>
      </c>
      <c r="AD765" s="508">
        <f>AD767</f>
        <v>0</v>
      </c>
      <c r="AE765" s="529"/>
      <c r="AF765" s="529"/>
      <c r="AG765" s="529"/>
      <c r="AH765" s="529"/>
      <c r="AI765" s="507"/>
      <c r="AJ765" s="507">
        <v>0</v>
      </c>
      <c r="AK765" s="507">
        <f>W765/R765*100</f>
        <v>3.0292727901348395</v>
      </c>
      <c r="AL765" s="507">
        <f>X765/W765*100</f>
        <v>0</v>
      </c>
      <c r="AM765" s="507"/>
      <c r="AN765" s="509"/>
      <c r="AO765" s="510"/>
      <c r="AP765" s="510" t="e">
        <f t="shared" ca="1" si="581"/>
        <v>#NAME?</v>
      </c>
      <c r="AQ765" s="532">
        <f>AQ767</f>
        <v>15771.47</v>
      </c>
      <c r="AR765" s="533">
        <f t="shared" si="594"/>
        <v>2.8811801313818139</v>
      </c>
      <c r="AS765" s="533"/>
      <c r="AT765" s="533">
        <f t="shared" si="595"/>
        <v>3.0292727901348395</v>
      </c>
      <c r="AU765" s="533">
        <f>AQ765/W765*100</f>
        <v>100.0029801534462</v>
      </c>
      <c r="AV765" s="533">
        <f>AQ765/R765*100</f>
        <v>3.0293630671122891</v>
      </c>
      <c r="AW765" s="612"/>
      <c r="AX765" s="612"/>
      <c r="AY765" s="612"/>
      <c r="AZ765" s="612"/>
      <c r="BA765" s="612"/>
      <c r="BB765" s="612"/>
      <c r="BC765" s="612"/>
      <c r="BD765" s="612"/>
      <c r="BE765" s="612"/>
      <c r="BF765" s="612"/>
      <c r="BG765" s="612"/>
      <c r="BH765" s="612">
        <f t="shared" si="585"/>
        <v>0</v>
      </c>
      <c r="BI765" s="612">
        <f t="shared" si="599"/>
        <v>0</v>
      </c>
      <c r="BJ765" s="201"/>
    </row>
    <row r="766" spans="1:62" ht="12" customHeight="1">
      <c r="A766" s="52"/>
      <c r="B766" s="52"/>
      <c r="C766" s="52"/>
      <c r="D766" s="52"/>
      <c r="E766" s="52"/>
      <c r="F766" s="52"/>
      <c r="G766" s="52"/>
      <c r="H766" s="2"/>
      <c r="I766" s="289"/>
      <c r="J766" s="185"/>
      <c r="K766" s="19"/>
      <c r="L766" s="350"/>
      <c r="M766" s="350"/>
      <c r="N766" s="351"/>
      <c r="O766" s="351"/>
      <c r="P766" s="352"/>
      <c r="Q766" s="352"/>
      <c r="R766" s="212"/>
      <c r="S766" s="158" t="e">
        <f ca="1">__xlfn.XLOOKUP(H766,[1]Izvršenje_proračuna_po_pozicija!$B$2:$B$153,[1]Izvršenje_proračuna_po_pozicija!$E$2:$E$153,0)</f>
        <v>#NAME?</v>
      </c>
      <c r="T766" s="158"/>
      <c r="U766" s="158"/>
      <c r="V766" s="532"/>
      <c r="W766" s="532"/>
      <c r="X766" s="563"/>
      <c r="Y766" s="562"/>
      <c r="Z766" s="562"/>
      <c r="AA766" s="562" t="e">
        <f t="shared" ca="1" si="584"/>
        <v>#NAME?</v>
      </c>
      <c r="AB766" s="507"/>
      <c r="AC766" s="508"/>
      <c r="AD766" s="508"/>
      <c r="AE766" s="529"/>
      <c r="AF766" s="529"/>
      <c r="AG766" s="529"/>
      <c r="AH766" s="529"/>
      <c r="AI766" s="507"/>
      <c r="AJ766" s="562"/>
      <c r="AK766" s="507"/>
      <c r="AL766" s="507"/>
      <c r="AM766" s="507"/>
      <c r="AN766" s="509"/>
      <c r="AO766" s="510"/>
      <c r="AP766" s="510" t="e">
        <f t="shared" ca="1" si="581"/>
        <v>#NAME?</v>
      </c>
      <c r="AQ766" s="532"/>
      <c r="AR766" s="533"/>
      <c r="AS766" s="533"/>
      <c r="AT766" s="533"/>
      <c r="AU766" s="533"/>
      <c r="AV766" s="533"/>
      <c r="AW766" s="612"/>
      <c r="AX766" s="612"/>
      <c r="AY766" s="612"/>
      <c r="AZ766" s="612"/>
      <c r="BA766" s="612"/>
      <c r="BB766" s="612"/>
      <c r="BC766" s="612"/>
      <c r="BD766" s="612"/>
      <c r="BE766" s="612"/>
      <c r="BF766" s="612"/>
      <c r="BG766" s="612"/>
      <c r="BH766" s="612">
        <f t="shared" si="585"/>
        <v>0</v>
      </c>
      <c r="BI766" s="612">
        <f t="shared" si="599"/>
        <v>0</v>
      </c>
      <c r="BJ766" s="201"/>
    </row>
    <row r="767" spans="1:62" ht="12" customHeight="1">
      <c r="A767" s="25"/>
      <c r="B767" s="25"/>
      <c r="C767" s="25"/>
      <c r="D767" s="25"/>
      <c r="E767" s="25"/>
      <c r="F767" s="25"/>
      <c r="G767" s="25"/>
      <c r="H767" s="285"/>
      <c r="I767" s="349"/>
      <c r="J767" s="211">
        <v>4</v>
      </c>
      <c r="K767" s="3" t="s">
        <v>601</v>
      </c>
      <c r="L767" s="111">
        <f t="shared" ref="L767:Z769" si="601">L768</f>
        <v>0</v>
      </c>
      <c r="M767" s="111">
        <f t="shared" si="601"/>
        <v>0</v>
      </c>
      <c r="N767" s="112">
        <f t="shared" si="601"/>
        <v>16000</v>
      </c>
      <c r="O767" s="112">
        <f t="shared" si="601"/>
        <v>2123.5649346340169</v>
      </c>
      <c r="P767" s="113">
        <f t="shared" si="601"/>
        <v>425000</v>
      </c>
      <c r="Q767" s="113">
        <f t="shared" si="601"/>
        <v>525000</v>
      </c>
      <c r="R767" s="87">
        <f t="shared" si="601"/>
        <v>520620</v>
      </c>
      <c r="S767" s="89" t="e">
        <f t="shared" ca="1" si="601"/>
        <v>#NAME?</v>
      </c>
      <c r="T767" s="89"/>
      <c r="U767" s="89"/>
      <c r="V767" s="532">
        <f>V768</f>
        <v>15000</v>
      </c>
      <c r="W767" s="532">
        <f t="shared" si="601"/>
        <v>15771</v>
      </c>
      <c r="X767" s="506">
        <f t="shared" si="601"/>
        <v>0</v>
      </c>
      <c r="Y767" s="507">
        <f t="shared" si="601"/>
        <v>0</v>
      </c>
      <c r="Z767" s="507">
        <f t="shared" si="601"/>
        <v>0</v>
      </c>
      <c r="AA767" s="562" t="e">
        <f t="shared" ca="1" si="584"/>
        <v>#NAME?</v>
      </c>
      <c r="AB767" s="507"/>
      <c r="AC767" s="508">
        <f t="shared" ref="AC767:AD769" si="602">AC768</f>
        <v>0</v>
      </c>
      <c r="AD767" s="508">
        <f t="shared" si="602"/>
        <v>0</v>
      </c>
      <c r="AE767" s="529"/>
      <c r="AF767" s="529"/>
      <c r="AG767" s="529"/>
      <c r="AH767" s="529"/>
      <c r="AI767" s="507"/>
      <c r="AJ767" s="507">
        <v>0</v>
      </c>
      <c r="AK767" s="507">
        <f>W767/R767*100</f>
        <v>3.0292727901348395</v>
      </c>
      <c r="AL767" s="507">
        <f>X767/W767*100</f>
        <v>0</v>
      </c>
      <c r="AM767" s="507"/>
      <c r="AN767" s="509"/>
      <c r="AO767" s="510"/>
      <c r="AP767" s="510" t="e">
        <f t="shared" ca="1" si="581"/>
        <v>#NAME?</v>
      </c>
      <c r="AQ767" s="532">
        <f>AQ768</f>
        <v>15771.47</v>
      </c>
      <c r="AR767" s="533">
        <f t="shared" si="594"/>
        <v>2.8811801313818139</v>
      </c>
      <c r="AS767" s="533"/>
      <c r="AT767" s="533">
        <f t="shared" si="595"/>
        <v>3.0292727901348395</v>
      </c>
      <c r="AU767" s="533">
        <f>AQ767/W767*100</f>
        <v>100.0029801534462</v>
      </c>
      <c r="AV767" s="533">
        <f>AQ767/R767*100</f>
        <v>3.0293630671122891</v>
      </c>
      <c r="AW767" s="612"/>
      <c r="AX767" s="612"/>
      <c r="AY767" s="612"/>
      <c r="AZ767" s="612"/>
      <c r="BA767" s="612"/>
      <c r="BB767" s="612"/>
      <c r="BC767" s="612"/>
      <c r="BD767" s="612"/>
      <c r="BE767" s="612"/>
      <c r="BF767" s="612"/>
      <c r="BG767" s="612"/>
      <c r="BH767" s="612">
        <f t="shared" si="585"/>
        <v>0</v>
      </c>
      <c r="BI767" s="612">
        <f t="shared" si="599"/>
        <v>0</v>
      </c>
      <c r="BJ767" s="201">
        <f>AQ774-BI767</f>
        <v>0</v>
      </c>
    </row>
    <row r="768" spans="1:62" ht="12" customHeight="1">
      <c r="A768" s="227"/>
      <c r="B768" s="227"/>
      <c r="C768" s="227"/>
      <c r="D768" s="227"/>
      <c r="E768" s="227"/>
      <c r="F768" s="227"/>
      <c r="G768" s="227"/>
      <c r="H768" s="234"/>
      <c r="I768" s="265"/>
      <c r="J768" s="228">
        <v>42</v>
      </c>
      <c r="K768" s="258" t="s">
        <v>602</v>
      </c>
      <c r="L768" s="111">
        <f t="shared" si="601"/>
        <v>0</v>
      </c>
      <c r="M768" s="111">
        <f t="shared" si="601"/>
        <v>0</v>
      </c>
      <c r="N768" s="112">
        <f t="shared" si="601"/>
        <v>16000</v>
      </c>
      <c r="O768" s="112">
        <f t="shared" si="601"/>
        <v>2123.5649346340169</v>
      </c>
      <c r="P768" s="113">
        <f t="shared" si="601"/>
        <v>425000</v>
      </c>
      <c r="Q768" s="113">
        <f t="shared" si="601"/>
        <v>525000</v>
      </c>
      <c r="R768" s="87">
        <f t="shared" si="601"/>
        <v>520620</v>
      </c>
      <c r="S768" s="89" t="e">
        <f t="shared" ca="1" si="601"/>
        <v>#NAME?</v>
      </c>
      <c r="T768" s="89"/>
      <c r="U768" s="89"/>
      <c r="V768" s="532">
        <f>V769</f>
        <v>15000</v>
      </c>
      <c r="W768" s="532">
        <f t="shared" si="601"/>
        <v>15771</v>
      </c>
      <c r="X768" s="506">
        <f t="shared" si="601"/>
        <v>0</v>
      </c>
      <c r="Y768" s="507">
        <f t="shared" si="601"/>
        <v>0</v>
      </c>
      <c r="Z768" s="507">
        <f t="shared" si="601"/>
        <v>0</v>
      </c>
      <c r="AA768" s="562" t="e">
        <f t="shared" ca="1" si="584"/>
        <v>#NAME?</v>
      </c>
      <c r="AB768" s="507"/>
      <c r="AC768" s="508">
        <f t="shared" si="602"/>
        <v>0</v>
      </c>
      <c r="AD768" s="508">
        <f t="shared" si="602"/>
        <v>0</v>
      </c>
      <c r="AE768" s="529"/>
      <c r="AF768" s="529"/>
      <c r="AG768" s="529"/>
      <c r="AH768" s="529"/>
      <c r="AI768" s="507"/>
      <c r="AJ768" s="507">
        <v>0</v>
      </c>
      <c r="AK768" s="507">
        <f>W768/R768*100</f>
        <v>3.0292727901348395</v>
      </c>
      <c r="AL768" s="507">
        <f>X768/W768*100</f>
        <v>0</v>
      </c>
      <c r="AM768" s="507"/>
      <c r="AN768" s="509"/>
      <c r="AO768" s="510"/>
      <c r="AP768" s="510" t="e">
        <f t="shared" ca="1" si="581"/>
        <v>#NAME?</v>
      </c>
      <c r="AQ768" s="532">
        <f>AQ769</f>
        <v>15771.47</v>
      </c>
      <c r="AR768" s="533">
        <f t="shared" si="594"/>
        <v>2.8811801313818139</v>
      </c>
      <c r="AS768" s="533"/>
      <c r="AT768" s="533">
        <f t="shared" si="595"/>
        <v>3.0292727901348395</v>
      </c>
      <c r="AU768" s="533">
        <f>AQ768/W768*100</f>
        <v>100.0029801534462</v>
      </c>
      <c r="AV768" s="533">
        <f>AQ768/R768*100</f>
        <v>3.0293630671122891</v>
      </c>
      <c r="AW768" s="612"/>
      <c r="AX768" s="612"/>
      <c r="AY768" s="612"/>
      <c r="AZ768" s="612"/>
      <c r="BA768" s="612"/>
      <c r="BB768" s="612"/>
      <c r="BC768" s="612"/>
      <c r="BD768" s="612"/>
      <c r="BE768" s="612"/>
      <c r="BF768" s="612"/>
      <c r="BG768" s="612"/>
      <c r="BH768" s="612">
        <f t="shared" si="585"/>
        <v>0</v>
      </c>
      <c r="BI768" s="612">
        <f t="shared" si="599"/>
        <v>0</v>
      </c>
      <c r="BJ768" s="201"/>
    </row>
    <row r="769" spans="1:62" ht="12" customHeight="1">
      <c r="A769" s="61"/>
      <c r="B769" s="61"/>
      <c r="C769" s="61"/>
      <c r="D769" s="61">
        <v>4</v>
      </c>
      <c r="E769" s="61"/>
      <c r="F769" s="61"/>
      <c r="G769" s="61"/>
      <c r="H769" s="230"/>
      <c r="I769" s="348"/>
      <c r="J769" s="229">
        <v>421</v>
      </c>
      <c r="K769" s="20" t="s">
        <v>455</v>
      </c>
      <c r="L769" s="111">
        <f t="shared" si="601"/>
        <v>0</v>
      </c>
      <c r="M769" s="111">
        <f t="shared" si="601"/>
        <v>0</v>
      </c>
      <c r="N769" s="112">
        <f t="shared" si="601"/>
        <v>16000</v>
      </c>
      <c r="O769" s="112">
        <f t="shared" si="601"/>
        <v>2123.5649346340169</v>
      </c>
      <c r="P769" s="113">
        <f t="shared" si="601"/>
        <v>425000</v>
      </c>
      <c r="Q769" s="113">
        <f t="shared" si="601"/>
        <v>525000</v>
      </c>
      <c r="R769" s="87">
        <f t="shared" si="601"/>
        <v>520620</v>
      </c>
      <c r="S769" s="89" t="e">
        <f t="shared" ca="1" si="601"/>
        <v>#NAME?</v>
      </c>
      <c r="T769" s="89"/>
      <c r="U769" s="89"/>
      <c r="V769" s="532">
        <f>V770</f>
        <v>15000</v>
      </c>
      <c r="W769" s="532">
        <f t="shared" si="601"/>
        <v>15771</v>
      </c>
      <c r="X769" s="506">
        <f t="shared" si="601"/>
        <v>0</v>
      </c>
      <c r="Y769" s="507">
        <f t="shared" si="601"/>
        <v>0</v>
      </c>
      <c r="Z769" s="507">
        <f t="shared" si="601"/>
        <v>0</v>
      </c>
      <c r="AA769" s="562" t="e">
        <f t="shared" ca="1" si="584"/>
        <v>#NAME?</v>
      </c>
      <c r="AB769" s="507"/>
      <c r="AC769" s="508">
        <f t="shared" si="602"/>
        <v>0</v>
      </c>
      <c r="AD769" s="508">
        <f t="shared" si="602"/>
        <v>0</v>
      </c>
      <c r="AE769" s="529"/>
      <c r="AF769" s="529"/>
      <c r="AG769" s="529"/>
      <c r="AH769" s="529"/>
      <c r="AI769" s="507"/>
      <c r="AJ769" s="507">
        <v>0</v>
      </c>
      <c r="AK769" s="507">
        <f>W769/R769*100</f>
        <v>3.0292727901348395</v>
      </c>
      <c r="AL769" s="507">
        <f>X769/W769*100</f>
        <v>0</v>
      </c>
      <c r="AM769" s="507"/>
      <c r="AN769" s="509"/>
      <c r="AO769" s="590"/>
      <c r="AP769" s="510" t="e">
        <f t="shared" ca="1" si="581"/>
        <v>#NAME?</v>
      </c>
      <c r="AQ769" s="532">
        <f>AQ770</f>
        <v>15771.47</v>
      </c>
      <c r="AR769" s="533">
        <f t="shared" si="594"/>
        <v>2.8811801313818139</v>
      </c>
      <c r="AS769" s="533"/>
      <c r="AT769" s="533">
        <f t="shared" si="595"/>
        <v>3.0292727901348395</v>
      </c>
      <c r="AU769" s="533">
        <f>AQ769/W769*100</f>
        <v>100.0029801534462</v>
      </c>
      <c r="AV769" s="533">
        <f>AQ769/R769*100</f>
        <v>3.0293630671122891</v>
      </c>
      <c r="AW769" s="612"/>
      <c r="AX769" s="612"/>
      <c r="AY769" s="612"/>
      <c r="AZ769" s="612"/>
      <c r="BA769" s="612"/>
      <c r="BB769" s="612"/>
      <c r="BC769" s="612"/>
      <c r="BD769" s="612"/>
      <c r="BE769" s="612"/>
      <c r="BF769" s="612"/>
      <c r="BG769" s="612"/>
      <c r="BH769" s="612">
        <f t="shared" si="585"/>
        <v>0</v>
      </c>
      <c r="BI769" s="612">
        <f t="shared" si="599"/>
        <v>0</v>
      </c>
      <c r="BJ769" s="201"/>
    </row>
    <row r="770" spans="1:62" ht="12" customHeight="1">
      <c r="A770" s="52"/>
      <c r="B770" s="52"/>
      <c r="C770" s="52"/>
      <c r="D770" s="52"/>
      <c r="E770" s="52"/>
      <c r="F770" s="52"/>
      <c r="G770" s="52"/>
      <c r="H770" s="2" t="s">
        <v>619</v>
      </c>
      <c r="I770" s="289">
        <v>660</v>
      </c>
      <c r="J770" s="185">
        <v>4212</v>
      </c>
      <c r="K770" s="19" t="s">
        <v>620</v>
      </c>
      <c r="L770" s="129">
        <v>0</v>
      </c>
      <c r="M770" s="129">
        <v>0</v>
      </c>
      <c r="N770" s="130">
        <v>16000</v>
      </c>
      <c r="O770" s="130">
        <f>N770/7.5345</f>
        <v>2123.5649346340169</v>
      </c>
      <c r="P770" s="131">
        <v>425000</v>
      </c>
      <c r="Q770" s="156">
        <v>525000</v>
      </c>
      <c r="R770" s="153">
        <v>520620</v>
      </c>
      <c r="S770" s="158" t="e">
        <f ca="1">__xlfn.XLOOKUP(H770,[1]Izvršenje_proračuna_po_pozicija!$B$2:$B$153,[1]Izvršenje_proračuna_po_pozicija!$E$2:$E$153,0)</f>
        <v>#NAME?</v>
      </c>
      <c r="T770" s="158"/>
      <c r="U770" s="158"/>
      <c r="V770" s="532">
        <v>15000</v>
      </c>
      <c r="W770" s="532">
        <v>15771</v>
      </c>
      <c r="X770" s="560">
        <v>0</v>
      </c>
      <c r="Y770" s="561">
        <v>0</v>
      </c>
      <c r="Z770" s="561"/>
      <c r="AA770" s="562" t="e">
        <f t="shared" ca="1" si="584"/>
        <v>#NAME?</v>
      </c>
      <c r="AB770" s="535"/>
      <c r="AC770" s="529">
        <v>0</v>
      </c>
      <c r="AD770" s="529">
        <v>0</v>
      </c>
      <c r="AE770" s="529"/>
      <c r="AF770" s="529"/>
      <c r="AG770" s="529"/>
      <c r="AH770" s="529"/>
      <c r="AI770" s="535"/>
      <c r="AJ770" s="561">
        <v>0</v>
      </c>
      <c r="AK770" s="507">
        <f>W770/R770*100</f>
        <v>3.0292727901348395</v>
      </c>
      <c r="AL770" s="507">
        <f>X770/W770*100</f>
        <v>0</v>
      </c>
      <c r="AM770" s="507"/>
      <c r="AN770" s="556"/>
      <c r="AO770" s="510"/>
      <c r="AP770" s="510" t="e">
        <f t="shared" ca="1" si="581"/>
        <v>#NAME?</v>
      </c>
      <c r="AQ770" s="532">
        <v>15771.47</v>
      </c>
      <c r="AR770" s="533">
        <f t="shared" si="594"/>
        <v>2.8811801313818139</v>
      </c>
      <c r="AS770" s="533"/>
      <c r="AT770" s="533">
        <f t="shared" si="595"/>
        <v>3.0292727901348395</v>
      </c>
      <c r="AU770" s="533">
        <f>AQ770/W770*100</f>
        <v>100.0029801534462</v>
      </c>
      <c r="AV770" s="533">
        <f>AQ770/R770*100</f>
        <v>3.0293630671122891</v>
      </c>
      <c r="AW770" s="612"/>
      <c r="AX770" s="612"/>
      <c r="AY770" s="612"/>
      <c r="AZ770" s="612"/>
      <c r="BA770" s="612"/>
      <c r="BB770" s="612"/>
      <c r="BC770" s="612"/>
      <c r="BD770" s="612"/>
      <c r="BE770" s="612">
        <f>AQ770</f>
        <v>15771.47</v>
      </c>
      <c r="BF770" s="612"/>
      <c r="BG770" s="612"/>
      <c r="BH770" s="612">
        <f t="shared" si="585"/>
        <v>15771.47</v>
      </c>
      <c r="BI770" s="612">
        <f t="shared" si="599"/>
        <v>0</v>
      </c>
      <c r="BJ770" s="201"/>
    </row>
    <row r="771" spans="1:62" ht="12" customHeight="1">
      <c r="A771" s="41"/>
      <c r="B771" s="41"/>
      <c r="C771" s="41"/>
      <c r="D771" s="41"/>
      <c r="E771" s="41"/>
      <c r="F771" s="41"/>
      <c r="G771" s="41"/>
      <c r="H771" s="235"/>
      <c r="I771" s="15"/>
      <c r="J771" s="3"/>
      <c r="K771" s="83"/>
      <c r="L771" s="84"/>
      <c r="M771" s="84"/>
      <c r="N771" s="85"/>
      <c r="O771" s="85"/>
      <c r="P771" s="86"/>
      <c r="Q771" s="86"/>
      <c r="R771" s="154"/>
      <c r="S771" s="158" t="e">
        <f ca="1">__xlfn.XLOOKUP(H771,[1]Izvršenje_proračuna_po_pozicija!$B$2:$B$153,[1]Izvršenje_proračuna_po_pozicija!$E$2:$E$153,0)</f>
        <v>#NAME?</v>
      </c>
      <c r="T771" s="158"/>
      <c r="U771" s="158"/>
      <c r="V771" s="532"/>
      <c r="W771" s="532"/>
      <c r="X771" s="568"/>
      <c r="Y771" s="569"/>
      <c r="Z771" s="569"/>
      <c r="AA771" s="562" t="e">
        <f t="shared" ca="1" si="584"/>
        <v>#NAME?</v>
      </c>
      <c r="AB771" s="537"/>
      <c r="AC771" s="538"/>
      <c r="AD771" s="538"/>
      <c r="AE771" s="529"/>
      <c r="AF771" s="529"/>
      <c r="AG771" s="529"/>
      <c r="AH771" s="529"/>
      <c r="AI771" s="537"/>
      <c r="AJ771" s="569"/>
      <c r="AK771" s="507"/>
      <c r="AL771" s="507"/>
      <c r="AM771" s="507"/>
      <c r="AN771" s="557"/>
      <c r="AO771" s="510"/>
      <c r="AP771" s="510" t="e">
        <f t="shared" ca="1" si="581"/>
        <v>#NAME?</v>
      </c>
      <c r="AQ771" s="532"/>
      <c r="AR771" s="533"/>
      <c r="AS771" s="533"/>
      <c r="AT771" s="533"/>
      <c r="AU771" s="533"/>
      <c r="AV771" s="533"/>
      <c r="AW771" s="612"/>
      <c r="AX771" s="612"/>
      <c r="AY771" s="612"/>
      <c r="AZ771" s="612"/>
      <c r="BA771" s="612"/>
      <c r="BB771" s="612"/>
      <c r="BC771" s="612"/>
      <c r="BD771" s="612"/>
      <c r="BE771" s="612"/>
      <c r="BF771" s="612"/>
      <c r="BG771" s="612"/>
      <c r="BH771" s="612">
        <f t="shared" si="585"/>
        <v>0</v>
      </c>
      <c r="BI771" s="612">
        <f t="shared" si="599"/>
        <v>3906.15</v>
      </c>
      <c r="BJ771" s="201">
        <f>AQ778-BI771</f>
        <v>0</v>
      </c>
    </row>
    <row r="772" spans="1:62" ht="12" customHeight="1">
      <c r="A772" s="320"/>
      <c r="B772" s="320"/>
      <c r="C772" s="320"/>
      <c r="D772" s="320"/>
      <c r="E772" s="320"/>
      <c r="F772" s="320"/>
      <c r="G772" s="320"/>
      <c r="H772" s="321"/>
      <c r="I772" s="373" t="s">
        <v>621</v>
      </c>
      <c r="J772" s="374"/>
      <c r="K772" s="223"/>
      <c r="L772" s="111">
        <f t="shared" ref="L772:S772" si="603">L773+L780</f>
        <v>79852</v>
      </c>
      <c r="M772" s="111">
        <f t="shared" si="603"/>
        <v>10598.181697524718</v>
      </c>
      <c r="N772" s="112">
        <f t="shared" si="603"/>
        <v>86356</v>
      </c>
      <c r="O772" s="112">
        <f t="shared" si="603"/>
        <v>11461.410843453446</v>
      </c>
      <c r="P772" s="113">
        <f t="shared" si="603"/>
        <v>20000</v>
      </c>
      <c r="Q772" s="113">
        <f t="shared" si="603"/>
        <v>22000</v>
      </c>
      <c r="R772" s="87">
        <f t="shared" si="603"/>
        <v>10574</v>
      </c>
      <c r="S772" s="89" t="e">
        <f t="shared" ca="1" si="603"/>
        <v>#NAME?</v>
      </c>
      <c r="T772" s="89"/>
      <c r="U772" s="89"/>
      <c r="V772" s="532">
        <f>V773+V780</f>
        <v>18000</v>
      </c>
      <c r="W772" s="532">
        <f>W773+W780</f>
        <v>18000</v>
      </c>
      <c r="X772" s="506">
        <f>X773+X780</f>
        <v>27000</v>
      </c>
      <c r="Y772" s="507">
        <f>Y773+Y780</f>
        <v>35000</v>
      </c>
      <c r="Z772" s="507">
        <f>Z773+Z780</f>
        <v>0</v>
      </c>
      <c r="AA772" s="562" t="e">
        <f t="shared" ca="1" si="584"/>
        <v>#NAME?</v>
      </c>
      <c r="AB772" s="507"/>
      <c r="AC772" s="508">
        <f>AC773+AC780</f>
        <v>20000</v>
      </c>
      <c r="AD772" s="508">
        <f>AD773+AD780</f>
        <v>20000</v>
      </c>
      <c r="AE772" s="529">
        <f>O772/M772*100</f>
        <v>108.14506837649651</v>
      </c>
      <c r="AF772" s="529">
        <f>P772/O772*100</f>
        <v>174.49858724350364</v>
      </c>
      <c r="AG772" s="529">
        <f>Q772/P772*100</f>
        <v>110.00000000000001</v>
      </c>
      <c r="AH772" s="529">
        <f>AC772/Q772*100</f>
        <v>90.909090909090907</v>
      </c>
      <c r="AI772" s="507"/>
      <c r="AJ772" s="507">
        <v>35000</v>
      </c>
      <c r="AK772" s="507">
        <f>W772/R772*100</f>
        <v>170.22886324947984</v>
      </c>
      <c r="AL772" s="507">
        <f>X772/W772*100</f>
        <v>150</v>
      </c>
      <c r="AM772" s="507">
        <f>Y772/X772*100</f>
        <v>129.62962962962962</v>
      </c>
      <c r="AN772" s="509"/>
      <c r="AO772" s="510"/>
      <c r="AP772" s="510" t="e">
        <f t="shared" ca="1" si="581"/>
        <v>#NAME?</v>
      </c>
      <c r="AQ772" s="532">
        <f>AQ773+AQ780</f>
        <v>5406.15</v>
      </c>
      <c r="AR772" s="533">
        <f t="shared" si="594"/>
        <v>170.22886324947984</v>
      </c>
      <c r="AS772" s="533">
        <f>W772/V772*100</f>
        <v>100</v>
      </c>
      <c r="AT772" s="533">
        <f t="shared" si="595"/>
        <v>170.22886324947984</v>
      </c>
      <c r="AU772" s="533">
        <f>AQ772/W772*100</f>
        <v>30.034166666666668</v>
      </c>
      <c r="AV772" s="533">
        <f>AQ772/R772*100</f>
        <v>51.126820503120861</v>
      </c>
      <c r="AW772" s="612"/>
      <c r="AX772" s="612"/>
      <c r="AY772" s="612"/>
      <c r="AZ772" s="612"/>
      <c r="BA772" s="612"/>
      <c r="BB772" s="612"/>
      <c r="BC772" s="612"/>
      <c r="BD772" s="612"/>
      <c r="BE772" s="612"/>
      <c r="BF772" s="612"/>
      <c r="BG772" s="612"/>
      <c r="BH772" s="612">
        <f t="shared" si="585"/>
        <v>0</v>
      </c>
      <c r="BI772" s="612">
        <f t="shared" si="599"/>
        <v>0</v>
      </c>
      <c r="BJ772" s="201">
        <f>AQ779-BI772</f>
        <v>0</v>
      </c>
    </row>
    <row r="773" spans="1:62" ht="12" customHeight="1">
      <c r="A773" s="282" t="s">
        <v>321</v>
      </c>
      <c r="B773" s="283"/>
      <c r="C773" s="283"/>
      <c r="D773" s="283"/>
      <c r="E773" s="283"/>
      <c r="F773" s="283"/>
      <c r="G773" s="283"/>
      <c r="H773" s="318"/>
      <c r="I773" s="366" t="s">
        <v>622</v>
      </c>
      <c r="J773" s="367"/>
      <c r="K773" s="368"/>
      <c r="L773" s="250">
        <f t="shared" ref="L773:S773" si="604">L775</f>
        <v>31852</v>
      </c>
      <c r="M773" s="250">
        <f t="shared" si="604"/>
        <v>4227.4868936226685</v>
      </c>
      <c r="N773" s="251">
        <f t="shared" si="604"/>
        <v>56356</v>
      </c>
      <c r="O773" s="251">
        <f t="shared" si="604"/>
        <v>7479.7265910146652</v>
      </c>
      <c r="P773" s="252">
        <f t="shared" si="604"/>
        <v>10000</v>
      </c>
      <c r="Q773" s="252">
        <f t="shared" si="604"/>
        <v>12000</v>
      </c>
      <c r="R773" s="272">
        <f t="shared" si="604"/>
        <v>6574</v>
      </c>
      <c r="S773" s="273" t="e">
        <f t="shared" ca="1" si="604"/>
        <v>#NAME?</v>
      </c>
      <c r="T773" s="273"/>
      <c r="U773" s="273"/>
      <c r="V773" s="532">
        <f>V775</f>
        <v>8000</v>
      </c>
      <c r="W773" s="532">
        <f>W775</f>
        <v>8000</v>
      </c>
      <c r="X773" s="564">
        <f>X775</f>
        <v>12000</v>
      </c>
      <c r="Y773" s="565">
        <f>Y775</f>
        <v>15000</v>
      </c>
      <c r="Z773" s="565">
        <f>Z775</f>
        <v>0</v>
      </c>
      <c r="AA773" s="562" t="e">
        <f t="shared" ca="1" si="584"/>
        <v>#NAME?</v>
      </c>
      <c r="AB773" s="565"/>
      <c r="AC773" s="566">
        <f>AC775</f>
        <v>10000</v>
      </c>
      <c r="AD773" s="566">
        <f>AD775</f>
        <v>10000</v>
      </c>
      <c r="AE773" s="529">
        <f>O773/M773*100</f>
        <v>176.93080497300014</v>
      </c>
      <c r="AF773" s="529">
        <f>P773/O773*100</f>
        <v>133.69472638228405</v>
      </c>
      <c r="AG773" s="529">
        <f>Q773/P773*100</f>
        <v>120</v>
      </c>
      <c r="AH773" s="529">
        <f>AC773/Q773*100</f>
        <v>83.333333333333343</v>
      </c>
      <c r="AI773" s="565"/>
      <c r="AJ773" s="565">
        <v>15000</v>
      </c>
      <c r="AK773" s="507">
        <f>W773/R773*100</f>
        <v>121.69151201703681</v>
      </c>
      <c r="AL773" s="507">
        <f>X773/W773*100</f>
        <v>150</v>
      </c>
      <c r="AM773" s="507">
        <f>Y773/X773*100</f>
        <v>125</v>
      </c>
      <c r="AN773" s="567"/>
      <c r="AO773" s="510"/>
      <c r="AP773" s="510" t="e">
        <f t="shared" ca="1" si="581"/>
        <v>#NAME?</v>
      </c>
      <c r="AQ773" s="532">
        <f>AQ775</f>
        <v>3906.15</v>
      </c>
      <c r="AR773" s="533">
        <f t="shared" si="594"/>
        <v>121.69151201703681</v>
      </c>
      <c r="AS773" s="533">
        <f>W773/V773*100</f>
        <v>100</v>
      </c>
      <c r="AT773" s="533">
        <f t="shared" si="595"/>
        <v>121.69151201703681</v>
      </c>
      <c r="AU773" s="533">
        <f>AQ773/W773*100</f>
        <v>48.826875000000001</v>
      </c>
      <c r="AV773" s="533">
        <f>AQ773/R773*100</f>
        <v>59.418162458168545</v>
      </c>
      <c r="AW773" s="612"/>
      <c r="AX773" s="612"/>
      <c r="AY773" s="612"/>
      <c r="AZ773" s="612"/>
      <c r="BA773" s="612"/>
      <c r="BB773" s="612"/>
      <c r="BC773" s="612"/>
      <c r="BD773" s="612"/>
      <c r="BE773" s="612"/>
      <c r="BF773" s="612"/>
      <c r="BG773" s="612"/>
      <c r="BH773" s="612">
        <f t="shared" si="585"/>
        <v>0</v>
      </c>
      <c r="BI773" s="612">
        <f t="shared" si="599"/>
        <v>0</v>
      </c>
      <c r="BJ773" s="201"/>
    </row>
    <row r="774" spans="1:62" ht="12" customHeight="1">
      <c r="A774" s="68"/>
      <c r="B774" s="68"/>
      <c r="C774" s="68"/>
      <c r="D774" s="68"/>
      <c r="E774" s="68"/>
      <c r="F774" s="68"/>
      <c r="G774" s="68"/>
      <c r="H774" s="319"/>
      <c r="I774" s="4"/>
      <c r="J774" s="8"/>
      <c r="K774" s="8"/>
      <c r="L774" s="84"/>
      <c r="M774" s="84"/>
      <c r="N774" s="85"/>
      <c r="O774" s="85"/>
      <c r="P774" s="86"/>
      <c r="Q774" s="86"/>
      <c r="R774" s="154"/>
      <c r="S774" s="158" t="e">
        <f ca="1">__xlfn.XLOOKUP(H774,[1]Izvršenje_proračuna_po_pozicija!$B$2:$B$153,[1]Izvršenje_proračuna_po_pozicija!$E$2:$E$153,0)</f>
        <v>#NAME?</v>
      </c>
      <c r="T774" s="158"/>
      <c r="U774" s="158"/>
      <c r="V774" s="532"/>
      <c r="W774" s="532"/>
      <c r="X774" s="568"/>
      <c r="Y774" s="569"/>
      <c r="Z774" s="569"/>
      <c r="AA774" s="562" t="e">
        <f t="shared" ca="1" si="584"/>
        <v>#NAME?</v>
      </c>
      <c r="AB774" s="537"/>
      <c r="AC774" s="538"/>
      <c r="AD774" s="538"/>
      <c r="AE774" s="529"/>
      <c r="AF774" s="529"/>
      <c r="AG774" s="529"/>
      <c r="AH774" s="529"/>
      <c r="AI774" s="537"/>
      <c r="AJ774" s="569"/>
      <c r="AK774" s="507"/>
      <c r="AL774" s="507"/>
      <c r="AM774" s="507"/>
      <c r="AN774" s="557"/>
      <c r="AO774" s="510"/>
      <c r="AP774" s="510" t="e">
        <f t="shared" ca="1" si="581"/>
        <v>#NAME?</v>
      </c>
      <c r="AQ774" s="532"/>
      <c r="AR774" s="533"/>
      <c r="AS774" s="533"/>
      <c r="AT774" s="533"/>
      <c r="AU774" s="533"/>
      <c r="AV774" s="533"/>
      <c r="AW774" s="612"/>
      <c r="AX774" s="612"/>
      <c r="AY774" s="612"/>
      <c r="AZ774" s="612"/>
      <c r="BA774" s="612"/>
      <c r="BB774" s="612"/>
      <c r="BC774" s="612"/>
      <c r="BD774" s="612"/>
      <c r="BE774" s="612"/>
      <c r="BF774" s="612"/>
      <c r="BG774" s="612"/>
      <c r="BH774" s="612">
        <f t="shared" si="585"/>
        <v>0</v>
      </c>
      <c r="BI774" s="612">
        <f t="shared" si="599"/>
        <v>0</v>
      </c>
      <c r="BJ774" s="201">
        <f>AQ781-BI774</f>
        <v>0</v>
      </c>
    </row>
    <row r="775" spans="1:62" ht="12" customHeight="1">
      <c r="A775" s="25"/>
      <c r="B775" s="25"/>
      <c r="C775" s="25"/>
      <c r="D775" s="25"/>
      <c r="E775" s="25"/>
      <c r="F775" s="25"/>
      <c r="G775" s="25"/>
      <c r="H775" s="285"/>
      <c r="I775" s="349"/>
      <c r="J775" s="211">
        <v>3</v>
      </c>
      <c r="K775" s="3" t="s">
        <v>220</v>
      </c>
      <c r="L775" s="111">
        <f t="shared" ref="L775:AD777" si="605">L776</f>
        <v>31852</v>
      </c>
      <c r="M775" s="111">
        <f t="shared" si="605"/>
        <v>4227.4868936226685</v>
      </c>
      <c r="N775" s="112">
        <f t="shared" si="605"/>
        <v>56356</v>
      </c>
      <c r="O775" s="112">
        <f t="shared" si="605"/>
        <v>7479.7265910146652</v>
      </c>
      <c r="P775" s="113">
        <f t="shared" si="605"/>
        <v>10000</v>
      </c>
      <c r="Q775" s="113">
        <f t="shared" si="605"/>
        <v>12000</v>
      </c>
      <c r="R775" s="87">
        <f t="shared" si="605"/>
        <v>6574</v>
      </c>
      <c r="S775" s="89" t="e">
        <f t="shared" ca="1" si="605"/>
        <v>#NAME?</v>
      </c>
      <c r="T775" s="89"/>
      <c r="U775" s="89"/>
      <c r="V775" s="532">
        <f>V776</f>
        <v>8000</v>
      </c>
      <c r="W775" s="532">
        <f t="shared" si="605"/>
        <v>8000</v>
      </c>
      <c r="X775" s="506">
        <f t="shared" si="605"/>
        <v>12000</v>
      </c>
      <c r="Y775" s="507">
        <f t="shared" si="605"/>
        <v>15000</v>
      </c>
      <c r="Z775" s="507">
        <f t="shared" si="605"/>
        <v>0</v>
      </c>
      <c r="AA775" s="562" t="e">
        <f t="shared" ca="1" si="584"/>
        <v>#NAME?</v>
      </c>
      <c r="AB775" s="507"/>
      <c r="AC775" s="508">
        <f t="shared" si="605"/>
        <v>10000</v>
      </c>
      <c r="AD775" s="508">
        <f t="shared" si="605"/>
        <v>10000</v>
      </c>
      <c r="AE775" s="529">
        <f>O775/M775*100</f>
        <v>176.93080497300014</v>
      </c>
      <c r="AF775" s="529">
        <f t="shared" ref="AF775:AG778" si="606">P775/O775*100</f>
        <v>133.69472638228405</v>
      </c>
      <c r="AG775" s="529">
        <f t="shared" si="606"/>
        <v>120</v>
      </c>
      <c r="AH775" s="529">
        <f>AC775/Q775*100</f>
        <v>83.333333333333343</v>
      </c>
      <c r="AI775" s="507"/>
      <c r="AJ775" s="507">
        <v>15000</v>
      </c>
      <c r="AK775" s="507">
        <f>W775/R775*100</f>
        <v>121.69151201703681</v>
      </c>
      <c r="AL775" s="507">
        <f t="shared" ref="AL775:AM778" si="607">X775/W775*100</f>
        <v>150</v>
      </c>
      <c r="AM775" s="507">
        <f t="shared" si="607"/>
        <v>125</v>
      </c>
      <c r="AN775" s="509"/>
      <c r="AO775" s="510"/>
      <c r="AP775" s="510" t="e">
        <f t="shared" ca="1" si="581"/>
        <v>#NAME?</v>
      </c>
      <c r="AQ775" s="532">
        <f>AQ776</f>
        <v>3906.15</v>
      </c>
      <c r="AR775" s="533">
        <f t="shared" si="594"/>
        <v>121.69151201703681</v>
      </c>
      <c r="AS775" s="533">
        <f>W775/V775*100</f>
        <v>100</v>
      </c>
      <c r="AT775" s="533">
        <f t="shared" si="595"/>
        <v>121.69151201703681</v>
      </c>
      <c r="AU775" s="533">
        <f>AQ775/W775*100</f>
        <v>48.826875000000001</v>
      </c>
      <c r="AV775" s="533">
        <f>AQ775/R775*100</f>
        <v>59.418162458168545</v>
      </c>
      <c r="AW775" s="612"/>
      <c r="AX775" s="612"/>
      <c r="AY775" s="612"/>
      <c r="AZ775" s="612"/>
      <c r="BA775" s="612"/>
      <c r="BB775" s="612"/>
      <c r="BC775" s="612"/>
      <c r="BD775" s="612"/>
      <c r="BE775" s="612"/>
      <c r="BF775" s="612"/>
      <c r="BG775" s="612"/>
      <c r="BH775" s="612">
        <f t="shared" si="585"/>
        <v>0</v>
      </c>
      <c r="BI775" s="612">
        <f t="shared" si="599"/>
        <v>1500</v>
      </c>
      <c r="BJ775" s="201"/>
    </row>
    <row r="776" spans="1:62" ht="12" customHeight="1">
      <c r="A776" s="227"/>
      <c r="B776" s="227"/>
      <c r="C776" s="227"/>
      <c r="D776" s="227"/>
      <c r="E776" s="227"/>
      <c r="F776" s="227"/>
      <c r="G776" s="227"/>
      <c r="H776" s="234"/>
      <c r="I776" s="265"/>
      <c r="J776" s="228">
        <v>32</v>
      </c>
      <c r="K776" s="258" t="s">
        <v>229</v>
      </c>
      <c r="L776" s="111">
        <f t="shared" si="605"/>
        <v>31852</v>
      </c>
      <c r="M776" s="111">
        <f t="shared" si="605"/>
        <v>4227.4868936226685</v>
      </c>
      <c r="N776" s="112">
        <f t="shared" si="605"/>
        <v>56356</v>
      </c>
      <c r="O776" s="112">
        <f t="shared" si="605"/>
        <v>7479.7265910146652</v>
      </c>
      <c r="P776" s="113">
        <f t="shared" si="605"/>
        <v>10000</v>
      </c>
      <c r="Q776" s="113">
        <f t="shared" si="605"/>
        <v>12000</v>
      </c>
      <c r="R776" s="87">
        <f t="shared" si="605"/>
        <v>6574</v>
      </c>
      <c r="S776" s="89" t="e">
        <f t="shared" ca="1" si="605"/>
        <v>#NAME?</v>
      </c>
      <c r="T776" s="89"/>
      <c r="U776" s="89"/>
      <c r="V776" s="532">
        <f>V777</f>
        <v>8000</v>
      </c>
      <c r="W776" s="532">
        <f t="shared" si="605"/>
        <v>8000</v>
      </c>
      <c r="X776" s="506">
        <f t="shared" si="605"/>
        <v>12000</v>
      </c>
      <c r="Y776" s="507">
        <f t="shared" si="605"/>
        <v>15000</v>
      </c>
      <c r="Z776" s="507">
        <f t="shared" si="605"/>
        <v>0</v>
      </c>
      <c r="AA776" s="562" t="e">
        <f t="shared" ca="1" si="584"/>
        <v>#NAME?</v>
      </c>
      <c r="AB776" s="507"/>
      <c r="AC776" s="508">
        <f t="shared" si="605"/>
        <v>10000</v>
      </c>
      <c r="AD776" s="508">
        <f t="shared" si="605"/>
        <v>10000</v>
      </c>
      <c r="AE776" s="529">
        <f>O776/M776*100</f>
        <v>176.93080497300014</v>
      </c>
      <c r="AF776" s="529">
        <f t="shared" si="606"/>
        <v>133.69472638228405</v>
      </c>
      <c r="AG776" s="529">
        <f t="shared" si="606"/>
        <v>120</v>
      </c>
      <c r="AH776" s="529">
        <f>AC776/Q776*100</f>
        <v>83.333333333333343</v>
      </c>
      <c r="AI776" s="507"/>
      <c r="AJ776" s="507">
        <v>15000</v>
      </c>
      <c r="AK776" s="507">
        <f>W776/R776*100</f>
        <v>121.69151201703681</v>
      </c>
      <c r="AL776" s="507">
        <f t="shared" si="607"/>
        <v>150</v>
      </c>
      <c r="AM776" s="507">
        <f t="shared" si="607"/>
        <v>125</v>
      </c>
      <c r="AN776" s="509"/>
      <c r="AO776" s="510"/>
      <c r="AP776" s="510" t="e">
        <f t="shared" ca="1" si="581"/>
        <v>#NAME?</v>
      </c>
      <c r="AQ776" s="532">
        <f>AQ777</f>
        <v>3906.15</v>
      </c>
      <c r="AR776" s="533">
        <f t="shared" si="594"/>
        <v>121.69151201703681</v>
      </c>
      <c r="AS776" s="533">
        <f>W776/V776*100</f>
        <v>100</v>
      </c>
      <c r="AT776" s="533">
        <f t="shared" si="595"/>
        <v>121.69151201703681</v>
      </c>
      <c r="AU776" s="533">
        <f>AQ776/W776*100</f>
        <v>48.826875000000001</v>
      </c>
      <c r="AV776" s="533">
        <f>AQ776/R776*100</f>
        <v>59.418162458168545</v>
      </c>
      <c r="AW776" s="612"/>
      <c r="AX776" s="612"/>
      <c r="AY776" s="612"/>
      <c r="AZ776" s="612"/>
      <c r="BA776" s="612"/>
      <c r="BB776" s="612"/>
      <c r="BC776" s="612"/>
      <c r="BD776" s="612"/>
      <c r="BE776" s="612"/>
      <c r="BF776" s="612"/>
      <c r="BG776" s="612"/>
      <c r="BH776" s="612">
        <f t="shared" si="585"/>
        <v>0</v>
      </c>
      <c r="BI776" s="612">
        <f t="shared" si="599"/>
        <v>0</v>
      </c>
      <c r="BJ776" s="201">
        <f>AQ783-BI776</f>
        <v>0</v>
      </c>
    </row>
    <row r="777" spans="1:62" ht="12" customHeight="1">
      <c r="A777" s="61"/>
      <c r="B777" s="61"/>
      <c r="C777" s="61"/>
      <c r="D777" s="61"/>
      <c r="E777" s="61"/>
      <c r="F777" s="61"/>
      <c r="G777" s="61"/>
      <c r="H777" s="230"/>
      <c r="I777" s="348"/>
      <c r="J777" s="229">
        <v>329</v>
      </c>
      <c r="K777" s="20" t="s">
        <v>623</v>
      </c>
      <c r="L777" s="111">
        <f t="shared" si="605"/>
        <v>31852</v>
      </c>
      <c r="M777" s="111">
        <f t="shared" si="605"/>
        <v>4227.4868936226685</v>
      </c>
      <c r="N777" s="112">
        <f t="shared" si="605"/>
        <v>56356</v>
      </c>
      <c r="O777" s="112">
        <f t="shared" si="605"/>
        <v>7479.7265910146652</v>
      </c>
      <c r="P777" s="113">
        <f t="shared" si="605"/>
        <v>10000</v>
      </c>
      <c r="Q777" s="113">
        <f t="shared" si="605"/>
        <v>12000</v>
      </c>
      <c r="R777" s="87">
        <f t="shared" si="605"/>
        <v>6574</v>
      </c>
      <c r="S777" s="89" t="e">
        <f t="shared" ca="1" si="605"/>
        <v>#NAME?</v>
      </c>
      <c r="T777" s="89"/>
      <c r="U777" s="89"/>
      <c r="V777" s="532">
        <f>V778</f>
        <v>8000</v>
      </c>
      <c r="W777" s="532">
        <f t="shared" si="605"/>
        <v>8000</v>
      </c>
      <c r="X777" s="506">
        <f t="shared" si="605"/>
        <v>12000</v>
      </c>
      <c r="Y777" s="507">
        <f t="shared" si="605"/>
        <v>15000</v>
      </c>
      <c r="Z777" s="507">
        <f t="shared" si="605"/>
        <v>0</v>
      </c>
      <c r="AA777" s="562" t="e">
        <f t="shared" ca="1" si="584"/>
        <v>#NAME?</v>
      </c>
      <c r="AB777" s="507"/>
      <c r="AC777" s="508">
        <f>AC778</f>
        <v>10000</v>
      </c>
      <c r="AD777" s="508">
        <f>AD778</f>
        <v>10000</v>
      </c>
      <c r="AE777" s="529">
        <f>O777/M777*100</f>
        <v>176.93080497300014</v>
      </c>
      <c r="AF777" s="529">
        <f t="shared" si="606"/>
        <v>133.69472638228405</v>
      </c>
      <c r="AG777" s="529">
        <f t="shared" si="606"/>
        <v>120</v>
      </c>
      <c r="AH777" s="529">
        <f>AC777/Q777*100</f>
        <v>83.333333333333343</v>
      </c>
      <c r="AI777" s="507"/>
      <c r="AJ777" s="507">
        <v>15000</v>
      </c>
      <c r="AK777" s="507">
        <f>W777/R777*100</f>
        <v>121.69151201703681</v>
      </c>
      <c r="AL777" s="507">
        <f t="shared" si="607"/>
        <v>150</v>
      </c>
      <c r="AM777" s="507">
        <f t="shared" si="607"/>
        <v>125</v>
      </c>
      <c r="AN777" s="509"/>
      <c r="AO777" s="510"/>
      <c r="AP777" s="510" t="e">
        <f t="shared" ca="1" si="581"/>
        <v>#NAME?</v>
      </c>
      <c r="AQ777" s="532">
        <f>AQ778</f>
        <v>3906.15</v>
      </c>
      <c r="AR777" s="533">
        <f t="shared" si="594"/>
        <v>121.69151201703681</v>
      </c>
      <c r="AS777" s="533">
        <f>W777/V777*100</f>
        <v>100</v>
      </c>
      <c r="AT777" s="533">
        <f t="shared" si="595"/>
        <v>121.69151201703681</v>
      </c>
      <c r="AU777" s="533">
        <f>AQ777/W777*100</f>
        <v>48.826875000000001</v>
      </c>
      <c r="AV777" s="533">
        <f>AQ777/R777*100</f>
        <v>59.418162458168545</v>
      </c>
      <c r="AW777" s="612"/>
      <c r="AX777" s="612"/>
      <c r="AY777" s="612"/>
      <c r="AZ777" s="612"/>
      <c r="BA777" s="612"/>
      <c r="BB777" s="612"/>
      <c r="BC777" s="612"/>
      <c r="BD777" s="612"/>
      <c r="BE777" s="612"/>
      <c r="BF777" s="612"/>
      <c r="BG777" s="612"/>
      <c r="BH777" s="612">
        <f t="shared" si="585"/>
        <v>0</v>
      </c>
      <c r="BI777" s="612">
        <f t="shared" si="599"/>
        <v>1500</v>
      </c>
      <c r="BJ777" s="201"/>
    </row>
    <row r="778" spans="1:62" ht="12" customHeight="1">
      <c r="A778" s="52"/>
      <c r="B778" s="52"/>
      <c r="C778" s="52"/>
      <c r="D778" s="52"/>
      <c r="E778" s="52"/>
      <c r="F778" s="52"/>
      <c r="G778" s="52"/>
      <c r="H778" s="17" t="s">
        <v>624</v>
      </c>
      <c r="I778" s="365">
        <v>760</v>
      </c>
      <c r="J778" s="299">
        <v>3299</v>
      </c>
      <c r="K778" s="304" t="s">
        <v>625</v>
      </c>
      <c r="L778" s="305">
        <v>31852</v>
      </c>
      <c r="M778" s="305">
        <f>31852/7.5345</f>
        <v>4227.4868936226685</v>
      </c>
      <c r="N778" s="306">
        <v>56356</v>
      </c>
      <c r="O778" s="306">
        <f>N778/7.5345</f>
        <v>7479.7265910146652</v>
      </c>
      <c r="P778" s="307">
        <v>10000</v>
      </c>
      <c r="Q778" s="384">
        <v>12000</v>
      </c>
      <c r="R778" s="312">
        <v>6574</v>
      </c>
      <c r="S778" s="158" t="e">
        <f ca="1">__xlfn.XLOOKUP(H778,[1]Izvršenje_proračuna_po_pozicija!$B$2:$B$153,[1]Izvršenje_proračuna_po_pozicija!$E$2:$E$153,0)</f>
        <v>#NAME?</v>
      </c>
      <c r="T778" s="311"/>
      <c r="U778" s="311"/>
      <c r="V778" s="532">
        <v>8000</v>
      </c>
      <c r="W778" s="532">
        <v>8000</v>
      </c>
      <c r="X778" s="584">
        <v>12000</v>
      </c>
      <c r="Y778" s="585">
        <v>15000</v>
      </c>
      <c r="Z778" s="585"/>
      <c r="AA778" s="562" t="e">
        <f t="shared" ca="1" si="584"/>
        <v>#NAME?</v>
      </c>
      <c r="AB778" s="586"/>
      <c r="AC778" s="587">
        <v>10000</v>
      </c>
      <c r="AD778" s="587">
        <v>10000</v>
      </c>
      <c r="AE778" s="529">
        <f>O778/M778*100</f>
        <v>176.93080497300014</v>
      </c>
      <c r="AF778" s="529">
        <f t="shared" si="606"/>
        <v>133.69472638228405</v>
      </c>
      <c r="AG778" s="529">
        <f t="shared" si="606"/>
        <v>120</v>
      </c>
      <c r="AH778" s="529">
        <f>AC778/Q778*100</f>
        <v>83.333333333333343</v>
      </c>
      <c r="AI778" s="586"/>
      <c r="AJ778" s="585">
        <v>15000</v>
      </c>
      <c r="AK778" s="507">
        <f>W778/R778*100</f>
        <v>121.69151201703681</v>
      </c>
      <c r="AL778" s="507">
        <f t="shared" si="607"/>
        <v>150</v>
      </c>
      <c r="AM778" s="507">
        <f t="shared" si="607"/>
        <v>125</v>
      </c>
      <c r="AN778" s="588"/>
      <c r="AO778" s="510"/>
      <c r="AP778" s="510" t="e">
        <f t="shared" ca="1" si="581"/>
        <v>#NAME?</v>
      </c>
      <c r="AQ778" s="532">
        <v>3906.15</v>
      </c>
      <c r="AR778" s="533">
        <f t="shared" si="594"/>
        <v>121.69151201703681</v>
      </c>
      <c r="AS778" s="533">
        <f>W778/V778*100</f>
        <v>100</v>
      </c>
      <c r="AT778" s="533">
        <f t="shared" si="595"/>
        <v>121.69151201703681</v>
      </c>
      <c r="AU778" s="533">
        <f>AQ778/W778*100</f>
        <v>48.826875000000001</v>
      </c>
      <c r="AV778" s="533">
        <f>AQ778/R778*100</f>
        <v>59.418162458168545</v>
      </c>
      <c r="AW778" s="612">
        <f>AQ778</f>
        <v>3906.15</v>
      </c>
      <c r="AX778" s="612"/>
      <c r="AY778" s="612"/>
      <c r="AZ778" s="612"/>
      <c r="BA778" s="612"/>
      <c r="BB778" s="612"/>
      <c r="BC778" s="612"/>
      <c r="BD778" s="612"/>
      <c r="BE778" s="612"/>
      <c r="BF778" s="612"/>
      <c r="BG778" s="612"/>
      <c r="BH778" s="612">
        <f t="shared" si="585"/>
        <v>3906.15</v>
      </c>
      <c r="BI778" s="612">
        <f t="shared" si="599"/>
        <v>1500</v>
      </c>
      <c r="BJ778" s="201"/>
    </row>
    <row r="779" spans="1:62" ht="12" customHeight="1">
      <c r="A779" s="52"/>
      <c r="B779" s="52"/>
      <c r="C779" s="52"/>
      <c r="D779" s="52"/>
      <c r="E779" s="52"/>
      <c r="F779" s="52"/>
      <c r="G779" s="52"/>
      <c r="H779" s="17"/>
      <c r="I779" s="365"/>
      <c r="J779" s="299"/>
      <c r="K779" s="304"/>
      <c r="L779" s="305"/>
      <c r="M779" s="305"/>
      <c r="N779" s="306"/>
      <c r="O779" s="306"/>
      <c r="P779" s="307"/>
      <c r="Q779" s="307"/>
      <c r="R779" s="312"/>
      <c r="S779" s="158" t="e">
        <f ca="1">__xlfn.XLOOKUP(H779,[1]Izvršenje_proračuna_po_pozicija!$B$2:$B$153,[1]Izvršenje_proračuna_po_pozicija!$E$2:$E$153,0)</f>
        <v>#NAME?</v>
      </c>
      <c r="T779" s="311"/>
      <c r="U779" s="311"/>
      <c r="V779" s="532"/>
      <c r="W779" s="532"/>
      <c r="X779" s="584"/>
      <c r="Y779" s="585"/>
      <c r="Z779" s="585"/>
      <c r="AA779" s="562" t="e">
        <f t="shared" ca="1" si="584"/>
        <v>#NAME?</v>
      </c>
      <c r="AB779" s="586"/>
      <c r="AC779" s="587"/>
      <c r="AD779" s="587"/>
      <c r="AE779" s="529"/>
      <c r="AF779" s="529"/>
      <c r="AG779" s="529"/>
      <c r="AH779" s="529"/>
      <c r="AI779" s="586"/>
      <c r="AJ779" s="585"/>
      <c r="AK779" s="507"/>
      <c r="AL779" s="507"/>
      <c r="AM779" s="507"/>
      <c r="AN779" s="588"/>
      <c r="AO779" s="510"/>
      <c r="AP779" s="510" t="e">
        <f t="shared" ca="1" si="581"/>
        <v>#NAME?</v>
      </c>
      <c r="AQ779" s="532"/>
      <c r="AR779" s="533"/>
      <c r="AS779" s="533"/>
      <c r="AT779" s="533"/>
      <c r="AU779" s="533"/>
      <c r="AV779" s="533"/>
      <c r="AW779" s="612"/>
      <c r="AX779" s="612"/>
      <c r="AY779" s="612"/>
      <c r="AZ779" s="612"/>
      <c r="BA779" s="612"/>
      <c r="BB779" s="612"/>
      <c r="BC779" s="612"/>
      <c r="BD779" s="612"/>
      <c r="BE779" s="612"/>
      <c r="BF779" s="612"/>
      <c r="BG779" s="612"/>
      <c r="BH779" s="612">
        <f t="shared" si="585"/>
        <v>0</v>
      </c>
      <c r="BI779" s="612">
        <f t="shared" si="599"/>
        <v>0</v>
      </c>
      <c r="BJ779" s="201">
        <f t="shared" ref="BJ779:BJ784" si="608">AQ786-BI779</f>
        <v>0</v>
      </c>
    </row>
    <row r="780" spans="1:62" ht="12" customHeight="1">
      <c r="A780" s="282" t="s">
        <v>356</v>
      </c>
      <c r="B780" s="283"/>
      <c r="C780" s="283"/>
      <c r="D780" s="283"/>
      <c r="E780" s="283"/>
      <c r="F780" s="283"/>
      <c r="G780" s="283"/>
      <c r="H780" s="318"/>
      <c r="I780" s="366" t="s">
        <v>626</v>
      </c>
      <c r="J780" s="367"/>
      <c r="K780" s="368"/>
      <c r="L780" s="250">
        <f t="shared" ref="L780:S780" si="609">L782</f>
        <v>48000</v>
      </c>
      <c r="M780" s="250">
        <f t="shared" si="609"/>
        <v>6370.6948039020499</v>
      </c>
      <c r="N780" s="251">
        <f t="shared" si="609"/>
        <v>30000</v>
      </c>
      <c r="O780" s="251">
        <f t="shared" si="609"/>
        <v>3981.6842524387812</v>
      </c>
      <c r="P780" s="252">
        <f t="shared" si="609"/>
        <v>10000</v>
      </c>
      <c r="Q780" s="252">
        <f t="shared" si="609"/>
        <v>10000</v>
      </c>
      <c r="R780" s="272">
        <f t="shared" si="609"/>
        <v>4000</v>
      </c>
      <c r="S780" s="273" t="e">
        <f t="shared" ca="1" si="609"/>
        <v>#NAME?</v>
      </c>
      <c r="T780" s="273"/>
      <c r="U780" s="273"/>
      <c r="V780" s="532">
        <f>V782</f>
        <v>10000</v>
      </c>
      <c r="W780" s="532">
        <f>W782</f>
        <v>10000</v>
      </c>
      <c r="X780" s="564">
        <f>X782</f>
        <v>15000</v>
      </c>
      <c r="Y780" s="565">
        <f>Y782</f>
        <v>20000</v>
      </c>
      <c r="Z780" s="565">
        <f>Z782</f>
        <v>0</v>
      </c>
      <c r="AA780" s="562" t="e">
        <f t="shared" ca="1" si="584"/>
        <v>#NAME?</v>
      </c>
      <c r="AB780" s="565"/>
      <c r="AC780" s="566">
        <f>AC782</f>
        <v>10000</v>
      </c>
      <c r="AD780" s="566">
        <f>AD782</f>
        <v>10000</v>
      </c>
      <c r="AE780" s="529">
        <f>O780/M780*100</f>
        <v>62.5</v>
      </c>
      <c r="AF780" s="529">
        <f>P780/O780*100</f>
        <v>251.15000000000003</v>
      </c>
      <c r="AG780" s="529">
        <f>Q780/P780*100</f>
        <v>100</v>
      </c>
      <c r="AH780" s="529">
        <f>AC780/Q780*100</f>
        <v>100</v>
      </c>
      <c r="AI780" s="565"/>
      <c r="AJ780" s="565">
        <v>20000</v>
      </c>
      <c r="AK780" s="507">
        <f>W780/R780*100</f>
        <v>250</v>
      </c>
      <c r="AL780" s="507">
        <f>X780/W780*100</f>
        <v>150</v>
      </c>
      <c r="AM780" s="507">
        <f>Y780/X780*100</f>
        <v>133.33333333333331</v>
      </c>
      <c r="AN780" s="567"/>
      <c r="AO780" s="510"/>
      <c r="AP780" s="510" t="e">
        <f t="shared" ca="1" si="581"/>
        <v>#NAME?</v>
      </c>
      <c r="AQ780" s="532">
        <f>AQ782</f>
        <v>1500</v>
      </c>
      <c r="AR780" s="533">
        <f t="shared" si="594"/>
        <v>250</v>
      </c>
      <c r="AS780" s="533">
        <f>W780/V780*100</f>
        <v>100</v>
      </c>
      <c r="AT780" s="533">
        <f t="shared" si="595"/>
        <v>250</v>
      </c>
      <c r="AU780" s="533">
        <f>AQ780/W780*100</f>
        <v>15</v>
      </c>
      <c r="AV780" s="533">
        <f>AQ780/R780*100</f>
        <v>37.5</v>
      </c>
      <c r="AW780" s="612"/>
      <c r="AX780" s="612"/>
      <c r="AY780" s="612"/>
      <c r="AZ780" s="612"/>
      <c r="BA780" s="612"/>
      <c r="BB780" s="612"/>
      <c r="BC780" s="612"/>
      <c r="BD780" s="612"/>
      <c r="BE780" s="612"/>
      <c r="BF780" s="612"/>
      <c r="BG780" s="612"/>
      <c r="BH780" s="612">
        <f t="shared" si="585"/>
        <v>0</v>
      </c>
      <c r="BI780" s="612">
        <f t="shared" si="599"/>
        <v>1500</v>
      </c>
      <c r="BJ780" s="201">
        <f t="shared" si="608"/>
        <v>0</v>
      </c>
    </row>
    <row r="781" spans="1:62" ht="12" customHeight="1">
      <c r="A781" s="68"/>
      <c r="B781" s="68"/>
      <c r="C781" s="68"/>
      <c r="D781" s="68"/>
      <c r="E781" s="68"/>
      <c r="F781" s="68"/>
      <c r="G781" s="68"/>
      <c r="H781" s="281"/>
      <c r="I781" s="256"/>
      <c r="J781" s="211"/>
      <c r="K781" s="69"/>
      <c r="L781" s="175"/>
      <c r="M781" s="175"/>
      <c r="N781" s="176"/>
      <c r="O781" s="176"/>
      <c r="P781" s="177"/>
      <c r="Q781" s="177"/>
      <c r="R781" s="212"/>
      <c r="S781" s="158" t="e">
        <f ca="1">__xlfn.XLOOKUP(H781,[1]Izvršenje_proračuna_po_pozicija!$B$2:$B$153,[1]Izvršenje_proračuna_po_pozicija!$E$2:$E$153,0)</f>
        <v>#NAME?</v>
      </c>
      <c r="T781" s="158"/>
      <c r="U781" s="158"/>
      <c r="V781" s="532"/>
      <c r="W781" s="532"/>
      <c r="X781" s="563"/>
      <c r="Y781" s="562"/>
      <c r="Z781" s="562"/>
      <c r="AA781" s="562" t="e">
        <f t="shared" ca="1" si="584"/>
        <v>#NAME?</v>
      </c>
      <c r="AB781" s="507"/>
      <c r="AC781" s="508"/>
      <c r="AD781" s="508"/>
      <c r="AE781" s="529"/>
      <c r="AF781" s="529"/>
      <c r="AG781" s="529"/>
      <c r="AH781" s="529"/>
      <c r="AI781" s="507"/>
      <c r="AJ781" s="562"/>
      <c r="AK781" s="507"/>
      <c r="AL781" s="507"/>
      <c r="AM781" s="507"/>
      <c r="AN781" s="509"/>
      <c r="AO781" s="510"/>
      <c r="AP781" s="510" t="e">
        <f t="shared" ca="1" si="581"/>
        <v>#NAME?</v>
      </c>
      <c r="AQ781" s="532"/>
      <c r="AR781" s="533"/>
      <c r="AS781" s="533"/>
      <c r="AT781" s="533"/>
      <c r="AU781" s="533"/>
      <c r="AV781" s="533"/>
      <c r="AW781" s="612"/>
      <c r="AX781" s="612"/>
      <c r="AY781" s="612"/>
      <c r="AZ781" s="612"/>
      <c r="BA781" s="612"/>
      <c r="BB781" s="612"/>
      <c r="BC781" s="612"/>
      <c r="BD781" s="612"/>
      <c r="BE781" s="612"/>
      <c r="BF781" s="612"/>
      <c r="BG781" s="612"/>
      <c r="BH781" s="612">
        <f t="shared" si="585"/>
        <v>0</v>
      </c>
      <c r="BI781" s="612">
        <f t="shared" si="599"/>
        <v>0</v>
      </c>
      <c r="BJ781" s="201">
        <f t="shared" si="608"/>
        <v>0</v>
      </c>
    </row>
    <row r="782" spans="1:62" ht="12" customHeight="1">
      <c r="A782" s="360"/>
      <c r="B782" s="360"/>
      <c r="C782" s="360"/>
      <c r="D782" s="360"/>
      <c r="E782" s="360"/>
      <c r="F782" s="360"/>
      <c r="G782" s="360"/>
      <c r="H782" s="23"/>
      <c r="I782" s="265"/>
      <c r="J782" s="228">
        <v>38</v>
      </c>
      <c r="K782" s="258" t="s">
        <v>281</v>
      </c>
      <c r="L782" s="111">
        <f t="shared" ref="L782:S782" si="610">L784</f>
        <v>48000</v>
      </c>
      <c r="M782" s="111">
        <f t="shared" si="610"/>
        <v>6370.6948039020499</v>
      </c>
      <c r="N782" s="112">
        <f t="shared" si="610"/>
        <v>30000</v>
      </c>
      <c r="O782" s="112">
        <f t="shared" si="610"/>
        <v>3981.6842524387812</v>
      </c>
      <c r="P782" s="113">
        <f t="shared" si="610"/>
        <v>10000</v>
      </c>
      <c r="Q782" s="113">
        <f t="shared" si="610"/>
        <v>10000</v>
      </c>
      <c r="R782" s="87">
        <f t="shared" si="610"/>
        <v>4000</v>
      </c>
      <c r="S782" s="89" t="e">
        <f t="shared" ca="1" si="610"/>
        <v>#NAME?</v>
      </c>
      <c r="T782" s="89"/>
      <c r="U782" s="89"/>
      <c r="V782" s="532">
        <f>V784</f>
        <v>10000</v>
      </c>
      <c r="W782" s="532">
        <f>W784</f>
        <v>10000</v>
      </c>
      <c r="X782" s="506">
        <f>X784</f>
        <v>15000</v>
      </c>
      <c r="Y782" s="507">
        <f>Y784</f>
        <v>20000</v>
      </c>
      <c r="Z782" s="507">
        <f>Z784</f>
        <v>0</v>
      </c>
      <c r="AA782" s="562" t="e">
        <f t="shared" ca="1" si="584"/>
        <v>#NAME?</v>
      </c>
      <c r="AB782" s="507"/>
      <c r="AC782" s="508">
        <f>AC784</f>
        <v>10000</v>
      </c>
      <c r="AD782" s="508">
        <f>AD784</f>
        <v>10000</v>
      </c>
      <c r="AE782" s="529">
        <f>O782/M782*100</f>
        <v>62.5</v>
      </c>
      <c r="AF782" s="529">
        <f>P782/O782*100</f>
        <v>251.15000000000003</v>
      </c>
      <c r="AG782" s="529">
        <f>Q782/P782*100</f>
        <v>100</v>
      </c>
      <c r="AH782" s="529">
        <f>AC782/Q782*100</f>
        <v>100</v>
      </c>
      <c r="AI782" s="507"/>
      <c r="AJ782" s="507">
        <v>20000</v>
      </c>
      <c r="AK782" s="507">
        <f>W782/R782*100</f>
        <v>250</v>
      </c>
      <c r="AL782" s="507">
        <f>X782/W782*100</f>
        <v>150</v>
      </c>
      <c r="AM782" s="507">
        <f>Y782/X782*100</f>
        <v>133.33333333333331</v>
      </c>
      <c r="AN782" s="509"/>
      <c r="AO782" s="510"/>
      <c r="AP782" s="510" t="e">
        <f t="shared" ca="1" si="581"/>
        <v>#NAME?</v>
      </c>
      <c r="AQ782" s="532">
        <f>AQ784</f>
        <v>1500</v>
      </c>
      <c r="AR782" s="532">
        <f t="shared" ref="AR782:BG782" si="611">AR784</f>
        <v>0</v>
      </c>
      <c r="AS782" s="532">
        <f t="shared" si="611"/>
        <v>200</v>
      </c>
      <c r="AT782" s="532">
        <f t="shared" si="611"/>
        <v>0</v>
      </c>
      <c r="AU782" s="532">
        <f t="shared" si="611"/>
        <v>75</v>
      </c>
      <c r="AV782" s="532">
        <f t="shared" si="611"/>
        <v>0</v>
      </c>
      <c r="AW782" s="612">
        <f t="shared" si="611"/>
        <v>1500</v>
      </c>
      <c r="AX782" s="612">
        <f t="shared" si="611"/>
        <v>0</v>
      </c>
      <c r="AY782" s="612">
        <f t="shared" si="611"/>
        <v>0</v>
      </c>
      <c r="AZ782" s="612">
        <f t="shared" si="611"/>
        <v>0</v>
      </c>
      <c r="BA782" s="612">
        <f t="shared" si="611"/>
        <v>0</v>
      </c>
      <c r="BB782" s="612">
        <f t="shared" si="611"/>
        <v>0</v>
      </c>
      <c r="BC782" s="612">
        <f t="shared" si="611"/>
        <v>0</v>
      </c>
      <c r="BD782" s="612">
        <f t="shared" si="611"/>
        <v>0</v>
      </c>
      <c r="BE782" s="612">
        <f t="shared" si="611"/>
        <v>0</v>
      </c>
      <c r="BF782" s="612">
        <f t="shared" si="611"/>
        <v>0</v>
      </c>
      <c r="BG782" s="612">
        <f t="shared" si="611"/>
        <v>0</v>
      </c>
      <c r="BH782" s="612">
        <f t="shared" si="585"/>
        <v>1500</v>
      </c>
      <c r="BI782" s="612">
        <f t="shared" si="599"/>
        <v>0</v>
      </c>
      <c r="BJ782" s="201">
        <f t="shared" si="608"/>
        <v>0</v>
      </c>
    </row>
    <row r="783" spans="1:62" ht="12" customHeight="1">
      <c r="A783" s="41"/>
      <c r="B783" s="41"/>
      <c r="C783" s="41"/>
      <c r="D783" s="41"/>
      <c r="E783" s="41"/>
      <c r="F783" s="41"/>
      <c r="G783" s="41"/>
      <c r="H783" s="235"/>
      <c r="I783" s="15"/>
      <c r="J783" s="3"/>
      <c r="K783" s="83"/>
      <c r="L783" s="84">
        <v>1</v>
      </c>
      <c r="M783" s="84">
        <v>2</v>
      </c>
      <c r="N783" s="85">
        <v>3</v>
      </c>
      <c r="O783" s="85">
        <v>4</v>
      </c>
      <c r="P783" s="86">
        <v>5</v>
      </c>
      <c r="Q783" s="86">
        <v>6</v>
      </c>
      <c r="R783" s="154"/>
      <c r="S783" s="158" t="e">
        <f ca="1">__xlfn.XLOOKUP(H783,[1]Izvršenje_proračuna_po_pozicija!$B$2:$B$153,[1]Izvršenje_proračuna_po_pozicija!$E$2:$E$153,0)</f>
        <v>#NAME?</v>
      </c>
      <c r="T783" s="158"/>
      <c r="U783" s="158"/>
      <c r="V783" s="532"/>
      <c r="W783" s="532"/>
      <c r="X783" s="568"/>
      <c r="Y783" s="569"/>
      <c r="Z783" s="569"/>
      <c r="AA783" s="562" t="e">
        <f t="shared" ca="1" si="584"/>
        <v>#NAME?</v>
      </c>
      <c r="AB783" s="537"/>
      <c r="AC783" s="538">
        <v>7</v>
      </c>
      <c r="AD783" s="538">
        <v>8</v>
      </c>
      <c r="AE783" s="538">
        <v>9</v>
      </c>
      <c r="AF783" s="538">
        <v>10</v>
      </c>
      <c r="AG783" s="538">
        <v>11</v>
      </c>
      <c r="AH783" s="538">
        <v>12</v>
      </c>
      <c r="AI783" s="537"/>
      <c r="AJ783" s="569"/>
      <c r="AK783" s="507"/>
      <c r="AL783" s="507"/>
      <c r="AM783" s="507"/>
      <c r="AN783" s="557"/>
      <c r="AO783" s="510"/>
      <c r="AP783" s="510" t="e">
        <f t="shared" ca="1" si="581"/>
        <v>#NAME?</v>
      </c>
      <c r="AQ783" s="532"/>
      <c r="AR783" s="533"/>
      <c r="AS783" s="533"/>
      <c r="AT783" s="533"/>
      <c r="AU783" s="533"/>
      <c r="AV783" s="533"/>
      <c r="AW783" s="612"/>
      <c r="AX783" s="612"/>
      <c r="AY783" s="612"/>
      <c r="AZ783" s="612"/>
      <c r="BA783" s="612"/>
      <c r="BB783" s="612"/>
      <c r="BC783" s="612"/>
      <c r="BD783" s="612"/>
      <c r="BE783" s="612"/>
      <c r="BF783" s="612"/>
      <c r="BG783" s="612"/>
      <c r="BH783" s="612">
        <f t="shared" si="585"/>
        <v>0</v>
      </c>
      <c r="BI783" s="612">
        <f t="shared" si="599"/>
        <v>0</v>
      </c>
      <c r="BJ783" s="201">
        <f t="shared" si="608"/>
        <v>0</v>
      </c>
    </row>
    <row r="784" spans="1:62" ht="12" customHeight="1">
      <c r="A784" s="61"/>
      <c r="B784" s="375"/>
      <c r="C784" s="375"/>
      <c r="D784" s="375"/>
      <c r="E784" s="375"/>
      <c r="F784" s="375"/>
      <c r="G784" s="375"/>
      <c r="H784" s="376"/>
      <c r="I784" s="377"/>
      <c r="J784" s="229">
        <v>381</v>
      </c>
      <c r="K784" s="20" t="s">
        <v>397</v>
      </c>
      <c r="L784" s="111">
        <f t="shared" ref="L784:Z784" si="612">L785</f>
        <v>48000</v>
      </c>
      <c r="M784" s="111">
        <f t="shared" si="612"/>
        <v>6370.6948039020499</v>
      </c>
      <c r="N784" s="112">
        <f t="shared" si="612"/>
        <v>30000</v>
      </c>
      <c r="O784" s="112">
        <f t="shared" si="612"/>
        <v>3981.6842524387812</v>
      </c>
      <c r="P784" s="113">
        <f t="shared" si="612"/>
        <v>10000</v>
      </c>
      <c r="Q784" s="113">
        <f t="shared" si="612"/>
        <v>10000</v>
      </c>
      <c r="R784" s="87">
        <f t="shared" si="612"/>
        <v>4000</v>
      </c>
      <c r="S784" s="89" t="e">
        <f t="shared" ca="1" si="612"/>
        <v>#NAME?</v>
      </c>
      <c r="T784" s="89"/>
      <c r="U784" s="89"/>
      <c r="V784" s="532">
        <f>V785</f>
        <v>10000</v>
      </c>
      <c r="W784" s="532">
        <f t="shared" si="612"/>
        <v>10000</v>
      </c>
      <c r="X784" s="506">
        <f t="shared" si="612"/>
        <v>15000</v>
      </c>
      <c r="Y784" s="507">
        <f t="shared" si="612"/>
        <v>20000</v>
      </c>
      <c r="Z784" s="507">
        <f t="shared" si="612"/>
        <v>0</v>
      </c>
      <c r="AA784" s="562" t="e">
        <f t="shared" ca="1" si="584"/>
        <v>#NAME?</v>
      </c>
      <c r="AB784" s="507"/>
      <c r="AC784" s="508">
        <f>AC785</f>
        <v>10000</v>
      </c>
      <c r="AD784" s="508">
        <f>AD785</f>
        <v>10000</v>
      </c>
      <c r="AE784" s="529">
        <f>O784/M784*100</f>
        <v>62.5</v>
      </c>
      <c r="AF784" s="529">
        <f>P784/O784*100</f>
        <v>251.15000000000003</v>
      </c>
      <c r="AG784" s="529">
        <f>Q784/P784*100</f>
        <v>100</v>
      </c>
      <c r="AH784" s="529">
        <f>AC784/Q784*100</f>
        <v>100</v>
      </c>
      <c r="AI784" s="507"/>
      <c r="AJ784" s="507">
        <v>20000</v>
      </c>
      <c r="AK784" s="507">
        <f>W784/R784*100</f>
        <v>250</v>
      </c>
      <c r="AL784" s="507">
        <f>X784/W784*100</f>
        <v>150</v>
      </c>
      <c r="AM784" s="507">
        <f>Y784/X784*100</f>
        <v>133.33333333333331</v>
      </c>
      <c r="AN784" s="509"/>
      <c r="AO784" s="510"/>
      <c r="AP784" s="510" t="e">
        <f t="shared" ca="1" si="581"/>
        <v>#NAME?</v>
      </c>
      <c r="AQ784" s="532">
        <f>AQ785</f>
        <v>1500</v>
      </c>
      <c r="AR784" s="532">
        <f t="shared" ref="AR784:BG784" si="613">AR785</f>
        <v>0</v>
      </c>
      <c r="AS784" s="532">
        <f t="shared" si="613"/>
        <v>200</v>
      </c>
      <c r="AT784" s="532">
        <f t="shared" si="613"/>
        <v>0</v>
      </c>
      <c r="AU784" s="532">
        <f t="shared" si="613"/>
        <v>75</v>
      </c>
      <c r="AV784" s="532">
        <f t="shared" si="613"/>
        <v>0</v>
      </c>
      <c r="AW784" s="612">
        <f t="shared" si="613"/>
        <v>1500</v>
      </c>
      <c r="AX784" s="612">
        <f t="shared" si="613"/>
        <v>0</v>
      </c>
      <c r="AY784" s="612">
        <f t="shared" si="613"/>
        <v>0</v>
      </c>
      <c r="AZ784" s="612">
        <f t="shared" si="613"/>
        <v>0</v>
      </c>
      <c r="BA784" s="612">
        <f t="shared" si="613"/>
        <v>0</v>
      </c>
      <c r="BB784" s="612">
        <f t="shared" si="613"/>
        <v>0</v>
      </c>
      <c r="BC784" s="612">
        <f t="shared" si="613"/>
        <v>0</v>
      </c>
      <c r="BD784" s="612">
        <f t="shared" si="613"/>
        <v>0</v>
      </c>
      <c r="BE784" s="612">
        <f t="shared" si="613"/>
        <v>0</v>
      </c>
      <c r="BF784" s="612">
        <f t="shared" si="613"/>
        <v>0</v>
      </c>
      <c r="BG784" s="612">
        <f t="shared" si="613"/>
        <v>0</v>
      </c>
      <c r="BH784" s="612">
        <f t="shared" si="585"/>
        <v>1500</v>
      </c>
      <c r="BI784" s="612">
        <f t="shared" si="599"/>
        <v>0</v>
      </c>
      <c r="BJ784" s="201">
        <f t="shared" si="608"/>
        <v>0</v>
      </c>
    </row>
    <row r="785" spans="1:62" ht="12" customHeight="1">
      <c r="A785" s="167"/>
      <c r="B785" s="167"/>
      <c r="C785" s="167"/>
      <c r="D785" s="167"/>
      <c r="E785" s="167"/>
      <c r="F785" s="167"/>
      <c r="G785" s="167"/>
      <c r="H785" s="22"/>
      <c r="I785" s="289"/>
      <c r="J785" s="185">
        <v>3811</v>
      </c>
      <c r="K785" s="19" t="s">
        <v>282</v>
      </c>
      <c r="L785" s="111">
        <v>48000</v>
      </c>
      <c r="M785" s="111">
        <f>48000/7.5345</f>
        <v>6370.6948039020499</v>
      </c>
      <c r="N785" s="112">
        <v>30000</v>
      </c>
      <c r="O785" s="112">
        <f>N785/7.5345</f>
        <v>3981.6842524387812</v>
      </c>
      <c r="P785" s="113">
        <v>10000</v>
      </c>
      <c r="Q785" s="113">
        <v>10000</v>
      </c>
      <c r="R785" s="87">
        <f t="shared" ref="R785:Z785" si="614">R786+R787+R788+R789+R790</f>
        <v>4000</v>
      </c>
      <c r="S785" s="89" t="e">
        <f t="shared" ca="1" si="614"/>
        <v>#NAME?</v>
      </c>
      <c r="T785" s="89"/>
      <c r="U785" s="89"/>
      <c r="V785" s="532">
        <f t="shared" si="614"/>
        <v>10000</v>
      </c>
      <c r="W785" s="532">
        <f t="shared" si="614"/>
        <v>10000</v>
      </c>
      <c r="X785" s="506">
        <f t="shared" si="614"/>
        <v>15000</v>
      </c>
      <c r="Y785" s="507">
        <f t="shared" si="614"/>
        <v>20000</v>
      </c>
      <c r="Z785" s="507">
        <f t="shared" si="614"/>
        <v>0</v>
      </c>
      <c r="AA785" s="562" t="e">
        <f t="shared" ca="1" si="584"/>
        <v>#NAME?</v>
      </c>
      <c r="AB785" s="507"/>
      <c r="AC785" s="508">
        <v>10000</v>
      </c>
      <c r="AD785" s="508">
        <v>10000</v>
      </c>
      <c r="AE785" s="529">
        <f>O785/M785*100</f>
        <v>62.5</v>
      </c>
      <c r="AF785" s="529">
        <f>P785/O785*100</f>
        <v>251.15000000000003</v>
      </c>
      <c r="AG785" s="529">
        <f>Q785/P785*100</f>
        <v>100</v>
      </c>
      <c r="AH785" s="529">
        <f>AC785/Q785*100</f>
        <v>100</v>
      </c>
      <c r="AI785" s="507"/>
      <c r="AJ785" s="507">
        <v>20000</v>
      </c>
      <c r="AK785" s="507">
        <f>W785/R785*100</f>
        <v>250</v>
      </c>
      <c r="AL785" s="507">
        <f>X785/W785*100</f>
        <v>150</v>
      </c>
      <c r="AM785" s="507">
        <f>Y785/X785*100</f>
        <v>133.33333333333331</v>
      </c>
      <c r="AN785" s="509"/>
      <c r="AO785" s="510"/>
      <c r="AP785" s="510" t="e">
        <f t="shared" ca="1" si="581"/>
        <v>#NAME?</v>
      </c>
      <c r="AQ785" s="532">
        <f>AQ786+AQ787+AQ788+AQ789+AQ790</f>
        <v>1500</v>
      </c>
      <c r="AR785" s="532">
        <f t="shared" ref="AR785:BG785" si="615">AR786+AR787+AR788+AR789+AR790</f>
        <v>0</v>
      </c>
      <c r="AS785" s="532">
        <f t="shared" si="615"/>
        <v>200</v>
      </c>
      <c r="AT785" s="532">
        <f t="shared" si="615"/>
        <v>0</v>
      </c>
      <c r="AU785" s="532">
        <f t="shared" si="615"/>
        <v>75</v>
      </c>
      <c r="AV785" s="532">
        <f t="shared" si="615"/>
        <v>0</v>
      </c>
      <c r="AW785" s="612">
        <f t="shared" si="615"/>
        <v>1500</v>
      </c>
      <c r="AX785" s="612">
        <f t="shared" si="615"/>
        <v>0</v>
      </c>
      <c r="AY785" s="612">
        <f t="shared" si="615"/>
        <v>0</v>
      </c>
      <c r="AZ785" s="612">
        <f t="shared" si="615"/>
        <v>0</v>
      </c>
      <c r="BA785" s="612">
        <f t="shared" si="615"/>
        <v>0</v>
      </c>
      <c r="BB785" s="612">
        <f t="shared" si="615"/>
        <v>0</v>
      </c>
      <c r="BC785" s="612">
        <f t="shared" si="615"/>
        <v>0</v>
      </c>
      <c r="BD785" s="612">
        <f t="shared" si="615"/>
        <v>0</v>
      </c>
      <c r="BE785" s="612">
        <f t="shared" si="615"/>
        <v>0</v>
      </c>
      <c r="BF785" s="612">
        <f t="shared" si="615"/>
        <v>0</v>
      </c>
      <c r="BG785" s="612">
        <f t="shared" si="615"/>
        <v>0</v>
      </c>
      <c r="BH785" s="612">
        <f t="shared" si="585"/>
        <v>1500</v>
      </c>
      <c r="BI785" s="612">
        <f t="shared" si="599"/>
        <v>0</v>
      </c>
      <c r="BJ785" s="201"/>
    </row>
    <row r="786" spans="1:62" ht="12" customHeight="1">
      <c r="A786" s="52"/>
      <c r="B786" s="52"/>
      <c r="C786" s="52"/>
      <c r="D786" s="52"/>
      <c r="E786" s="52"/>
      <c r="F786" s="52"/>
      <c r="G786" s="52"/>
      <c r="H786" s="2">
        <v>135</v>
      </c>
      <c r="I786" s="289">
        <v>760</v>
      </c>
      <c r="J786" s="185">
        <v>3811</v>
      </c>
      <c r="K786" s="19" t="s">
        <v>627</v>
      </c>
      <c r="L786" s="129">
        <v>0</v>
      </c>
      <c r="M786" s="129">
        <v>0</v>
      </c>
      <c r="N786" s="130">
        <v>0</v>
      </c>
      <c r="O786" s="130">
        <v>0</v>
      </c>
      <c r="P786" s="131">
        <v>0</v>
      </c>
      <c r="Q786" s="131">
        <v>0</v>
      </c>
      <c r="R786" s="153">
        <v>0</v>
      </c>
      <c r="S786" s="158" t="e">
        <f ca="1">__xlfn.XLOOKUP(H786,[1]Izvršenje_proračuna_po_pozicija!$B$2:$B$153,[1]Izvršenje_proračuna_po_pozicija!$E$2:$E$153,0)</f>
        <v>#NAME?</v>
      </c>
      <c r="T786" s="158"/>
      <c r="U786" s="158"/>
      <c r="V786" s="532"/>
      <c r="W786" s="532"/>
      <c r="X786" s="560"/>
      <c r="Y786" s="561"/>
      <c r="Z786" s="561"/>
      <c r="AA786" s="562" t="e">
        <f t="shared" ca="1" si="584"/>
        <v>#NAME?</v>
      </c>
      <c r="AB786" s="535"/>
      <c r="AC786" s="529">
        <v>0</v>
      </c>
      <c r="AD786" s="529">
        <v>0</v>
      </c>
      <c r="AE786" s="529"/>
      <c r="AF786" s="529"/>
      <c r="AG786" s="529"/>
      <c r="AH786" s="529"/>
      <c r="AI786" s="535"/>
      <c r="AJ786" s="561"/>
      <c r="AK786" s="507"/>
      <c r="AL786" s="507"/>
      <c r="AM786" s="507"/>
      <c r="AN786" s="556"/>
      <c r="AO786" s="510"/>
      <c r="AP786" s="510" t="e">
        <f t="shared" ca="1" si="581"/>
        <v>#NAME?</v>
      </c>
      <c r="AQ786" s="532"/>
      <c r="AR786" s="533"/>
      <c r="AS786" s="533"/>
      <c r="AT786" s="533"/>
      <c r="AU786" s="533"/>
      <c r="AV786" s="533"/>
      <c r="AW786" s="612"/>
      <c r="AX786" s="612"/>
      <c r="AY786" s="612"/>
      <c r="AZ786" s="612"/>
      <c r="BA786" s="612"/>
      <c r="BB786" s="612"/>
      <c r="BC786" s="612"/>
      <c r="BD786" s="612"/>
      <c r="BE786" s="612"/>
      <c r="BF786" s="612"/>
      <c r="BG786" s="612"/>
      <c r="BH786" s="612">
        <f t="shared" si="585"/>
        <v>0</v>
      </c>
      <c r="BI786" s="612">
        <f t="shared" si="599"/>
        <v>0</v>
      </c>
      <c r="BJ786" s="201"/>
    </row>
    <row r="787" spans="1:62" ht="12" customHeight="1">
      <c r="A787" s="52"/>
      <c r="B787" s="52"/>
      <c r="C787" s="52"/>
      <c r="D787" s="52"/>
      <c r="E787" s="52"/>
      <c r="F787" s="52"/>
      <c r="G787" s="52"/>
      <c r="H787" s="2" t="s">
        <v>628</v>
      </c>
      <c r="I787" s="289">
        <v>760</v>
      </c>
      <c r="J787" s="185">
        <v>3811</v>
      </c>
      <c r="K787" s="19" t="s">
        <v>629</v>
      </c>
      <c r="L787" s="129">
        <v>0</v>
      </c>
      <c r="M787" s="129">
        <v>0</v>
      </c>
      <c r="N787" s="130">
        <v>0</v>
      </c>
      <c r="O787" s="130">
        <f>30000/7.5345</f>
        <v>3981.6842524387812</v>
      </c>
      <c r="P787" s="131">
        <v>4000</v>
      </c>
      <c r="Q787" s="131">
        <v>4000</v>
      </c>
      <c r="R787" s="153"/>
      <c r="S787" s="158" t="e">
        <f ca="1">__xlfn.XLOOKUP(H787,[1]Izvršenje_proračuna_po_pozicija!$B$2:$B$153,[1]Izvršenje_proračuna_po_pozicija!$E$2:$E$153,0)</f>
        <v>#NAME?</v>
      </c>
      <c r="T787" s="158"/>
      <c r="U787" s="158"/>
      <c r="V787" s="532">
        <v>2000</v>
      </c>
      <c r="W787" s="532">
        <v>2000</v>
      </c>
      <c r="X787" s="560">
        <v>3000</v>
      </c>
      <c r="Y787" s="561">
        <v>5000</v>
      </c>
      <c r="Z787" s="561"/>
      <c r="AA787" s="562" t="e">
        <f t="shared" ca="1" si="584"/>
        <v>#NAME?</v>
      </c>
      <c r="AB787" s="535"/>
      <c r="AC787" s="529"/>
      <c r="AD787" s="529"/>
      <c r="AE787" s="529"/>
      <c r="AF787" s="529"/>
      <c r="AG787" s="529"/>
      <c r="AH787" s="529"/>
      <c r="AI787" s="535"/>
      <c r="AJ787" s="561">
        <v>5000</v>
      </c>
      <c r="AK787" s="507"/>
      <c r="AL787" s="507">
        <f>X787/W787*100</f>
        <v>150</v>
      </c>
      <c r="AM787" s="507">
        <f>Y787/X787*100</f>
        <v>166.66666666666669</v>
      </c>
      <c r="AN787" s="556"/>
      <c r="AO787" s="510"/>
      <c r="AP787" s="510" t="e">
        <f t="shared" ca="1" si="581"/>
        <v>#NAME?</v>
      </c>
      <c r="AQ787" s="532">
        <v>1500</v>
      </c>
      <c r="AR787" s="533"/>
      <c r="AS787" s="533">
        <f>W787/V787*100</f>
        <v>100</v>
      </c>
      <c r="AT787" s="533"/>
      <c r="AU787" s="533">
        <f>AQ787/W787*100</f>
        <v>75</v>
      </c>
      <c r="AV787" s="533"/>
      <c r="AW787" s="612">
        <v>1500</v>
      </c>
      <c r="AX787" s="612"/>
      <c r="AY787" s="612"/>
      <c r="AZ787" s="612"/>
      <c r="BA787" s="612"/>
      <c r="BB787" s="612"/>
      <c r="BC787" s="612"/>
      <c r="BD787" s="612"/>
      <c r="BE787" s="612"/>
      <c r="BF787" s="612"/>
      <c r="BG787" s="612"/>
      <c r="BH787" s="612">
        <f t="shared" si="585"/>
        <v>1500</v>
      </c>
      <c r="BI787" s="612">
        <f t="shared" si="599"/>
        <v>0</v>
      </c>
      <c r="BJ787" s="201"/>
    </row>
    <row r="788" spans="1:62" ht="12" customHeight="1">
      <c r="A788" s="52"/>
      <c r="B788" s="52"/>
      <c r="C788" s="52"/>
      <c r="D788" s="52"/>
      <c r="E788" s="52"/>
      <c r="F788" s="52"/>
      <c r="G788" s="52"/>
      <c r="H788" s="2">
        <v>139</v>
      </c>
      <c r="I788" s="289">
        <v>760</v>
      </c>
      <c r="J788" s="185">
        <v>3811</v>
      </c>
      <c r="K788" s="19" t="s">
        <v>630</v>
      </c>
      <c r="L788" s="129">
        <v>35000</v>
      </c>
      <c r="M788" s="129">
        <f>35000/7.5345</f>
        <v>4645.298294511912</v>
      </c>
      <c r="N788" s="130"/>
      <c r="O788" s="130"/>
      <c r="P788" s="131"/>
      <c r="Q788" s="131"/>
      <c r="R788" s="153">
        <v>4000</v>
      </c>
      <c r="S788" s="158" t="e">
        <f ca="1">__xlfn.XLOOKUP(H788,[1]Izvršenje_proračuna_po_pozicija!$B$2:$B$153,[1]Izvršenje_proračuna_po_pozicija!$E$2:$E$153,0)</f>
        <v>#NAME?</v>
      </c>
      <c r="T788" s="158"/>
      <c r="U788" s="158"/>
      <c r="V788" s="532"/>
      <c r="W788" s="532"/>
      <c r="X788" s="560"/>
      <c r="Y788" s="561"/>
      <c r="Z788" s="561"/>
      <c r="AA788" s="562" t="e">
        <f t="shared" ca="1" si="584"/>
        <v>#NAME?</v>
      </c>
      <c r="AB788" s="535"/>
      <c r="AC788" s="529"/>
      <c r="AD788" s="529"/>
      <c r="AE788" s="529">
        <f>O788/M788*100</f>
        <v>0</v>
      </c>
      <c r="AF788" s="529"/>
      <c r="AG788" s="529"/>
      <c r="AH788" s="529"/>
      <c r="AI788" s="535"/>
      <c r="AJ788" s="561"/>
      <c r="AK788" s="507">
        <f>W788/R788*100</f>
        <v>0</v>
      </c>
      <c r="AL788" s="507"/>
      <c r="AM788" s="507"/>
      <c r="AN788" s="556"/>
      <c r="AO788" s="510"/>
      <c r="AP788" s="510" t="e">
        <f t="shared" ca="1" si="581"/>
        <v>#NAME?</v>
      </c>
      <c r="AQ788" s="532"/>
      <c r="AR788" s="533">
        <f t="shared" si="594"/>
        <v>0</v>
      </c>
      <c r="AS788" s="533"/>
      <c r="AT788" s="533">
        <f t="shared" si="595"/>
        <v>0</v>
      </c>
      <c r="AU788" s="533"/>
      <c r="AV788" s="533">
        <f>AQ788/R788*100</f>
        <v>0</v>
      </c>
      <c r="AW788" s="612"/>
      <c r="AX788" s="612"/>
      <c r="AY788" s="612"/>
      <c r="AZ788" s="612"/>
      <c r="BA788" s="612"/>
      <c r="BB788" s="612"/>
      <c r="BC788" s="612"/>
      <c r="BD788" s="612"/>
      <c r="BE788" s="612"/>
      <c r="BF788" s="612"/>
      <c r="BG788" s="612"/>
      <c r="BH788" s="612">
        <f t="shared" si="585"/>
        <v>0</v>
      </c>
      <c r="BI788" s="612">
        <f t="shared" si="599"/>
        <v>0</v>
      </c>
      <c r="BJ788" s="201"/>
    </row>
    <row r="789" spans="1:62" ht="12" customHeight="1">
      <c r="A789" s="52"/>
      <c r="B789" s="52"/>
      <c r="C789" s="52"/>
      <c r="D789" s="52"/>
      <c r="E789" s="52"/>
      <c r="F789" s="52"/>
      <c r="G789" s="52"/>
      <c r="H789" s="2" t="s">
        <v>631</v>
      </c>
      <c r="I789" s="289">
        <v>760</v>
      </c>
      <c r="J789" s="185">
        <v>3811</v>
      </c>
      <c r="K789" s="19" t="s">
        <v>632</v>
      </c>
      <c r="L789" s="129">
        <v>13000</v>
      </c>
      <c r="M789" s="129">
        <f>13000/7.5345</f>
        <v>1725.3965093901386</v>
      </c>
      <c r="N789" s="130"/>
      <c r="O789" s="130"/>
      <c r="P789" s="131"/>
      <c r="Q789" s="131"/>
      <c r="R789" s="153"/>
      <c r="S789" s="158" t="e">
        <f ca="1">__xlfn.XLOOKUP(H789,[1]Izvršenje_proračuna_po_pozicija!$B$2:$B$153,[1]Izvršenje_proračuna_po_pozicija!$E$2:$E$153,0)</f>
        <v>#NAME?</v>
      </c>
      <c r="T789" s="158"/>
      <c r="U789" s="158"/>
      <c r="V789" s="532">
        <v>8000</v>
      </c>
      <c r="W789" s="532">
        <v>8000</v>
      </c>
      <c r="X789" s="560">
        <v>12000</v>
      </c>
      <c r="Y789" s="561">
        <v>15000</v>
      </c>
      <c r="Z789" s="561"/>
      <c r="AA789" s="562" t="e">
        <f t="shared" ca="1" si="584"/>
        <v>#NAME?</v>
      </c>
      <c r="AB789" s="535"/>
      <c r="AC789" s="529"/>
      <c r="AD789" s="529"/>
      <c r="AE789" s="529">
        <f>O789/M789*100</f>
        <v>0</v>
      </c>
      <c r="AF789" s="529"/>
      <c r="AG789" s="529"/>
      <c r="AH789" s="529"/>
      <c r="AI789" s="535"/>
      <c r="AJ789" s="561">
        <v>15000</v>
      </c>
      <c r="AK789" s="507"/>
      <c r="AL789" s="507">
        <f>X789/W789*100</f>
        <v>150</v>
      </c>
      <c r="AM789" s="507">
        <f>Y789/X789*100</f>
        <v>125</v>
      </c>
      <c r="AN789" s="556"/>
      <c r="AO789" s="510"/>
      <c r="AP789" s="510" t="e">
        <f t="shared" ca="1" si="581"/>
        <v>#NAME?</v>
      </c>
      <c r="AQ789" s="532"/>
      <c r="AR789" s="533"/>
      <c r="AS789" s="533">
        <f>W789/V789*100</f>
        <v>100</v>
      </c>
      <c r="AT789" s="533"/>
      <c r="AU789" s="533">
        <f>AQ789/W789*100</f>
        <v>0</v>
      </c>
      <c r="AV789" s="533"/>
      <c r="AW789" s="612"/>
      <c r="AX789" s="612"/>
      <c r="AY789" s="612"/>
      <c r="AZ789" s="612"/>
      <c r="BA789" s="612"/>
      <c r="BB789" s="612"/>
      <c r="BC789" s="612"/>
      <c r="BD789" s="612"/>
      <c r="BE789" s="612"/>
      <c r="BF789" s="612"/>
      <c r="BG789" s="612"/>
      <c r="BH789" s="612">
        <f t="shared" si="585"/>
        <v>0</v>
      </c>
      <c r="BI789" s="612">
        <f t="shared" si="599"/>
        <v>0</v>
      </c>
      <c r="BJ789" s="201"/>
    </row>
    <row r="790" spans="1:62" ht="12" customHeight="1">
      <c r="A790" s="167"/>
      <c r="B790" s="167"/>
      <c r="C790" s="167"/>
      <c r="D790" s="167"/>
      <c r="E790" s="167"/>
      <c r="F790" s="167"/>
      <c r="G790" s="167"/>
      <c r="H790" s="22" t="s">
        <v>633</v>
      </c>
      <c r="I790" s="289">
        <v>760</v>
      </c>
      <c r="J790" s="185">
        <v>3811</v>
      </c>
      <c r="K790" s="19" t="s">
        <v>634</v>
      </c>
      <c r="L790" s="118"/>
      <c r="M790" s="118"/>
      <c r="N790" s="119"/>
      <c r="O790" s="119"/>
      <c r="P790" s="120"/>
      <c r="Q790" s="120"/>
      <c r="R790" s="151"/>
      <c r="S790" s="158" t="e">
        <f ca="1">__xlfn.XLOOKUP(H790,[1]Izvršenje_proračuna_po_pozicija!$B$2:$B$153,[1]Izvršenje_proračuna_po_pozicija!$E$2:$E$153,0)</f>
        <v>#NAME?</v>
      </c>
      <c r="T790" s="158"/>
      <c r="U790" s="158"/>
      <c r="V790" s="532"/>
      <c r="W790" s="532"/>
      <c r="X790" s="560"/>
      <c r="Y790" s="561"/>
      <c r="Z790" s="561"/>
      <c r="AA790" s="562" t="e">
        <f t="shared" ca="1" si="584"/>
        <v>#NAME?</v>
      </c>
      <c r="AB790" s="535"/>
      <c r="AC790" s="529"/>
      <c r="AD790" s="529"/>
      <c r="AE790" s="529"/>
      <c r="AF790" s="529"/>
      <c r="AG790" s="529"/>
      <c r="AH790" s="529"/>
      <c r="AI790" s="535"/>
      <c r="AJ790" s="561"/>
      <c r="AK790" s="507"/>
      <c r="AL790" s="507"/>
      <c r="AM790" s="507"/>
      <c r="AN790" s="556"/>
      <c r="AO790" s="510"/>
      <c r="AP790" s="510" t="e">
        <f t="shared" ca="1" si="581"/>
        <v>#NAME?</v>
      </c>
      <c r="AQ790" s="532"/>
      <c r="AR790" s="533"/>
      <c r="AS790" s="533"/>
      <c r="AT790" s="533"/>
      <c r="AU790" s="533"/>
      <c r="AV790" s="533"/>
      <c r="AW790" s="612"/>
      <c r="AX790" s="612"/>
      <c r="AY790" s="612"/>
      <c r="AZ790" s="612"/>
      <c r="BA790" s="612"/>
      <c r="BB790" s="612"/>
      <c r="BC790" s="612"/>
      <c r="BD790" s="612"/>
      <c r="BE790" s="612"/>
      <c r="BF790" s="612"/>
      <c r="BG790" s="612"/>
      <c r="BH790" s="612">
        <f t="shared" si="585"/>
        <v>0</v>
      </c>
      <c r="BI790" s="612">
        <f t="shared" si="599"/>
        <v>39059.339999999997</v>
      </c>
      <c r="BJ790" s="201"/>
    </row>
    <row r="791" spans="1:62" ht="12" customHeight="1">
      <c r="A791" s="41"/>
      <c r="B791" s="41"/>
      <c r="C791" s="41"/>
      <c r="D791" s="41"/>
      <c r="E791" s="41"/>
      <c r="F791" s="41"/>
      <c r="G791" s="41"/>
      <c r="H791" s="235"/>
      <c r="I791" s="15"/>
      <c r="J791" s="3"/>
      <c r="K791" s="211"/>
      <c r="L791" s="84"/>
      <c r="M791" s="84"/>
      <c r="N791" s="85"/>
      <c r="O791" s="85"/>
      <c r="P791" s="86"/>
      <c r="Q791" s="86"/>
      <c r="R791" s="154"/>
      <c r="S791" s="158" t="e">
        <f ca="1">__xlfn.XLOOKUP(H791,[1]Izvršenje_proračuna_po_pozicija!$B$2:$B$153,[1]Izvršenje_proračuna_po_pozicija!$E$2:$E$153,0)</f>
        <v>#NAME?</v>
      </c>
      <c r="T791" s="158"/>
      <c r="U791" s="158"/>
      <c r="V791" s="532"/>
      <c r="W791" s="532"/>
      <c r="X791" s="568"/>
      <c r="Y791" s="569"/>
      <c r="Z791" s="569"/>
      <c r="AA791" s="562" t="e">
        <f t="shared" ca="1" si="584"/>
        <v>#NAME?</v>
      </c>
      <c r="AB791" s="537"/>
      <c r="AC791" s="538"/>
      <c r="AD791" s="538"/>
      <c r="AE791" s="529"/>
      <c r="AF791" s="529"/>
      <c r="AG791" s="529"/>
      <c r="AH791" s="529"/>
      <c r="AI791" s="537"/>
      <c r="AJ791" s="569"/>
      <c r="AK791" s="507"/>
      <c r="AL791" s="507"/>
      <c r="AM791" s="507"/>
      <c r="AN791" s="557"/>
      <c r="AO791" s="510"/>
      <c r="AP791" s="510" t="e">
        <f t="shared" ca="1" si="581"/>
        <v>#NAME?</v>
      </c>
      <c r="AQ791" s="532"/>
      <c r="AR791" s="533"/>
      <c r="AS791" s="533"/>
      <c r="AT791" s="533"/>
      <c r="AU791" s="533"/>
      <c r="AV791" s="533"/>
      <c r="AW791" s="612"/>
      <c r="AX791" s="612"/>
      <c r="AY791" s="612"/>
      <c r="AZ791" s="612"/>
      <c r="BA791" s="612"/>
      <c r="BB791" s="612"/>
      <c r="BC791" s="612"/>
      <c r="BD791" s="612"/>
      <c r="BE791" s="612"/>
      <c r="BF791" s="612"/>
      <c r="BG791" s="612"/>
      <c r="BH791" s="612">
        <f t="shared" si="585"/>
        <v>0</v>
      </c>
      <c r="BI791" s="612">
        <f t="shared" si="599"/>
        <v>39059.339999999997</v>
      </c>
      <c r="BJ791" s="201">
        <f>AQ798-BI791</f>
        <v>0</v>
      </c>
    </row>
    <row r="792" spans="1:62" ht="12" customHeight="1">
      <c r="A792" s="320"/>
      <c r="B792" s="320"/>
      <c r="C792" s="320"/>
      <c r="D792" s="320"/>
      <c r="E792" s="320"/>
      <c r="F792" s="320"/>
      <c r="G792" s="320"/>
      <c r="H792" s="330"/>
      <c r="I792" s="378" t="s">
        <v>635</v>
      </c>
      <c r="J792" s="379"/>
      <c r="K792" s="380"/>
      <c r="L792" s="250">
        <f t="shared" ref="L792:S792" si="616">L793+L800+L816</f>
        <v>901464</v>
      </c>
      <c r="M792" s="250">
        <f t="shared" si="616"/>
        <v>119644.83376468245</v>
      </c>
      <c r="N792" s="251">
        <f t="shared" si="616"/>
        <v>623282</v>
      </c>
      <c r="O792" s="251">
        <f t="shared" si="616"/>
        <v>82723.73747428495</v>
      </c>
      <c r="P792" s="252">
        <f t="shared" si="616"/>
        <v>138000</v>
      </c>
      <c r="Q792" s="252">
        <f t="shared" si="616"/>
        <v>166300</v>
      </c>
      <c r="R792" s="272">
        <f t="shared" si="616"/>
        <v>91076</v>
      </c>
      <c r="S792" s="273" t="e">
        <f t="shared" ca="1" si="616"/>
        <v>#NAME?</v>
      </c>
      <c r="T792" s="273"/>
      <c r="U792" s="273"/>
      <c r="V792" s="532">
        <f>V793+V800+V816</f>
        <v>253000</v>
      </c>
      <c r="W792" s="532">
        <f>W793+W800+W816</f>
        <v>253000</v>
      </c>
      <c r="X792" s="564">
        <f>X793+X800+X816</f>
        <v>102000</v>
      </c>
      <c r="Y792" s="565">
        <f>Y793+Y800+Y816</f>
        <v>95000</v>
      </c>
      <c r="Z792" s="565">
        <f>Z793+Z800+Z816</f>
        <v>0</v>
      </c>
      <c r="AA792" s="562" t="e">
        <f t="shared" ca="1" si="584"/>
        <v>#NAME?</v>
      </c>
      <c r="AB792" s="565"/>
      <c r="AC792" s="566">
        <f>AC793+AC800+AC816</f>
        <v>147000</v>
      </c>
      <c r="AD792" s="566">
        <f>AD793+AD800+AD816</f>
        <v>147000</v>
      </c>
      <c r="AE792" s="529">
        <f>O792/M792*100</f>
        <v>69.141086055571819</v>
      </c>
      <c r="AF792" s="529">
        <f>P792/O792*100</f>
        <v>166.82031568375152</v>
      </c>
      <c r="AG792" s="529">
        <f>Q792/P792*100</f>
        <v>120.50724637681158</v>
      </c>
      <c r="AH792" s="529">
        <f>AC792/Q792*100</f>
        <v>88.394467829224283</v>
      </c>
      <c r="AI792" s="565"/>
      <c r="AJ792" s="565">
        <v>95000</v>
      </c>
      <c r="AK792" s="507">
        <f>W792/R792*100</f>
        <v>277.78997760112435</v>
      </c>
      <c r="AL792" s="507">
        <f>X792/W792*100</f>
        <v>40.316205533596836</v>
      </c>
      <c r="AM792" s="507">
        <f>Y792/X792*100</f>
        <v>93.137254901960787</v>
      </c>
      <c r="AN792" s="567"/>
      <c r="AO792" s="510"/>
      <c r="AP792" s="510" t="e">
        <f t="shared" ca="1" si="581"/>
        <v>#NAME?</v>
      </c>
      <c r="AQ792" s="532">
        <f>AQ793+AQ800+AQ816</f>
        <v>196259.34</v>
      </c>
      <c r="AR792" s="533">
        <f t="shared" si="594"/>
        <v>277.78997760112435</v>
      </c>
      <c r="AS792" s="533">
        <f>W792/V792*100</f>
        <v>100</v>
      </c>
      <c r="AT792" s="533">
        <f t="shared" si="595"/>
        <v>277.78997760112435</v>
      </c>
      <c r="AU792" s="533">
        <f>AQ792/W792*100</f>
        <v>77.572861660079056</v>
      </c>
      <c r="AV792" s="533">
        <f>AQ792/R792*100</f>
        <v>215.48963503008477</v>
      </c>
      <c r="AW792" s="612"/>
      <c r="AX792" s="612"/>
      <c r="AY792" s="612"/>
      <c r="AZ792" s="612"/>
      <c r="BA792" s="612"/>
      <c r="BB792" s="612"/>
      <c r="BC792" s="612"/>
      <c r="BD792" s="612"/>
      <c r="BE792" s="612"/>
      <c r="BF792" s="612"/>
      <c r="BG792" s="612"/>
      <c r="BH792" s="612">
        <f t="shared" si="585"/>
        <v>0</v>
      </c>
      <c r="BI792" s="612">
        <f t="shared" si="599"/>
        <v>0</v>
      </c>
      <c r="BJ792" s="201">
        <f>AQ799-BI792</f>
        <v>0</v>
      </c>
    </row>
    <row r="793" spans="1:62" ht="12" customHeight="1">
      <c r="A793" s="282" t="s">
        <v>321</v>
      </c>
      <c r="B793" s="283"/>
      <c r="C793" s="283"/>
      <c r="D793" s="283"/>
      <c r="E793" s="283"/>
      <c r="F793" s="283"/>
      <c r="G793" s="283"/>
      <c r="H793" s="284"/>
      <c r="I793" s="369" t="s">
        <v>636</v>
      </c>
      <c r="J793" s="370"/>
      <c r="K793" s="123"/>
      <c r="L793" s="111">
        <f t="shared" ref="L793:S793" si="617">L795</f>
        <v>420464</v>
      </c>
      <c r="M793" s="111">
        <f t="shared" si="617"/>
        <v>55805.162917247326</v>
      </c>
      <c r="N793" s="112">
        <f t="shared" si="617"/>
        <v>288282</v>
      </c>
      <c r="O793" s="112">
        <f t="shared" si="617"/>
        <v>38261.596655385227</v>
      </c>
      <c r="P793" s="113">
        <f t="shared" si="617"/>
        <v>26000</v>
      </c>
      <c r="Q793" s="113">
        <f t="shared" si="617"/>
        <v>39000</v>
      </c>
      <c r="R793" s="87">
        <f t="shared" si="617"/>
        <v>38876</v>
      </c>
      <c r="S793" s="89" t="e">
        <f t="shared" ca="1" si="617"/>
        <v>#NAME?</v>
      </c>
      <c r="T793" s="89"/>
      <c r="U793" s="89"/>
      <c r="V793" s="532">
        <f>V795</f>
        <v>40000</v>
      </c>
      <c r="W793" s="532">
        <f>W795</f>
        <v>40000</v>
      </c>
      <c r="X793" s="506">
        <f>X795</f>
        <v>0</v>
      </c>
      <c r="Y793" s="507">
        <f>Y795</f>
        <v>0</v>
      </c>
      <c r="Z793" s="507">
        <f>Z795</f>
        <v>0</v>
      </c>
      <c r="AA793" s="562" t="e">
        <f t="shared" ca="1" si="584"/>
        <v>#NAME?</v>
      </c>
      <c r="AB793" s="507"/>
      <c r="AC793" s="508">
        <f>AC795</f>
        <v>35000</v>
      </c>
      <c r="AD793" s="508">
        <f>AD795</f>
        <v>35000</v>
      </c>
      <c r="AE793" s="529">
        <f>O793/M793*100</f>
        <v>68.562825830511059</v>
      </c>
      <c r="AF793" s="529">
        <f>P793/O793*100</f>
        <v>67.953254105355171</v>
      </c>
      <c r="AG793" s="529">
        <f>Q793/P793*100</f>
        <v>150</v>
      </c>
      <c r="AH793" s="529">
        <f>AC793/Q793*100</f>
        <v>89.743589743589752</v>
      </c>
      <c r="AI793" s="507"/>
      <c r="AJ793" s="507">
        <v>0</v>
      </c>
      <c r="AK793" s="507">
        <f t="shared" ref="AK793:AK854" si="618">W793/R793*100</f>
        <v>102.89124395513942</v>
      </c>
      <c r="AL793" s="507">
        <f t="shared" ref="AL793:AM854" si="619">X793/W793*100</f>
        <v>0</v>
      </c>
      <c r="AM793" s="507"/>
      <c r="AN793" s="509"/>
      <c r="AO793" s="510"/>
      <c r="AP793" s="510" t="e">
        <f t="shared" ca="1" si="581"/>
        <v>#NAME?</v>
      </c>
      <c r="AQ793" s="532">
        <f>AQ795</f>
        <v>39059.339999999997</v>
      </c>
      <c r="AR793" s="533">
        <f t="shared" si="594"/>
        <v>102.89124395513942</v>
      </c>
      <c r="AS793" s="533">
        <f>W793/V793*100</f>
        <v>100</v>
      </c>
      <c r="AT793" s="533">
        <f t="shared" si="595"/>
        <v>102.89124395513942</v>
      </c>
      <c r="AU793" s="533">
        <f>AQ793/W793*100</f>
        <v>97.648349999999994</v>
      </c>
      <c r="AV793" s="533">
        <f>AQ793/R793*100</f>
        <v>100.47160201666838</v>
      </c>
      <c r="AW793" s="612"/>
      <c r="AX793" s="612"/>
      <c r="AY793" s="612"/>
      <c r="AZ793" s="612"/>
      <c r="BA793" s="612"/>
      <c r="BB793" s="612"/>
      <c r="BC793" s="612"/>
      <c r="BD793" s="612"/>
      <c r="BE793" s="612"/>
      <c r="BF793" s="612"/>
      <c r="BG793" s="612"/>
      <c r="BH793" s="612">
        <f t="shared" si="585"/>
        <v>0</v>
      </c>
      <c r="BI793" s="612">
        <f t="shared" si="599"/>
        <v>0</v>
      </c>
      <c r="BJ793" s="201"/>
    </row>
    <row r="794" spans="1:62" ht="12" customHeight="1">
      <c r="A794" s="41"/>
      <c r="B794" s="41"/>
      <c r="C794" s="41"/>
      <c r="D794" s="41"/>
      <c r="E794" s="41"/>
      <c r="F794" s="41"/>
      <c r="G794" s="41"/>
      <c r="H794" s="235"/>
      <c r="I794" s="15"/>
      <c r="J794" s="3"/>
      <c r="K794" s="83"/>
      <c r="L794" s="84"/>
      <c r="M794" s="84"/>
      <c r="N794" s="85"/>
      <c r="O794" s="85"/>
      <c r="P794" s="86"/>
      <c r="Q794" s="86"/>
      <c r="R794" s="154"/>
      <c r="S794" s="158" t="e">
        <f ca="1">__xlfn.XLOOKUP(H794,[1]Izvršenje_proračuna_po_pozicija!$B$2:$B$153,[1]Izvršenje_proračuna_po_pozicija!$E$2:$E$153,0)</f>
        <v>#NAME?</v>
      </c>
      <c r="T794" s="158"/>
      <c r="U794" s="158"/>
      <c r="V794" s="532"/>
      <c r="W794" s="532"/>
      <c r="X794" s="568"/>
      <c r="Y794" s="569"/>
      <c r="Z794" s="569"/>
      <c r="AA794" s="562" t="e">
        <f t="shared" ca="1" si="584"/>
        <v>#NAME?</v>
      </c>
      <c r="AB794" s="537"/>
      <c r="AC794" s="538"/>
      <c r="AD794" s="538"/>
      <c r="AE794" s="529"/>
      <c r="AF794" s="529"/>
      <c r="AG794" s="529"/>
      <c r="AH794" s="529"/>
      <c r="AI794" s="537"/>
      <c r="AJ794" s="569"/>
      <c r="AK794" s="507"/>
      <c r="AL794" s="507"/>
      <c r="AM794" s="507"/>
      <c r="AN794" s="557"/>
      <c r="AO794" s="510"/>
      <c r="AP794" s="510" t="e">
        <f t="shared" ca="1" si="581"/>
        <v>#NAME?</v>
      </c>
      <c r="AQ794" s="532"/>
      <c r="AR794" s="533"/>
      <c r="AS794" s="533"/>
      <c r="AT794" s="533"/>
      <c r="AU794" s="533"/>
      <c r="AV794" s="533"/>
      <c r="AW794" s="612"/>
      <c r="AX794" s="612"/>
      <c r="AY794" s="612"/>
      <c r="AZ794" s="612"/>
      <c r="BA794" s="612"/>
      <c r="BB794" s="612"/>
      <c r="BC794" s="612"/>
      <c r="BD794" s="612"/>
      <c r="BE794" s="612"/>
      <c r="BF794" s="612"/>
      <c r="BG794" s="612"/>
      <c r="BH794" s="612">
        <f t="shared" si="585"/>
        <v>0</v>
      </c>
      <c r="BI794" s="612">
        <f t="shared" si="599"/>
        <v>0</v>
      </c>
      <c r="BJ794" s="201"/>
    </row>
    <row r="795" spans="1:62" ht="12" customHeight="1">
      <c r="A795" s="25"/>
      <c r="B795" s="25"/>
      <c r="C795" s="25"/>
      <c r="D795" s="25"/>
      <c r="E795" s="25"/>
      <c r="F795" s="25"/>
      <c r="G795" s="25"/>
      <c r="H795" s="285"/>
      <c r="I795" s="349"/>
      <c r="J795" s="211">
        <v>3</v>
      </c>
      <c r="K795" s="3" t="s">
        <v>220</v>
      </c>
      <c r="L795" s="111">
        <f t="shared" ref="L795:AD797" si="620">L796</f>
        <v>420464</v>
      </c>
      <c r="M795" s="111">
        <f t="shared" si="620"/>
        <v>55805.162917247326</v>
      </c>
      <c r="N795" s="112">
        <f t="shared" si="620"/>
        <v>288282</v>
      </c>
      <c r="O795" s="112">
        <f t="shared" si="620"/>
        <v>38261.596655385227</v>
      </c>
      <c r="P795" s="113">
        <f t="shared" si="620"/>
        <v>26000</v>
      </c>
      <c r="Q795" s="113">
        <f t="shared" si="620"/>
        <v>39000</v>
      </c>
      <c r="R795" s="87">
        <f t="shared" si="620"/>
        <v>38876</v>
      </c>
      <c r="S795" s="89" t="e">
        <f t="shared" ca="1" si="620"/>
        <v>#NAME?</v>
      </c>
      <c r="T795" s="89"/>
      <c r="U795" s="89"/>
      <c r="V795" s="532">
        <f>V796</f>
        <v>40000</v>
      </c>
      <c r="W795" s="532">
        <f t="shared" si="620"/>
        <v>40000</v>
      </c>
      <c r="X795" s="506">
        <f t="shared" si="620"/>
        <v>0</v>
      </c>
      <c r="Y795" s="507">
        <f t="shared" si="620"/>
        <v>0</v>
      </c>
      <c r="Z795" s="507">
        <f t="shared" si="620"/>
        <v>0</v>
      </c>
      <c r="AA795" s="562" t="e">
        <f t="shared" ca="1" si="584"/>
        <v>#NAME?</v>
      </c>
      <c r="AB795" s="507"/>
      <c r="AC795" s="508">
        <f t="shared" si="620"/>
        <v>35000</v>
      </c>
      <c r="AD795" s="508">
        <f t="shared" si="620"/>
        <v>35000</v>
      </c>
      <c r="AE795" s="529">
        <f>O795/M795*100</f>
        <v>68.562825830511059</v>
      </c>
      <c r="AF795" s="529">
        <f t="shared" ref="AF795:AG798" si="621">P795/O795*100</f>
        <v>67.953254105355171</v>
      </c>
      <c r="AG795" s="529">
        <f t="shared" si="621"/>
        <v>150</v>
      </c>
      <c r="AH795" s="529">
        <f>AC795/Q795*100</f>
        <v>89.743589743589752</v>
      </c>
      <c r="AI795" s="507"/>
      <c r="AJ795" s="507">
        <v>0</v>
      </c>
      <c r="AK795" s="507">
        <f t="shared" si="618"/>
        <v>102.89124395513942</v>
      </c>
      <c r="AL795" s="507">
        <f t="shared" si="619"/>
        <v>0</v>
      </c>
      <c r="AM795" s="507"/>
      <c r="AN795" s="509"/>
      <c r="AO795" s="510"/>
      <c r="AP795" s="510" t="e">
        <f t="shared" ca="1" si="581"/>
        <v>#NAME?</v>
      </c>
      <c r="AQ795" s="532">
        <f>AQ796</f>
        <v>39059.339999999997</v>
      </c>
      <c r="AR795" s="533">
        <f t="shared" si="594"/>
        <v>102.89124395513942</v>
      </c>
      <c r="AS795" s="533">
        <f>W795/V795*100</f>
        <v>100</v>
      </c>
      <c r="AT795" s="533">
        <f t="shared" si="595"/>
        <v>102.89124395513942</v>
      </c>
      <c r="AU795" s="533">
        <f>AQ795/W795*100</f>
        <v>97.648349999999994</v>
      </c>
      <c r="AV795" s="533">
        <f>AQ795/R795*100</f>
        <v>100.47160201666838</v>
      </c>
      <c r="AW795" s="612"/>
      <c r="AX795" s="612"/>
      <c r="AY795" s="612"/>
      <c r="AZ795" s="612"/>
      <c r="BA795" s="612"/>
      <c r="BB795" s="612"/>
      <c r="BC795" s="612"/>
      <c r="BD795" s="612"/>
      <c r="BE795" s="612"/>
      <c r="BF795" s="612"/>
      <c r="BG795" s="612"/>
      <c r="BH795" s="612">
        <f t="shared" si="585"/>
        <v>0</v>
      </c>
      <c r="BI795" s="612">
        <f t="shared" si="599"/>
        <v>0</v>
      </c>
      <c r="BJ795" s="201"/>
    </row>
    <row r="796" spans="1:62" ht="12" customHeight="1">
      <c r="A796" s="227"/>
      <c r="B796" s="227"/>
      <c r="C796" s="227"/>
      <c r="D796" s="227"/>
      <c r="E796" s="227"/>
      <c r="F796" s="227"/>
      <c r="G796" s="227"/>
      <c r="H796" s="234"/>
      <c r="I796" s="265"/>
      <c r="J796" s="228">
        <v>32</v>
      </c>
      <c r="K796" s="258" t="s">
        <v>229</v>
      </c>
      <c r="L796" s="111">
        <f t="shared" si="620"/>
        <v>420464</v>
      </c>
      <c r="M796" s="111">
        <f t="shared" si="620"/>
        <v>55805.162917247326</v>
      </c>
      <c r="N796" s="112">
        <f t="shared" si="620"/>
        <v>288282</v>
      </c>
      <c r="O796" s="112">
        <f t="shared" si="620"/>
        <v>38261.596655385227</v>
      </c>
      <c r="P796" s="113">
        <f t="shared" si="620"/>
        <v>26000</v>
      </c>
      <c r="Q796" s="113">
        <f t="shared" si="620"/>
        <v>39000</v>
      </c>
      <c r="R796" s="87">
        <f t="shared" si="620"/>
        <v>38876</v>
      </c>
      <c r="S796" s="89" t="e">
        <f t="shared" ca="1" si="620"/>
        <v>#NAME?</v>
      </c>
      <c r="T796" s="89"/>
      <c r="U796" s="89"/>
      <c r="V796" s="532">
        <f>V797</f>
        <v>40000</v>
      </c>
      <c r="W796" s="532">
        <f t="shared" si="620"/>
        <v>40000</v>
      </c>
      <c r="X796" s="506">
        <f t="shared" si="620"/>
        <v>0</v>
      </c>
      <c r="Y796" s="507">
        <f t="shared" si="620"/>
        <v>0</v>
      </c>
      <c r="Z796" s="507">
        <f t="shared" si="620"/>
        <v>0</v>
      </c>
      <c r="AA796" s="562" t="e">
        <f t="shared" ca="1" si="584"/>
        <v>#NAME?</v>
      </c>
      <c r="AB796" s="507"/>
      <c r="AC796" s="508">
        <f t="shared" si="620"/>
        <v>35000</v>
      </c>
      <c r="AD796" s="508">
        <f t="shared" si="620"/>
        <v>35000</v>
      </c>
      <c r="AE796" s="529">
        <f>O796/M796*100</f>
        <v>68.562825830511059</v>
      </c>
      <c r="AF796" s="529">
        <f t="shared" si="621"/>
        <v>67.953254105355171</v>
      </c>
      <c r="AG796" s="529">
        <f t="shared" si="621"/>
        <v>150</v>
      </c>
      <c r="AH796" s="529">
        <f>AC796/Q796*100</f>
        <v>89.743589743589752</v>
      </c>
      <c r="AI796" s="507"/>
      <c r="AJ796" s="507">
        <v>0</v>
      </c>
      <c r="AK796" s="507">
        <f t="shared" si="618"/>
        <v>102.89124395513942</v>
      </c>
      <c r="AL796" s="507">
        <f t="shared" si="619"/>
        <v>0</v>
      </c>
      <c r="AM796" s="507"/>
      <c r="AN796" s="509"/>
      <c r="AO796" s="510"/>
      <c r="AP796" s="510" t="e">
        <f t="shared" ca="1" si="581"/>
        <v>#NAME?</v>
      </c>
      <c r="AQ796" s="532">
        <f>AQ797</f>
        <v>39059.339999999997</v>
      </c>
      <c r="AR796" s="533">
        <f t="shared" si="594"/>
        <v>102.89124395513942</v>
      </c>
      <c r="AS796" s="533">
        <f>W796/V796*100</f>
        <v>100</v>
      </c>
      <c r="AT796" s="533">
        <f t="shared" si="595"/>
        <v>102.89124395513942</v>
      </c>
      <c r="AU796" s="533">
        <f>AQ796/W796*100</f>
        <v>97.648349999999994</v>
      </c>
      <c r="AV796" s="533">
        <f>AQ796/R796*100</f>
        <v>100.47160201666838</v>
      </c>
      <c r="AW796" s="612"/>
      <c r="AX796" s="612"/>
      <c r="AY796" s="612"/>
      <c r="AZ796" s="612"/>
      <c r="BA796" s="612"/>
      <c r="BB796" s="612"/>
      <c r="BC796" s="612"/>
      <c r="BD796" s="612"/>
      <c r="BE796" s="612"/>
      <c r="BF796" s="612"/>
      <c r="BG796" s="612"/>
      <c r="BH796" s="612">
        <f t="shared" si="585"/>
        <v>0</v>
      </c>
      <c r="BI796" s="612">
        <f t="shared" si="599"/>
        <v>0</v>
      </c>
      <c r="BJ796" s="201"/>
    </row>
    <row r="797" spans="1:62" ht="12" customHeight="1">
      <c r="A797" s="61"/>
      <c r="B797" s="61"/>
      <c r="C797" s="61"/>
      <c r="D797" s="61"/>
      <c r="E797" s="61"/>
      <c r="F797" s="61"/>
      <c r="G797" s="61"/>
      <c r="H797" s="230"/>
      <c r="I797" s="348"/>
      <c r="J797" s="229">
        <v>323</v>
      </c>
      <c r="K797" s="20" t="s">
        <v>346</v>
      </c>
      <c r="L797" s="111">
        <f t="shared" si="620"/>
        <v>420464</v>
      </c>
      <c r="M797" s="111">
        <f t="shared" si="620"/>
        <v>55805.162917247326</v>
      </c>
      <c r="N797" s="112">
        <f t="shared" si="620"/>
        <v>288282</v>
      </c>
      <c r="O797" s="112">
        <f t="shared" si="620"/>
        <v>38261.596655385227</v>
      </c>
      <c r="P797" s="113">
        <f t="shared" si="620"/>
        <v>26000</v>
      </c>
      <c r="Q797" s="113">
        <f t="shared" si="620"/>
        <v>39000</v>
      </c>
      <c r="R797" s="87">
        <f t="shared" si="620"/>
        <v>38876</v>
      </c>
      <c r="S797" s="89" t="e">
        <f t="shared" ca="1" si="620"/>
        <v>#NAME?</v>
      </c>
      <c r="T797" s="89"/>
      <c r="U797" s="89"/>
      <c r="V797" s="532">
        <f>V798</f>
        <v>40000</v>
      </c>
      <c r="W797" s="532">
        <f t="shared" si="620"/>
        <v>40000</v>
      </c>
      <c r="X797" s="506">
        <f t="shared" si="620"/>
        <v>0</v>
      </c>
      <c r="Y797" s="507">
        <f t="shared" si="620"/>
        <v>0</v>
      </c>
      <c r="Z797" s="507">
        <f t="shared" si="620"/>
        <v>0</v>
      </c>
      <c r="AA797" s="562" t="e">
        <f t="shared" ca="1" si="584"/>
        <v>#NAME?</v>
      </c>
      <c r="AB797" s="507"/>
      <c r="AC797" s="508">
        <f t="shared" si="620"/>
        <v>35000</v>
      </c>
      <c r="AD797" s="508">
        <f t="shared" si="620"/>
        <v>35000</v>
      </c>
      <c r="AE797" s="529">
        <f>O797/M797*100</f>
        <v>68.562825830511059</v>
      </c>
      <c r="AF797" s="529">
        <f t="shared" si="621"/>
        <v>67.953254105355171</v>
      </c>
      <c r="AG797" s="529">
        <f t="shared" si="621"/>
        <v>150</v>
      </c>
      <c r="AH797" s="529">
        <f>AC797/Q797*100</f>
        <v>89.743589743589752</v>
      </c>
      <c r="AI797" s="507"/>
      <c r="AJ797" s="507">
        <v>0</v>
      </c>
      <c r="AK797" s="507">
        <f t="shared" si="618"/>
        <v>102.89124395513942</v>
      </c>
      <c r="AL797" s="507">
        <f t="shared" si="619"/>
        <v>0</v>
      </c>
      <c r="AM797" s="507"/>
      <c r="AN797" s="509"/>
      <c r="AO797" s="590"/>
      <c r="AP797" s="510" t="e">
        <f t="shared" ca="1" si="581"/>
        <v>#NAME?</v>
      </c>
      <c r="AQ797" s="532">
        <f>AQ798</f>
        <v>39059.339999999997</v>
      </c>
      <c r="AR797" s="532">
        <f t="shared" ref="AR797:BG797" si="622">AR798</f>
        <v>102.89124395513942</v>
      </c>
      <c r="AS797" s="532">
        <f t="shared" si="622"/>
        <v>100</v>
      </c>
      <c r="AT797" s="532">
        <f t="shared" si="622"/>
        <v>102.89124395513942</v>
      </c>
      <c r="AU797" s="532">
        <f t="shared" si="622"/>
        <v>97.648349999999994</v>
      </c>
      <c r="AV797" s="532">
        <f t="shared" si="622"/>
        <v>100.47160201666838</v>
      </c>
      <c r="AW797" s="612">
        <f t="shared" si="622"/>
        <v>39059.339999999997</v>
      </c>
      <c r="AX797" s="612">
        <f t="shared" si="622"/>
        <v>0</v>
      </c>
      <c r="AY797" s="612">
        <f t="shared" si="622"/>
        <v>0</v>
      </c>
      <c r="AZ797" s="612">
        <f t="shared" si="622"/>
        <v>0</v>
      </c>
      <c r="BA797" s="612">
        <f t="shared" si="622"/>
        <v>0</v>
      </c>
      <c r="BB797" s="612">
        <f t="shared" si="622"/>
        <v>0</v>
      </c>
      <c r="BC797" s="612">
        <f t="shared" si="622"/>
        <v>0</v>
      </c>
      <c r="BD797" s="612">
        <f t="shared" si="622"/>
        <v>0</v>
      </c>
      <c r="BE797" s="612">
        <f t="shared" si="622"/>
        <v>0</v>
      </c>
      <c r="BF797" s="612">
        <f t="shared" si="622"/>
        <v>0</v>
      </c>
      <c r="BG797" s="612">
        <f t="shared" si="622"/>
        <v>0</v>
      </c>
      <c r="BH797" s="612">
        <f t="shared" si="585"/>
        <v>39059.339999999997</v>
      </c>
      <c r="BI797" s="612">
        <f t="shared" si="599"/>
        <v>57200</v>
      </c>
      <c r="BJ797" s="201"/>
    </row>
    <row r="798" spans="1:62" ht="12" customHeight="1">
      <c r="A798" s="52"/>
      <c r="B798" s="52"/>
      <c r="C798" s="52"/>
      <c r="D798" s="52"/>
      <c r="E798" s="52"/>
      <c r="F798" s="52"/>
      <c r="G798" s="52"/>
      <c r="H798" s="2" t="s">
        <v>637</v>
      </c>
      <c r="I798" s="260">
        <v>810</v>
      </c>
      <c r="J798" s="185">
        <v>3232</v>
      </c>
      <c r="K798" s="19" t="s">
        <v>638</v>
      </c>
      <c r="L798" s="129">
        <v>420464</v>
      </c>
      <c r="M798" s="129">
        <f>420464/7.5345</f>
        <v>55805.162917247326</v>
      </c>
      <c r="N798" s="130">
        <v>288282</v>
      </c>
      <c r="O798" s="130">
        <f>N798/7.5345</f>
        <v>38261.596655385227</v>
      </c>
      <c r="P798" s="131">
        <v>26000</v>
      </c>
      <c r="Q798" s="156">
        <v>39000</v>
      </c>
      <c r="R798" s="153">
        <v>38876</v>
      </c>
      <c r="S798" s="158" t="e">
        <f ca="1">__xlfn.XLOOKUP(H798,[1]Izvršenje_proračuna_po_pozicija!$B$2:$B$153,[1]Izvršenje_proračuna_po_pozicija!$E$2:$E$153,0)</f>
        <v>#NAME?</v>
      </c>
      <c r="T798" s="158"/>
      <c r="U798" s="158"/>
      <c r="V798" s="532">
        <v>40000</v>
      </c>
      <c r="W798" s="532">
        <v>40000</v>
      </c>
      <c r="X798" s="560"/>
      <c r="Y798" s="561"/>
      <c r="Z798" s="561"/>
      <c r="AA798" s="562" t="e">
        <f t="shared" ca="1" si="584"/>
        <v>#NAME?</v>
      </c>
      <c r="AB798" s="535"/>
      <c r="AC798" s="529">
        <v>35000</v>
      </c>
      <c r="AD798" s="529">
        <v>35000</v>
      </c>
      <c r="AE798" s="529">
        <f>O798/M798*100</f>
        <v>68.562825830511059</v>
      </c>
      <c r="AF798" s="529">
        <f t="shared" si="621"/>
        <v>67.953254105355171</v>
      </c>
      <c r="AG798" s="529">
        <f t="shared" si="621"/>
        <v>150</v>
      </c>
      <c r="AH798" s="529">
        <f>AC798/Q798*100</f>
        <v>89.743589743589752</v>
      </c>
      <c r="AI798" s="535"/>
      <c r="AJ798" s="561"/>
      <c r="AK798" s="507">
        <f t="shared" si="618"/>
        <v>102.89124395513942</v>
      </c>
      <c r="AL798" s="507">
        <f t="shared" si="619"/>
        <v>0</v>
      </c>
      <c r="AM798" s="507"/>
      <c r="AN798" s="556"/>
      <c r="AO798" s="510"/>
      <c r="AP798" s="510" t="e">
        <f t="shared" ca="1" si="581"/>
        <v>#NAME?</v>
      </c>
      <c r="AQ798" s="532">
        <v>39059.339999999997</v>
      </c>
      <c r="AR798" s="533">
        <f t="shared" si="594"/>
        <v>102.89124395513942</v>
      </c>
      <c r="AS798" s="533">
        <f>W798/V798*100</f>
        <v>100</v>
      </c>
      <c r="AT798" s="533">
        <f t="shared" si="595"/>
        <v>102.89124395513942</v>
      </c>
      <c r="AU798" s="533">
        <f>AQ798/W798*100</f>
        <v>97.648349999999994</v>
      </c>
      <c r="AV798" s="533">
        <f>AQ798/R798*100</f>
        <v>100.47160201666838</v>
      </c>
      <c r="AW798" s="612">
        <f>AQ798</f>
        <v>39059.339999999997</v>
      </c>
      <c r="AX798" s="612"/>
      <c r="AY798" s="612"/>
      <c r="AZ798" s="612"/>
      <c r="BA798" s="612"/>
      <c r="BB798" s="612"/>
      <c r="BC798" s="612"/>
      <c r="BD798" s="612"/>
      <c r="BE798" s="612"/>
      <c r="BF798" s="612"/>
      <c r="BG798" s="612"/>
      <c r="BH798" s="612">
        <f t="shared" si="585"/>
        <v>39059.339999999997</v>
      </c>
      <c r="BI798" s="612">
        <f t="shared" si="599"/>
        <v>57200</v>
      </c>
      <c r="BJ798" s="201"/>
    </row>
    <row r="799" spans="1:62" ht="12" customHeight="1">
      <c r="A799" s="41"/>
      <c r="B799" s="41"/>
      <c r="C799" s="41"/>
      <c r="D799" s="41"/>
      <c r="E799" s="41"/>
      <c r="F799" s="41"/>
      <c r="G799" s="41"/>
      <c r="H799" s="235"/>
      <c r="I799" s="15"/>
      <c r="J799" s="3"/>
      <c r="K799" s="83"/>
      <c r="L799" s="84"/>
      <c r="M799" s="84"/>
      <c r="N799" s="85"/>
      <c r="O799" s="85"/>
      <c r="P799" s="86"/>
      <c r="Q799" s="86"/>
      <c r="R799" s="154"/>
      <c r="S799" s="158" t="e">
        <f ca="1">__xlfn.XLOOKUP(H799,[1]Izvršenje_proračuna_po_pozicija!$B$2:$B$153,[1]Izvršenje_proračuna_po_pozicija!$E$2:$E$153,0)</f>
        <v>#NAME?</v>
      </c>
      <c r="T799" s="158"/>
      <c r="U799" s="158"/>
      <c r="V799" s="532"/>
      <c r="W799" s="532"/>
      <c r="X799" s="568"/>
      <c r="Y799" s="569"/>
      <c r="Z799" s="569"/>
      <c r="AA799" s="562" t="e">
        <f t="shared" ca="1" si="584"/>
        <v>#NAME?</v>
      </c>
      <c r="AB799" s="537"/>
      <c r="AC799" s="538"/>
      <c r="AD799" s="538"/>
      <c r="AE799" s="529"/>
      <c r="AF799" s="529"/>
      <c r="AG799" s="529"/>
      <c r="AH799" s="529"/>
      <c r="AI799" s="537"/>
      <c r="AJ799" s="569"/>
      <c r="AK799" s="507"/>
      <c r="AL799" s="507"/>
      <c r="AM799" s="507"/>
      <c r="AN799" s="557"/>
      <c r="AO799" s="510"/>
      <c r="AP799" s="510" t="e">
        <f t="shared" ca="1" si="581"/>
        <v>#NAME?</v>
      </c>
      <c r="AQ799" s="532"/>
      <c r="AR799" s="533"/>
      <c r="AS799" s="533"/>
      <c r="AT799" s="533"/>
      <c r="AU799" s="533"/>
      <c r="AV799" s="533"/>
      <c r="AW799" s="612"/>
      <c r="AX799" s="612"/>
      <c r="AY799" s="612"/>
      <c r="AZ799" s="612"/>
      <c r="BA799" s="612"/>
      <c r="BB799" s="612"/>
      <c r="BC799" s="612"/>
      <c r="BD799" s="612"/>
      <c r="BE799" s="612"/>
      <c r="BF799" s="612"/>
      <c r="BG799" s="612"/>
      <c r="BH799" s="612">
        <f t="shared" si="585"/>
        <v>0</v>
      </c>
      <c r="BI799" s="612">
        <f t="shared" si="599"/>
        <v>57200</v>
      </c>
      <c r="BJ799" s="201"/>
    </row>
    <row r="800" spans="1:62" ht="12" customHeight="1">
      <c r="A800" s="282" t="s">
        <v>356</v>
      </c>
      <c r="B800" s="283"/>
      <c r="C800" s="283"/>
      <c r="D800" s="283"/>
      <c r="E800" s="283"/>
      <c r="F800" s="283"/>
      <c r="G800" s="283"/>
      <c r="H800" s="284"/>
      <c r="I800" s="369" t="s">
        <v>639</v>
      </c>
      <c r="J800" s="370"/>
      <c r="K800" s="226"/>
      <c r="L800" s="111">
        <f t="shared" ref="L800:S800" si="623">L802</f>
        <v>306000</v>
      </c>
      <c r="M800" s="111">
        <f t="shared" si="623"/>
        <v>40613.179374875574</v>
      </c>
      <c r="N800" s="112">
        <f t="shared" si="623"/>
        <v>315000</v>
      </c>
      <c r="O800" s="112">
        <f t="shared" si="623"/>
        <v>41807.684650607203</v>
      </c>
      <c r="P800" s="113">
        <f t="shared" si="623"/>
        <v>52000</v>
      </c>
      <c r="Q800" s="113">
        <f t="shared" si="623"/>
        <v>52000</v>
      </c>
      <c r="R800" s="87">
        <f t="shared" si="623"/>
        <v>52200</v>
      </c>
      <c r="S800" s="89" t="e">
        <f t="shared" ca="1" si="623"/>
        <v>#NAME?</v>
      </c>
      <c r="T800" s="89"/>
      <c r="U800" s="89"/>
      <c r="V800" s="532">
        <f>V802</f>
        <v>57000</v>
      </c>
      <c r="W800" s="532">
        <f>W802</f>
        <v>57000</v>
      </c>
      <c r="X800" s="506">
        <f>X802</f>
        <v>72000</v>
      </c>
      <c r="Y800" s="507">
        <f>Y802</f>
        <v>75000</v>
      </c>
      <c r="Z800" s="507">
        <f>Z802</f>
        <v>0</v>
      </c>
      <c r="AA800" s="562" t="e">
        <f t="shared" ca="1" si="584"/>
        <v>#NAME?</v>
      </c>
      <c r="AB800" s="507"/>
      <c r="AC800" s="508">
        <f>AC802</f>
        <v>52000</v>
      </c>
      <c r="AD800" s="508">
        <f>AD802</f>
        <v>52000</v>
      </c>
      <c r="AE800" s="529">
        <f>O800/M800*100</f>
        <v>102.94117647058823</v>
      </c>
      <c r="AF800" s="529">
        <f>P800/O800*100</f>
        <v>124.37904761904764</v>
      </c>
      <c r="AG800" s="529">
        <f>Q800/P800*100</f>
        <v>100</v>
      </c>
      <c r="AH800" s="529">
        <f>AC800/Q800*100</f>
        <v>100</v>
      </c>
      <c r="AI800" s="507"/>
      <c r="AJ800" s="507">
        <v>75000</v>
      </c>
      <c r="AK800" s="507">
        <f t="shared" si="618"/>
        <v>109.19540229885058</v>
      </c>
      <c r="AL800" s="507">
        <f t="shared" si="619"/>
        <v>126.31578947368421</v>
      </c>
      <c r="AM800" s="507">
        <f t="shared" si="619"/>
        <v>104.16666666666667</v>
      </c>
      <c r="AN800" s="509"/>
      <c r="AO800" s="510"/>
      <c r="AP800" s="510" t="e">
        <f t="shared" ca="1" si="581"/>
        <v>#NAME?</v>
      </c>
      <c r="AQ800" s="532">
        <f>AQ802</f>
        <v>57200</v>
      </c>
      <c r="AR800" s="533">
        <f t="shared" si="594"/>
        <v>109.19540229885058</v>
      </c>
      <c r="AS800" s="533">
        <f>W800/V800*100</f>
        <v>100</v>
      </c>
      <c r="AT800" s="533">
        <f t="shared" si="595"/>
        <v>109.19540229885058</v>
      </c>
      <c r="AU800" s="533">
        <f>AQ800/W800*100</f>
        <v>100.35087719298245</v>
      </c>
      <c r="AV800" s="533">
        <f>AQ800/R800*100</f>
        <v>109.57854406130268</v>
      </c>
      <c r="AW800" s="612"/>
      <c r="AX800" s="612"/>
      <c r="AY800" s="612"/>
      <c r="AZ800" s="612"/>
      <c r="BA800" s="612"/>
      <c r="BB800" s="612"/>
      <c r="BC800" s="612"/>
      <c r="BD800" s="612"/>
      <c r="BE800" s="612"/>
      <c r="BF800" s="612"/>
      <c r="BG800" s="612"/>
      <c r="BH800" s="612">
        <f t="shared" si="585"/>
        <v>0</v>
      </c>
      <c r="BI800" s="612">
        <f t="shared" si="599"/>
        <v>0</v>
      </c>
      <c r="BJ800" s="201">
        <f t="shared" ref="BJ800:BJ808" si="624">AQ807-BI800</f>
        <v>0</v>
      </c>
    </row>
    <row r="801" spans="1:62" ht="12" customHeight="1">
      <c r="A801" s="68"/>
      <c r="B801" s="68"/>
      <c r="C801" s="68"/>
      <c r="D801" s="68"/>
      <c r="E801" s="68"/>
      <c r="F801" s="68"/>
      <c r="G801" s="68"/>
      <c r="H801" s="319"/>
      <c r="I801" s="4"/>
      <c r="J801" s="8"/>
      <c r="K801" s="8"/>
      <c r="L801" s="84"/>
      <c r="M801" s="84"/>
      <c r="N801" s="85"/>
      <c r="O801" s="85"/>
      <c r="P801" s="86"/>
      <c r="Q801" s="86"/>
      <c r="R801" s="154"/>
      <c r="S801" s="158" t="e">
        <f ca="1">__xlfn.XLOOKUP(H801,[1]Izvršenje_proračuna_po_pozicija!$B$2:$B$153,[1]Izvršenje_proračuna_po_pozicija!$E$2:$E$153,0)</f>
        <v>#NAME?</v>
      </c>
      <c r="T801" s="158"/>
      <c r="U801" s="158"/>
      <c r="V801" s="532"/>
      <c r="W801" s="532"/>
      <c r="X801" s="568"/>
      <c r="Y801" s="569"/>
      <c r="Z801" s="569"/>
      <c r="AA801" s="562" t="e">
        <f t="shared" ca="1" si="584"/>
        <v>#NAME?</v>
      </c>
      <c r="AB801" s="537"/>
      <c r="AC801" s="538"/>
      <c r="AD801" s="538"/>
      <c r="AE801" s="529"/>
      <c r="AF801" s="529"/>
      <c r="AG801" s="529"/>
      <c r="AH801" s="529"/>
      <c r="AI801" s="537"/>
      <c r="AJ801" s="569"/>
      <c r="AK801" s="507"/>
      <c r="AL801" s="507"/>
      <c r="AM801" s="507"/>
      <c r="AN801" s="557"/>
      <c r="AO801" s="510"/>
      <c r="AP801" s="510" t="e">
        <f t="shared" ca="1" si="581"/>
        <v>#NAME?</v>
      </c>
      <c r="AQ801" s="532"/>
      <c r="AR801" s="533"/>
      <c r="AS801" s="533"/>
      <c r="AT801" s="533"/>
      <c r="AU801" s="533"/>
      <c r="AV801" s="533"/>
      <c r="AW801" s="612"/>
      <c r="AX801" s="612"/>
      <c r="AY801" s="612"/>
      <c r="AZ801" s="612"/>
      <c r="BA801" s="612"/>
      <c r="BB801" s="612"/>
      <c r="BC801" s="612"/>
      <c r="BD801" s="612"/>
      <c r="BE801" s="612"/>
      <c r="BF801" s="612"/>
      <c r="BG801" s="612"/>
      <c r="BH801" s="612">
        <f t="shared" si="585"/>
        <v>0</v>
      </c>
      <c r="BI801" s="612">
        <f t="shared" si="599"/>
        <v>0</v>
      </c>
      <c r="BJ801" s="201">
        <f t="shared" si="624"/>
        <v>0</v>
      </c>
    </row>
    <row r="802" spans="1:62" ht="12" customHeight="1">
      <c r="A802" s="25"/>
      <c r="B802" s="25"/>
      <c r="C802" s="25"/>
      <c r="D802" s="25"/>
      <c r="E802" s="25"/>
      <c r="F802" s="25"/>
      <c r="G802" s="25"/>
      <c r="H802" s="285"/>
      <c r="I802" s="349"/>
      <c r="J802" s="211">
        <v>3</v>
      </c>
      <c r="K802" s="3" t="s">
        <v>220</v>
      </c>
      <c r="L802" s="111">
        <f t="shared" ref="L802:S805" si="625">L803</f>
        <v>306000</v>
      </c>
      <c r="M802" s="111">
        <f t="shared" si="625"/>
        <v>40613.179374875574</v>
      </c>
      <c r="N802" s="112">
        <f t="shared" si="625"/>
        <v>315000</v>
      </c>
      <c r="O802" s="112">
        <f t="shared" si="625"/>
        <v>41807.684650607203</v>
      </c>
      <c r="P802" s="113">
        <f t="shared" si="625"/>
        <v>52000</v>
      </c>
      <c r="Q802" s="113">
        <f t="shared" si="625"/>
        <v>52000</v>
      </c>
      <c r="R802" s="87">
        <f t="shared" si="625"/>
        <v>52200</v>
      </c>
      <c r="S802" s="89" t="e">
        <f t="shared" ca="1" si="625"/>
        <v>#NAME?</v>
      </c>
      <c r="T802" s="89"/>
      <c r="U802" s="89"/>
      <c r="V802" s="532">
        <f>V803</f>
        <v>57000</v>
      </c>
      <c r="W802" s="532">
        <f t="shared" ref="W802:Z805" si="626">W803</f>
        <v>57000</v>
      </c>
      <c r="X802" s="506">
        <f t="shared" si="626"/>
        <v>72000</v>
      </c>
      <c r="Y802" s="507">
        <f t="shared" si="626"/>
        <v>75000</v>
      </c>
      <c r="Z802" s="507">
        <f t="shared" si="626"/>
        <v>0</v>
      </c>
      <c r="AA802" s="562" t="e">
        <f t="shared" ca="1" si="584"/>
        <v>#NAME?</v>
      </c>
      <c r="AB802" s="507"/>
      <c r="AC802" s="508">
        <f>AC803</f>
        <v>52000</v>
      </c>
      <c r="AD802" s="508">
        <f>AD803</f>
        <v>52000</v>
      </c>
      <c r="AE802" s="529">
        <f t="shared" ref="AE802:AE814" si="627">O802/M802*100</f>
        <v>102.94117647058823</v>
      </c>
      <c r="AF802" s="529">
        <f t="shared" ref="AF802:AG806" si="628">P802/O802*100</f>
        <v>124.37904761904764</v>
      </c>
      <c r="AG802" s="529">
        <f t="shared" si="628"/>
        <v>100</v>
      </c>
      <c r="AH802" s="529">
        <f>AC802/Q802*100</f>
        <v>100</v>
      </c>
      <c r="AI802" s="507"/>
      <c r="AJ802" s="507">
        <v>75000</v>
      </c>
      <c r="AK802" s="507">
        <f t="shared" si="618"/>
        <v>109.19540229885058</v>
      </c>
      <c r="AL802" s="507">
        <f t="shared" si="619"/>
        <v>126.31578947368421</v>
      </c>
      <c r="AM802" s="507">
        <f t="shared" si="619"/>
        <v>104.16666666666667</v>
      </c>
      <c r="AN802" s="509"/>
      <c r="AO802" s="510"/>
      <c r="AP802" s="510" t="e">
        <f t="shared" ca="1" si="581"/>
        <v>#NAME?</v>
      </c>
      <c r="AQ802" s="532">
        <f>AQ803</f>
        <v>57200</v>
      </c>
      <c r="AR802" s="533">
        <f t="shared" si="594"/>
        <v>109.19540229885058</v>
      </c>
      <c r="AS802" s="533">
        <f>W802/V802*100</f>
        <v>100</v>
      </c>
      <c r="AT802" s="533">
        <f t="shared" si="595"/>
        <v>109.19540229885058</v>
      </c>
      <c r="AU802" s="533">
        <f>AQ802/W802*100</f>
        <v>100.35087719298245</v>
      </c>
      <c r="AV802" s="533">
        <f>AQ802/R802*100</f>
        <v>109.57854406130268</v>
      </c>
      <c r="AW802" s="612"/>
      <c r="AX802" s="612"/>
      <c r="AY802" s="612"/>
      <c r="AZ802" s="612"/>
      <c r="BA802" s="612"/>
      <c r="BB802" s="612"/>
      <c r="BC802" s="612"/>
      <c r="BD802" s="612"/>
      <c r="BE802" s="612"/>
      <c r="BF802" s="612"/>
      <c r="BG802" s="612"/>
      <c r="BH802" s="612">
        <f t="shared" si="585"/>
        <v>0</v>
      </c>
      <c r="BI802" s="612">
        <f t="shared" si="599"/>
        <v>0</v>
      </c>
      <c r="BJ802" s="201">
        <f t="shared" si="624"/>
        <v>0</v>
      </c>
    </row>
    <row r="803" spans="1:62" ht="12" customHeight="1">
      <c r="A803" s="227"/>
      <c r="B803" s="227"/>
      <c r="C803" s="227"/>
      <c r="D803" s="227"/>
      <c r="E803" s="227"/>
      <c r="F803" s="227"/>
      <c r="G803" s="227"/>
      <c r="H803" s="234"/>
      <c r="I803" s="265"/>
      <c r="J803" s="228">
        <v>38</v>
      </c>
      <c r="K803" s="258" t="s">
        <v>281</v>
      </c>
      <c r="L803" s="111">
        <f t="shared" si="625"/>
        <v>306000</v>
      </c>
      <c r="M803" s="111">
        <f t="shared" si="625"/>
        <v>40613.179374875574</v>
      </c>
      <c r="N803" s="112">
        <f t="shared" si="625"/>
        <v>315000</v>
      </c>
      <c r="O803" s="112">
        <f t="shared" si="625"/>
        <v>41807.684650607203</v>
      </c>
      <c r="P803" s="113">
        <f t="shared" si="625"/>
        <v>52000</v>
      </c>
      <c r="Q803" s="113">
        <f t="shared" si="625"/>
        <v>52000</v>
      </c>
      <c r="R803" s="87">
        <f t="shared" si="625"/>
        <v>52200</v>
      </c>
      <c r="S803" s="89" t="e">
        <f t="shared" ca="1" si="625"/>
        <v>#NAME?</v>
      </c>
      <c r="T803" s="89"/>
      <c r="U803" s="89"/>
      <c r="V803" s="532">
        <f>V804</f>
        <v>57000</v>
      </c>
      <c r="W803" s="532">
        <f t="shared" si="626"/>
        <v>57000</v>
      </c>
      <c r="X803" s="506">
        <f t="shared" si="626"/>
        <v>72000</v>
      </c>
      <c r="Y803" s="507">
        <f t="shared" si="626"/>
        <v>75000</v>
      </c>
      <c r="Z803" s="507">
        <f t="shared" si="626"/>
        <v>0</v>
      </c>
      <c r="AA803" s="562" t="e">
        <f t="shared" ca="1" si="584"/>
        <v>#NAME?</v>
      </c>
      <c r="AB803" s="507"/>
      <c r="AC803" s="508">
        <f t="shared" ref="AC803:AD805" si="629">AC804</f>
        <v>52000</v>
      </c>
      <c r="AD803" s="508">
        <f t="shared" si="629"/>
        <v>52000</v>
      </c>
      <c r="AE803" s="529">
        <f t="shared" si="627"/>
        <v>102.94117647058823</v>
      </c>
      <c r="AF803" s="529">
        <f t="shared" si="628"/>
        <v>124.37904761904764</v>
      </c>
      <c r="AG803" s="529">
        <f t="shared" si="628"/>
        <v>100</v>
      </c>
      <c r="AH803" s="529">
        <f>AC803/Q803*100</f>
        <v>100</v>
      </c>
      <c r="AI803" s="507"/>
      <c r="AJ803" s="507">
        <v>75000</v>
      </c>
      <c r="AK803" s="507">
        <f t="shared" si="618"/>
        <v>109.19540229885058</v>
      </c>
      <c r="AL803" s="507">
        <f t="shared" si="619"/>
        <v>126.31578947368421</v>
      </c>
      <c r="AM803" s="507">
        <f t="shared" si="619"/>
        <v>104.16666666666667</v>
      </c>
      <c r="AN803" s="509"/>
      <c r="AO803" s="510"/>
      <c r="AP803" s="510" t="e">
        <f t="shared" ref="AP803:AP866" ca="1" si="630">__xlfn.ISFORMULA(X803)</f>
        <v>#NAME?</v>
      </c>
      <c r="AQ803" s="532">
        <f>AQ804</f>
        <v>57200</v>
      </c>
      <c r="AR803" s="533">
        <f t="shared" si="594"/>
        <v>109.19540229885058</v>
      </c>
      <c r="AS803" s="533">
        <f>W803/V803*100</f>
        <v>100</v>
      </c>
      <c r="AT803" s="533">
        <f t="shared" si="595"/>
        <v>109.19540229885058</v>
      </c>
      <c r="AU803" s="533">
        <f>AQ803/W803*100</f>
        <v>100.35087719298245</v>
      </c>
      <c r="AV803" s="533">
        <f>AQ803/R803*100</f>
        <v>109.57854406130268</v>
      </c>
      <c r="AW803" s="612"/>
      <c r="AX803" s="612"/>
      <c r="AY803" s="612"/>
      <c r="AZ803" s="612"/>
      <c r="BA803" s="612"/>
      <c r="BB803" s="612"/>
      <c r="BC803" s="612"/>
      <c r="BD803" s="612"/>
      <c r="BE803" s="612"/>
      <c r="BF803" s="612"/>
      <c r="BG803" s="612"/>
      <c r="BH803" s="612">
        <f t="shared" si="585"/>
        <v>0</v>
      </c>
      <c r="BI803" s="612">
        <f t="shared" si="599"/>
        <v>0</v>
      </c>
      <c r="BJ803" s="201">
        <f t="shared" si="624"/>
        <v>0</v>
      </c>
    </row>
    <row r="804" spans="1:62" ht="12" customHeight="1">
      <c r="A804" s="61"/>
      <c r="B804" s="61"/>
      <c r="C804" s="61"/>
      <c r="D804" s="61"/>
      <c r="E804" s="61"/>
      <c r="F804" s="61"/>
      <c r="G804" s="61"/>
      <c r="H804" s="230"/>
      <c r="I804" s="348"/>
      <c r="J804" s="229">
        <v>381</v>
      </c>
      <c r="K804" s="20" t="s">
        <v>397</v>
      </c>
      <c r="L804" s="111">
        <f t="shared" si="625"/>
        <v>306000</v>
      </c>
      <c r="M804" s="111">
        <f t="shared" si="625"/>
        <v>40613.179374875574</v>
      </c>
      <c r="N804" s="112">
        <f t="shared" si="625"/>
        <v>315000</v>
      </c>
      <c r="O804" s="112">
        <f t="shared" si="625"/>
        <v>41807.684650607203</v>
      </c>
      <c r="P804" s="113">
        <f t="shared" si="625"/>
        <v>52000</v>
      </c>
      <c r="Q804" s="113">
        <f t="shared" si="625"/>
        <v>52000</v>
      </c>
      <c r="R804" s="87">
        <f t="shared" si="625"/>
        <v>52200</v>
      </c>
      <c r="S804" s="89" t="e">
        <f t="shared" ca="1" si="625"/>
        <v>#NAME?</v>
      </c>
      <c r="T804" s="89"/>
      <c r="U804" s="89"/>
      <c r="V804" s="532">
        <f>V805</f>
        <v>57000</v>
      </c>
      <c r="W804" s="532">
        <f t="shared" si="626"/>
        <v>57000</v>
      </c>
      <c r="X804" s="506">
        <f t="shared" si="626"/>
        <v>72000</v>
      </c>
      <c r="Y804" s="507">
        <f t="shared" si="626"/>
        <v>75000</v>
      </c>
      <c r="Z804" s="507">
        <f t="shared" si="626"/>
        <v>0</v>
      </c>
      <c r="AA804" s="562" t="e">
        <f t="shared" ca="1" si="584"/>
        <v>#NAME?</v>
      </c>
      <c r="AB804" s="507"/>
      <c r="AC804" s="508">
        <f t="shared" si="629"/>
        <v>52000</v>
      </c>
      <c r="AD804" s="508">
        <f t="shared" si="629"/>
        <v>52000</v>
      </c>
      <c r="AE804" s="529">
        <f t="shared" si="627"/>
        <v>102.94117647058823</v>
      </c>
      <c r="AF804" s="529">
        <f t="shared" si="628"/>
        <v>124.37904761904764</v>
      </c>
      <c r="AG804" s="529">
        <f t="shared" si="628"/>
        <v>100</v>
      </c>
      <c r="AH804" s="529">
        <f>AC804/Q804*100</f>
        <v>100</v>
      </c>
      <c r="AI804" s="507"/>
      <c r="AJ804" s="507">
        <v>75000</v>
      </c>
      <c r="AK804" s="507">
        <f t="shared" si="618"/>
        <v>109.19540229885058</v>
      </c>
      <c r="AL804" s="507">
        <f t="shared" si="619"/>
        <v>126.31578947368421</v>
      </c>
      <c r="AM804" s="507">
        <f t="shared" si="619"/>
        <v>104.16666666666667</v>
      </c>
      <c r="AN804" s="509"/>
      <c r="AO804" s="510"/>
      <c r="AP804" s="510" t="e">
        <f t="shared" ca="1" si="630"/>
        <v>#NAME?</v>
      </c>
      <c r="AQ804" s="532">
        <f>AQ805</f>
        <v>57200</v>
      </c>
      <c r="AR804" s="532">
        <f t="shared" ref="AR804:BE805" si="631">AR805</f>
        <v>1140</v>
      </c>
      <c r="AS804" s="532">
        <f t="shared" si="631"/>
        <v>100</v>
      </c>
      <c r="AT804" s="532">
        <f t="shared" si="631"/>
        <v>1140</v>
      </c>
      <c r="AU804" s="532">
        <f t="shared" si="631"/>
        <v>100.35087719298245</v>
      </c>
      <c r="AV804" s="532">
        <f t="shared" si="631"/>
        <v>1144</v>
      </c>
      <c r="AW804" s="612">
        <f t="shared" si="631"/>
        <v>57200</v>
      </c>
      <c r="AX804" s="612">
        <f t="shared" si="631"/>
        <v>0</v>
      </c>
      <c r="AY804" s="612">
        <f t="shared" si="631"/>
        <v>0</v>
      </c>
      <c r="AZ804" s="612">
        <f t="shared" si="631"/>
        <v>0</v>
      </c>
      <c r="BA804" s="612">
        <f t="shared" si="631"/>
        <v>0</v>
      </c>
      <c r="BB804" s="612">
        <f t="shared" si="631"/>
        <v>0</v>
      </c>
      <c r="BC804" s="612">
        <f t="shared" si="631"/>
        <v>0</v>
      </c>
      <c r="BD804" s="612">
        <f t="shared" si="631"/>
        <v>0</v>
      </c>
      <c r="BE804" s="612">
        <f t="shared" si="631"/>
        <v>0</v>
      </c>
      <c r="BF804" s="612"/>
      <c r="BG804" s="612"/>
      <c r="BH804" s="612">
        <f t="shared" si="585"/>
        <v>57200</v>
      </c>
      <c r="BI804" s="612">
        <f t="shared" si="599"/>
        <v>0</v>
      </c>
      <c r="BJ804" s="201">
        <f t="shared" si="624"/>
        <v>0</v>
      </c>
    </row>
    <row r="805" spans="1:62" ht="12" customHeight="1">
      <c r="A805" s="52"/>
      <c r="B805" s="52"/>
      <c r="C805" s="52"/>
      <c r="D805" s="52"/>
      <c r="E805" s="52"/>
      <c r="F805" s="52"/>
      <c r="G805" s="52"/>
      <c r="H805" s="2"/>
      <c r="I805" s="289"/>
      <c r="J805" s="185">
        <v>3811</v>
      </c>
      <c r="K805" s="19" t="s">
        <v>282</v>
      </c>
      <c r="L805" s="111">
        <f t="shared" si="625"/>
        <v>306000</v>
      </c>
      <c r="M805" s="111">
        <f t="shared" si="625"/>
        <v>40613.179374875574</v>
      </c>
      <c r="N805" s="112">
        <f t="shared" si="625"/>
        <v>315000</v>
      </c>
      <c r="O805" s="112">
        <f t="shared" si="625"/>
        <v>41807.684650607203</v>
      </c>
      <c r="P805" s="113">
        <f t="shared" si="625"/>
        <v>52000</v>
      </c>
      <c r="Q805" s="113">
        <f t="shared" si="625"/>
        <v>52000</v>
      </c>
      <c r="R805" s="87">
        <f t="shared" si="625"/>
        <v>52200</v>
      </c>
      <c r="S805" s="89" t="e">
        <f t="shared" ca="1" si="625"/>
        <v>#NAME?</v>
      </c>
      <c r="T805" s="89"/>
      <c r="U805" s="89"/>
      <c r="V805" s="532">
        <f>V806</f>
        <v>57000</v>
      </c>
      <c r="W805" s="532">
        <f t="shared" si="626"/>
        <v>57000</v>
      </c>
      <c r="X805" s="506">
        <f t="shared" si="626"/>
        <v>72000</v>
      </c>
      <c r="Y805" s="507">
        <f t="shared" si="626"/>
        <v>75000</v>
      </c>
      <c r="Z805" s="507">
        <f t="shared" si="626"/>
        <v>0</v>
      </c>
      <c r="AA805" s="562" t="e">
        <f t="shared" ref="AA805:AA868" ca="1" si="632">__xlfn.ISFORMULA(R805)</f>
        <v>#NAME?</v>
      </c>
      <c r="AB805" s="507"/>
      <c r="AC805" s="508">
        <f t="shared" si="629"/>
        <v>52000</v>
      </c>
      <c r="AD805" s="508">
        <f t="shared" si="629"/>
        <v>52000</v>
      </c>
      <c r="AE805" s="529">
        <f t="shared" si="627"/>
        <v>102.94117647058823</v>
      </c>
      <c r="AF805" s="529">
        <f t="shared" si="628"/>
        <v>124.37904761904764</v>
      </c>
      <c r="AG805" s="529">
        <f t="shared" si="628"/>
        <v>100</v>
      </c>
      <c r="AH805" s="529">
        <f>AC805/Q805*100</f>
        <v>100</v>
      </c>
      <c r="AI805" s="507"/>
      <c r="AJ805" s="507">
        <v>75000</v>
      </c>
      <c r="AK805" s="507">
        <f t="shared" si="618"/>
        <v>109.19540229885058</v>
      </c>
      <c r="AL805" s="507">
        <f t="shared" si="619"/>
        <v>126.31578947368421</v>
      </c>
      <c r="AM805" s="507">
        <f t="shared" si="619"/>
        <v>104.16666666666667</v>
      </c>
      <c r="AN805" s="509"/>
      <c r="AO805" s="510"/>
      <c r="AP805" s="510" t="e">
        <f t="shared" ca="1" si="630"/>
        <v>#NAME?</v>
      </c>
      <c r="AQ805" s="532">
        <f>AQ806</f>
        <v>57200</v>
      </c>
      <c r="AR805" s="532">
        <f t="shared" si="631"/>
        <v>1140</v>
      </c>
      <c r="AS805" s="532">
        <f t="shared" si="631"/>
        <v>100</v>
      </c>
      <c r="AT805" s="532">
        <f t="shared" si="631"/>
        <v>1140</v>
      </c>
      <c r="AU805" s="532">
        <f t="shared" si="631"/>
        <v>100.35087719298245</v>
      </c>
      <c r="AV805" s="532">
        <f t="shared" si="631"/>
        <v>1144</v>
      </c>
      <c r="AW805" s="612">
        <f t="shared" si="631"/>
        <v>57200</v>
      </c>
      <c r="AX805" s="612">
        <f t="shared" si="631"/>
        <v>0</v>
      </c>
      <c r="AY805" s="612">
        <f t="shared" si="631"/>
        <v>0</v>
      </c>
      <c r="AZ805" s="612">
        <f t="shared" si="631"/>
        <v>0</v>
      </c>
      <c r="BA805" s="612">
        <f t="shared" si="631"/>
        <v>0</v>
      </c>
      <c r="BB805" s="612">
        <f t="shared" si="631"/>
        <v>0</v>
      </c>
      <c r="BC805" s="612">
        <f t="shared" si="631"/>
        <v>0</v>
      </c>
      <c r="BD805" s="612">
        <f t="shared" si="631"/>
        <v>0</v>
      </c>
      <c r="BE805" s="612">
        <f t="shared" si="631"/>
        <v>0</v>
      </c>
      <c r="BF805" s="612"/>
      <c r="BG805" s="612"/>
      <c r="BH805" s="612">
        <f t="shared" ref="BH805:BH868" si="633">SUM(AW805:BG805)</f>
        <v>57200</v>
      </c>
      <c r="BI805" s="612">
        <f t="shared" si="599"/>
        <v>0</v>
      </c>
      <c r="BJ805" s="201">
        <f t="shared" si="624"/>
        <v>0</v>
      </c>
    </row>
    <row r="806" spans="1:62" ht="12" customHeight="1">
      <c r="A806" s="52"/>
      <c r="B806" s="52"/>
      <c r="C806" s="52"/>
      <c r="D806" s="52"/>
      <c r="E806" s="52"/>
      <c r="F806" s="52"/>
      <c r="G806" s="52"/>
      <c r="H806" s="2"/>
      <c r="I806" s="289"/>
      <c r="J806" s="185">
        <v>3811</v>
      </c>
      <c r="K806" s="19" t="s">
        <v>640</v>
      </c>
      <c r="L806" s="111">
        <v>306000</v>
      </c>
      <c r="M806" s="111">
        <f>306000/7.5345</f>
        <v>40613.179374875574</v>
      </c>
      <c r="N806" s="112">
        <v>315000</v>
      </c>
      <c r="O806" s="112">
        <f>N806/7.5345</f>
        <v>41807.684650607203</v>
      </c>
      <c r="P806" s="113">
        <v>52000</v>
      </c>
      <c r="Q806" s="113">
        <v>52000</v>
      </c>
      <c r="R806" s="87">
        <f t="shared" ref="R806:Z806" si="634">SUM(R807:R814)</f>
        <v>52200</v>
      </c>
      <c r="S806" s="89" t="e">
        <f t="shared" ca="1" si="634"/>
        <v>#NAME?</v>
      </c>
      <c r="T806" s="89"/>
      <c r="U806" s="89"/>
      <c r="V806" s="532">
        <f t="shared" si="634"/>
        <v>57000</v>
      </c>
      <c r="W806" s="532">
        <f t="shared" si="634"/>
        <v>57000</v>
      </c>
      <c r="X806" s="506">
        <f t="shared" si="634"/>
        <v>72000</v>
      </c>
      <c r="Y806" s="507">
        <f t="shared" si="634"/>
        <v>75000</v>
      </c>
      <c r="Z806" s="507">
        <f t="shared" si="634"/>
        <v>0</v>
      </c>
      <c r="AA806" s="562" t="e">
        <f t="shared" ca="1" si="632"/>
        <v>#NAME?</v>
      </c>
      <c r="AB806" s="507"/>
      <c r="AC806" s="508">
        <v>52000</v>
      </c>
      <c r="AD806" s="508">
        <v>52000</v>
      </c>
      <c r="AE806" s="529">
        <f t="shared" si="627"/>
        <v>102.94117647058823</v>
      </c>
      <c r="AF806" s="529">
        <f t="shared" si="628"/>
        <v>124.37904761904764</v>
      </c>
      <c r="AG806" s="529">
        <f t="shared" si="628"/>
        <v>100</v>
      </c>
      <c r="AH806" s="529">
        <f>AC806/Q806*100</f>
        <v>100</v>
      </c>
      <c r="AI806" s="507"/>
      <c r="AJ806" s="507">
        <v>75000</v>
      </c>
      <c r="AK806" s="507">
        <f t="shared" si="618"/>
        <v>109.19540229885058</v>
      </c>
      <c r="AL806" s="507">
        <f t="shared" si="619"/>
        <v>126.31578947368421</v>
      </c>
      <c r="AM806" s="507">
        <f t="shared" si="619"/>
        <v>104.16666666666667</v>
      </c>
      <c r="AN806" s="509"/>
      <c r="AO806" s="510"/>
      <c r="AP806" s="510" t="e">
        <f t="shared" ca="1" si="630"/>
        <v>#NAME?</v>
      </c>
      <c r="AQ806" s="532">
        <f>SUM(AQ807:AQ814)</f>
        <v>57200</v>
      </c>
      <c r="AR806" s="532">
        <f t="shared" ref="AR806:BD806" si="635">SUM(AR807:AR814)</f>
        <v>1140</v>
      </c>
      <c r="AS806" s="532">
        <f t="shared" si="635"/>
        <v>100</v>
      </c>
      <c r="AT806" s="532">
        <f t="shared" si="635"/>
        <v>1140</v>
      </c>
      <c r="AU806" s="532">
        <f t="shared" si="635"/>
        <v>100.35087719298245</v>
      </c>
      <c r="AV806" s="532">
        <f t="shared" si="635"/>
        <v>1144</v>
      </c>
      <c r="AW806" s="612">
        <f t="shared" si="635"/>
        <v>57200</v>
      </c>
      <c r="AX806" s="612">
        <f t="shared" si="635"/>
        <v>0</v>
      </c>
      <c r="AY806" s="612">
        <f t="shared" si="635"/>
        <v>0</v>
      </c>
      <c r="AZ806" s="612">
        <f t="shared" si="635"/>
        <v>0</v>
      </c>
      <c r="BA806" s="612">
        <f t="shared" si="635"/>
        <v>0</v>
      </c>
      <c r="BB806" s="612">
        <f t="shared" si="635"/>
        <v>0</v>
      </c>
      <c r="BC806" s="612">
        <f t="shared" si="635"/>
        <v>0</v>
      </c>
      <c r="BD806" s="612">
        <f t="shared" si="635"/>
        <v>0</v>
      </c>
      <c r="BE806" s="612"/>
      <c r="BF806" s="612"/>
      <c r="BG806" s="612"/>
      <c r="BH806" s="612">
        <f t="shared" si="633"/>
        <v>57200</v>
      </c>
      <c r="BI806" s="612">
        <f t="shared" si="599"/>
        <v>0</v>
      </c>
      <c r="BJ806" s="201">
        <f t="shared" si="624"/>
        <v>0</v>
      </c>
    </row>
    <row r="807" spans="1:62" ht="12" customHeight="1">
      <c r="A807" s="52"/>
      <c r="B807" s="52"/>
      <c r="C807" s="52"/>
      <c r="D807" s="52"/>
      <c r="E807" s="52"/>
      <c r="F807" s="52"/>
      <c r="G807" s="52"/>
      <c r="H807" s="2">
        <v>146</v>
      </c>
      <c r="I807" s="289">
        <v>810</v>
      </c>
      <c r="J807" s="185">
        <v>3811</v>
      </c>
      <c r="K807" s="19" t="s">
        <v>641</v>
      </c>
      <c r="L807" s="129">
        <v>30000</v>
      </c>
      <c r="M807" s="129">
        <f>30000/7.5345</f>
        <v>3981.6842524387812</v>
      </c>
      <c r="N807" s="130"/>
      <c r="O807" s="130"/>
      <c r="P807" s="131"/>
      <c r="Q807" s="131"/>
      <c r="R807" s="153">
        <v>5600</v>
      </c>
      <c r="S807" s="158" t="e">
        <f ca="1">__xlfn.XLOOKUP(H807,[1]Izvršenje_proračuna_po_pozicija!$B$2:$B$153,[1]Izvršenje_proračuna_po_pozicija!$E$2:$E$153,0)</f>
        <v>#NAME?</v>
      </c>
      <c r="T807" s="158"/>
      <c r="U807" s="158"/>
      <c r="V807" s="532"/>
      <c r="W807" s="532"/>
      <c r="X807" s="560"/>
      <c r="Y807" s="561"/>
      <c r="Z807" s="561"/>
      <c r="AA807" s="562" t="e">
        <f t="shared" ca="1" si="632"/>
        <v>#NAME?</v>
      </c>
      <c r="AB807" s="535"/>
      <c r="AC807" s="529"/>
      <c r="AD807" s="529"/>
      <c r="AE807" s="529">
        <f t="shared" si="627"/>
        <v>0</v>
      </c>
      <c r="AF807" s="529"/>
      <c r="AG807" s="529"/>
      <c r="AH807" s="529"/>
      <c r="AI807" s="535"/>
      <c r="AJ807" s="561"/>
      <c r="AK807" s="507">
        <f t="shared" si="618"/>
        <v>0</v>
      </c>
      <c r="AL807" s="507"/>
      <c r="AM807" s="507"/>
      <c r="AN807" s="556"/>
      <c r="AO807" s="510"/>
      <c r="AP807" s="510" t="e">
        <f t="shared" ca="1" si="630"/>
        <v>#NAME?</v>
      </c>
      <c r="AQ807" s="532"/>
      <c r="AR807" s="533">
        <f t="shared" ref="AR807:AR870" si="636">V807/R807*100</f>
        <v>0</v>
      </c>
      <c r="AS807" s="533"/>
      <c r="AT807" s="533">
        <f t="shared" ref="AT807:AT870" si="637">W807/R807*100</f>
        <v>0</v>
      </c>
      <c r="AU807" s="533"/>
      <c r="AV807" s="533">
        <f t="shared" ref="AV807:AV814" si="638">AQ807/R807*100</f>
        <v>0</v>
      </c>
      <c r="AW807" s="612"/>
      <c r="AX807" s="612"/>
      <c r="AY807" s="612"/>
      <c r="AZ807" s="612"/>
      <c r="BA807" s="612"/>
      <c r="BB807" s="612"/>
      <c r="BC807" s="612"/>
      <c r="BD807" s="612"/>
      <c r="BE807" s="612"/>
      <c r="BF807" s="612"/>
      <c r="BG807" s="612"/>
      <c r="BH807" s="612">
        <f t="shared" si="633"/>
        <v>0</v>
      </c>
      <c r="BI807" s="612">
        <f t="shared" si="599"/>
        <v>57200</v>
      </c>
      <c r="BJ807" s="201">
        <f t="shared" si="624"/>
        <v>0</v>
      </c>
    </row>
    <row r="808" spans="1:62" ht="12" customHeight="1">
      <c r="A808" s="52"/>
      <c r="B808" s="52"/>
      <c r="C808" s="52"/>
      <c r="D808" s="52"/>
      <c r="E808" s="52"/>
      <c r="F808" s="52"/>
      <c r="G808" s="52"/>
      <c r="H808" s="2">
        <v>147</v>
      </c>
      <c r="I808" s="289">
        <v>810</v>
      </c>
      <c r="J808" s="185">
        <v>3811</v>
      </c>
      <c r="K808" s="19" t="s">
        <v>642</v>
      </c>
      <c r="L808" s="129">
        <v>80000</v>
      </c>
      <c r="M808" s="129">
        <f>80000/7.5345</f>
        <v>10617.824673170084</v>
      </c>
      <c r="N808" s="130"/>
      <c r="O808" s="130"/>
      <c r="P808" s="131"/>
      <c r="Q808" s="131"/>
      <c r="R808" s="153">
        <v>11000</v>
      </c>
      <c r="S808" s="158" t="e">
        <f ca="1">__xlfn.XLOOKUP(H808,[1]Izvršenje_proračuna_po_pozicija!$B$2:$B$153,[1]Izvršenje_proračuna_po_pozicija!$E$2:$E$153,0)</f>
        <v>#NAME?</v>
      </c>
      <c r="T808" s="158"/>
      <c r="U808" s="158"/>
      <c r="V808" s="532"/>
      <c r="W808" s="532"/>
      <c r="X808" s="560"/>
      <c r="Y808" s="561"/>
      <c r="Z808" s="561"/>
      <c r="AA808" s="562" t="e">
        <f t="shared" ca="1" si="632"/>
        <v>#NAME?</v>
      </c>
      <c r="AB808" s="535"/>
      <c r="AC808" s="529"/>
      <c r="AD808" s="529"/>
      <c r="AE808" s="529">
        <f t="shared" si="627"/>
        <v>0</v>
      </c>
      <c r="AF808" s="529"/>
      <c r="AG808" s="529"/>
      <c r="AH808" s="529"/>
      <c r="AI808" s="535"/>
      <c r="AJ808" s="561"/>
      <c r="AK808" s="507">
        <f t="shared" si="618"/>
        <v>0</v>
      </c>
      <c r="AL808" s="507"/>
      <c r="AM808" s="507"/>
      <c r="AN808" s="556"/>
      <c r="AO808" s="510"/>
      <c r="AP808" s="510" t="e">
        <f t="shared" ca="1" si="630"/>
        <v>#NAME?</v>
      </c>
      <c r="AQ808" s="532"/>
      <c r="AR808" s="533">
        <f t="shared" si="636"/>
        <v>0</v>
      </c>
      <c r="AS808" s="533"/>
      <c r="AT808" s="533">
        <f t="shared" si="637"/>
        <v>0</v>
      </c>
      <c r="AU808" s="533"/>
      <c r="AV808" s="533">
        <f t="shared" si="638"/>
        <v>0</v>
      </c>
      <c r="AW808" s="612"/>
      <c r="AX808" s="612"/>
      <c r="AY808" s="612"/>
      <c r="AZ808" s="612"/>
      <c r="BA808" s="612"/>
      <c r="BB808" s="612"/>
      <c r="BC808" s="612"/>
      <c r="BD808" s="612"/>
      <c r="BE808" s="612"/>
      <c r="BF808" s="612"/>
      <c r="BG808" s="612"/>
      <c r="BH808" s="612">
        <f t="shared" si="633"/>
        <v>0</v>
      </c>
      <c r="BI808" s="612">
        <f t="shared" si="599"/>
        <v>0</v>
      </c>
      <c r="BJ808" s="201">
        <f t="shared" si="624"/>
        <v>0</v>
      </c>
    </row>
    <row r="809" spans="1:62" ht="12" customHeight="1">
      <c r="A809" s="52"/>
      <c r="B809" s="52"/>
      <c r="C809" s="52"/>
      <c r="D809" s="52"/>
      <c r="E809" s="52"/>
      <c r="F809" s="52"/>
      <c r="G809" s="52"/>
      <c r="H809" s="2">
        <v>148</v>
      </c>
      <c r="I809" s="289">
        <v>810</v>
      </c>
      <c r="J809" s="185">
        <v>3811</v>
      </c>
      <c r="K809" s="19" t="s">
        <v>643</v>
      </c>
      <c r="L809" s="129">
        <v>75000</v>
      </c>
      <c r="M809" s="129">
        <f>75000/7.5345</f>
        <v>9954.2106310969539</v>
      </c>
      <c r="N809" s="130"/>
      <c r="O809" s="130"/>
      <c r="P809" s="131"/>
      <c r="Q809" s="131"/>
      <c r="R809" s="153">
        <v>10600</v>
      </c>
      <c r="S809" s="158" t="e">
        <f ca="1">__xlfn.XLOOKUP(H809,[1]Izvršenje_proračuna_po_pozicija!$B$2:$B$153,[1]Izvršenje_proračuna_po_pozicija!$E$2:$E$153,0)</f>
        <v>#NAME?</v>
      </c>
      <c r="T809" s="158"/>
      <c r="U809" s="158"/>
      <c r="V809" s="532"/>
      <c r="W809" s="532"/>
      <c r="X809" s="560"/>
      <c r="Y809" s="561"/>
      <c r="Z809" s="561"/>
      <c r="AA809" s="562" t="e">
        <f t="shared" ca="1" si="632"/>
        <v>#NAME?</v>
      </c>
      <c r="AB809" s="535"/>
      <c r="AC809" s="529"/>
      <c r="AD809" s="529"/>
      <c r="AE809" s="529">
        <f t="shared" si="627"/>
        <v>0</v>
      </c>
      <c r="AF809" s="529"/>
      <c r="AG809" s="529"/>
      <c r="AH809" s="529"/>
      <c r="AI809" s="535"/>
      <c r="AJ809" s="561"/>
      <c r="AK809" s="507">
        <f t="shared" si="618"/>
        <v>0</v>
      </c>
      <c r="AL809" s="507"/>
      <c r="AM809" s="507"/>
      <c r="AN809" s="556"/>
      <c r="AO809" s="510"/>
      <c r="AP809" s="510" t="e">
        <f t="shared" ca="1" si="630"/>
        <v>#NAME?</v>
      </c>
      <c r="AQ809" s="532"/>
      <c r="AR809" s="533">
        <f t="shared" si="636"/>
        <v>0</v>
      </c>
      <c r="AS809" s="533"/>
      <c r="AT809" s="533">
        <f t="shared" si="637"/>
        <v>0</v>
      </c>
      <c r="AU809" s="533"/>
      <c r="AV809" s="533">
        <f t="shared" si="638"/>
        <v>0</v>
      </c>
      <c r="AW809" s="612"/>
      <c r="AX809" s="612"/>
      <c r="AY809" s="612"/>
      <c r="AZ809" s="612"/>
      <c r="BA809" s="612"/>
      <c r="BB809" s="612"/>
      <c r="BC809" s="612"/>
      <c r="BD809" s="612"/>
      <c r="BE809" s="612"/>
      <c r="BF809" s="612"/>
      <c r="BG809" s="612"/>
      <c r="BH809" s="612">
        <f t="shared" si="633"/>
        <v>0</v>
      </c>
      <c r="BI809" s="612">
        <f t="shared" si="599"/>
        <v>0</v>
      </c>
      <c r="BJ809" s="201"/>
    </row>
    <row r="810" spans="1:62" ht="12" customHeight="1">
      <c r="A810" s="52"/>
      <c r="B810" s="52"/>
      <c r="C810" s="52"/>
      <c r="D810" s="52"/>
      <c r="E810" s="52"/>
      <c r="F810" s="52"/>
      <c r="G810" s="52"/>
      <c r="H810" s="2">
        <v>149</v>
      </c>
      <c r="I810" s="289">
        <v>810</v>
      </c>
      <c r="J810" s="185">
        <v>3811</v>
      </c>
      <c r="K810" s="19" t="s">
        <v>644</v>
      </c>
      <c r="L810" s="129">
        <v>51000</v>
      </c>
      <c r="M810" s="129">
        <f>51000/7.5345</f>
        <v>6768.863229145928</v>
      </c>
      <c r="N810" s="130"/>
      <c r="O810" s="130"/>
      <c r="P810" s="131"/>
      <c r="Q810" s="131"/>
      <c r="R810" s="153">
        <v>11000</v>
      </c>
      <c r="S810" s="158" t="e">
        <f ca="1">__xlfn.XLOOKUP(H810,[1]Izvršenje_proračuna_po_pozicija!$B$2:$B$153,[1]Izvršenje_proračuna_po_pozicija!$E$2:$E$153,0)</f>
        <v>#NAME?</v>
      </c>
      <c r="T810" s="158"/>
      <c r="U810" s="158"/>
      <c r="V810" s="532"/>
      <c r="W810" s="532"/>
      <c r="X810" s="560"/>
      <c r="Y810" s="561"/>
      <c r="Z810" s="561"/>
      <c r="AA810" s="562" t="e">
        <f t="shared" ca="1" si="632"/>
        <v>#NAME?</v>
      </c>
      <c r="AB810" s="535"/>
      <c r="AC810" s="529"/>
      <c r="AD810" s="529"/>
      <c r="AE810" s="529">
        <f t="shared" si="627"/>
        <v>0</v>
      </c>
      <c r="AF810" s="529"/>
      <c r="AG810" s="529"/>
      <c r="AH810" s="529"/>
      <c r="AI810" s="535"/>
      <c r="AJ810" s="561"/>
      <c r="AK810" s="507">
        <f t="shared" si="618"/>
        <v>0</v>
      </c>
      <c r="AL810" s="507"/>
      <c r="AM810" s="507"/>
      <c r="AN810" s="556"/>
      <c r="AO810" s="510"/>
      <c r="AP810" s="510" t="e">
        <f t="shared" ca="1" si="630"/>
        <v>#NAME?</v>
      </c>
      <c r="AQ810" s="532"/>
      <c r="AR810" s="533">
        <f t="shared" si="636"/>
        <v>0</v>
      </c>
      <c r="AS810" s="533"/>
      <c r="AT810" s="533">
        <f t="shared" si="637"/>
        <v>0</v>
      </c>
      <c r="AU810" s="533"/>
      <c r="AV810" s="533">
        <f t="shared" si="638"/>
        <v>0</v>
      </c>
      <c r="AW810" s="612"/>
      <c r="AX810" s="612"/>
      <c r="AY810" s="612"/>
      <c r="AZ810" s="612"/>
      <c r="BA810" s="612"/>
      <c r="BB810" s="612"/>
      <c r="BC810" s="612"/>
      <c r="BD810" s="612"/>
      <c r="BE810" s="612"/>
      <c r="BF810" s="612"/>
      <c r="BG810" s="612"/>
      <c r="BH810" s="612">
        <f t="shared" si="633"/>
        <v>0</v>
      </c>
      <c r="BI810" s="612">
        <f t="shared" si="599"/>
        <v>0</v>
      </c>
      <c r="BJ810" s="201"/>
    </row>
    <row r="811" spans="1:62" ht="12" customHeight="1">
      <c r="A811" s="52"/>
      <c r="B811" s="52"/>
      <c r="C811" s="52"/>
      <c r="D811" s="52"/>
      <c r="E811" s="52"/>
      <c r="F811" s="52"/>
      <c r="G811" s="52"/>
      <c r="H811" s="2">
        <v>151</v>
      </c>
      <c r="I811" s="289">
        <v>810</v>
      </c>
      <c r="J811" s="185">
        <v>3811</v>
      </c>
      <c r="K811" s="19" t="s">
        <v>645</v>
      </c>
      <c r="L811" s="129">
        <v>10000</v>
      </c>
      <c r="M811" s="129">
        <f>10000/7.5345</f>
        <v>1327.2280841462605</v>
      </c>
      <c r="N811" s="130"/>
      <c r="O811" s="130"/>
      <c r="P811" s="131"/>
      <c r="Q811" s="131"/>
      <c r="R811" s="153">
        <v>3000</v>
      </c>
      <c r="S811" s="158" t="e">
        <f ca="1">__xlfn.XLOOKUP(H811,[1]Izvršenje_proračuna_po_pozicija!$B$2:$B$153,[1]Izvršenje_proračuna_po_pozicija!$E$2:$E$153,0)</f>
        <v>#NAME?</v>
      </c>
      <c r="T811" s="158"/>
      <c r="U811" s="158"/>
      <c r="V811" s="532"/>
      <c r="W811" s="532"/>
      <c r="X811" s="560"/>
      <c r="Y811" s="561"/>
      <c r="Z811" s="561"/>
      <c r="AA811" s="562" t="e">
        <f t="shared" ca="1" si="632"/>
        <v>#NAME?</v>
      </c>
      <c r="AB811" s="535"/>
      <c r="AC811" s="529"/>
      <c r="AD811" s="529"/>
      <c r="AE811" s="529">
        <f t="shared" si="627"/>
        <v>0</v>
      </c>
      <c r="AF811" s="529"/>
      <c r="AG811" s="529"/>
      <c r="AH811" s="529"/>
      <c r="AI811" s="535"/>
      <c r="AJ811" s="561"/>
      <c r="AK811" s="507">
        <f t="shared" si="618"/>
        <v>0</v>
      </c>
      <c r="AL811" s="507"/>
      <c r="AM811" s="507"/>
      <c r="AN811" s="556"/>
      <c r="AO811" s="510"/>
      <c r="AP811" s="510" t="e">
        <f t="shared" ca="1" si="630"/>
        <v>#NAME?</v>
      </c>
      <c r="AQ811" s="532"/>
      <c r="AR811" s="533">
        <f t="shared" si="636"/>
        <v>0</v>
      </c>
      <c r="AS811" s="533"/>
      <c r="AT811" s="533">
        <f t="shared" si="637"/>
        <v>0</v>
      </c>
      <c r="AU811" s="533"/>
      <c r="AV811" s="533">
        <f t="shared" si="638"/>
        <v>0</v>
      </c>
      <c r="AW811" s="612"/>
      <c r="AX811" s="612"/>
      <c r="AY811" s="612"/>
      <c r="AZ811" s="612"/>
      <c r="BA811" s="612"/>
      <c r="BB811" s="612"/>
      <c r="BC811" s="612"/>
      <c r="BD811" s="612"/>
      <c r="BE811" s="612"/>
      <c r="BF811" s="612"/>
      <c r="BG811" s="612"/>
      <c r="BH811" s="612">
        <f t="shared" si="633"/>
        <v>0</v>
      </c>
      <c r="BI811" s="612">
        <f t="shared" si="599"/>
        <v>0</v>
      </c>
      <c r="BJ811" s="201"/>
    </row>
    <row r="812" spans="1:62" ht="12" customHeight="1">
      <c r="A812" s="52"/>
      <c r="B812" s="52"/>
      <c r="C812" s="52"/>
      <c r="D812" s="52"/>
      <c r="E812" s="52"/>
      <c r="F812" s="52"/>
      <c r="G812" s="52"/>
      <c r="H812" s="2">
        <v>152</v>
      </c>
      <c r="I812" s="289">
        <v>810</v>
      </c>
      <c r="J812" s="185">
        <v>3811</v>
      </c>
      <c r="K812" s="19" t="s">
        <v>646</v>
      </c>
      <c r="L812" s="129">
        <v>17000</v>
      </c>
      <c r="M812" s="129">
        <f>17000/7.5345</f>
        <v>2256.2877430486428</v>
      </c>
      <c r="N812" s="130"/>
      <c r="O812" s="130"/>
      <c r="P812" s="131"/>
      <c r="Q812" s="131"/>
      <c r="R812" s="153">
        <v>3000</v>
      </c>
      <c r="S812" s="158" t="e">
        <f ca="1">__xlfn.XLOOKUP(H812,[1]Izvršenje_proračuna_po_pozicija!$B$2:$B$153,[1]Izvršenje_proračuna_po_pozicija!$E$2:$E$153,0)</f>
        <v>#NAME?</v>
      </c>
      <c r="T812" s="158"/>
      <c r="U812" s="158"/>
      <c r="V812" s="532"/>
      <c r="W812" s="532"/>
      <c r="X812" s="560"/>
      <c r="Y812" s="561"/>
      <c r="Z812" s="561"/>
      <c r="AA812" s="562" t="e">
        <f t="shared" ca="1" si="632"/>
        <v>#NAME?</v>
      </c>
      <c r="AB812" s="535"/>
      <c r="AC812" s="529"/>
      <c r="AD812" s="529"/>
      <c r="AE812" s="529">
        <f t="shared" si="627"/>
        <v>0</v>
      </c>
      <c r="AF812" s="529"/>
      <c r="AG812" s="529"/>
      <c r="AH812" s="529"/>
      <c r="AI812" s="535"/>
      <c r="AJ812" s="561"/>
      <c r="AK812" s="507">
        <f t="shared" si="618"/>
        <v>0</v>
      </c>
      <c r="AL812" s="507"/>
      <c r="AM812" s="507"/>
      <c r="AN812" s="556"/>
      <c r="AO812" s="510"/>
      <c r="AP812" s="510" t="e">
        <f t="shared" ca="1" si="630"/>
        <v>#NAME?</v>
      </c>
      <c r="AQ812" s="532"/>
      <c r="AR812" s="533">
        <f t="shared" si="636"/>
        <v>0</v>
      </c>
      <c r="AS812" s="533"/>
      <c r="AT812" s="533">
        <f t="shared" si="637"/>
        <v>0</v>
      </c>
      <c r="AU812" s="533"/>
      <c r="AV812" s="533">
        <f t="shared" si="638"/>
        <v>0</v>
      </c>
      <c r="AW812" s="612"/>
      <c r="AX812" s="612"/>
      <c r="AY812" s="612"/>
      <c r="AZ812" s="612"/>
      <c r="BA812" s="612"/>
      <c r="BB812" s="612"/>
      <c r="BC812" s="612"/>
      <c r="BD812" s="612"/>
      <c r="BE812" s="612"/>
      <c r="BF812" s="612"/>
      <c r="BG812" s="612"/>
      <c r="BH812" s="612">
        <f t="shared" si="633"/>
        <v>0</v>
      </c>
      <c r="BI812" s="612">
        <f t="shared" si="599"/>
        <v>0</v>
      </c>
      <c r="BJ812" s="201"/>
    </row>
    <row r="813" spans="1:62" ht="12" customHeight="1">
      <c r="A813" s="52"/>
      <c r="B813" s="52"/>
      <c r="C813" s="52"/>
      <c r="D813" s="52"/>
      <c r="E813" s="52"/>
      <c r="F813" s="52"/>
      <c r="G813" s="52"/>
      <c r="H813" s="2">
        <v>153</v>
      </c>
      <c r="I813" s="289">
        <v>810</v>
      </c>
      <c r="J813" s="185">
        <v>3811</v>
      </c>
      <c r="K813" s="19" t="s">
        <v>647</v>
      </c>
      <c r="L813" s="129">
        <v>15000</v>
      </c>
      <c r="M813" s="129">
        <f>15000/7.5345</f>
        <v>1990.8421262193906</v>
      </c>
      <c r="N813" s="130"/>
      <c r="O813" s="130"/>
      <c r="P813" s="131"/>
      <c r="Q813" s="131"/>
      <c r="R813" s="153">
        <v>3000</v>
      </c>
      <c r="S813" s="158" t="e">
        <f ca="1">__xlfn.XLOOKUP(H813,[1]Izvršenje_proračuna_po_pozicija!$B$2:$B$153,[1]Izvršenje_proračuna_po_pozicija!$E$2:$E$153,0)</f>
        <v>#NAME?</v>
      </c>
      <c r="T813" s="158"/>
      <c r="U813" s="158"/>
      <c r="V813" s="532"/>
      <c r="W813" s="532"/>
      <c r="X813" s="560"/>
      <c r="Y813" s="561"/>
      <c r="Z813" s="561"/>
      <c r="AA813" s="562" t="e">
        <f t="shared" ca="1" si="632"/>
        <v>#NAME?</v>
      </c>
      <c r="AB813" s="535"/>
      <c r="AC813" s="529"/>
      <c r="AD813" s="529"/>
      <c r="AE813" s="529">
        <f t="shared" si="627"/>
        <v>0</v>
      </c>
      <c r="AF813" s="529"/>
      <c r="AG813" s="529"/>
      <c r="AH813" s="529"/>
      <c r="AI813" s="535"/>
      <c r="AJ813" s="561"/>
      <c r="AK813" s="507">
        <f t="shared" si="618"/>
        <v>0</v>
      </c>
      <c r="AL813" s="507"/>
      <c r="AM813" s="507"/>
      <c r="AN813" s="556"/>
      <c r="AO813" s="510"/>
      <c r="AP813" s="510" t="e">
        <f t="shared" ca="1" si="630"/>
        <v>#NAME?</v>
      </c>
      <c r="AQ813" s="532"/>
      <c r="AR813" s="533">
        <f t="shared" si="636"/>
        <v>0</v>
      </c>
      <c r="AS813" s="533"/>
      <c r="AT813" s="533">
        <f t="shared" si="637"/>
        <v>0</v>
      </c>
      <c r="AU813" s="533"/>
      <c r="AV813" s="533">
        <f t="shared" si="638"/>
        <v>0</v>
      </c>
      <c r="AW813" s="612"/>
      <c r="AX813" s="612"/>
      <c r="AY813" s="612"/>
      <c r="AZ813" s="612"/>
      <c r="BA813" s="612"/>
      <c r="BB813" s="612"/>
      <c r="BC813" s="612"/>
      <c r="BD813" s="612"/>
      <c r="BE813" s="612"/>
      <c r="BF813" s="612"/>
      <c r="BG813" s="612"/>
      <c r="BH813" s="612">
        <f t="shared" si="633"/>
        <v>0</v>
      </c>
      <c r="BI813" s="612">
        <f t="shared" si="599"/>
        <v>100000</v>
      </c>
      <c r="BJ813" s="201"/>
    </row>
    <row r="814" spans="1:62" ht="12" customHeight="1">
      <c r="A814" s="52"/>
      <c r="B814" s="52"/>
      <c r="C814" s="52"/>
      <c r="D814" s="52"/>
      <c r="E814" s="52"/>
      <c r="F814" s="52"/>
      <c r="G814" s="52"/>
      <c r="H814" s="2" t="s">
        <v>648</v>
      </c>
      <c r="I814" s="289">
        <v>810</v>
      </c>
      <c r="J814" s="185">
        <v>3811</v>
      </c>
      <c r="K814" s="19" t="s">
        <v>649</v>
      </c>
      <c r="L814" s="129">
        <v>28000</v>
      </c>
      <c r="M814" s="129">
        <f>28000/7.5345</f>
        <v>3716.2386356095294</v>
      </c>
      <c r="N814" s="130"/>
      <c r="O814" s="130"/>
      <c r="P814" s="131"/>
      <c r="Q814" s="131"/>
      <c r="R814" s="153">
        <v>5000</v>
      </c>
      <c r="S814" s="158" t="e">
        <f ca="1">__xlfn.XLOOKUP(H814,[1]Izvršenje_proračuna_po_pozicija!$B$2:$B$153,[1]Izvršenje_proračuna_po_pozicija!$E$2:$E$153,0)</f>
        <v>#NAME?</v>
      </c>
      <c r="T814" s="158"/>
      <c r="U814" s="158"/>
      <c r="V814" s="532">
        <v>57000</v>
      </c>
      <c r="W814" s="532">
        <v>57000</v>
      </c>
      <c r="X814" s="560">
        <v>72000</v>
      </c>
      <c r="Y814" s="561">
        <v>75000</v>
      </c>
      <c r="Z814" s="561"/>
      <c r="AA814" s="562" t="e">
        <f t="shared" ca="1" si="632"/>
        <v>#NAME?</v>
      </c>
      <c r="AB814" s="535"/>
      <c r="AC814" s="529"/>
      <c r="AD814" s="529"/>
      <c r="AE814" s="529">
        <f t="shared" si="627"/>
        <v>0</v>
      </c>
      <c r="AF814" s="529"/>
      <c r="AG814" s="529"/>
      <c r="AH814" s="529"/>
      <c r="AI814" s="535"/>
      <c r="AJ814" s="561">
        <v>75000</v>
      </c>
      <c r="AK814" s="507">
        <f t="shared" si="618"/>
        <v>1140</v>
      </c>
      <c r="AL814" s="507">
        <f t="shared" si="619"/>
        <v>126.31578947368421</v>
      </c>
      <c r="AM814" s="507">
        <f t="shared" si="619"/>
        <v>104.16666666666667</v>
      </c>
      <c r="AN814" s="556"/>
      <c r="AO814" s="510"/>
      <c r="AP814" s="510" t="e">
        <f t="shared" ca="1" si="630"/>
        <v>#NAME?</v>
      </c>
      <c r="AQ814" s="532">
        <v>57200</v>
      </c>
      <c r="AR814" s="533">
        <f t="shared" si="636"/>
        <v>1140</v>
      </c>
      <c r="AS814" s="533">
        <f>W814/V814*100</f>
        <v>100</v>
      </c>
      <c r="AT814" s="533">
        <f t="shared" si="637"/>
        <v>1140</v>
      </c>
      <c r="AU814" s="533">
        <f>AQ814/W814*100</f>
        <v>100.35087719298245</v>
      </c>
      <c r="AV814" s="533">
        <f t="shared" si="638"/>
        <v>1144</v>
      </c>
      <c r="AW814" s="612">
        <v>57200</v>
      </c>
      <c r="AX814" s="612"/>
      <c r="AY814" s="612"/>
      <c r="AZ814" s="612"/>
      <c r="BA814" s="612"/>
      <c r="BB814" s="612"/>
      <c r="BC814" s="612"/>
      <c r="BD814" s="612"/>
      <c r="BE814" s="612"/>
      <c r="BF814" s="612"/>
      <c r="BG814" s="612"/>
      <c r="BH814" s="612">
        <f t="shared" si="633"/>
        <v>57200</v>
      </c>
      <c r="BI814" s="612">
        <f t="shared" si="599"/>
        <v>0</v>
      </c>
      <c r="BJ814" s="201"/>
    </row>
    <row r="815" spans="1:62" ht="12" customHeight="1">
      <c r="A815" s="52"/>
      <c r="B815" s="52"/>
      <c r="C815" s="52"/>
      <c r="D815" s="52"/>
      <c r="E815" s="52"/>
      <c r="F815" s="52"/>
      <c r="G815" s="52"/>
      <c r="H815" s="2"/>
      <c r="I815" s="289"/>
      <c r="J815" s="185"/>
      <c r="K815" s="19"/>
      <c r="L815" s="381"/>
      <c r="M815" s="381"/>
      <c r="N815" s="382"/>
      <c r="O815" s="382"/>
      <c r="P815" s="383"/>
      <c r="Q815" s="383"/>
      <c r="R815" s="385"/>
      <c r="S815" s="158" t="e">
        <f ca="1">__xlfn.XLOOKUP(H815,[1]Izvršenje_proračuna_po_pozicija!$B$2:$B$153,[1]Izvršenje_proračuna_po_pozicija!$E$2:$E$153,0)</f>
        <v>#NAME?</v>
      </c>
      <c r="T815" s="386"/>
      <c r="U815" s="386"/>
      <c r="V815" s="532"/>
      <c r="W815" s="532"/>
      <c r="X815" s="591"/>
      <c r="Y815" s="592"/>
      <c r="Z815" s="592"/>
      <c r="AA815" s="562" t="e">
        <f t="shared" ca="1" si="632"/>
        <v>#NAME?</v>
      </c>
      <c r="AB815" s="593"/>
      <c r="AC815" s="594"/>
      <c r="AD815" s="594"/>
      <c r="AE815" s="529"/>
      <c r="AF815" s="529"/>
      <c r="AG815" s="529"/>
      <c r="AH815" s="529"/>
      <c r="AI815" s="593"/>
      <c r="AJ815" s="592"/>
      <c r="AK815" s="507"/>
      <c r="AL815" s="507"/>
      <c r="AM815" s="507"/>
      <c r="AN815" s="595"/>
      <c r="AO815" s="510"/>
      <c r="AP815" s="510" t="e">
        <f t="shared" ca="1" si="630"/>
        <v>#NAME?</v>
      </c>
      <c r="AQ815" s="532"/>
      <c r="AR815" s="533"/>
      <c r="AS815" s="533"/>
      <c r="AT815" s="533"/>
      <c r="AU815" s="533"/>
      <c r="AV815" s="533"/>
      <c r="AW815" s="612"/>
      <c r="AX815" s="612"/>
      <c r="AY815" s="612"/>
      <c r="AZ815" s="612"/>
      <c r="BA815" s="612"/>
      <c r="BB815" s="612"/>
      <c r="BC815" s="612"/>
      <c r="BD815" s="612"/>
      <c r="BE815" s="612"/>
      <c r="BF815" s="612"/>
      <c r="BG815" s="612"/>
      <c r="BH815" s="612">
        <f t="shared" si="633"/>
        <v>0</v>
      </c>
      <c r="BI815" s="612">
        <f t="shared" si="599"/>
        <v>100000</v>
      </c>
      <c r="BJ815" s="201">
        <f>AQ822-BI815</f>
        <v>0</v>
      </c>
    </row>
    <row r="816" spans="1:62" ht="12" customHeight="1">
      <c r="A816" s="282" t="s">
        <v>405</v>
      </c>
      <c r="B816" s="283"/>
      <c r="C816" s="283"/>
      <c r="D816" s="283"/>
      <c r="E816" s="283"/>
      <c r="F816" s="283"/>
      <c r="G816" s="283"/>
      <c r="H816" s="284"/>
      <c r="I816" s="369" t="s">
        <v>650</v>
      </c>
      <c r="J816" s="370"/>
      <c r="K816" s="123"/>
      <c r="L816" s="111">
        <f t="shared" ref="L816:S816" si="639">L818</f>
        <v>175000</v>
      </c>
      <c r="M816" s="111">
        <f t="shared" si="639"/>
        <v>23226.491472559559</v>
      </c>
      <c r="N816" s="112">
        <f t="shared" si="639"/>
        <v>20000</v>
      </c>
      <c r="O816" s="112">
        <f t="shared" si="639"/>
        <v>2654.4561682925209</v>
      </c>
      <c r="P816" s="113">
        <f t="shared" si="639"/>
        <v>60000</v>
      </c>
      <c r="Q816" s="113">
        <f t="shared" si="639"/>
        <v>75300</v>
      </c>
      <c r="R816" s="87">
        <f t="shared" si="639"/>
        <v>0</v>
      </c>
      <c r="S816" s="89" t="e">
        <f t="shared" ca="1" si="639"/>
        <v>#NAME?</v>
      </c>
      <c r="T816" s="89"/>
      <c r="U816" s="89"/>
      <c r="V816" s="532">
        <f>V818</f>
        <v>156000</v>
      </c>
      <c r="W816" s="532">
        <f>W818</f>
        <v>156000</v>
      </c>
      <c r="X816" s="506">
        <f>X818</f>
        <v>30000</v>
      </c>
      <c r="Y816" s="507">
        <f>Y818</f>
        <v>20000</v>
      </c>
      <c r="Z816" s="507">
        <f>Z818</f>
        <v>0</v>
      </c>
      <c r="AA816" s="562" t="e">
        <f t="shared" ca="1" si="632"/>
        <v>#NAME?</v>
      </c>
      <c r="AB816" s="507"/>
      <c r="AC816" s="508">
        <f>AC818</f>
        <v>60000</v>
      </c>
      <c r="AD816" s="508">
        <f>AD818</f>
        <v>60000</v>
      </c>
      <c r="AE816" s="529">
        <f>O816/M816*100</f>
        <v>11.428571428571429</v>
      </c>
      <c r="AF816" s="529"/>
      <c r="AG816" s="529"/>
      <c r="AH816" s="529"/>
      <c r="AI816" s="507"/>
      <c r="AJ816" s="507">
        <v>20000</v>
      </c>
      <c r="AK816" s="507"/>
      <c r="AL816" s="507">
        <f t="shared" si="619"/>
        <v>19.230769230769234</v>
      </c>
      <c r="AM816" s="507">
        <f t="shared" si="619"/>
        <v>66.666666666666657</v>
      </c>
      <c r="AN816" s="509"/>
      <c r="AO816" s="510"/>
      <c r="AP816" s="510" t="e">
        <f t="shared" ca="1" si="630"/>
        <v>#NAME?</v>
      </c>
      <c r="AQ816" s="532">
        <f>AQ818</f>
        <v>100000</v>
      </c>
      <c r="AR816" s="533"/>
      <c r="AS816" s="533">
        <f>W816/V816*100</f>
        <v>100</v>
      </c>
      <c r="AT816" s="533"/>
      <c r="AU816" s="533">
        <f>AQ816/W816*100</f>
        <v>64.102564102564102</v>
      </c>
      <c r="AV816" s="533"/>
      <c r="AW816" s="612"/>
      <c r="AX816" s="612"/>
      <c r="AY816" s="612"/>
      <c r="AZ816" s="612"/>
      <c r="BA816" s="612"/>
      <c r="BB816" s="612"/>
      <c r="BC816" s="612"/>
      <c r="BD816" s="612"/>
      <c r="BE816" s="612"/>
      <c r="BF816" s="612"/>
      <c r="BG816" s="612"/>
      <c r="BH816" s="612">
        <f t="shared" si="633"/>
        <v>0</v>
      </c>
      <c r="BI816" s="612">
        <f t="shared" si="599"/>
        <v>0</v>
      </c>
      <c r="BJ816" s="201">
        <f>AQ823-BI816</f>
        <v>0</v>
      </c>
    </row>
    <row r="817" spans="1:62" ht="12" customHeight="1">
      <c r="A817" s="41"/>
      <c r="B817" s="41"/>
      <c r="C817" s="41"/>
      <c r="D817" s="41"/>
      <c r="E817" s="41"/>
      <c r="F817" s="41"/>
      <c r="G817" s="41"/>
      <c r="H817" s="235"/>
      <c r="I817" s="15"/>
      <c r="J817" s="3"/>
      <c r="K817" s="83"/>
      <c r="L817" s="84"/>
      <c r="M817" s="84"/>
      <c r="N817" s="85"/>
      <c r="O817" s="85"/>
      <c r="P817" s="86"/>
      <c r="Q817" s="86"/>
      <c r="R817" s="154"/>
      <c r="S817" s="158" t="e">
        <f ca="1">__xlfn.XLOOKUP(H817,[1]Izvršenje_proračuna_po_pozicija!$B$2:$B$153,[1]Izvršenje_proračuna_po_pozicija!$E$2:$E$153,0)</f>
        <v>#NAME?</v>
      </c>
      <c r="T817" s="158"/>
      <c r="U817" s="158"/>
      <c r="V817" s="532"/>
      <c r="W817" s="532"/>
      <c r="X817" s="568"/>
      <c r="Y817" s="569"/>
      <c r="Z817" s="569"/>
      <c r="AA817" s="562" t="e">
        <f t="shared" ca="1" si="632"/>
        <v>#NAME?</v>
      </c>
      <c r="AB817" s="537"/>
      <c r="AC817" s="538"/>
      <c r="AD817" s="538"/>
      <c r="AE817" s="529"/>
      <c r="AF817" s="529"/>
      <c r="AG817" s="529"/>
      <c r="AH817" s="529"/>
      <c r="AI817" s="537"/>
      <c r="AJ817" s="569"/>
      <c r="AK817" s="507"/>
      <c r="AL817" s="507"/>
      <c r="AM817" s="507"/>
      <c r="AN817" s="557"/>
      <c r="AO817" s="510"/>
      <c r="AP817" s="510" t="e">
        <f t="shared" ca="1" si="630"/>
        <v>#NAME?</v>
      </c>
      <c r="AQ817" s="532"/>
      <c r="AR817" s="533"/>
      <c r="AS817" s="533"/>
      <c r="AT817" s="533"/>
      <c r="AU817" s="533"/>
      <c r="AV817" s="533"/>
      <c r="AW817" s="612"/>
      <c r="AX817" s="612"/>
      <c r="AY817" s="612"/>
      <c r="AZ817" s="612"/>
      <c r="BA817" s="612"/>
      <c r="BB817" s="612"/>
      <c r="BC817" s="612"/>
      <c r="BD817" s="612"/>
      <c r="BE817" s="612"/>
      <c r="BF817" s="612"/>
      <c r="BG817" s="612"/>
      <c r="BH817" s="612">
        <f t="shared" si="633"/>
        <v>0</v>
      </c>
      <c r="BI817" s="612">
        <f t="shared" si="599"/>
        <v>0</v>
      </c>
      <c r="BJ817" s="201">
        <f>AQ824-BI817</f>
        <v>0</v>
      </c>
    </row>
    <row r="818" spans="1:62" ht="12" customHeight="1">
      <c r="A818" s="25"/>
      <c r="B818" s="25"/>
      <c r="C818" s="25"/>
      <c r="D818" s="25"/>
      <c r="E818" s="25"/>
      <c r="F818" s="25"/>
      <c r="G818" s="25"/>
      <c r="H818" s="285"/>
      <c r="I818" s="349"/>
      <c r="J818" s="211">
        <v>3</v>
      </c>
      <c r="K818" s="3" t="s">
        <v>220</v>
      </c>
      <c r="L818" s="111">
        <f t="shared" ref="L818:AD819" si="640">L819</f>
        <v>175000</v>
      </c>
      <c r="M818" s="111">
        <f t="shared" si="640"/>
        <v>23226.491472559559</v>
      </c>
      <c r="N818" s="112">
        <f t="shared" si="640"/>
        <v>20000</v>
      </c>
      <c r="O818" s="112">
        <f t="shared" si="640"/>
        <v>2654.4561682925209</v>
      </c>
      <c r="P818" s="113">
        <f t="shared" si="640"/>
        <v>60000</v>
      </c>
      <c r="Q818" s="113">
        <f t="shared" si="640"/>
        <v>75300</v>
      </c>
      <c r="R818" s="87">
        <f t="shared" si="640"/>
        <v>0</v>
      </c>
      <c r="S818" s="89" t="e">
        <f t="shared" ca="1" si="640"/>
        <v>#NAME?</v>
      </c>
      <c r="T818" s="89"/>
      <c r="U818" s="89"/>
      <c r="V818" s="532">
        <f>V819</f>
        <v>156000</v>
      </c>
      <c r="W818" s="532">
        <f t="shared" si="640"/>
        <v>156000</v>
      </c>
      <c r="X818" s="506">
        <f t="shared" si="640"/>
        <v>30000</v>
      </c>
      <c r="Y818" s="507">
        <f t="shared" si="640"/>
        <v>20000</v>
      </c>
      <c r="Z818" s="507">
        <f t="shared" si="640"/>
        <v>0</v>
      </c>
      <c r="AA818" s="562" t="e">
        <f t="shared" ca="1" si="632"/>
        <v>#NAME?</v>
      </c>
      <c r="AB818" s="507"/>
      <c r="AC818" s="508">
        <f t="shared" si="640"/>
        <v>60000</v>
      </c>
      <c r="AD818" s="508">
        <f t="shared" si="640"/>
        <v>60000</v>
      </c>
      <c r="AE818" s="529">
        <f>O818/M818*100</f>
        <v>11.428571428571429</v>
      </c>
      <c r="AF818" s="529"/>
      <c r="AG818" s="529"/>
      <c r="AH818" s="529"/>
      <c r="AI818" s="507"/>
      <c r="AJ818" s="507">
        <v>20000</v>
      </c>
      <c r="AK818" s="507"/>
      <c r="AL818" s="507">
        <f t="shared" si="619"/>
        <v>19.230769230769234</v>
      </c>
      <c r="AM818" s="507">
        <f t="shared" si="619"/>
        <v>66.666666666666657</v>
      </c>
      <c r="AN818" s="509"/>
      <c r="AO818" s="510"/>
      <c r="AP818" s="510" t="e">
        <f t="shared" ca="1" si="630"/>
        <v>#NAME?</v>
      </c>
      <c r="AQ818" s="532">
        <f>AQ819</f>
        <v>100000</v>
      </c>
      <c r="AR818" s="533"/>
      <c r="AS818" s="533">
        <f>W818/V818*100</f>
        <v>100</v>
      </c>
      <c r="AT818" s="533"/>
      <c r="AU818" s="533">
        <f>AQ818/W818*100</f>
        <v>64.102564102564102</v>
      </c>
      <c r="AV818" s="533"/>
      <c r="AW818" s="612"/>
      <c r="AX818" s="612"/>
      <c r="AY818" s="612"/>
      <c r="AZ818" s="612"/>
      <c r="BA818" s="612"/>
      <c r="BB818" s="612"/>
      <c r="BC818" s="612"/>
      <c r="BD818" s="612"/>
      <c r="BE818" s="612"/>
      <c r="BF818" s="612"/>
      <c r="BG818" s="612"/>
      <c r="BH818" s="612">
        <f t="shared" si="633"/>
        <v>0</v>
      </c>
      <c r="BI818" s="612">
        <f t="shared" si="599"/>
        <v>0</v>
      </c>
      <c r="BJ818" s="201"/>
    </row>
    <row r="819" spans="1:62" ht="12" customHeight="1">
      <c r="A819" s="227"/>
      <c r="B819" s="227"/>
      <c r="C819" s="227"/>
      <c r="D819" s="227"/>
      <c r="E819" s="227"/>
      <c r="F819" s="227"/>
      <c r="G819" s="227"/>
      <c r="H819" s="234"/>
      <c r="I819" s="265"/>
      <c r="J819" s="228">
        <v>38</v>
      </c>
      <c r="K819" s="258" t="s">
        <v>229</v>
      </c>
      <c r="L819" s="111">
        <f t="shared" si="640"/>
        <v>175000</v>
      </c>
      <c r="M819" s="111">
        <f t="shared" si="640"/>
        <v>23226.491472559559</v>
      </c>
      <c r="N819" s="112">
        <f t="shared" si="640"/>
        <v>20000</v>
      </c>
      <c r="O819" s="112">
        <f t="shared" si="640"/>
        <v>2654.4561682925209</v>
      </c>
      <c r="P819" s="113">
        <f t="shared" si="640"/>
        <v>60000</v>
      </c>
      <c r="Q819" s="113">
        <f t="shared" si="640"/>
        <v>75300</v>
      </c>
      <c r="R819" s="87">
        <f t="shared" si="640"/>
        <v>0</v>
      </c>
      <c r="S819" s="89" t="e">
        <f t="shared" ca="1" si="640"/>
        <v>#NAME?</v>
      </c>
      <c r="T819" s="89"/>
      <c r="U819" s="89"/>
      <c r="V819" s="532">
        <f>V820</f>
        <v>156000</v>
      </c>
      <c r="W819" s="532">
        <f t="shared" si="640"/>
        <v>156000</v>
      </c>
      <c r="X819" s="506">
        <f t="shared" si="640"/>
        <v>30000</v>
      </c>
      <c r="Y819" s="507">
        <f t="shared" si="640"/>
        <v>20000</v>
      </c>
      <c r="Z819" s="507">
        <f t="shared" si="640"/>
        <v>0</v>
      </c>
      <c r="AA819" s="562" t="e">
        <f t="shared" ca="1" si="632"/>
        <v>#NAME?</v>
      </c>
      <c r="AB819" s="507"/>
      <c r="AC819" s="508">
        <f t="shared" si="640"/>
        <v>60000</v>
      </c>
      <c r="AD819" s="508">
        <f t="shared" si="640"/>
        <v>60000</v>
      </c>
      <c r="AE819" s="529">
        <f>O819/M819*100</f>
        <v>11.428571428571429</v>
      </c>
      <c r="AF819" s="529"/>
      <c r="AG819" s="529"/>
      <c r="AH819" s="529"/>
      <c r="AI819" s="507"/>
      <c r="AJ819" s="507">
        <v>20000</v>
      </c>
      <c r="AK819" s="507"/>
      <c r="AL819" s="507">
        <f t="shared" si="619"/>
        <v>19.230769230769234</v>
      </c>
      <c r="AM819" s="507">
        <f t="shared" si="619"/>
        <v>66.666666666666657</v>
      </c>
      <c r="AN819" s="509"/>
      <c r="AO819" s="510"/>
      <c r="AP819" s="510" t="e">
        <f t="shared" ca="1" si="630"/>
        <v>#NAME?</v>
      </c>
      <c r="AQ819" s="532">
        <f>AQ820</f>
        <v>100000</v>
      </c>
      <c r="AR819" s="533"/>
      <c r="AS819" s="533">
        <f>W819/V819*100</f>
        <v>100</v>
      </c>
      <c r="AT819" s="533"/>
      <c r="AU819" s="533">
        <f>AQ819/W819*100</f>
        <v>64.102564102564102</v>
      </c>
      <c r="AV819" s="533"/>
      <c r="AW819" s="612"/>
      <c r="AX819" s="612"/>
      <c r="AY819" s="612"/>
      <c r="AZ819" s="612"/>
      <c r="BA819" s="612"/>
      <c r="BB819" s="612"/>
      <c r="BC819" s="612"/>
      <c r="BD819" s="612"/>
      <c r="BE819" s="612"/>
      <c r="BF819" s="612"/>
      <c r="BG819" s="612"/>
      <c r="BH819" s="612">
        <f t="shared" si="633"/>
        <v>0</v>
      </c>
      <c r="BI819" s="612">
        <f t="shared" si="599"/>
        <v>0</v>
      </c>
      <c r="BJ819" s="201"/>
    </row>
    <row r="820" spans="1:62" ht="12" customHeight="1">
      <c r="A820" s="61"/>
      <c r="B820" s="61"/>
      <c r="C820" s="61"/>
      <c r="D820" s="61">
        <v>4</v>
      </c>
      <c r="E820" s="61"/>
      <c r="F820" s="61">
        <v>6</v>
      </c>
      <c r="G820" s="61"/>
      <c r="H820" s="230"/>
      <c r="I820" s="348"/>
      <c r="J820" s="229">
        <v>386</v>
      </c>
      <c r="K820" s="20" t="s">
        <v>346</v>
      </c>
      <c r="L820" s="111">
        <f t="shared" ref="L820:S820" si="641">L822</f>
        <v>175000</v>
      </c>
      <c r="M820" s="111">
        <f t="shared" si="641"/>
        <v>23226.491472559559</v>
      </c>
      <c r="N820" s="112">
        <f t="shared" si="641"/>
        <v>20000</v>
      </c>
      <c r="O820" s="112">
        <f t="shared" si="641"/>
        <v>2654.4561682925209</v>
      </c>
      <c r="P820" s="113">
        <f t="shared" si="641"/>
        <v>60000</v>
      </c>
      <c r="Q820" s="113">
        <f t="shared" si="641"/>
        <v>75300</v>
      </c>
      <c r="R820" s="87">
        <f t="shared" si="641"/>
        <v>0</v>
      </c>
      <c r="S820" s="89" t="e">
        <f t="shared" ca="1" si="641"/>
        <v>#NAME?</v>
      </c>
      <c r="T820" s="89"/>
      <c r="U820" s="89"/>
      <c r="V820" s="532">
        <f>V822</f>
        <v>156000</v>
      </c>
      <c r="W820" s="532">
        <f>W822</f>
        <v>156000</v>
      </c>
      <c r="X820" s="506">
        <f>X822</f>
        <v>30000</v>
      </c>
      <c r="Y820" s="507">
        <f>Y822</f>
        <v>20000</v>
      </c>
      <c r="Z820" s="507">
        <f>Z822</f>
        <v>0</v>
      </c>
      <c r="AA820" s="562" t="e">
        <f t="shared" ca="1" si="632"/>
        <v>#NAME?</v>
      </c>
      <c r="AB820" s="507"/>
      <c r="AC820" s="508">
        <f>AC822</f>
        <v>60000</v>
      </c>
      <c r="AD820" s="508">
        <f>AD822</f>
        <v>60000</v>
      </c>
      <c r="AE820" s="529">
        <f>O820/M820*100</f>
        <v>11.428571428571429</v>
      </c>
      <c r="AF820" s="529"/>
      <c r="AG820" s="529"/>
      <c r="AH820" s="529"/>
      <c r="AI820" s="507"/>
      <c r="AJ820" s="507">
        <v>20000</v>
      </c>
      <c r="AK820" s="507"/>
      <c r="AL820" s="507">
        <f t="shared" si="619"/>
        <v>19.230769230769234</v>
      </c>
      <c r="AM820" s="507">
        <f t="shared" si="619"/>
        <v>66.666666666666657</v>
      </c>
      <c r="AN820" s="509"/>
      <c r="AO820" s="510"/>
      <c r="AP820" s="510" t="e">
        <f t="shared" ca="1" si="630"/>
        <v>#NAME?</v>
      </c>
      <c r="AQ820" s="532">
        <f>AQ822</f>
        <v>100000</v>
      </c>
      <c r="AR820" s="532">
        <f t="shared" ref="AR820:BG820" si="642">AR822</f>
        <v>0</v>
      </c>
      <c r="AS820" s="532">
        <f t="shared" si="642"/>
        <v>100</v>
      </c>
      <c r="AT820" s="532">
        <f t="shared" si="642"/>
        <v>0</v>
      </c>
      <c r="AU820" s="532">
        <f t="shared" si="642"/>
        <v>64.102564102564102</v>
      </c>
      <c r="AV820" s="532">
        <f t="shared" si="642"/>
        <v>0</v>
      </c>
      <c r="AW820" s="612">
        <f t="shared" si="642"/>
        <v>100000</v>
      </c>
      <c r="AX820" s="612">
        <f t="shared" si="642"/>
        <v>0</v>
      </c>
      <c r="AY820" s="612">
        <f t="shared" si="642"/>
        <v>0</v>
      </c>
      <c r="AZ820" s="612">
        <f t="shared" si="642"/>
        <v>0</v>
      </c>
      <c r="BA820" s="612">
        <f t="shared" si="642"/>
        <v>0</v>
      </c>
      <c r="BB820" s="612">
        <f t="shared" si="642"/>
        <v>0</v>
      </c>
      <c r="BC820" s="612">
        <f t="shared" si="642"/>
        <v>0</v>
      </c>
      <c r="BD820" s="612">
        <f t="shared" si="642"/>
        <v>0</v>
      </c>
      <c r="BE820" s="612">
        <f t="shared" si="642"/>
        <v>0</v>
      </c>
      <c r="BF820" s="612">
        <f t="shared" si="642"/>
        <v>0</v>
      </c>
      <c r="BG820" s="612">
        <f t="shared" si="642"/>
        <v>0</v>
      </c>
      <c r="BH820" s="612">
        <f t="shared" si="633"/>
        <v>100000</v>
      </c>
      <c r="BI820" s="612">
        <f t="shared" si="599"/>
        <v>0</v>
      </c>
      <c r="BJ820" s="201"/>
    </row>
    <row r="821" spans="1:62" ht="12" customHeight="1">
      <c r="A821" s="41"/>
      <c r="B821" s="41"/>
      <c r="C821" s="41"/>
      <c r="D821" s="41"/>
      <c r="E821" s="41"/>
      <c r="F821" s="41"/>
      <c r="G821" s="41"/>
      <c r="H821" s="235"/>
      <c r="I821" s="15"/>
      <c r="J821" s="3"/>
      <c r="K821" s="83"/>
      <c r="L821" s="84">
        <v>1</v>
      </c>
      <c r="M821" s="84">
        <v>2</v>
      </c>
      <c r="N821" s="85">
        <v>3</v>
      </c>
      <c r="O821" s="85">
        <v>4</v>
      </c>
      <c r="P821" s="86">
        <v>5</v>
      </c>
      <c r="Q821" s="86">
        <v>6</v>
      </c>
      <c r="R821" s="154"/>
      <c r="S821" s="158" t="e">
        <f ca="1">__xlfn.XLOOKUP(H821,[1]Izvršenje_proračuna_po_pozicija!$B$2:$B$153,[1]Izvršenje_proračuna_po_pozicija!$E$2:$E$153,0)</f>
        <v>#NAME?</v>
      </c>
      <c r="T821" s="158"/>
      <c r="U821" s="158"/>
      <c r="V821" s="532"/>
      <c r="W821" s="532"/>
      <c r="X821" s="568"/>
      <c r="Y821" s="569"/>
      <c r="Z821" s="569"/>
      <c r="AA821" s="562" t="e">
        <f t="shared" ca="1" si="632"/>
        <v>#NAME?</v>
      </c>
      <c r="AB821" s="537"/>
      <c r="AC821" s="538">
        <v>7</v>
      </c>
      <c r="AD821" s="538">
        <v>8</v>
      </c>
      <c r="AE821" s="538">
        <v>9</v>
      </c>
      <c r="AF821" s="538">
        <v>10</v>
      </c>
      <c r="AG821" s="538">
        <v>11</v>
      </c>
      <c r="AH821" s="538">
        <v>12</v>
      </c>
      <c r="AI821" s="537"/>
      <c r="AJ821" s="569"/>
      <c r="AK821" s="507"/>
      <c r="AL821" s="507"/>
      <c r="AM821" s="507"/>
      <c r="AN821" s="557"/>
      <c r="AO821" s="590"/>
      <c r="AP821" s="510" t="e">
        <f t="shared" ca="1" si="630"/>
        <v>#NAME?</v>
      </c>
      <c r="AQ821" s="532"/>
      <c r="AR821" s="533"/>
      <c r="AS821" s="533"/>
      <c r="AT821" s="533"/>
      <c r="AU821" s="533"/>
      <c r="AV821" s="533"/>
      <c r="AW821" s="612"/>
      <c r="AX821" s="612"/>
      <c r="AY821" s="612"/>
      <c r="AZ821" s="612"/>
      <c r="BA821" s="612"/>
      <c r="BB821" s="612"/>
      <c r="BC821" s="612"/>
      <c r="BD821" s="612"/>
      <c r="BE821" s="612"/>
      <c r="BF821" s="612"/>
      <c r="BG821" s="612"/>
      <c r="BH821" s="612">
        <f t="shared" si="633"/>
        <v>0</v>
      </c>
      <c r="BI821" s="612">
        <f t="shared" si="599"/>
        <v>0</v>
      </c>
      <c r="BJ821" s="201"/>
    </row>
    <row r="822" spans="1:62" ht="12" customHeight="1">
      <c r="A822" s="52"/>
      <c r="B822" s="52"/>
      <c r="C822" s="52"/>
      <c r="D822" s="52"/>
      <c r="E822" s="52"/>
      <c r="F822" s="52"/>
      <c r="G822" s="52"/>
      <c r="H822" s="2">
        <v>156</v>
      </c>
      <c r="I822" s="260">
        <v>810</v>
      </c>
      <c r="J822" s="185">
        <v>3861</v>
      </c>
      <c r="K822" s="19" t="s">
        <v>651</v>
      </c>
      <c r="L822" s="129">
        <v>175000</v>
      </c>
      <c r="M822" s="129">
        <f>175000/7.5345</f>
        <v>23226.491472559559</v>
      </c>
      <c r="N822" s="130">
        <v>20000</v>
      </c>
      <c r="O822" s="130">
        <f>N822/7.5345</f>
        <v>2654.4561682925209</v>
      </c>
      <c r="P822" s="131">
        <f>P823+P824</f>
        <v>60000</v>
      </c>
      <c r="Q822" s="156">
        <f>Q823+Q824</f>
        <v>75300</v>
      </c>
      <c r="R822" s="153">
        <v>0</v>
      </c>
      <c r="S822" s="158" t="e">
        <f ca="1">__xlfn.XLOOKUP(H822,[1]Izvršenje_proračuna_po_pozicija!$B$2:$B$153,[1]Izvršenje_proračuna_po_pozicija!$E$2:$E$153,0)</f>
        <v>#NAME?</v>
      </c>
      <c r="T822" s="158"/>
      <c r="U822" s="158"/>
      <c r="V822" s="532">
        <v>156000</v>
      </c>
      <c r="W822" s="532">
        <v>156000</v>
      </c>
      <c r="X822" s="560">
        <v>30000</v>
      </c>
      <c r="Y822" s="561">
        <v>20000</v>
      </c>
      <c r="Z822" s="561"/>
      <c r="AA822" s="562" t="e">
        <f t="shared" ca="1" si="632"/>
        <v>#NAME?</v>
      </c>
      <c r="AB822" s="535"/>
      <c r="AC822" s="529">
        <v>60000</v>
      </c>
      <c r="AD822" s="529">
        <v>60000</v>
      </c>
      <c r="AE822" s="529">
        <f>O822/M822*100</f>
        <v>11.428571428571429</v>
      </c>
      <c r="AF822" s="529"/>
      <c r="AG822" s="529"/>
      <c r="AH822" s="529"/>
      <c r="AI822" s="535"/>
      <c r="AJ822" s="561">
        <v>20000</v>
      </c>
      <c r="AK822" s="507"/>
      <c r="AL822" s="507">
        <f t="shared" si="619"/>
        <v>19.230769230769234</v>
      </c>
      <c r="AM822" s="507">
        <f t="shared" si="619"/>
        <v>66.666666666666657</v>
      </c>
      <c r="AN822" s="556"/>
      <c r="AO822" s="590"/>
      <c r="AP822" s="510" t="e">
        <f t="shared" ca="1" si="630"/>
        <v>#NAME?</v>
      </c>
      <c r="AQ822" s="532">
        <v>100000</v>
      </c>
      <c r="AR822" s="533"/>
      <c r="AS822" s="533">
        <f>W822/V822*100</f>
        <v>100</v>
      </c>
      <c r="AT822" s="533"/>
      <c r="AU822" s="533">
        <f>AQ822/W822*100</f>
        <v>64.102564102564102</v>
      </c>
      <c r="AV822" s="533"/>
      <c r="AW822" s="612">
        <v>100000</v>
      </c>
      <c r="AX822" s="612"/>
      <c r="AY822" s="612"/>
      <c r="AZ822" s="612"/>
      <c r="BA822" s="612"/>
      <c r="BB822" s="612"/>
      <c r="BC822" s="612"/>
      <c r="BD822" s="612"/>
      <c r="BE822" s="612"/>
      <c r="BF822" s="612"/>
      <c r="BG822" s="612"/>
      <c r="BH822" s="612">
        <f t="shared" si="633"/>
        <v>100000</v>
      </c>
      <c r="BI822" s="612">
        <f t="shared" si="599"/>
        <v>0</v>
      </c>
      <c r="BJ822" s="201"/>
    </row>
    <row r="823" spans="1:62" ht="12" customHeight="1">
      <c r="A823" s="52"/>
      <c r="B823" s="52"/>
      <c r="C823" s="52"/>
      <c r="D823" s="52"/>
      <c r="E823" s="52"/>
      <c r="F823" s="52"/>
      <c r="G823" s="52"/>
      <c r="H823" s="2"/>
      <c r="I823" s="260"/>
      <c r="J823" s="185"/>
      <c r="K823" s="19" t="s">
        <v>652</v>
      </c>
      <c r="L823" s="129"/>
      <c r="M823" s="129"/>
      <c r="N823" s="130"/>
      <c r="O823" s="130"/>
      <c r="P823" s="131">
        <v>30000</v>
      </c>
      <c r="Q823" s="131">
        <v>75300</v>
      </c>
      <c r="R823" s="153">
        <v>0</v>
      </c>
      <c r="S823" s="158" t="e">
        <f ca="1">__xlfn.XLOOKUP(H823,[1]Izvršenje_proračuna_po_pozicija!$B$2:$B$153,[1]Izvršenje_proračuna_po_pozicija!$E$2:$E$153,0)</f>
        <v>#NAME?</v>
      </c>
      <c r="T823" s="158"/>
      <c r="U823" s="158"/>
      <c r="V823" s="532"/>
      <c r="W823" s="532"/>
      <c r="X823" s="560"/>
      <c r="Y823" s="561"/>
      <c r="Z823" s="561"/>
      <c r="AA823" s="562" t="e">
        <f t="shared" ca="1" si="632"/>
        <v>#NAME?</v>
      </c>
      <c r="AB823" s="535"/>
      <c r="AC823" s="529"/>
      <c r="AD823" s="529"/>
      <c r="AE823" s="529"/>
      <c r="AF823" s="529"/>
      <c r="AG823" s="529"/>
      <c r="AH823" s="529"/>
      <c r="AI823" s="535"/>
      <c r="AJ823" s="561"/>
      <c r="AK823" s="507"/>
      <c r="AL823" s="507"/>
      <c r="AM823" s="507"/>
      <c r="AN823" s="556"/>
      <c r="AO823" s="590"/>
      <c r="AP823" s="510" t="e">
        <f t="shared" ca="1" si="630"/>
        <v>#NAME?</v>
      </c>
      <c r="AQ823" s="532"/>
      <c r="AR823" s="533"/>
      <c r="AS823" s="533"/>
      <c r="AT823" s="533"/>
      <c r="AU823" s="533"/>
      <c r="AV823" s="533"/>
      <c r="AW823" s="612"/>
      <c r="AX823" s="612"/>
      <c r="AY823" s="612"/>
      <c r="AZ823" s="612"/>
      <c r="BA823" s="612"/>
      <c r="BB823" s="612"/>
      <c r="BC823" s="612"/>
      <c r="BD823" s="612"/>
      <c r="BE823" s="612"/>
      <c r="BF823" s="612"/>
      <c r="BG823" s="612"/>
      <c r="BH823" s="612">
        <f t="shared" si="633"/>
        <v>0</v>
      </c>
      <c r="BI823" s="612">
        <f t="shared" si="599"/>
        <v>0</v>
      </c>
      <c r="BJ823" s="201"/>
    </row>
    <row r="824" spans="1:62" ht="12" customHeight="1">
      <c r="A824" s="52"/>
      <c r="B824" s="52"/>
      <c r="C824" s="52"/>
      <c r="D824" s="52"/>
      <c r="E824" s="52"/>
      <c r="F824" s="52"/>
      <c r="G824" s="52"/>
      <c r="H824" s="2"/>
      <c r="I824" s="260"/>
      <c r="J824" s="185"/>
      <c r="K824" s="19" t="s">
        <v>653</v>
      </c>
      <c r="L824" s="129"/>
      <c r="M824" s="129"/>
      <c r="N824" s="130"/>
      <c r="O824" s="130"/>
      <c r="P824" s="131">
        <v>30000</v>
      </c>
      <c r="Q824" s="131">
        <v>0</v>
      </c>
      <c r="R824" s="153">
        <v>0</v>
      </c>
      <c r="S824" s="158" t="e">
        <f ca="1">__xlfn.XLOOKUP(H824,[1]Izvršenje_proračuna_po_pozicija!$B$2:$B$153,[1]Izvršenje_proračuna_po_pozicija!$E$2:$E$153,0)</f>
        <v>#NAME?</v>
      </c>
      <c r="T824" s="158"/>
      <c r="U824" s="158"/>
      <c r="V824" s="532"/>
      <c r="W824" s="532"/>
      <c r="X824" s="560"/>
      <c r="Y824" s="561"/>
      <c r="Z824" s="561"/>
      <c r="AA824" s="562" t="e">
        <f t="shared" ca="1" si="632"/>
        <v>#NAME?</v>
      </c>
      <c r="AB824" s="535"/>
      <c r="AC824" s="529"/>
      <c r="AD824" s="529"/>
      <c r="AE824" s="529"/>
      <c r="AF824" s="529"/>
      <c r="AG824" s="529"/>
      <c r="AH824" s="529"/>
      <c r="AI824" s="535"/>
      <c r="AJ824" s="561"/>
      <c r="AK824" s="507"/>
      <c r="AL824" s="507"/>
      <c r="AM824" s="507"/>
      <c r="AN824" s="556"/>
      <c r="AO824" s="510"/>
      <c r="AP824" s="510" t="e">
        <f t="shared" ca="1" si="630"/>
        <v>#NAME?</v>
      </c>
      <c r="AQ824" s="532"/>
      <c r="AR824" s="533"/>
      <c r="AS824" s="533"/>
      <c r="AT824" s="533"/>
      <c r="AU824" s="533"/>
      <c r="AV824" s="533"/>
      <c r="AW824" s="612"/>
      <c r="AX824" s="612"/>
      <c r="AY824" s="612"/>
      <c r="AZ824" s="612"/>
      <c r="BA824" s="612"/>
      <c r="BB824" s="612"/>
      <c r="BC824" s="612"/>
      <c r="BD824" s="612"/>
      <c r="BE824" s="612"/>
      <c r="BF824" s="612"/>
      <c r="BG824" s="612"/>
      <c r="BH824" s="612">
        <f t="shared" si="633"/>
        <v>0</v>
      </c>
      <c r="BI824" s="612">
        <f t="shared" si="599"/>
        <v>0</v>
      </c>
      <c r="BJ824" s="201"/>
    </row>
    <row r="825" spans="1:62" ht="12" customHeight="1">
      <c r="A825" s="320"/>
      <c r="B825" s="320"/>
      <c r="C825" s="320"/>
      <c r="D825" s="320"/>
      <c r="E825" s="320"/>
      <c r="F825" s="320"/>
      <c r="G825" s="320"/>
      <c r="H825" s="321"/>
      <c r="I825" s="373" t="s">
        <v>654</v>
      </c>
      <c r="J825" s="374"/>
      <c r="K825" s="126"/>
      <c r="L825" s="111">
        <f t="shared" ref="L825:S825" si="643">L826+L834+L849+L858</f>
        <v>699707</v>
      </c>
      <c r="M825" s="111">
        <f t="shared" si="643"/>
        <v>92867.078107372727</v>
      </c>
      <c r="N825" s="112">
        <f t="shared" si="643"/>
        <v>676138</v>
      </c>
      <c r="O825" s="112">
        <f t="shared" si="643"/>
        <v>89738.934235848414</v>
      </c>
      <c r="P825" s="113">
        <f t="shared" si="643"/>
        <v>110099.50892560887</v>
      </c>
      <c r="Q825" s="113">
        <f t="shared" si="643"/>
        <v>196000</v>
      </c>
      <c r="R825" s="87">
        <f t="shared" si="643"/>
        <v>169433</v>
      </c>
      <c r="S825" s="89" t="e">
        <f t="shared" ca="1" si="643"/>
        <v>#NAME?</v>
      </c>
      <c r="T825" s="89"/>
      <c r="U825" s="89"/>
      <c r="V825" s="532">
        <f>V826+V834+V849+V858</f>
        <v>211700</v>
      </c>
      <c r="W825" s="532">
        <f>W826+W834+W849+W858</f>
        <v>248773</v>
      </c>
      <c r="X825" s="506">
        <f>X826+X834+X849+X858</f>
        <v>211500</v>
      </c>
      <c r="Y825" s="507" t="e">
        <f ca="1">Y826+Y834+Y849+Y858</f>
        <v>#NAME?</v>
      </c>
      <c r="Z825" s="507" t="e">
        <f ca="1">Z826+Z834+Z849+Z858</f>
        <v>#NAME?</v>
      </c>
      <c r="AA825" s="562" t="e">
        <f t="shared" ca="1" si="632"/>
        <v>#NAME?</v>
      </c>
      <c r="AB825" s="507"/>
      <c r="AC825" s="508">
        <f>AC826+AC834+AC849+AC858</f>
        <v>109500</v>
      </c>
      <c r="AD825" s="508">
        <f>AD826+AD834+AD849+AD858</f>
        <v>109500</v>
      </c>
      <c r="AE825" s="529">
        <f>O825/M825*100</f>
        <v>96.631590079847712</v>
      </c>
      <c r="AF825" s="529">
        <f>P825/O825*100</f>
        <v>122.6886745013592</v>
      </c>
      <c r="AG825" s="529">
        <f>Q825/P825*100</f>
        <v>178.02077585326168</v>
      </c>
      <c r="AH825" s="529">
        <f>AC825/Q825*100</f>
        <v>55.867346938775512</v>
      </c>
      <c r="AI825" s="507"/>
      <c r="AJ825" s="507">
        <v>232000</v>
      </c>
      <c r="AK825" s="507">
        <f t="shared" si="618"/>
        <v>146.82676928343358</v>
      </c>
      <c r="AL825" s="507">
        <f t="shared" si="619"/>
        <v>85.01726473532095</v>
      </c>
      <c r="AM825" s="507" t="e">
        <f t="shared" ca="1" si="619"/>
        <v>#NAME?</v>
      </c>
      <c r="AN825" s="509"/>
      <c r="AO825" s="510"/>
      <c r="AP825" s="510" t="e">
        <f t="shared" ca="1" si="630"/>
        <v>#NAME?</v>
      </c>
      <c r="AQ825" s="532">
        <f>AQ826+AQ834+AQ849+AQ858</f>
        <v>240572.16</v>
      </c>
      <c r="AR825" s="533">
        <f t="shared" si="636"/>
        <v>124.94614390348988</v>
      </c>
      <c r="AS825" s="533">
        <f>W825/V825*100</f>
        <v>117.51204534718941</v>
      </c>
      <c r="AT825" s="533">
        <f t="shared" si="637"/>
        <v>146.82676928343358</v>
      </c>
      <c r="AU825" s="533">
        <f>AQ825/W825*100</f>
        <v>96.703484702921941</v>
      </c>
      <c r="AV825" s="533">
        <f>AQ825/R825*100</f>
        <v>141.98660237379968</v>
      </c>
      <c r="AW825" s="612"/>
      <c r="AX825" s="612"/>
      <c r="AY825" s="612"/>
      <c r="AZ825" s="612"/>
      <c r="BA825" s="612"/>
      <c r="BB825" s="612"/>
      <c r="BC825" s="612"/>
      <c r="BD825" s="612"/>
      <c r="BE825" s="612"/>
      <c r="BF825" s="612"/>
      <c r="BG825" s="612"/>
      <c r="BH825" s="612">
        <f t="shared" si="633"/>
        <v>0</v>
      </c>
      <c r="BI825" s="612">
        <f t="shared" si="599"/>
        <v>5176.21</v>
      </c>
      <c r="BJ825" s="201">
        <f>AQ832-BI825</f>
        <v>0</v>
      </c>
    </row>
    <row r="826" spans="1:62" ht="12" customHeight="1">
      <c r="A826" s="282" t="s">
        <v>321</v>
      </c>
      <c r="B826" s="283"/>
      <c r="C826" s="283"/>
      <c r="D826" s="283"/>
      <c r="E826" s="283"/>
      <c r="F826" s="283"/>
      <c r="G826" s="283"/>
      <c r="H826" s="318"/>
      <c r="I826" s="366" t="s">
        <v>655</v>
      </c>
      <c r="J826" s="367"/>
      <c r="K826" s="368"/>
      <c r="L826" s="250">
        <f t="shared" ref="L826:S826" si="644">L828</f>
        <v>54250</v>
      </c>
      <c r="M826" s="250">
        <f t="shared" si="644"/>
        <v>7200.2123564934627</v>
      </c>
      <c r="N826" s="251">
        <f t="shared" si="644"/>
        <v>15000</v>
      </c>
      <c r="O826" s="251">
        <f t="shared" si="644"/>
        <v>1990.8421262193906</v>
      </c>
      <c r="P826" s="252">
        <f t="shared" si="644"/>
        <v>4800</v>
      </c>
      <c r="Q826" s="252">
        <f t="shared" si="644"/>
        <v>5600</v>
      </c>
      <c r="R826" s="272">
        <f t="shared" si="644"/>
        <v>3185</v>
      </c>
      <c r="S826" s="273" t="e">
        <f t="shared" ca="1" si="644"/>
        <v>#NAME?</v>
      </c>
      <c r="T826" s="273"/>
      <c r="U826" s="273"/>
      <c r="V826" s="532">
        <f>V828</f>
        <v>1800</v>
      </c>
      <c r="W826" s="532">
        <f>W828</f>
        <v>5176</v>
      </c>
      <c r="X826" s="564">
        <f>X828</f>
        <v>0</v>
      </c>
      <c r="Y826" s="565">
        <f>Y828</f>
        <v>0</v>
      </c>
      <c r="Z826" s="565">
        <f>Z828</f>
        <v>0</v>
      </c>
      <c r="AA826" s="562" t="e">
        <f t="shared" ca="1" si="632"/>
        <v>#NAME?</v>
      </c>
      <c r="AB826" s="565"/>
      <c r="AC826" s="566">
        <f>AC828</f>
        <v>0</v>
      </c>
      <c r="AD826" s="566">
        <f>AD828</f>
        <v>0</v>
      </c>
      <c r="AE826" s="529">
        <f>O826/M826*100</f>
        <v>27.649769585253459</v>
      </c>
      <c r="AF826" s="529"/>
      <c r="AG826" s="529"/>
      <c r="AH826" s="529"/>
      <c r="AI826" s="565"/>
      <c r="AJ826" s="565">
        <v>0</v>
      </c>
      <c r="AK826" s="507">
        <f t="shared" si="618"/>
        <v>162.51177394034536</v>
      </c>
      <c r="AL826" s="507">
        <f t="shared" si="619"/>
        <v>0</v>
      </c>
      <c r="AM826" s="507"/>
      <c r="AN826" s="567"/>
      <c r="AO826" s="510"/>
      <c r="AP826" s="510" t="e">
        <f t="shared" ca="1" si="630"/>
        <v>#NAME?</v>
      </c>
      <c r="AQ826" s="532">
        <f>AQ828</f>
        <v>5176.21</v>
      </c>
      <c r="AR826" s="533">
        <f t="shared" si="636"/>
        <v>56.514913657770805</v>
      </c>
      <c r="AS826" s="533">
        <f>W826/V826*100</f>
        <v>287.55555555555554</v>
      </c>
      <c r="AT826" s="533">
        <f t="shared" si="637"/>
        <v>162.51177394034536</v>
      </c>
      <c r="AU826" s="533">
        <f>AQ826/W826*100</f>
        <v>100.004057187017</v>
      </c>
      <c r="AV826" s="533">
        <f>AQ826/R826*100</f>
        <v>162.51836734693879</v>
      </c>
      <c r="AW826" s="612"/>
      <c r="AX826" s="612"/>
      <c r="AY826" s="612"/>
      <c r="AZ826" s="612"/>
      <c r="BA826" s="612"/>
      <c r="BB826" s="612"/>
      <c r="BC826" s="612"/>
      <c r="BD826" s="612"/>
      <c r="BE826" s="612"/>
      <c r="BF826" s="612"/>
      <c r="BG826" s="612"/>
      <c r="BH826" s="612">
        <f t="shared" si="633"/>
        <v>0</v>
      </c>
      <c r="BI826" s="612">
        <f t="shared" si="599"/>
        <v>0</v>
      </c>
      <c r="BJ826" s="201">
        <f>AQ833-BI826</f>
        <v>0</v>
      </c>
    </row>
    <row r="827" spans="1:62" ht="12" customHeight="1">
      <c r="A827" s="41"/>
      <c r="B827" s="41"/>
      <c r="C827" s="41"/>
      <c r="D827" s="41"/>
      <c r="E827" s="41"/>
      <c r="F827" s="41"/>
      <c r="G827" s="41"/>
      <c r="H827" s="235"/>
      <c r="I827" s="15"/>
      <c r="J827" s="3"/>
      <c r="K827" s="83"/>
      <c r="L827" s="84"/>
      <c r="M827" s="84"/>
      <c r="N827" s="85"/>
      <c r="O827" s="85"/>
      <c r="P827" s="86"/>
      <c r="Q827" s="86"/>
      <c r="R827" s="154"/>
      <c r="S827" s="158" t="e">
        <f ca="1">__xlfn.XLOOKUP(H827,[1]Izvršenje_proračuna_po_pozicija!$B$2:$B$153,[1]Izvršenje_proračuna_po_pozicija!$E$2:$E$153,0)</f>
        <v>#NAME?</v>
      </c>
      <c r="T827" s="158"/>
      <c r="U827" s="158"/>
      <c r="V827" s="532"/>
      <c r="W827" s="532"/>
      <c r="X827" s="568"/>
      <c r="Y827" s="569"/>
      <c r="Z827" s="569"/>
      <c r="AA827" s="562" t="e">
        <f t="shared" ca="1" si="632"/>
        <v>#NAME?</v>
      </c>
      <c r="AB827" s="537"/>
      <c r="AC827" s="538"/>
      <c r="AD827" s="538"/>
      <c r="AE827" s="529"/>
      <c r="AF827" s="529"/>
      <c r="AG827" s="529"/>
      <c r="AH827" s="529"/>
      <c r="AI827" s="537"/>
      <c r="AJ827" s="569"/>
      <c r="AK827" s="507"/>
      <c r="AL827" s="507"/>
      <c r="AM827" s="507"/>
      <c r="AN827" s="557"/>
      <c r="AO827" s="510"/>
      <c r="AP827" s="510" t="e">
        <f t="shared" ca="1" si="630"/>
        <v>#NAME?</v>
      </c>
      <c r="AQ827" s="532"/>
      <c r="AR827" s="533"/>
      <c r="AS827" s="533"/>
      <c r="AT827" s="533"/>
      <c r="AU827" s="533"/>
      <c r="AV827" s="533"/>
      <c r="AW827" s="612"/>
      <c r="AX827" s="612"/>
      <c r="AY827" s="612"/>
      <c r="AZ827" s="612"/>
      <c r="BA827" s="612"/>
      <c r="BB827" s="612"/>
      <c r="BC827" s="612"/>
      <c r="BD827" s="612"/>
      <c r="BE827" s="612"/>
      <c r="BF827" s="612"/>
      <c r="BG827" s="612"/>
      <c r="BH827" s="612">
        <f t="shared" si="633"/>
        <v>0</v>
      </c>
      <c r="BI827" s="612">
        <f t="shared" si="599"/>
        <v>0</v>
      </c>
      <c r="BJ827" s="201"/>
    </row>
    <row r="828" spans="1:62" ht="12" customHeight="1">
      <c r="A828" s="25"/>
      <c r="B828" s="25"/>
      <c r="C828" s="25"/>
      <c r="D828" s="25"/>
      <c r="E828" s="25"/>
      <c r="F828" s="25"/>
      <c r="G828" s="25"/>
      <c r="H828" s="285"/>
      <c r="I828" s="349"/>
      <c r="J828" s="211">
        <v>3</v>
      </c>
      <c r="K828" s="3" t="s">
        <v>220</v>
      </c>
      <c r="L828" s="111">
        <f t="shared" ref="L828:S828" si="645">L830</f>
        <v>54250</v>
      </c>
      <c r="M828" s="111">
        <f t="shared" si="645"/>
        <v>7200.2123564934627</v>
      </c>
      <c r="N828" s="112">
        <f t="shared" si="645"/>
        <v>15000</v>
      </c>
      <c r="O828" s="112">
        <f t="shared" si="645"/>
        <v>1990.8421262193906</v>
      </c>
      <c r="P828" s="113">
        <f t="shared" si="645"/>
        <v>4800</v>
      </c>
      <c r="Q828" s="113">
        <f t="shared" si="645"/>
        <v>5600</v>
      </c>
      <c r="R828" s="87">
        <f t="shared" si="645"/>
        <v>3185</v>
      </c>
      <c r="S828" s="89" t="e">
        <f t="shared" ca="1" si="645"/>
        <v>#NAME?</v>
      </c>
      <c r="T828" s="89"/>
      <c r="U828" s="89"/>
      <c r="V828" s="532">
        <f>V830</f>
        <v>1800</v>
      </c>
      <c r="W828" s="532">
        <f>W830</f>
        <v>5176</v>
      </c>
      <c r="X828" s="506">
        <f>X830</f>
        <v>0</v>
      </c>
      <c r="Y828" s="507">
        <f>Y830</f>
        <v>0</v>
      </c>
      <c r="Z828" s="507">
        <f>Z830</f>
        <v>0</v>
      </c>
      <c r="AA828" s="562" t="e">
        <f t="shared" ca="1" si="632"/>
        <v>#NAME?</v>
      </c>
      <c r="AB828" s="507"/>
      <c r="AC828" s="508">
        <f>AC830</f>
        <v>0</v>
      </c>
      <c r="AD828" s="508">
        <f>AD830</f>
        <v>0</v>
      </c>
      <c r="AE828" s="529">
        <f>O828/M828*100</f>
        <v>27.649769585253459</v>
      </c>
      <c r="AF828" s="529"/>
      <c r="AG828" s="529"/>
      <c r="AH828" s="529"/>
      <c r="AI828" s="507"/>
      <c r="AJ828" s="507">
        <v>0</v>
      </c>
      <c r="AK828" s="507">
        <f t="shared" si="618"/>
        <v>162.51177394034536</v>
      </c>
      <c r="AL828" s="507">
        <f t="shared" si="619"/>
        <v>0</v>
      </c>
      <c r="AM828" s="507"/>
      <c r="AN828" s="509"/>
      <c r="AO828" s="510"/>
      <c r="AP828" s="510" t="e">
        <f t="shared" ca="1" si="630"/>
        <v>#NAME?</v>
      </c>
      <c r="AQ828" s="532">
        <f>AQ830</f>
        <v>5176.21</v>
      </c>
      <c r="AR828" s="533">
        <f t="shared" si="636"/>
        <v>56.514913657770805</v>
      </c>
      <c r="AS828" s="533">
        <f>W828/V828*100</f>
        <v>287.55555555555554</v>
      </c>
      <c r="AT828" s="533">
        <f t="shared" si="637"/>
        <v>162.51177394034536</v>
      </c>
      <c r="AU828" s="533">
        <f>AQ828/W828*100</f>
        <v>100.004057187017</v>
      </c>
      <c r="AV828" s="533">
        <f>AQ828/R828*100</f>
        <v>162.51836734693879</v>
      </c>
      <c r="AW828" s="612"/>
      <c r="AX828" s="612"/>
      <c r="AY828" s="612"/>
      <c r="AZ828" s="612"/>
      <c r="BA828" s="612"/>
      <c r="BB828" s="612"/>
      <c r="BC828" s="612"/>
      <c r="BD828" s="612"/>
      <c r="BE828" s="612"/>
      <c r="BF828" s="612"/>
      <c r="BG828" s="612"/>
      <c r="BH828" s="612">
        <f t="shared" si="633"/>
        <v>0</v>
      </c>
      <c r="BI828" s="612">
        <f t="shared" ref="BI828:BI891" si="646">SUM(AW835:BG835)</f>
        <v>0</v>
      </c>
      <c r="BJ828" s="201"/>
    </row>
    <row r="829" spans="1:62" ht="12" customHeight="1">
      <c r="A829" s="41"/>
      <c r="B829" s="41"/>
      <c r="C829" s="41"/>
      <c r="D829" s="41"/>
      <c r="E829" s="41"/>
      <c r="F829" s="41"/>
      <c r="G829" s="41"/>
      <c r="H829" s="235"/>
      <c r="I829" s="15"/>
      <c r="J829" s="3"/>
      <c r="K829" s="211"/>
      <c r="L829" s="84"/>
      <c r="M829" s="84"/>
      <c r="N829" s="85"/>
      <c r="O829" s="85"/>
      <c r="P829" s="86"/>
      <c r="Q829" s="86"/>
      <c r="R829" s="154"/>
      <c r="S829" s="158" t="e">
        <f ca="1">__xlfn.XLOOKUP(H829,[1]Izvršenje_proračuna_po_pozicija!$B$2:$B$153,[1]Izvršenje_proračuna_po_pozicija!$E$2:$E$153,0)</f>
        <v>#NAME?</v>
      </c>
      <c r="T829" s="158"/>
      <c r="U829" s="158"/>
      <c r="V829" s="532"/>
      <c r="W829" s="532"/>
      <c r="X829" s="568"/>
      <c r="Y829" s="569"/>
      <c r="Z829" s="569"/>
      <c r="AA829" s="562" t="e">
        <f t="shared" ca="1" si="632"/>
        <v>#NAME?</v>
      </c>
      <c r="AB829" s="537"/>
      <c r="AC829" s="538"/>
      <c r="AD829" s="538"/>
      <c r="AE829" s="529"/>
      <c r="AF829" s="529"/>
      <c r="AG829" s="529"/>
      <c r="AH829" s="529"/>
      <c r="AI829" s="537"/>
      <c r="AJ829" s="569"/>
      <c r="AK829" s="507"/>
      <c r="AL829" s="507"/>
      <c r="AM829" s="507"/>
      <c r="AN829" s="557"/>
      <c r="AO829" s="510"/>
      <c r="AP829" s="510" t="e">
        <f t="shared" ca="1" si="630"/>
        <v>#NAME?</v>
      </c>
      <c r="AQ829" s="532"/>
      <c r="AR829" s="533"/>
      <c r="AS829" s="533"/>
      <c r="AT829" s="533"/>
      <c r="AU829" s="533"/>
      <c r="AV829" s="533"/>
      <c r="AW829" s="612"/>
      <c r="AX829" s="612"/>
      <c r="AY829" s="612"/>
      <c r="AZ829" s="612"/>
      <c r="BA829" s="612"/>
      <c r="BB829" s="612"/>
      <c r="BC829" s="612"/>
      <c r="BD829" s="612"/>
      <c r="BE829" s="612"/>
      <c r="BF829" s="612"/>
      <c r="BG829" s="612"/>
      <c r="BH829" s="612">
        <f t="shared" si="633"/>
        <v>0</v>
      </c>
      <c r="BI829" s="612">
        <f t="shared" si="646"/>
        <v>0</v>
      </c>
      <c r="BJ829" s="201"/>
    </row>
    <row r="830" spans="1:62" ht="12" customHeight="1">
      <c r="A830" s="227"/>
      <c r="B830" s="227"/>
      <c r="C830" s="227"/>
      <c r="D830" s="227"/>
      <c r="E830" s="227"/>
      <c r="F830" s="227"/>
      <c r="G830" s="227"/>
      <c r="H830" s="234"/>
      <c r="I830" s="265"/>
      <c r="J830" s="228">
        <v>32</v>
      </c>
      <c r="K830" s="258" t="s">
        <v>229</v>
      </c>
      <c r="L830" s="111">
        <f t="shared" ref="L830:S831" si="647">L831</f>
        <v>54250</v>
      </c>
      <c r="M830" s="111">
        <f t="shared" si="647"/>
        <v>7200.2123564934627</v>
      </c>
      <c r="N830" s="112">
        <f t="shared" si="647"/>
        <v>15000</v>
      </c>
      <c r="O830" s="112">
        <f t="shared" si="647"/>
        <v>1990.8421262193906</v>
      </c>
      <c r="P830" s="113">
        <f t="shared" si="647"/>
        <v>4800</v>
      </c>
      <c r="Q830" s="113">
        <f t="shared" si="647"/>
        <v>5600</v>
      </c>
      <c r="R830" s="87">
        <f t="shared" si="647"/>
        <v>3185</v>
      </c>
      <c r="S830" s="89" t="e">
        <f t="shared" ca="1" si="647"/>
        <v>#NAME?</v>
      </c>
      <c r="T830" s="89"/>
      <c r="U830" s="89"/>
      <c r="V830" s="532">
        <f>V831</f>
        <v>1800</v>
      </c>
      <c r="W830" s="532">
        <f t="shared" ref="W830:Z831" si="648">W831</f>
        <v>5176</v>
      </c>
      <c r="X830" s="506">
        <f t="shared" si="648"/>
        <v>0</v>
      </c>
      <c r="Y830" s="507">
        <f t="shared" si="648"/>
        <v>0</v>
      </c>
      <c r="Z830" s="507">
        <f t="shared" si="648"/>
        <v>0</v>
      </c>
      <c r="AA830" s="562" t="e">
        <f t="shared" ca="1" si="632"/>
        <v>#NAME?</v>
      </c>
      <c r="AB830" s="507"/>
      <c r="AC830" s="508">
        <f>AC831</f>
        <v>0</v>
      </c>
      <c r="AD830" s="508">
        <f>AD831</f>
        <v>0</v>
      </c>
      <c r="AE830" s="529">
        <f>O830/M830*100</f>
        <v>27.649769585253459</v>
      </c>
      <c r="AF830" s="529"/>
      <c r="AG830" s="529"/>
      <c r="AH830" s="529"/>
      <c r="AI830" s="507"/>
      <c r="AJ830" s="507">
        <v>0</v>
      </c>
      <c r="AK830" s="507">
        <f t="shared" si="618"/>
        <v>162.51177394034536</v>
      </c>
      <c r="AL830" s="507">
        <f t="shared" si="619"/>
        <v>0</v>
      </c>
      <c r="AM830" s="507"/>
      <c r="AN830" s="509"/>
      <c r="AO830" s="510"/>
      <c r="AP830" s="510" t="e">
        <f t="shared" ca="1" si="630"/>
        <v>#NAME?</v>
      </c>
      <c r="AQ830" s="532">
        <f>AQ831</f>
        <v>5176.21</v>
      </c>
      <c r="AR830" s="533">
        <f t="shared" si="636"/>
        <v>56.514913657770805</v>
      </c>
      <c r="AS830" s="533">
        <f>W830/V830*100</f>
        <v>287.55555555555554</v>
      </c>
      <c r="AT830" s="533">
        <f t="shared" si="637"/>
        <v>162.51177394034536</v>
      </c>
      <c r="AU830" s="533">
        <f>AQ830/W830*100</f>
        <v>100.004057187017</v>
      </c>
      <c r="AV830" s="533">
        <f>AQ830/R830*100</f>
        <v>162.51836734693879</v>
      </c>
      <c r="AW830" s="612"/>
      <c r="AX830" s="612"/>
      <c r="AY830" s="612"/>
      <c r="AZ830" s="612"/>
      <c r="BA830" s="612"/>
      <c r="BB830" s="612"/>
      <c r="BC830" s="612"/>
      <c r="BD830" s="612"/>
      <c r="BE830" s="612"/>
      <c r="BF830" s="612"/>
      <c r="BG830" s="612"/>
      <c r="BH830" s="612">
        <f t="shared" si="633"/>
        <v>0</v>
      </c>
      <c r="BI830" s="612">
        <f t="shared" si="646"/>
        <v>0</v>
      </c>
      <c r="BJ830" s="201"/>
    </row>
    <row r="831" spans="1:62" ht="12" customHeight="1">
      <c r="A831" s="61"/>
      <c r="B831" s="61"/>
      <c r="C831" s="61"/>
      <c r="D831" s="61"/>
      <c r="E831" s="61"/>
      <c r="F831" s="61"/>
      <c r="G831" s="61"/>
      <c r="H831" s="230"/>
      <c r="I831" s="348"/>
      <c r="J831" s="229">
        <v>323</v>
      </c>
      <c r="K831" s="20" t="s">
        <v>346</v>
      </c>
      <c r="L831" s="111">
        <f t="shared" si="647"/>
        <v>54250</v>
      </c>
      <c r="M831" s="111">
        <f t="shared" si="647"/>
        <v>7200.2123564934627</v>
      </c>
      <c r="N831" s="112">
        <f t="shared" si="647"/>
        <v>15000</v>
      </c>
      <c r="O831" s="112">
        <f t="shared" si="647"/>
        <v>1990.8421262193906</v>
      </c>
      <c r="P831" s="113">
        <f t="shared" si="647"/>
        <v>4800</v>
      </c>
      <c r="Q831" s="113">
        <f t="shared" si="647"/>
        <v>5600</v>
      </c>
      <c r="R831" s="87">
        <f t="shared" si="647"/>
        <v>3185</v>
      </c>
      <c r="S831" s="89" t="e">
        <f t="shared" ca="1" si="647"/>
        <v>#NAME?</v>
      </c>
      <c r="T831" s="89"/>
      <c r="U831" s="89"/>
      <c r="V831" s="532">
        <f>V832</f>
        <v>1800</v>
      </c>
      <c r="W831" s="532">
        <f t="shared" si="648"/>
        <v>5176</v>
      </c>
      <c r="X831" s="506">
        <f t="shared" si="648"/>
        <v>0</v>
      </c>
      <c r="Y831" s="507">
        <f t="shared" si="648"/>
        <v>0</v>
      </c>
      <c r="Z831" s="507">
        <f t="shared" si="648"/>
        <v>0</v>
      </c>
      <c r="AA831" s="562" t="e">
        <f t="shared" ca="1" si="632"/>
        <v>#NAME?</v>
      </c>
      <c r="AB831" s="507"/>
      <c r="AC831" s="508">
        <f>AC832</f>
        <v>0</v>
      </c>
      <c r="AD831" s="508">
        <f>AD832</f>
        <v>0</v>
      </c>
      <c r="AE831" s="529">
        <f>O831/M831*100</f>
        <v>27.649769585253459</v>
      </c>
      <c r="AF831" s="529"/>
      <c r="AG831" s="529"/>
      <c r="AH831" s="529"/>
      <c r="AI831" s="507"/>
      <c r="AJ831" s="507">
        <v>0</v>
      </c>
      <c r="AK831" s="507">
        <f t="shared" si="618"/>
        <v>162.51177394034536</v>
      </c>
      <c r="AL831" s="507">
        <f t="shared" si="619"/>
        <v>0</v>
      </c>
      <c r="AM831" s="507"/>
      <c r="AN831" s="509"/>
      <c r="AO831" s="510"/>
      <c r="AP831" s="510" t="e">
        <f t="shared" ca="1" si="630"/>
        <v>#NAME?</v>
      </c>
      <c r="AQ831" s="532">
        <f>AQ832</f>
        <v>5176.21</v>
      </c>
      <c r="AR831" s="533">
        <f t="shared" si="636"/>
        <v>56.514913657770805</v>
      </c>
      <c r="AS831" s="533">
        <f>W831/V831*100</f>
        <v>287.55555555555554</v>
      </c>
      <c r="AT831" s="533">
        <f t="shared" si="637"/>
        <v>162.51177394034536</v>
      </c>
      <c r="AU831" s="533">
        <f>AQ831/W831*100</f>
        <v>100.004057187017</v>
      </c>
      <c r="AV831" s="533">
        <f>AQ831/R831*100</f>
        <v>162.51836734693879</v>
      </c>
      <c r="AW831" s="612"/>
      <c r="AX831" s="612"/>
      <c r="AY831" s="612"/>
      <c r="AZ831" s="612"/>
      <c r="BA831" s="612"/>
      <c r="BB831" s="612"/>
      <c r="BC831" s="612"/>
      <c r="BD831" s="612"/>
      <c r="BE831" s="612"/>
      <c r="BF831" s="612"/>
      <c r="BG831" s="612"/>
      <c r="BH831" s="612">
        <f t="shared" si="633"/>
        <v>0</v>
      </c>
      <c r="BI831" s="612">
        <f t="shared" si="646"/>
        <v>0</v>
      </c>
      <c r="BJ831" s="201"/>
    </row>
    <row r="832" spans="1:62" ht="12" customHeight="1">
      <c r="A832" s="52"/>
      <c r="B832" s="52"/>
      <c r="C832" s="52"/>
      <c r="D832" s="52"/>
      <c r="E832" s="52"/>
      <c r="F832" s="52"/>
      <c r="G832" s="52"/>
      <c r="H832" s="2">
        <v>114</v>
      </c>
      <c r="I832" s="289">
        <v>820</v>
      </c>
      <c r="J832" s="185">
        <v>3235</v>
      </c>
      <c r="K832" s="19" t="s">
        <v>656</v>
      </c>
      <c r="L832" s="129">
        <v>54250</v>
      </c>
      <c r="M832" s="129">
        <f>54250/7.5345</f>
        <v>7200.2123564934627</v>
      </c>
      <c r="N832" s="130">
        <v>15000</v>
      </c>
      <c r="O832" s="130">
        <f>N832/7.5345</f>
        <v>1990.8421262193906</v>
      </c>
      <c r="P832" s="131">
        <v>4800</v>
      </c>
      <c r="Q832" s="156">
        <v>5600</v>
      </c>
      <c r="R832" s="153">
        <v>3185</v>
      </c>
      <c r="S832" s="158" t="e">
        <f ca="1">__xlfn.XLOOKUP(H832,[1]Izvršenje_proračuna_po_pozicija!$B$2:$B$153,[1]Izvršenje_proračuna_po_pozicija!$E$2:$E$153,0)</f>
        <v>#NAME?</v>
      </c>
      <c r="T832" s="158"/>
      <c r="U832" s="158"/>
      <c r="V832" s="532">
        <v>1800</v>
      </c>
      <c r="W832" s="532">
        <v>5176</v>
      </c>
      <c r="X832" s="560"/>
      <c r="Y832" s="561"/>
      <c r="Z832" s="561"/>
      <c r="AA832" s="562" t="e">
        <f t="shared" ca="1" si="632"/>
        <v>#NAME?</v>
      </c>
      <c r="AB832" s="535"/>
      <c r="AC832" s="529">
        <v>0</v>
      </c>
      <c r="AD832" s="529">
        <v>0</v>
      </c>
      <c r="AE832" s="529">
        <f>O832/M832*100</f>
        <v>27.649769585253459</v>
      </c>
      <c r="AF832" s="529"/>
      <c r="AG832" s="529"/>
      <c r="AH832" s="529"/>
      <c r="AI832" s="535"/>
      <c r="AJ832" s="561"/>
      <c r="AK832" s="507">
        <f t="shared" si="618"/>
        <v>162.51177394034536</v>
      </c>
      <c r="AL832" s="507">
        <f t="shared" si="619"/>
        <v>0</v>
      </c>
      <c r="AM832" s="507"/>
      <c r="AN832" s="556"/>
      <c r="AO832" s="510"/>
      <c r="AP832" s="510" t="e">
        <f t="shared" ca="1" si="630"/>
        <v>#NAME?</v>
      </c>
      <c r="AQ832" s="532">
        <v>5176.21</v>
      </c>
      <c r="AR832" s="533">
        <f t="shared" si="636"/>
        <v>56.514913657770805</v>
      </c>
      <c r="AS832" s="533">
        <f>W832/V832*100</f>
        <v>287.55555555555554</v>
      </c>
      <c r="AT832" s="533">
        <f t="shared" si="637"/>
        <v>162.51177394034536</v>
      </c>
      <c r="AU832" s="533">
        <f>AQ832/W832*100</f>
        <v>100.004057187017</v>
      </c>
      <c r="AV832" s="533">
        <f>AQ832/R832*100</f>
        <v>162.51836734693879</v>
      </c>
      <c r="AW832" s="612">
        <f>AQ832</f>
        <v>5176.21</v>
      </c>
      <c r="AX832" s="612"/>
      <c r="AY832" s="612"/>
      <c r="AZ832" s="612"/>
      <c r="BA832" s="612"/>
      <c r="BB832" s="612"/>
      <c r="BC832" s="612"/>
      <c r="BD832" s="612"/>
      <c r="BE832" s="612"/>
      <c r="BF832" s="612"/>
      <c r="BG832" s="612"/>
      <c r="BH832" s="612">
        <f t="shared" si="633"/>
        <v>5176.21</v>
      </c>
      <c r="BI832" s="612">
        <f t="shared" si="646"/>
        <v>600</v>
      </c>
      <c r="BJ832" s="201">
        <f>AQ839-BI832</f>
        <v>0</v>
      </c>
    </row>
    <row r="833" spans="1:62" ht="12" customHeight="1">
      <c r="A833" s="68"/>
      <c r="B833" s="68"/>
      <c r="C833" s="68"/>
      <c r="D833" s="68"/>
      <c r="E833" s="68"/>
      <c r="F833" s="68"/>
      <c r="G833" s="68"/>
      <c r="H833" s="281"/>
      <c r="I833" s="256"/>
      <c r="J833" s="211"/>
      <c r="K833" s="69"/>
      <c r="L833" s="175"/>
      <c r="M833" s="175"/>
      <c r="N833" s="176"/>
      <c r="O833" s="176"/>
      <c r="P833" s="177"/>
      <c r="Q833" s="177"/>
      <c r="R833" s="212"/>
      <c r="S833" s="158" t="e">
        <f ca="1">__xlfn.XLOOKUP(H833,[1]Izvršenje_proračuna_po_pozicija!$B$2:$B$153,[1]Izvršenje_proračuna_po_pozicija!$E$2:$E$153,0)</f>
        <v>#NAME?</v>
      </c>
      <c r="T833" s="158"/>
      <c r="U833" s="158"/>
      <c r="V833" s="532"/>
      <c r="W833" s="532"/>
      <c r="X833" s="563"/>
      <c r="Y833" s="562"/>
      <c r="Z833" s="562"/>
      <c r="AA833" s="562" t="e">
        <f t="shared" ca="1" si="632"/>
        <v>#NAME?</v>
      </c>
      <c r="AB833" s="507"/>
      <c r="AC833" s="508"/>
      <c r="AD833" s="508"/>
      <c r="AE833" s="529"/>
      <c r="AF833" s="529"/>
      <c r="AG833" s="529"/>
      <c r="AH833" s="529"/>
      <c r="AI833" s="507"/>
      <c r="AJ833" s="562"/>
      <c r="AK833" s="507"/>
      <c r="AL833" s="507"/>
      <c r="AM833" s="507"/>
      <c r="AN833" s="509"/>
      <c r="AO833" s="510"/>
      <c r="AP833" s="510" t="e">
        <f t="shared" ca="1" si="630"/>
        <v>#NAME?</v>
      </c>
      <c r="AQ833" s="532"/>
      <c r="AR833" s="533"/>
      <c r="AS833" s="533"/>
      <c r="AT833" s="533"/>
      <c r="AU833" s="533"/>
      <c r="AV833" s="533"/>
      <c r="AW833" s="612"/>
      <c r="AX833" s="612"/>
      <c r="AY833" s="612"/>
      <c r="AZ833" s="612"/>
      <c r="BA833" s="612"/>
      <c r="BB833" s="612"/>
      <c r="BC833" s="612"/>
      <c r="BD833" s="612"/>
      <c r="BE833" s="612"/>
      <c r="BF833" s="612"/>
      <c r="BG833" s="612"/>
      <c r="BH833" s="612">
        <f t="shared" si="633"/>
        <v>0</v>
      </c>
      <c r="BI833" s="612">
        <f t="shared" si="646"/>
        <v>84000</v>
      </c>
      <c r="BJ833" s="201">
        <f>AQ840-BI833</f>
        <v>0</v>
      </c>
    </row>
    <row r="834" spans="1:62" ht="12" customHeight="1">
      <c r="A834" s="282" t="s">
        <v>356</v>
      </c>
      <c r="B834" s="283"/>
      <c r="C834" s="283"/>
      <c r="D834" s="283"/>
      <c r="E834" s="283"/>
      <c r="F834" s="283"/>
      <c r="G834" s="283"/>
      <c r="H834" s="284"/>
      <c r="I834" s="369" t="s">
        <v>657</v>
      </c>
      <c r="J834" s="370"/>
      <c r="K834" s="226"/>
      <c r="L834" s="111">
        <f t="shared" ref="L834:S834" si="649">L836</f>
        <v>480332</v>
      </c>
      <c r="M834" s="111">
        <f t="shared" si="649"/>
        <v>63751.012011414146</v>
      </c>
      <c r="N834" s="112">
        <f t="shared" si="649"/>
        <v>477138</v>
      </c>
      <c r="O834" s="112">
        <f t="shared" si="649"/>
        <v>63327.095361337837</v>
      </c>
      <c r="P834" s="113">
        <f t="shared" si="649"/>
        <v>72999.508925608869</v>
      </c>
      <c r="Q834" s="113">
        <f t="shared" si="649"/>
        <v>115200</v>
      </c>
      <c r="R834" s="87">
        <f t="shared" si="649"/>
        <v>106096</v>
      </c>
      <c r="S834" s="89" t="e">
        <f t="shared" ca="1" si="649"/>
        <v>#NAME?</v>
      </c>
      <c r="T834" s="89"/>
      <c r="U834" s="89"/>
      <c r="V834" s="532">
        <f>V836</f>
        <v>168100</v>
      </c>
      <c r="W834" s="532">
        <f>W836</f>
        <v>168100</v>
      </c>
      <c r="X834" s="506">
        <f>X836</f>
        <v>169500</v>
      </c>
      <c r="Y834" s="507">
        <f>Y836</f>
        <v>192000</v>
      </c>
      <c r="Z834" s="507">
        <f>Z836</f>
        <v>0</v>
      </c>
      <c r="AA834" s="562" t="e">
        <f t="shared" ca="1" si="632"/>
        <v>#NAME?</v>
      </c>
      <c r="AB834" s="507"/>
      <c r="AC834" s="508">
        <f>AC836</f>
        <v>76500</v>
      </c>
      <c r="AD834" s="508">
        <f>AD836</f>
        <v>76500</v>
      </c>
      <c r="AE834" s="529">
        <f>O834/M834*100</f>
        <v>99.335043261743976</v>
      </c>
      <c r="AF834" s="529">
        <f>P834/O834*100</f>
        <v>115.27373631947154</v>
      </c>
      <c r="AG834" s="529">
        <f>Q834/P834*100</f>
        <v>157.80928076844475</v>
      </c>
      <c r="AH834" s="529">
        <f>AC834/Q834*100</f>
        <v>66.40625</v>
      </c>
      <c r="AI834" s="507"/>
      <c r="AJ834" s="507">
        <v>192000</v>
      </c>
      <c r="AK834" s="507">
        <f t="shared" si="618"/>
        <v>158.44141155180213</v>
      </c>
      <c r="AL834" s="507">
        <f t="shared" si="619"/>
        <v>100.83283759666865</v>
      </c>
      <c r="AM834" s="507">
        <f t="shared" si="619"/>
        <v>113.27433628318585</v>
      </c>
      <c r="AN834" s="509"/>
      <c r="AO834" s="510"/>
      <c r="AP834" s="510" t="e">
        <f t="shared" ca="1" si="630"/>
        <v>#NAME?</v>
      </c>
      <c r="AQ834" s="532">
        <f>AQ836</f>
        <v>160099.19</v>
      </c>
      <c r="AR834" s="533">
        <f t="shared" si="636"/>
        <v>158.44141155180213</v>
      </c>
      <c r="AS834" s="533">
        <f>W834/V834*100</f>
        <v>100</v>
      </c>
      <c r="AT834" s="533">
        <f t="shared" si="637"/>
        <v>158.44141155180213</v>
      </c>
      <c r="AU834" s="533">
        <f>AQ834/W834*100</f>
        <v>95.240446162998211</v>
      </c>
      <c r="AV834" s="533">
        <f>AQ834/R834*100</f>
        <v>150.90030726888855</v>
      </c>
      <c r="AW834" s="612"/>
      <c r="AX834" s="612"/>
      <c r="AY834" s="612"/>
      <c r="AZ834" s="612"/>
      <c r="BA834" s="612"/>
      <c r="BB834" s="612"/>
      <c r="BC834" s="612"/>
      <c r="BD834" s="612"/>
      <c r="BE834" s="612"/>
      <c r="BF834" s="612"/>
      <c r="BG834" s="612"/>
      <c r="BH834" s="612">
        <f t="shared" si="633"/>
        <v>0</v>
      </c>
      <c r="BI834" s="612">
        <f t="shared" si="646"/>
        <v>33000</v>
      </c>
      <c r="BJ834" s="201">
        <f>AQ841-BI834</f>
        <v>0</v>
      </c>
    </row>
    <row r="835" spans="1:62" ht="12" customHeight="1">
      <c r="A835" s="41"/>
      <c r="B835" s="41"/>
      <c r="C835" s="41"/>
      <c r="D835" s="41"/>
      <c r="E835" s="41"/>
      <c r="F835" s="41"/>
      <c r="G835" s="41"/>
      <c r="H835" s="235"/>
      <c r="I835" s="15"/>
      <c r="J835" s="3"/>
      <c r="K835" s="83"/>
      <c r="L835" s="84"/>
      <c r="M835" s="84"/>
      <c r="N835" s="85"/>
      <c r="O835" s="85"/>
      <c r="P835" s="86"/>
      <c r="Q835" s="86"/>
      <c r="R835" s="154"/>
      <c r="S835" s="158" t="e">
        <f ca="1">__xlfn.XLOOKUP(H835,[1]Izvršenje_proračuna_po_pozicija!$B$2:$B$153,[1]Izvršenje_proračuna_po_pozicija!$E$2:$E$153,0)</f>
        <v>#NAME?</v>
      </c>
      <c r="T835" s="158"/>
      <c r="U835" s="158"/>
      <c r="V835" s="532"/>
      <c r="W835" s="532"/>
      <c r="X835" s="568"/>
      <c r="Y835" s="569"/>
      <c r="Z835" s="569"/>
      <c r="AA835" s="562" t="e">
        <f t="shared" ca="1" si="632"/>
        <v>#NAME?</v>
      </c>
      <c r="AB835" s="537"/>
      <c r="AC835" s="538"/>
      <c r="AD835" s="538"/>
      <c r="AE835" s="529"/>
      <c r="AF835" s="529"/>
      <c r="AG835" s="529"/>
      <c r="AH835" s="529"/>
      <c r="AI835" s="537"/>
      <c r="AJ835" s="569"/>
      <c r="AK835" s="507"/>
      <c r="AL835" s="507"/>
      <c r="AM835" s="507"/>
      <c r="AN835" s="557"/>
      <c r="AO835" s="510"/>
      <c r="AP835" s="510" t="e">
        <f t="shared" ca="1" si="630"/>
        <v>#NAME?</v>
      </c>
      <c r="AQ835" s="532"/>
      <c r="AR835" s="533"/>
      <c r="AS835" s="533"/>
      <c r="AT835" s="533"/>
      <c r="AU835" s="533"/>
      <c r="AV835" s="533"/>
      <c r="AW835" s="612"/>
      <c r="AX835" s="612"/>
      <c r="AY835" s="612"/>
      <c r="AZ835" s="612"/>
      <c r="BA835" s="612"/>
      <c r="BB835" s="612"/>
      <c r="BC835" s="612"/>
      <c r="BD835" s="612"/>
      <c r="BE835" s="612"/>
      <c r="BF835" s="612"/>
      <c r="BG835" s="612"/>
      <c r="BH835" s="612">
        <f t="shared" si="633"/>
        <v>0</v>
      </c>
      <c r="BI835" s="612">
        <f t="shared" si="646"/>
        <v>15375</v>
      </c>
      <c r="BJ835" s="201">
        <f>AQ842-BI835</f>
        <v>0</v>
      </c>
    </row>
    <row r="836" spans="1:62" ht="12" customHeight="1">
      <c r="A836" s="25"/>
      <c r="B836" s="25"/>
      <c r="C836" s="25"/>
      <c r="D836" s="25"/>
      <c r="E836" s="25"/>
      <c r="F836" s="25"/>
      <c r="G836" s="25"/>
      <c r="H836" s="285"/>
      <c r="I836" s="349"/>
      <c r="J836" s="211">
        <v>3</v>
      </c>
      <c r="K836" s="3" t="s">
        <v>220</v>
      </c>
      <c r="L836" s="111">
        <f t="shared" ref="L836:S836" si="650">L837+L844</f>
        <v>480332</v>
      </c>
      <c r="M836" s="111">
        <f t="shared" si="650"/>
        <v>63751.012011414146</v>
      </c>
      <c r="N836" s="112">
        <f t="shared" si="650"/>
        <v>477138</v>
      </c>
      <c r="O836" s="112">
        <f t="shared" si="650"/>
        <v>63327.095361337837</v>
      </c>
      <c r="P836" s="113">
        <f t="shared" si="650"/>
        <v>72999.508925608869</v>
      </c>
      <c r="Q836" s="113">
        <f t="shared" si="650"/>
        <v>115200</v>
      </c>
      <c r="R836" s="87">
        <f t="shared" si="650"/>
        <v>106096</v>
      </c>
      <c r="S836" s="89" t="e">
        <f t="shared" ca="1" si="650"/>
        <v>#NAME?</v>
      </c>
      <c r="T836" s="89"/>
      <c r="U836" s="89"/>
      <c r="V836" s="532">
        <f>V837+V844</f>
        <v>168100</v>
      </c>
      <c r="W836" s="532">
        <f>W837+W844</f>
        <v>168100</v>
      </c>
      <c r="X836" s="506">
        <f>X837+X844</f>
        <v>169500</v>
      </c>
      <c r="Y836" s="507">
        <f>Y837+Y844</f>
        <v>192000</v>
      </c>
      <c r="Z836" s="507">
        <f>Z837+Z844</f>
        <v>0</v>
      </c>
      <c r="AA836" s="562" t="e">
        <f t="shared" ca="1" si="632"/>
        <v>#NAME?</v>
      </c>
      <c r="AB836" s="507"/>
      <c r="AC836" s="508">
        <f>AC837+AC844</f>
        <v>76500</v>
      </c>
      <c r="AD836" s="508">
        <f>AD837+AD844</f>
        <v>76500</v>
      </c>
      <c r="AE836" s="529">
        <f>O836/M836*100</f>
        <v>99.335043261743976</v>
      </c>
      <c r="AF836" s="529">
        <f t="shared" ref="AF836:AG840" si="651">P836/O836*100</f>
        <v>115.27373631947154</v>
      </c>
      <c r="AG836" s="529">
        <f t="shared" si="651"/>
        <v>157.80928076844475</v>
      </c>
      <c r="AH836" s="529">
        <f>AC836/Q836*100</f>
        <v>66.40625</v>
      </c>
      <c r="AI836" s="507"/>
      <c r="AJ836" s="507">
        <v>192000</v>
      </c>
      <c r="AK836" s="507">
        <f t="shared" si="618"/>
        <v>158.44141155180213</v>
      </c>
      <c r="AL836" s="507">
        <f t="shared" si="619"/>
        <v>100.83283759666865</v>
      </c>
      <c r="AM836" s="507">
        <f t="shared" si="619"/>
        <v>113.27433628318585</v>
      </c>
      <c r="AN836" s="509"/>
      <c r="AO836" s="510"/>
      <c r="AP836" s="510" t="e">
        <f t="shared" ca="1" si="630"/>
        <v>#NAME?</v>
      </c>
      <c r="AQ836" s="532">
        <f>AQ837+AQ844</f>
        <v>160099.19</v>
      </c>
      <c r="AR836" s="533">
        <f t="shared" si="636"/>
        <v>158.44141155180213</v>
      </c>
      <c r="AS836" s="533">
        <f>W836/V836*100</f>
        <v>100</v>
      </c>
      <c r="AT836" s="533">
        <f t="shared" si="637"/>
        <v>158.44141155180213</v>
      </c>
      <c r="AU836" s="533">
        <f>AQ836/W836*100</f>
        <v>95.240446162998211</v>
      </c>
      <c r="AV836" s="533">
        <f>AQ836/R836*100</f>
        <v>150.90030726888855</v>
      </c>
      <c r="AW836" s="612"/>
      <c r="AX836" s="612"/>
      <c r="AY836" s="612"/>
      <c r="AZ836" s="612"/>
      <c r="BA836" s="612"/>
      <c r="BB836" s="612"/>
      <c r="BC836" s="612"/>
      <c r="BD836" s="612"/>
      <c r="BE836" s="612"/>
      <c r="BF836" s="612"/>
      <c r="BG836" s="612"/>
      <c r="BH836" s="612">
        <f t="shared" si="633"/>
        <v>0</v>
      </c>
      <c r="BI836" s="612">
        <f t="shared" si="646"/>
        <v>0</v>
      </c>
      <c r="BJ836" s="201">
        <f>AQ843-BI836</f>
        <v>0</v>
      </c>
    </row>
    <row r="837" spans="1:62" ht="12" customHeight="1">
      <c r="A837" s="227"/>
      <c r="B837" s="227"/>
      <c r="C837" s="227"/>
      <c r="D837" s="227"/>
      <c r="E837" s="227"/>
      <c r="F837" s="227"/>
      <c r="G837" s="227"/>
      <c r="H837" s="234"/>
      <c r="I837" s="265"/>
      <c r="J837" s="228">
        <v>32</v>
      </c>
      <c r="K837" s="258" t="s">
        <v>229</v>
      </c>
      <c r="L837" s="111">
        <f t="shared" ref="L837:Z837" si="652">L838</f>
        <v>370332</v>
      </c>
      <c r="M837" s="111">
        <f t="shared" si="652"/>
        <v>49151.503085805285</v>
      </c>
      <c r="N837" s="112">
        <f t="shared" si="652"/>
        <v>367138</v>
      </c>
      <c r="O837" s="112">
        <f t="shared" si="652"/>
        <v>48727.586435728976</v>
      </c>
      <c r="P837" s="113">
        <f t="shared" si="652"/>
        <v>58400</v>
      </c>
      <c r="Q837" s="113">
        <f t="shared" si="652"/>
        <v>92400</v>
      </c>
      <c r="R837" s="87">
        <f t="shared" si="652"/>
        <v>87350</v>
      </c>
      <c r="S837" s="89" t="e">
        <f t="shared" ca="1" si="652"/>
        <v>#NAME?</v>
      </c>
      <c r="T837" s="89"/>
      <c r="U837" s="89"/>
      <c r="V837" s="532">
        <f>V838</f>
        <v>133600</v>
      </c>
      <c r="W837" s="532">
        <f t="shared" si="652"/>
        <v>133600</v>
      </c>
      <c r="X837" s="506">
        <f t="shared" si="652"/>
        <v>135000</v>
      </c>
      <c r="Y837" s="507">
        <f t="shared" si="652"/>
        <v>157000</v>
      </c>
      <c r="Z837" s="507">
        <f t="shared" si="652"/>
        <v>0</v>
      </c>
      <c r="AA837" s="562" t="e">
        <f t="shared" ca="1" si="632"/>
        <v>#NAME?</v>
      </c>
      <c r="AB837" s="507"/>
      <c r="AC837" s="508">
        <f>AC838</f>
        <v>61500</v>
      </c>
      <c r="AD837" s="508">
        <f>AD838</f>
        <v>61500</v>
      </c>
      <c r="AE837" s="529">
        <f>O837/M837*100</f>
        <v>99.137530648175158</v>
      </c>
      <c r="AF837" s="529">
        <f t="shared" si="651"/>
        <v>119.8499746689256</v>
      </c>
      <c r="AG837" s="529">
        <f t="shared" si="651"/>
        <v>158.2191780821918</v>
      </c>
      <c r="AH837" s="529">
        <f>AC837/Q837*100</f>
        <v>66.558441558441558</v>
      </c>
      <c r="AI837" s="507"/>
      <c r="AJ837" s="507">
        <v>157000</v>
      </c>
      <c r="AK837" s="507">
        <f t="shared" si="618"/>
        <v>152.9479107040641</v>
      </c>
      <c r="AL837" s="507">
        <f t="shared" si="619"/>
        <v>101.04790419161678</v>
      </c>
      <c r="AM837" s="507">
        <f t="shared" si="619"/>
        <v>116.2962962962963</v>
      </c>
      <c r="AN837" s="509"/>
      <c r="AO837" s="590"/>
      <c r="AP837" s="510" t="e">
        <f t="shared" ca="1" si="630"/>
        <v>#NAME?</v>
      </c>
      <c r="AQ837" s="532">
        <f>AQ838</f>
        <v>132975</v>
      </c>
      <c r="AR837" s="533">
        <f t="shared" si="636"/>
        <v>152.9479107040641</v>
      </c>
      <c r="AS837" s="533">
        <f>W837/V837*100</f>
        <v>100</v>
      </c>
      <c r="AT837" s="533">
        <f t="shared" si="637"/>
        <v>152.9479107040641</v>
      </c>
      <c r="AU837" s="533">
        <f>AQ837/W837*100</f>
        <v>99.532185628742525</v>
      </c>
      <c r="AV837" s="533">
        <f>AQ837/R837*100</f>
        <v>152.23239839725241</v>
      </c>
      <c r="AW837" s="612"/>
      <c r="AX837" s="612"/>
      <c r="AY837" s="612"/>
      <c r="AZ837" s="612"/>
      <c r="BA837" s="612"/>
      <c r="BB837" s="612"/>
      <c r="BC837" s="612"/>
      <c r="BD837" s="612"/>
      <c r="BE837" s="612"/>
      <c r="BF837" s="612"/>
      <c r="BG837" s="612"/>
      <c r="BH837" s="612">
        <f t="shared" si="633"/>
        <v>0</v>
      </c>
      <c r="BI837" s="612">
        <f t="shared" si="646"/>
        <v>0</v>
      </c>
      <c r="BJ837" s="201"/>
    </row>
    <row r="838" spans="1:62" ht="12" customHeight="1">
      <c r="A838" s="61"/>
      <c r="B838" s="61"/>
      <c r="C838" s="61">
        <v>3</v>
      </c>
      <c r="D838" s="61"/>
      <c r="E838" s="61"/>
      <c r="F838" s="61"/>
      <c r="G838" s="61"/>
      <c r="H838" s="230"/>
      <c r="I838" s="348"/>
      <c r="J838" s="229">
        <v>329</v>
      </c>
      <c r="K838" s="20" t="s">
        <v>658</v>
      </c>
      <c r="L838" s="111">
        <f t="shared" ref="L838:S838" si="653">L839+L840+L841+L842</f>
        <v>370332</v>
      </c>
      <c r="M838" s="111">
        <f t="shared" si="653"/>
        <v>49151.503085805285</v>
      </c>
      <c r="N838" s="112">
        <f t="shared" si="653"/>
        <v>367138</v>
      </c>
      <c r="O838" s="112">
        <f t="shared" si="653"/>
        <v>48727.586435728976</v>
      </c>
      <c r="P838" s="113">
        <f t="shared" si="653"/>
        <v>58400</v>
      </c>
      <c r="Q838" s="113">
        <f t="shared" si="653"/>
        <v>92400</v>
      </c>
      <c r="R838" s="87">
        <f t="shared" si="653"/>
        <v>87350</v>
      </c>
      <c r="S838" s="89" t="e">
        <f t="shared" ca="1" si="653"/>
        <v>#NAME?</v>
      </c>
      <c r="T838" s="89"/>
      <c r="U838" s="89"/>
      <c r="V838" s="532">
        <f>V839+V840+V841+V842</f>
        <v>133600</v>
      </c>
      <c r="W838" s="532">
        <f>W839+W840+W841+W842</f>
        <v>133600</v>
      </c>
      <c r="X838" s="506">
        <f>X839+X840+X841+X842</f>
        <v>135000</v>
      </c>
      <c r="Y838" s="507">
        <f>Y839+Y840+Y841+Y842</f>
        <v>157000</v>
      </c>
      <c r="Z838" s="507">
        <f>Z839+Z840+Z841+Z842</f>
        <v>0</v>
      </c>
      <c r="AA838" s="562" t="e">
        <f t="shared" ca="1" si="632"/>
        <v>#NAME?</v>
      </c>
      <c r="AB838" s="507"/>
      <c r="AC838" s="508">
        <f>AC839+AC840+AC841+AC842</f>
        <v>61500</v>
      </c>
      <c r="AD838" s="508">
        <f>AD839+AD840+AD841+AD842</f>
        <v>61500</v>
      </c>
      <c r="AE838" s="529">
        <f>O838/M838*100</f>
        <v>99.137530648175158</v>
      </c>
      <c r="AF838" s="529">
        <f t="shared" si="651"/>
        <v>119.8499746689256</v>
      </c>
      <c r="AG838" s="529">
        <f t="shared" si="651"/>
        <v>158.2191780821918</v>
      </c>
      <c r="AH838" s="529">
        <f>AC838/Q838*100</f>
        <v>66.558441558441558</v>
      </c>
      <c r="AI838" s="507"/>
      <c r="AJ838" s="507">
        <v>157000</v>
      </c>
      <c r="AK838" s="507">
        <f t="shared" si="618"/>
        <v>152.9479107040641</v>
      </c>
      <c r="AL838" s="507">
        <f t="shared" si="619"/>
        <v>101.04790419161678</v>
      </c>
      <c r="AM838" s="507">
        <f t="shared" si="619"/>
        <v>116.2962962962963</v>
      </c>
      <c r="AN838" s="509"/>
      <c r="AO838" s="590"/>
      <c r="AP838" s="510" t="e">
        <f t="shared" ca="1" si="630"/>
        <v>#NAME?</v>
      </c>
      <c r="AQ838" s="532">
        <f>AQ839+AQ840+AQ841+AQ842</f>
        <v>132975</v>
      </c>
      <c r="AR838" s="533">
        <f t="shared" si="636"/>
        <v>152.9479107040641</v>
      </c>
      <c r="AS838" s="533">
        <f>W838/V838*100</f>
        <v>100</v>
      </c>
      <c r="AT838" s="533">
        <f t="shared" si="637"/>
        <v>152.9479107040641</v>
      </c>
      <c r="AU838" s="533">
        <f>AQ838/W838*100</f>
        <v>99.532185628742525</v>
      </c>
      <c r="AV838" s="533">
        <f>AQ838/R838*100</f>
        <v>152.23239839725241</v>
      </c>
      <c r="AW838" s="612"/>
      <c r="AX838" s="612"/>
      <c r="AY838" s="612"/>
      <c r="AZ838" s="612"/>
      <c r="BA838" s="612"/>
      <c r="BB838" s="612"/>
      <c r="BC838" s="612"/>
      <c r="BD838" s="612"/>
      <c r="BE838" s="612"/>
      <c r="BF838" s="612"/>
      <c r="BG838" s="612"/>
      <c r="BH838" s="612">
        <f t="shared" si="633"/>
        <v>0</v>
      </c>
      <c r="BI838" s="612">
        <f t="shared" si="646"/>
        <v>0</v>
      </c>
      <c r="BJ838" s="201"/>
    </row>
    <row r="839" spans="1:62" ht="12" customHeight="1">
      <c r="A839" s="52"/>
      <c r="B839" s="52"/>
      <c r="C839" s="52"/>
      <c r="D839" s="52"/>
      <c r="E839" s="52"/>
      <c r="F839" s="52"/>
      <c r="G839" s="52"/>
      <c r="H839" s="2" t="s">
        <v>659</v>
      </c>
      <c r="I839" s="260">
        <v>820</v>
      </c>
      <c r="J839" s="185">
        <v>3299</v>
      </c>
      <c r="K839" s="19" t="s">
        <v>660</v>
      </c>
      <c r="L839" s="129">
        <v>12000</v>
      </c>
      <c r="M839" s="129">
        <f>12000/7.5345</f>
        <v>1592.6737009755125</v>
      </c>
      <c r="N839" s="130">
        <v>0</v>
      </c>
      <c r="O839" s="130">
        <f>N839/7.5345</f>
        <v>0</v>
      </c>
      <c r="P839" s="131">
        <v>1400</v>
      </c>
      <c r="Q839" s="131">
        <v>1400</v>
      </c>
      <c r="R839" s="153">
        <v>350</v>
      </c>
      <c r="S839" s="158" t="e">
        <f ca="1">__xlfn.XLOOKUP(H839,[1]Izvršenje_proračuna_po_pozicija!$B$2:$B$153,[1]Izvršenje_proračuna_po_pozicija!$E$2:$E$153,0)</f>
        <v>#NAME?</v>
      </c>
      <c r="T839" s="158"/>
      <c r="U839" s="158"/>
      <c r="V839" s="532">
        <v>600</v>
      </c>
      <c r="W839" s="532">
        <v>600</v>
      </c>
      <c r="X839" s="560"/>
      <c r="Y839" s="561"/>
      <c r="Z839" s="561"/>
      <c r="AA839" s="562" t="e">
        <f t="shared" ca="1" si="632"/>
        <v>#NAME?</v>
      </c>
      <c r="AB839" s="535"/>
      <c r="AC839" s="529">
        <v>1500</v>
      </c>
      <c r="AD839" s="529">
        <v>1500</v>
      </c>
      <c r="AE839" s="529">
        <f>O839/M839*100</f>
        <v>0</v>
      </c>
      <c r="AF839" s="529" t="e">
        <f t="shared" si="651"/>
        <v>#DIV/0!</v>
      </c>
      <c r="AG839" s="529">
        <f t="shared" si="651"/>
        <v>100</v>
      </c>
      <c r="AH839" s="529">
        <f>AC839/Q839*100</f>
        <v>107.14285714285714</v>
      </c>
      <c r="AI839" s="535"/>
      <c r="AJ839" s="561"/>
      <c r="AK839" s="507">
        <f t="shared" si="618"/>
        <v>171.42857142857142</v>
      </c>
      <c r="AL839" s="507">
        <f t="shared" si="619"/>
        <v>0</v>
      </c>
      <c r="AM839" s="507"/>
      <c r="AN839" s="556"/>
      <c r="AO839" s="590"/>
      <c r="AP839" s="510" t="e">
        <f t="shared" ca="1" si="630"/>
        <v>#NAME?</v>
      </c>
      <c r="AQ839" s="532">
        <v>600</v>
      </c>
      <c r="AR839" s="533">
        <f t="shared" si="636"/>
        <v>171.42857142857142</v>
      </c>
      <c r="AS839" s="533">
        <f>W839/V839*100</f>
        <v>100</v>
      </c>
      <c r="AT839" s="533">
        <f t="shared" si="637"/>
        <v>171.42857142857142</v>
      </c>
      <c r="AU839" s="533">
        <f>AQ839/W839*100</f>
        <v>100</v>
      </c>
      <c r="AV839" s="533">
        <f>AQ839/R839*100</f>
        <v>171.42857142857142</v>
      </c>
      <c r="AW839" s="612">
        <v>600</v>
      </c>
      <c r="AX839" s="612"/>
      <c r="AY839" s="612"/>
      <c r="AZ839" s="612"/>
      <c r="BA839" s="612"/>
      <c r="BB839" s="612"/>
      <c r="BC839" s="612"/>
      <c r="BD839" s="612"/>
      <c r="BE839" s="612"/>
      <c r="BF839" s="612"/>
      <c r="BG839" s="612"/>
      <c r="BH839" s="612">
        <f t="shared" si="633"/>
        <v>600</v>
      </c>
      <c r="BI839" s="612">
        <f t="shared" si="646"/>
        <v>27124.19</v>
      </c>
      <c r="BJ839" s="201">
        <f>AQ846-BI839</f>
        <v>0</v>
      </c>
    </row>
    <row r="840" spans="1:62" ht="12" customHeight="1">
      <c r="A840" s="52"/>
      <c r="B840" s="52"/>
      <c r="C840" s="52"/>
      <c r="D840" s="52"/>
      <c r="E840" s="52"/>
      <c r="F840" s="52"/>
      <c r="G840" s="52"/>
      <c r="H840" s="2" t="s">
        <v>661</v>
      </c>
      <c r="I840" s="260">
        <v>820</v>
      </c>
      <c r="J840" s="185">
        <v>3299</v>
      </c>
      <c r="K840" s="19" t="s">
        <v>662</v>
      </c>
      <c r="L840" s="129">
        <v>350500</v>
      </c>
      <c r="M840" s="129">
        <f>350500/7.5345</f>
        <v>46519.344349326428</v>
      </c>
      <c r="N840" s="130">
        <v>364900</v>
      </c>
      <c r="O840" s="130">
        <f>N840/7.5345</f>
        <v>48430.552790497044</v>
      </c>
      <c r="P840" s="131">
        <v>53000</v>
      </c>
      <c r="Q840" s="156">
        <v>87000</v>
      </c>
      <c r="R840" s="153">
        <v>87000</v>
      </c>
      <c r="S840" s="158" t="e">
        <f ca="1">__xlfn.XLOOKUP(H840,[1]Izvršenje_proračuna_po_pozicija!$B$2:$B$153,[1]Izvršenje_proračuna_po_pozicija!$E$2:$E$153,0)</f>
        <v>#NAME?</v>
      </c>
      <c r="T840" s="158"/>
      <c r="U840" s="158"/>
      <c r="V840" s="532">
        <v>117000</v>
      </c>
      <c r="W840" s="532">
        <v>117000</v>
      </c>
      <c r="X840" s="560">
        <v>120000</v>
      </c>
      <c r="Y840" s="561">
        <v>140000</v>
      </c>
      <c r="Z840" s="561"/>
      <c r="AA840" s="562" t="e">
        <f t="shared" ca="1" si="632"/>
        <v>#NAME?</v>
      </c>
      <c r="AB840" s="535"/>
      <c r="AC840" s="529">
        <v>55000</v>
      </c>
      <c r="AD840" s="529">
        <v>55000</v>
      </c>
      <c r="AE840" s="529">
        <f>O840/M840*100</f>
        <v>104.10841654778889</v>
      </c>
      <c r="AF840" s="529">
        <f t="shared" si="651"/>
        <v>109.4350506988216</v>
      </c>
      <c r="AG840" s="529">
        <f t="shared" si="651"/>
        <v>164.15094339622641</v>
      </c>
      <c r="AH840" s="529">
        <f>AC840/Q840*100</f>
        <v>63.218390804597703</v>
      </c>
      <c r="AI840" s="535"/>
      <c r="AJ840" s="561">
        <v>140000</v>
      </c>
      <c r="AK840" s="507">
        <f t="shared" si="618"/>
        <v>134.48275862068965</v>
      </c>
      <c r="AL840" s="507">
        <f t="shared" si="619"/>
        <v>102.56410256410255</v>
      </c>
      <c r="AM840" s="507">
        <f t="shared" si="619"/>
        <v>116.66666666666667</v>
      </c>
      <c r="AN840" s="556"/>
      <c r="AO840" s="590"/>
      <c r="AP840" s="510" t="e">
        <f t="shared" ca="1" si="630"/>
        <v>#NAME?</v>
      </c>
      <c r="AQ840" s="532">
        <v>84000</v>
      </c>
      <c r="AR840" s="533">
        <f t="shared" si="636"/>
        <v>134.48275862068965</v>
      </c>
      <c r="AS840" s="533">
        <f>W840/V840*100</f>
        <v>100</v>
      </c>
      <c r="AT840" s="533">
        <f t="shared" si="637"/>
        <v>134.48275862068965</v>
      </c>
      <c r="AU840" s="533">
        <f>AQ840/W840*100</f>
        <v>71.794871794871796</v>
      </c>
      <c r="AV840" s="533">
        <f>AQ840/R840*100</f>
        <v>96.551724137931032</v>
      </c>
      <c r="AW840" s="612"/>
      <c r="AX840" s="612"/>
      <c r="AY840" s="612"/>
      <c r="AZ840" s="612"/>
      <c r="BA840" s="612"/>
      <c r="BB840" s="612">
        <v>56222</v>
      </c>
      <c r="BC840" s="612">
        <v>24000</v>
      </c>
      <c r="BD840" s="612">
        <v>3778</v>
      </c>
      <c r="BE840" s="612"/>
      <c r="BF840" s="612"/>
      <c r="BG840" s="612"/>
      <c r="BH840" s="612">
        <f t="shared" si="633"/>
        <v>84000</v>
      </c>
      <c r="BI840" s="612">
        <f t="shared" si="646"/>
        <v>0</v>
      </c>
      <c r="BJ840" s="201">
        <f>AQ847-BI840</f>
        <v>0</v>
      </c>
    </row>
    <row r="841" spans="1:62" ht="12" customHeight="1">
      <c r="A841" s="52"/>
      <c r="B841" s="52"/>
      <c r="C841" s="52"/>
      <c r="D841" s="52"/>
      <c r="E841" s="52"/>
      <c r="F841" s="52"/>
      <c r="G841" s="52"/>
      <c r="H841" s="2" t="s">
        <v>663</v>
      </c>
      <c r="I841" s="260">
        <v>820</v>
      </c>
      <c r="J841" s="185">
        <v>3299</v>
      </c>
      <c r="K841" s="19" t="s">
        <v>664</v>
      </c>
      <c r="L841" s="129"/>
      <c r="M841" s="129"/>
      <c r="N841" s="130"/>
      <c r="O841" s="130"/>
      <c r="P841" s="131"/>
      <c r="Q841" s="131"/>
      <c r="R841" s="153"/>
      <c r="S841" s="158" t="e">
        <f ca="1">__xlfn.XLOOKUP(H841,[1]Izvršenje_proračuna_po_pozicija!$B$2:$B$153,[1]Izvršenje_proračuna_po_pozicija!$E$2:$E$153,0)</f>
        <v>#NAME?</v>
      </c>
      <c r="T841" s="158"/>
      <c r="U841" s="158"/>
      <c r="V841" s="532"/>
      <c r="W841" s="532"/>
      <c r="X841" s="560"/>
      <c r="Y841" s="561"/>
      <c r="Z841" s="561"/>
      <c r="AA841" s="562" t="e">
        <f t="shared" ca="1" si="632"/>
        <v>#NAME?</v>
      </c>
      <c r="AB841" s="535"/>
      <c r="AC841" s="529"/>
      <c r="AD841" s="529"/>
      <c r="AE841" s="529"/>
      <c r="AF841" s="529"/>
      <c r="AG841" s="529"/>
      <c r="AH841" s="529"/>
      <c r="AI841" s="535"/>
      <c r="AJ841" s="561"/>
      <c r="AK841" s="507"/>
      <c r="AL841" s="507"/>
      <c r="AM841" s="507"/>
      <c r="AN841" s="556"/>
      <c r="AO841" s="590"/>
      <c r="AP841" s="510" t="e">
        <f t="shared" ca="1" si="630"/>
        <v>#NAME?</v>
      </c>
      <c r="AQ841" s="532">
        <v>33000</v>
      </c>
      <c r="AR841" s="533"/>
      <c r="AS841" s="533"/>
      <c r="AT841" s="533"/>
      <c r="AU841" s="533"/>
      <c r="AV841" s="533"/>
      <c r="AW841" s="612"/>
      <c r="AX841" s="612"/>
      <c r="AY841" s="612"/>
      <c r="AZ841" s="612"/>
      <c r="BA841" s="612"/>
      <c r="BB841" s="612">
        <f>AQ841-BC841</f>
        <v>26457</v>
      </c>
      <c r="BC841" s="612">
        <v>6543</v>
      </c>
      <c r="BD841" s="612"/>
      <c r="BE841" s="612"/>
      <c r="BF841" s="612"/>
      <c r="BG841" s="612"/>
      <c r="BH841" s="612">
        <f t="shared" si="633"/>
        <v>33000</v>
      </c>
      <c r="BI841" s="612">
        <f t="shared" si="646"/>
        <v>0</v>
      </c>
      <c r="BJ841" s="201">
        <f>AQ848-BI841</f>
        <v>0</v>
      </c>
    </row>
    <row r="842" spans="1:62" ht="12" customHeight="1">
      <c r="A842" s="52"/>
      <c r="B842" s="52"/>
      <c r="C842" s="52"/>
      <c r="D842" s="52"/>
      <c r="E842" s="52"/>
      <c r="F842" s="52"/>
      <c r="G842" s="52"/>
      <c r="H842" s="2" t="s">
        <v>665</v>
      </c>
      <c r="I842" s="289">
        <v>820</v>
      </c>
      <c r="J842" s="185">
        <v>3299</v>
      </c>
      <c r="K842" s="19" t="s">
        <v>666</v>
      </c>
      <c r="L842" s="129">
        <v>7832</v>
      </c>
      <c r="M842" s="129">
        <f>7832/7.5345</f>
        <v>1039.4850355033511</v>
      </c>
      <c r="N842" s="130">
        <v>2238</v>
      </c>
      <c r="O842" s="130">
        <f>N842/7.5345</f>
        <v>297.03364523193306</v>
      </c>
      <c r="P842" s="131">
        <v>4000</v>
      </c>
      <c r="Q842" s="131">
        <v>4000</v>
      </c>
      <c r="R842" s="153">
        <v>0</v>
      </c>
      <c r="S842" s="158" t="e">
        <f ca="1">__xlfn.XLOOKUP(H842,[1]Izvršenje_proračuna_po_pozicija!$B$2:$B$153,[1]Izvršenje_proračuna_po_pozicija!$E$2:$E$153,0)</f>
        <v>#NAME?</v>
      </c>
      <c r="T842" s="158"/>
      <c r="U842" s="158"/>
      <c r="V842" s="532">
        <v>16000</v>
      </c>
      <c r="W842" s="532">
        <v>16000</v>
      </c>
      <c r="X842" s="560">
        <v>15000</v>
      </c>
      <c r="Y842" s="561">
        <v>17000</v>
      </c>
      <c r="Z842" s="561"/>
      <c r="AA842" s="562" t="e">
        <f t="shared" ca="1" si="632"/>
        <v>#NAME?</v>
      </c>
      <c r="AB842" s="535"/>
      <c r="AC842" s="529">
        <v>5000</v>
      </c>
      <c r="AD842" s="529">
        <v>5000</v>
      </c>
      <c r="AE842" s="529">
        <f>O842/M842*100</f>
        <v>28.575076608784471</v>
      </c>
      <c r="AF842" s="529"/>
      <c r="AG842" s="529"/>
      <c r="AH842" s="529"/>
      <c r="AI842" s="535"/>
      <c r="AJ842" s="561">
        <v>17000</v>
      </c>
      <c r="AK842" s="507"/>
      <c r="AL842" s="507">
        <f t="shared" si="619"/>
        <v>93.75</v>
      </c>
      <c r="AM842" s="507">
        <f t="shared" si="619"/>
        <v>113.33333333333333</v>
      </c>
      <c r="AN842" s="556"/>
      <c r="AO842" s="590"/>
      <c r="AP842" s="510" t="e">
        <f t="shared" ca="1" si="630"/>
        <v>#NAME?</v>
      </c>
      <c r="AQ842" s="532">
        <v>15375</v>
      </c>
      <c r="AR842" s="533"/>
      <c r="AS842" s="533">
        <f>W842/V842*100</f>
        <v>100</v>
      </c>
      <c r="AT842" s="533"/>
      <c r="AU842" s="533">
        <f>AQ842/W842*100</f>
        <v>96.09375</v>
      </c>
      <c r="AV842" s="533"/>
      <c r="AW842" s="612"/>
      <c r="AX842" s="612"/>
      <c r="AY842" s="612"/>
      <c r="AZ842" s="612"/>
      <c r="BA842" s="612"/>
      <c r="BB842" s="612">
        <v>15375</v>
      </c>
      <c r="BC842" s="612"/>
      <c r="BD842" s="612"/>
      <c r="BE842" s="612"/>
      <c r="BF842" s="612"/>
      <c r="BG842" s="612"/>
      <c r="BH842" s="612">
        <f t="shared" si="633"/>
        <v>15375</v>
      </c>
      <c r="BI842" s="612">
        <f t="shared" si="646"/>
        <v>0</v>
      </c>
      <c r="BJ842" s="201"/>
    </row>
    <row r="843" spans="1:62" ht="12" customHeight="1">
      <c r="A843" s="68"/>
      <c r="B843" s="68"/>
      <c r="C843" s="68"/>
      <c r="D843" s="68"/>
      <c r="E843" s="68"/>
      <c r="F843" s="68"/>
      <c r="G843" s="68"/>
      <c r="H843" s="319"/>
      <c r="I843" s="4"/>
      <c r="J843" s="8"/>
      <c r="K843" s="8"/>
      <c r="L843" s="84"/>
      <c r="M843" s="84"/>
      <c r="N843" s="85"/>
      <c r="O843" s="85"/>
      <c r="P843" s="86"/>
      <c r="Q843" s="86"/>
      <c r="R843" s="154"/>
      <c r="S843" s="158" t="e">
        <f ca="1">__xlfn.XLOOKUP(H843,[1]Izvršenje_proračuna_po_pozicija!$B$2:$B$153,[1]Izvršenje_proračuna_po_pozicija!$E$2:$E$153,0)</f>
        <v>#NAME?</v>
      </c>
      <c r="T843" s="158"/>
      <c r="U843" s="158"/>
      <c r="V843" s="532"/>
      <c r="W843" s="532"/>
      <c r="X843" s="568"/>
      <c r="Y843" s="569"/>
      <c r="Z843" s="569"/>
      <c r="AA843" s="562" t="e">
        <f t="shared" ca="1" si="632"/>
        <v>#NAME?</v>
      </c>
      <c r="AB843" s="537"/>
      <c r="AC843" s="538"/>
      <c r="AD843" s="538"/>
      <c r="AE843" s="529"/>
      <c r="AF843" s="529"/>
      <c r="AG843" s="529"/>
      <c r="AH843" s="529"/>
      <c r="AI843" s="537"/>
      <c r="AJ843" s="569"/>
      <c r="AK843" s="507"/>
      <c r="AL843" s="507"/>
      <c r="AM843" s="507"/>
      <c r="AN843" s="557"/>
      <c r="AO843" s="590"/>
      <c r="AP843" s="510" t="e">
        <f t="shared" ca="1" si="630"/>
        <v>#NAME?</v>
      </c>
      <c r="AQ843" s="532"/>
      <c r="AR843" s="533"/>
      <c r="AS843" s="533"/>
      <c r="AT843" s="533"/>
      <c r="AU843" s="533"/>
      <c r="AV843" s="533"/>
      <c r="AW843" s="612"/>
      <c r="AX843" s="612"/>
      <c r="AY843" s="612"/>
      <c r="AZ843" s="612"/>
      <c r="BA843" s="612"/>
      <c r="BB843" s="612"/>
      <c r="BC843" s="612"/>
      <c r="BD843" s="612"/>
      <c r="BE843" s="612"/>
      <c r="BF843" s="612"/>
      <c r="BG843" s="612"/>
      <c r="BH843" s="612">
        <f t="shared" si="633"/>
        <v>0</v>
      </c>
      <c r="BI843" s="612">
        <f t="shared" si="646"/>
        <v>0</v>
      </c>
      <c r="BJ843" s="201">
        <f>AQ850-BI843</f>
        <v>0</v>
      </c>
    </row>
    <row r="844" spans="1:62" ht="12" customHeight="1">
      <c r="A844" s="227"/>
      <c r="B844" s="227"/>
      <c r="C844" s="227"/>
      <c r="D844" s="227"/>
      <c r="E844" s="227"/>
      <c r="F844" s="227"/>
      <c r="G844" s="227"/>
      <c r="H844" s="234"/>
      <c r="I844" s="265"/>
      <c r="J844" s="228">
        <v>36</v>
      </c>
      <c r="K844" s="258" t="s">
        <v>667</v>
      </c>
      <c r="L844" s="111">
        <f t="shared" ref="L844:S845" si="654">L845</f>
        <v>110000</v>
      </c>
      <c r="M844" s="111">
        <f t="shared" si="654"/>
        <v>14599.508925608865</v>
      </c>
      <c r="N844" s="112">
        <f t="shared" si="654"/>
        <v>110000</v>
      </c>
      <c r="O844" s="112">
        <f t="shared" si="654"/>
        <v>14599.508925608865</v>
      </c>
      <c r="P844" s="113">
        <f t="shared" si="654"/>
        <v>14599.508925608865</v>
      </c>
      <c r="Q844" s="113">
        <f t="shared" si="654"/>
        <v>22800</v>
      </c>
      <c r="R844" s="87">
        <f t="shared" si="654"/>
        <v>18746</v>
      </c>
      <c r="S844" s="89" t="e">
        <f t="shared" ca="1" si="654"/>
        <v>#NAME?</v>
      </c>
      <c r="T844" s="89"/>
      <c r="U844" s="89"/>
      <c r="V844" s="532">
        <f>V845</f>
        <v>34500</v>
      </c>
      <c r="W844" s="532">
        <f t="shared" ref="W844:Z845" si="655">W845</f>
        <v>34500</v>
      </c>
      <c r="X844" s="506">
        <f t="shared" si="655"/>
        <v>34500</v>
      </c>
      <c r="Y844" s="507">
        <f t="shared" si="655"/>
        <v>35000</v>
      </c>
      <c r="Z844" s="507">
        <f t="shared" si="655"/>
        <v>0</v>
      </c>
      <c r="AA844" s="562" t="e">
        <f t="shared" ca="1" si="632"/>
        <v>#NAME?</v>
      </c>
      <c r="AB844" s="507"/>
      <c r="AC844" s="508">
        <f>AC845</f>
        <v>15000</v>
      </c>
      <c r="AD844" s="508">
        <f>AD845</f>
        <v>15000</v>
      </c>
      <c r="AE844" s="529">
        <f>O844/M844*100</f>
        <v>100</v>
      </c>
      <c r="AF844" s="529">
        <f t="shared" ref="AF844:AG846" si="656">P844/O844*100</f>
        <v>100</v>
      </c>
      <c r="AG844" s="529">
        <f t="shared" si="656"/>
        <v>156.16963636363636</v>
      </c>
      <c r="AH844" s="529">
        <f>AC844/Q844*100</f>
        <v>65.789473684210535</v>
      </c>
      <c r="AI844" s="507"/>
      <c r="AJ844" s="507">
        <v>35000</v>
      </c>
      <c r="AK844" s="507">
        <f t="shared" si="618"/>
        <v>184.03926170916463</v>
      </c>
      <c r="AL844" s="507">
        <f t="shared" si="619"/>
        <v>100</v>
      </c>
      <c r="AM844" s="507">
        <f t="shared" si="619"/>
        <v>101.44927536231884</v>
      </c>
      <c r="AN844" s="509"/>
      <c r="AO844" s="510"/>
      <c r="AP844" s="510" t="e">
        <f t="shared" ca="1" si="630"/>
        <v>#NAME?</v>
      </c>
      <c r="AQ844" s="532">
        <f>AQ845</f>
        <v>27124.19</v>
      </c>
      <c r="AR844" s="533">
        <f t="shared" si="636"/>
        <v>184.03926170916463</v>
      </c>
      <c r="AS844" s="533">
        <f>W844/V844*100</f>
        <v>100</v>
      </c>
      <c r="AT844" s="533">
        <f t="shared" si="637"/>
        <v>184.03926170916463</v>
      </c>
      <c r="AU844" s="533">
        <f>AQ844/W844*100</f>
        <v>78.620840579710134</v>
      </c>
      <c r="AV844" s="533">
        <f>AQ844/R844*100</f>
        <v>144.69321455243784</v>
      </c>
      <c r="AW844" s="612"/>
      <c r="AX844" s="612"/>
      <c r="AY844" s="612"/>
      <c r="AZ844" s="612"/>
      <c r="BA844" s="612"/>
      <c r="BB844" s="612"/>
      <c r="BC844" s="612"/>
      <c r="BD844" s="612"/>
      <c r="BE844" s="612"/>
      <c r="BF844" s="612"/>
      <c r="BG844" s="612"/>
      <c r="BH844" s="612">
        <f t="shared" si="633"/>
        <v>0</v>
      </c>
      <c r="BI844" s="612">
        <f t="shared" si="646"/>
        <v>0</v>
      </c>
      <c r="BJ844" s="201"/>
    </row>
    <row r="845" spans="1:62" ht="12" customHeight="1">
      <c r="A845" s="61"/>
      <c r="B845" s="61"/>
      <c r="C845" s="61"/>
      <c r="D845" s="61"/>
      <c r="E845" s="61"/>
      <c r="F845" s="61"/>
      <c r="G845" s="61"/>
      <c r="H845" s="230"/>
      <c r="I845" s="348"/>
      <c r="J845" s="229">
        <v>366</v>
      </c>
      <c r="K845" s="20" t="s">
        <v>668</v>
      </c>
      <c r="L845" s="111">
        <f t="shared" si="654"/>
        <v>110000</v>
      </c>
      <c r="M845" s="111">
        <f t="shared" si="654"/>
        <v>14599.508925608865</v>
      </c>
      <c r="N845" s="112">
        <f t="shared" si="654"/>
        <v>110000</v>
      </c>
      <c r="O845" s="112">
        <f t="shared" si="654"/>
        <v>14599.508925608865</v>
      </c>
      <c r="P845" s="113">
        <f t="shared" si="654"/>
        <v>14599.508925608865</v>
      </c>
      <c r="Q845" s="113">
        <f t="shared" si="654"/>
        <v>22800</v>
      </c>
      <c r="R845" s="87">
        <f t="shared" si="654"/>
        <v>18746</v>
      </c>
      <c r="S845" s="89" t="e">
        <f t="shared" ca="1" si="654"/>
        <v>#NAME?</v>
      </c>
      <c r="T845" s="89"/>
      <c r="U845" s="89"/>
      <c r="V845" s="532">
        <f>V846</f>
        <v>34500</v>
      </c>
      <c r="W845" s="532">
        <f t="shared" si="655"/>
        <v>34500</v>
      </c>
      <c r="X845" s="506">
        <f t="shared" si="655"/>
        <v>34500</v>
      </c>
      <c r="Y845" s="507">
        <f t="shared" si="655"/>
        <v>35000</v>
      </c>
      <c r="Z845" s="507">
        <f t="shared" si="655"/>
        <v>0</v>
      </c>
      <c r="AA845" s="562" t="e">
        <f t="shared" ca="1" si="632"/>
        <v>#NAME?</v>
      </c>
      <c r="AB845" s="507"/>
      <c r="AC845" s="508">
        <f>AC846</f>
        <v>15000</v>
      </c>
      <c r="AD845" s="508">
        <f>AD846</f>
        <v>15000</v>
      </c>
      <c r="AE845" s="529">
        <f>O845/M845*100</f>
        <v>100</v>
      </c>
      <c r="AF845" s="529">
        <f t="shared" si="656"/>
        <v>100</v>
      </c>
      <c r="AG845" s="529">
        <f t="shared" si="656"/>
        <v>156.16963636363636</v>
      </c>
      <c r="AH845" s="529">
        <f>AC845/Q845*100</f>
        <v>65.789473684210535</v>
      </c>
      <c r="AI845" s="507"/>
      <c r="AJ845" s="507">
        <v>35000</v>
      </c>
      <c r="AK845" s="507">
        <f t="shared" si="618"/>
        <v>184.03926170916463</v>
      </c>
      <c r="AL845" s="507">
        <f t="shared" si="619"/>
        <v>100</v>
      </c>
      <c r="AM845" s="507">
        <f t="shared" si="619"/>
        <v>101.44927536231884</v>
      </c>
      <c r="AN845" s="509"/>
      <c r="AO845" s="510"/>
      <c r="AP845" s="510" t="e">
        <f t="shared" ca="1" si="630"/>
        <v>#NAME?</v>
      </c>
      <c r="AQ845" s="532">
        <f>AQ846</f>
        <v>27124.19</v>
      </c>
      <c r="AR845" s="533">
        <f t="shared" si="636"/>
        <v>184.03926170916463</v>
      </c>
      <c r="AS845" s="533">
        <f>W845/V845*100</f>
        <v>100</v>
      </c>
      <c r="AT845" s="533">
        <f t="shared" si="637"/>
        <v>184.03926170916463</v>
      </c>
      <c r="AU845" s="533">
        <f>AQ845/W845*100</f>
        <v>78.620840579710134</v>
      </c>
      <c r="AV845" s="533">
        <f>AQ845/R845*100</f>
        <v>144.69321455243784</v>
      </c>
      <c r="AW845" s="612"/>
      <c r="AX845" s="612"/>
      <c r="AY845" s="612"/>
      <c r="AZ845" s="612"/>
      <c r="BA845" s="612"/>
      <c r="BB845" s="612"/>
      <c r="BC845" s="612"/>
      <c r="BD845" s="612"/>
      <c r="BE845" s="612"/>
      <c r="BF845" s="612"/>
      <c r="BG845" s="612"/>
      <c r="BH845" s="612">
        <f t="shared" si="633"/>
        <v>0</v>
      </c>
      <c r="BI845" s="612">
        <f t="shared" si="646"/>
        <v>0</v>
      </c>
      <c r="BJ845" s="201"/>
    </row>
    <row r="846" spans="1:62" ht="12" customHeight="1">
      <c r="A846" s="52"/>
      <c r="B846" s="52"/>
      <c r="C846" s="52"/>
      <c r="D846" s="52"/>
      <c r="E846" s="52"/>
      <c r="F846" s="52"/>
      <c r="G846" s="52"/>
      <c r="H846" s="2" t="s">
        <v>669</v>
      </c>
      <c r="I846" s="289">
        <v>820</v>
      </c>
      <c r="J846" s="185">
        <v>3661</v>
      </c>
      <c r="K846" s="19" t="s">
        <v>670</v>
      </c>
      <c r="L846" s="129">
        <v>110000</v>
      </c>
      <c r="M846" s="129">
        <f>110000/7.5345</f>
        <v>14599.508925608865</v>
      </c>
      <c r="N846" s="130">
        <v>110000</v>
      </c>
      <c r="O846" s="130">
        <f>N846/7.5345</f>
        <v>14599.508925608865</v>
      </c>
      <c r="P846" s="131">
        <f>110000/7.5345</f>
        <v>14599.508925608865</v>
      </c>
      <c r="Q846" s="156">
        <v>22800</v>
      </c>
      <c r="R846" s="153">
        <v>18746</v>
      </c>
      <c r="S846" s="158" t="e">
        <f ca="1">__xlfn.XLOOKUP(H846,[1]Izvršenje_proračuna_po_pozicija!$B$2:$B$153,[1]Izvršenje_proračuna_po_pozicija!$E$2:$E$153,0)</f>
        <v>#NAME?</v>
      </c>
      <c r="T846" s="158"/>
      <c r="U846" s="158"/>
      <c r="V846" s="532">
        <v>34500</v>
      </c>
      <c r="W846" s="532">
        <v>34500</v>
      </c>
      <c r="X846" s="560">
        <v>34500</v>
      </c>
      <c r="Y846" s="561">
        <v>35000</v>
      </c>
      <c r="Z846" s="561"/>
      <c r="AA846" s="562" t="e">
        <f t="shared" ca="1" si="632"/>
        <v>#NAME?</v>
      </c>
      <c r="AB846" s="535"/>
      <c r="AC846" s="529">
        <v>15000</v>
      </c>
      <c r="AD846" s="529">
        <v>15000</v>
      </c>
      <c r="AE846" s="529">
        <f>O846/M846*100</f>
        <v>100</v>
      </c>
      <c r="AF846" s="529">
        <f t="shared" si="656"/>
        <v>100</v>
      </c>
      <c r="AG846" s="529">
        <f t="shared" si="656"/>
        <v>156.16963636363636</v>
      </c>
      <c r="AH846" s="529">
        <f>AC846/Q846*100</f>
        <v>65.789473684210535</v>
      </c>
      <c r="AI846" s="535"/>
      <c r="AJ846" s="561">
        <v>35000</v>
      </c>
      <c r="AK846" s="507">
        <f t="shared" si="618"/>
        <v>184.03926170916463</v>
      </c>
      <c r="AL846" s="507">
        <f t="shared" si="619"/>
        <v>100</v>
      </c>
      <c r="AM846" s="507">
        <f t="shared" si="619"/>
        <v>101.44927536231884</v>
      </c>
      <c r="AN846" s="556"/>
      <c r="AO846" s="510"/>
      <c r="AP846" s="510" t="e">
        <f t="shared" ca="1" si="630"/>
        <v>#NAME?</v>
      </c>
      <c r="AQ846" s="532">
        <v>27124.19</v>
      </c>
      <c r="AR846" s="533">
        <f t="shared" si="636"/>
        <v>184.03926170916463</v>
      </c>
      <c r="AS846" s="533">
        <f>W846/V846*100</f>
        <v>100</v>
      </c>
      <c r="AT846" s="533">
        <f t="shared" si="637"/>
        <v>184.03926170916463</v>
      </c>
      <c r="AU846" s="533">
        <f>AQ846/W846*100</f>
        <v>78.620840579710134</v>
      </c>
      <c r="AV846" s="533">
        <f>AQ846/R846*100</f>
        <v>144.69321455243784</v>
      </c>
      <c r="AW846" s="612">
        <f>AQ846</f>
        <v>27124.19</v>
      </c>
      <c r="AX846" s="612"/>
      <c r="AY846" s="612"/>
      <c r="AZ846" s="612"/>
      <c r="BA846" s="612"/>
      <c r="BB846" s="612"/>
      <c r="BC846" s="612"/>
      <c r="BD846" s="612"/>
      <c r="BE846" s="612"/>
      <c r="BF846" s="612"/>
      <c r="BG846" s="612"/>
      <c r="BH846" s="612">
        <f t="shared" si="633"/>
        <v>27124.19</v>
      </c>
      <c r="BI846" s="612">
        <f t="shared" si="646"/>
        <v>0</v>
      </c>
      <c r="BJ846" s="201"/>
    </row>
    <row r="847" spans="1:62" ht="12" customHeight="1">
      <c r="A847" s="52"/>
      <c r="B847" s="52"/>
      <c r="C847" s="52"/>
      <c r="D847" s="52"/>
      <c r="E847" s="52"/>
      <c r="F847" s="52"/>
      <c r="G847" s="52"/>
      <c r="H847" s="2" t="s">
        <v>671</v>
      </c>
      <c r="I847" s="260">
        <v>820</v>
      </c>
      <c r="J847" s="185">
        <v>3661</v>
      </c>
      <c r="K847" s="340" t="s">
        <v>672</v>
      </c>
      <c r="L847" s="129"/>
      <c r="M847" s="129"/>
      <c r="N847" s="130"/>
      <c r="O847" s="130"/>
      <c r="P847" s="131"/>
      <c r="Q847" s="131"/>
      <c r="R847" s="153"/>
      <c r="S847" s="158" t="e">
        <f ca="1">__xlfn.XLOOKUP(H847,[1]Izvršenje_proračuna_po_pozicija!$B$2:$B$153,[1]Izvršenje_proračuna_po_pozicija!$E$2:$E$153,0)</f>
        <v>#NAME?</v>
      </c>
      <c r="T847" s="158"/>
      <c r="U847" s="158"/>
      <c r="V847" s="532"/>
      <c r="W847" s="532"/>
      <c r="X847" s="560"/>
      <c r="Y847" s="561"/>
      <c r="Z847" s="561"/>
      <c r="AA847" s="562" t="e">
        <f t="shared" ca="1" si="632"/>
        <v>#NAME?</v>
      </c>
      <c r="AB847" s="535"/>
      <c r="AC847" s="529"/>
      <c r="AD847" s="529"/>
      <c r="AE847" s="529"/>
      <c r="AF847" s="529"/>
      <c r="AG847" s="529"/>
      <c r="AH847" s="529"/>
      <c r="AI847" s="535"/>
      <c r="AJ847" s="561"/>
      <c r="AK847" s="507"/>
      <c r="AL847" s="507"/>
      <c r="AM847" s="507"/>
      <c r="AN847" s="556"/>
      <c r="AO847" s="510"/>
      <c r="AP847" s="510" t="e">
        <f t="shared" ca="1" si="630"/>
        <v>#NAME?</v>
      </c>
      <c r="AQ847" s="532"/>
      <c r="AR847" s="533"/>
      <c r="AS847" s="533"/>
      <c r="AT847" s="533"/>
      <c r="AU847" s="533"/>
      <c r="AV847" s="533"/>
      <c r="AW847" s="612"/>
      <c r="AX847" s="612"/>
      <c r="AY847" s="612"/>
      <c r="AZ847" s="612"/>
      <c r="BA847" s="612"/>
      <c r="BB847" s="612"/>
      <c r="BC847" s="612"/>
      <c r="BD847" s="612"/>
      <c r="BE847" s="612"/>
      <c r="BF847" s="612"/>
      <c r="BG847" s="612"/>
      <c r="BH847" s="612">
        <f t="shared" si="633"/>
        <v>0</v>
      </c>
      <c r="BI847" s="612">
        <f t="shared" si="646"/>
        <v>47696.76</v>
      </c>
      <c r="BJ847" s="201">
        <f>AQ854-BI847</f>
        <v>0</v>
      </c>
    </row>
    <row r="848" spans="1:62" ht="12" customHeight="1">
      <c r="A848" s="52"/>
      <c r="B848" s="52"/>
      <c r="C848" s="52"/>
      <c r="D848" s="52"/>
      <c r="E848" s="52"/>
      <c r="F848" s="52"/>
      <c r="G848" s="52"/>
      <c r="H848" s="17"/>
      <c r="I848" s="303"/>
      <c r="J848" s="299"/>
      <c r="K848" s="387"/>
      <c r="L848" s="305"/>
      <c r="M848" s="305"/>
      <c r="N848" s="306"/>
      <c r="O848" s="306"/>
      <c r="P848" s="307"/>
      <c r="Q848" s="307"/>
      <c r="R848" s="312"/>
      <c r="S848" s="158" t="e">
        <f ca="1">__xlfn.XLOOKUP(H848,[1]Izvršenje_proračuna_po_pozicija!$B$2:$B$153,[1]Izvršenje_proračuna_po_pozicija!$E$2:$E$153,0)</f>
        <v>#NAME?</v>
      </c>
      <c r="T848" s="311"/>
      <c r="U848" s="311"/>
      <c r="V848" s="532"/>
      <c r="W848" s="532"/>
      <c r="X848" s="584"/>
      <c r="Y848" s="585"/>
      <c r="Z848" s="585"/>
      <c r="AA848" s="562" t="e">
        <f t="shared" ca="1" si="632"/>
        <v>#NAME?</v>
      </c>
      <c r="AB848" s="586"/>
      <c r="AC848" s="587"/>
      <c r="AD848" s="587"/>
      <c r="AE848" s="529"/>
      <c r="AF848" s="529"/>
      <c r="AG848" s="529"/>
      <c r="AH848" s="529"/>
      <c r="AI848" s="586"/>
      <c r="AJ848" s="585"/>
      <c r="AK848" s="507"/>
      <c r="AL848" s="507"/>
      <c r="AM848" s="507"/>
      <c r="AN848" s="588"/>
      <c r="AO848" s="510"/>
      <c r="AP848" s="510" t="e">
        <f t="shared" ca="1" si="630"/>
        <v>#NAME?</v>
      </c>
      <c r="AQ848" s="532"/>
      <c r="AR848" s="533"/>
      <c r="AS848" s="533"/>
      <c r="AT848" s="533"/>
      <c r="AU848" s="533"/>
      <c r="AV848" s="533"/>
      <c r="AW848" s="612"/>
      <c r="AX848" s="612"/>
      <c r="AY848" s="612"/>
      <c r="AZ848" s="612"/>
      <c r="BA848" s="612"/>
      <c r="BB848" s="612"/>
      <c r="BC848" s="612"/>
      <c r="BD848" s="612"/>
      <c r="BE848" s="612"/>
      <c r="BF848" s="612"/>
      <c r="BG848" s="612"/>
      <c r="BH848" s="612">
        <f t="shared" si="633"/>
        <v>0</v>
      </c>
      <c r="BI848" s="612">
        <f t="shared" si="646"/>
        <v>0</v>
      </c>
      <c r="BJ848" s="201">
        <f>AQ855-BI848</f>
        <v>0</v>
      </c>
    </row>
    <row r="849" spans="1:62" ht="12" customHeight="1">
      <c r="A849" s="282" t="s">
        <v>568</v>
      </c>
      <c r="B849" s="283"/>
      <c r="C849" s="283"/>
      <c r="D849" s="283"/>
      <c r="E849" s="283"/>
      <c r="F849" s="283"/>
      <c r="G849" s="283"/>
      <c r="H849" s="318"/>
      <c r="I849" s="366" t="s">
        <v>673</v>
      </c>
      <c r="J849" s="367"/>
      <c r="K849" s="368"/>
      <c r="L849" s="250">
        <f t="shared" ref="L849:S849" si="657">L851</f>
        <v>23125</v>
      </c>
      <c r="M849" s="250">
        <f t="shared" si="657"/>
        <v>3069.2149445882274</v>
      </c>
      <c r="N849" s="251">
        <f t="shared" si="657"/>
        <v>0</v>
      </c>
      <c r="O849" s="251">
        <f t="shared" si="657"/>
        <v>0</v>
      </c>
      <c r="P849" s="252">
        <f t="shared" si="657"/>
        <v>7000</v>
      </c>
      <c r="Q849" s="252">
        <f t="shared" si="657"/>
        <v>49900</v>
      </c>
      <c r="R849" s="272">
        <f t="shared" si="657"/>
        <v>35352</v>
      </c>
      <c r="S849" s="273" t="e">
        <f t="shared" ca="1" si="657"/>
        <v>#NAME?</v>
      </c>
      <c r="T849" s="273"/>
      <c r="U849" s="273"/>
      <c r="V849" s="532">
        <f>V851</f>
        <v>14000</v>
      </c>
      <c r="W849" s="532">
        <f>W851</f>
        <v>47697</v>
      </c>
      <c r="X849" s="564">
        <f>X851</f>
        <v>10000</v>
      </c>
      <c r="Y849" s="565">
        <f>Y851</f>
        <v>5000</v>
      </c>
      <c r="Z849" s="565">
        <f>Z851</f>
        <v>0</v>
      </c>
      <c r="AA849" s="562" t="e">
        <f t="shared" ca="1" si="632"/>
        <v>#NAME?</v>
      </c>
      <c r="AB849" s="565"/>
      <c r="AC849" s="566">
        <f>AC851</f>
        <v>7000</v>
      </c>
      <c r="AD849" s="566">
        <f>AD851</f>
        <v>7000</v>
      </c>
      <c r="AE849" s="529">
        <f>O849/M849*100</f>
        <v>0</v>
      </c>
      <c r="AF849" s="529"/>
      <c r="AG849" s="529"/>
      <c r="AH849" s="529"/>
      <c r="AI849" s="565"/>
      <c r="AJ849" s="565">
        <v>5000</v>
      </c>
      <c r="AK849" s="507">
        <f t="shared" si="618"/>
        <v>134.9202308214528</v>
      </c>
      <c r="AL849" s="507">
        <f t="shared" si="619"/>
        <v>20.965679183177137</v>
      </c>
      <c r="AM849" s="507">
        <f t="shared" si="619"/>
        <v>50</v>
      </c>
      <c r="AN849" s="567"/>
      <c r="AO849" s="510"/>
      <c r="AP849" s="510" t="e">
        <f t="shared" ca="1" si="630"/>
        <v>#NAME?</v>
      </c>
      <c r="AQ849" s="532">
        <f>AQ851</f>
        <v>47696.76</v>
      </c>
      <c r="AR849" s="533">
        <f t="shared" si="636"/>
        <v>39.601719846119032</v>
      </c>
      <c r="AS849" s="533"/>
      <c r="AT849" s="533">
        <f t="shared" si="637"/>
        <v>134.9202308214528</v>
      </c>
      <c r="AU849" s="533">
        <f>AQ849/W849*100</f>
        <v>99.999496823699602</v>
      </c>
      <c r="AV849" s="533">
        <f>AQ849/R849*100</f>
        <v>134.9195519348269</v>
      </c>
      <c r="AW849" s="612"/>
      <c r="AX849" s="612"/>
      <c r="AY849" s="612"/>
      <c r="AZ849" s="612"/>
      <c r="BA849" s="612"/>
      <c r="BB849" s="612"/>
      <c r="BC849" s="612"/>
      <c r="BD849" s="612"/>
      <c r="BE849" s="612"/>
      <c r="BF849" s="612"/>
      <c r="BG849" s="612"/>
      <c r="BH849" s="612">
        <f t="shared" si="633"/>
        <v>0</v>
      </c>
      <c r="BI849" s="612">
        <f t="shared" si="646"/>
        <v>0</v>
      </c>
      <c r="BJ849" s="201">
        <f>AQ856-BI849</f>
        <v>0</v>
      </c>
    </row>
    <row r="850" spans="1:62" ht="12" customHeight="1">
      <c r="A850" s="52"/>
      <c r="B850" s="52"/>
      <c r="C850" s="52"/>
      <c r="D850" s="52"/>
      <c r="E850" s="52"/>
      <c r="F850" s="52"/>
      <c r="G850" s="52"/>
      <c r="H850" s="2"/>
      <c r="I850" s="289"/>
      <c r="J850" s="185"/>
      <c r="K850" s="19"/>
      <c r="L850" s="350"/>
      <c r="M850" s="350"/>
      <c r="N850" s="351"/>
      <c r="O850" s="351"/>
      <c r="P850" s="352"/>
      <c r="Q850" s="352"/>
      <c r="R850" s="212"/>
      <c r="S850" s="158" t="e">
        <f ca="1">__xlfn.XLOOKUP(H850,[1]Izvršenje_proračuna_po_pozicija!$B$2:$B$153,[1]Izvršenje_proračuna_po_pozicija!$E$2:$E$153,0)</f>
        <v>#NAME?</v>
      </c>
      <c r="T850" s="158"/>
      <c r="U850" s="158"/>
      <c r="V850" s="532"/>
      <c r="W850" s="532"/>
      <c r="X850" s="563"/>
      <c r="Y850" s="562"/>
      <c r="Z850" s="562"/>
      <c r="AA850" s="562" t="e">
        <f t="shared" ca="1" si="632"/>
        <v>#NAME?</v>
      </c>
      <c r="AB850" s="507"/>
      <c r="AC850" s="508"/>
      <c r="AD850" s="508"/>
      <c r="AE850" s="529"/>
      <c r="AF850" s="529"/>
      <c r="AG850" s="529"/>
      <c r="AH850" s="529"/>
      <c r="AI850" s="507"/>
      <c r="AJ850" s="562"/>
      <c r="AK850" s="507"/>
      <c r="AL850" s="507"/>
      <c r="AM850" s="507"/>
      <c r="AN850" s="509"/>
      <c r="AO850" s="510"/>
      <c r="AP850" s="510" t="e">
        <f t="shared" ca="1" si="630"/>
        <v>#NAME?</v>
      </c>
      <c r="AQ850" s="532"/>
      <c r="AR850" s="533"/>
      <c r="AS850" s="533"/>
      <c r="AT850" s="533"/>
      <c r="AU850" s="533"/>
      <c r="AV850" s="533"/>
      <c r="AW850" s="612"/>
      <c r="AX850" s="612"/>
      <c r="AY850" s="612"/>
      <c r="AZ850" s="612"/>
      <c r="BA850" s="612"/>
      <c r="BB850" s="612"/>
      <c r="BC850" s="612"/>
      <c r="BD850" s="612"/>
      <c r="BE850" s="612"/>
      <c r="BF850" s="612"/>
      <c r="BG850" s="612"/>
      <c r="BH850" s="612">
        <f t="shared" si="633"/>
        <v>0</v>
      </c>
      <c r="BI850" s="612">
        <f t="shared" si="646"/>
        <v>0</v>
      </c>
      <c r="BJ850" s="201">
        <f>AQ857-BI850</f>
        <v>0</v>
      </c>
    </row>
    <row r="851" spans="1:62" ht="12" customHeight="1">
      <c r="A851" s="25"/>
      <c r="B851" s="25"/>
      <c r="C851" s="25"/>
      <c r="D851" s="25"/>
      <c r="E851" s="25"/>
      <c r="F851" s="25"/>
      <c r="G851" s="25"/>
      <c r="H851" s="285"/>
      <c r="I851" s="349"/>
      <c r="J851" s="211">
        <v>3</v>
      </c>
      <c r="K851" s="3" t="s">
        <v>220</v>
      </c>
      <c r="L851" s="111">
        <f t="shared" ref="L851:AD852" si="658">L852</f>
        <v>23125</v>
      </c>
      <c r="M851" s="111">
        <f t="shared" si="658"/>
        <v>3069.2149445882274</v>
      </c>
      <c r="N851" s="112">
        <f t="shared" si="658"/>
        <v>0</v>
      </c>
      <c r="O851" s="112">
        <f t="shared" si="658"/>
        <v>0</v>
      </c>
      <c r="P851" s="113">
        <f t="shared" si="658"/>
        <v>7000</v>
      </c>
      <c r="Q851" s="113">
        <f t="shared" si="658"/>
        <v>49900</v>
      </c>
      <c r="R851" s="87">
        <f t="shared" si="658"/>
        <v>35352</v>
      </c>
      <c r="S851" s="89" t="e">
        <f t="shared" ca="1" si="658"/>
        <v>#NAME?</v>
      </c>
      <c r="T851" s="89"/>
      <c r="U851" s="89"/>
      <c r="V851" s="532">
        <f>V852</f>
        <v>14000</v>
      </c>
      <c r="W851" s="532">
        <f t="shared" si="658"/>
        <v>47697</v>
      </c>
      <c r="X851" s="506">
        <f t="shared" si="658"/>
        <v>10000</v>
      </c>
      <c r="Y851" s="507">
        <f t="shared" si="658"/>
        <v>5000</v>
      </c>
      <c r="Z851" s="507">
        <f t="shared" si="658"/>
        <v>0</v>
      </c>
      <c r="AA851" s="562" t="e">
        <f t="shared" ca="1" si="632"/>
        <v>#NAME?</v>
      </c>
      <c r="AB851" s="507"/>
      <c r="AC851" s="508">
        <f t="shared" si="658"/>
        <v>7000</v>
      </c>
      <c r="AD851" s="508">
        <f t="shared" si="658"/>
        <v>7000</v>
      </c>
      <c r="AE851" s="529">
        <f>O851/M851*100</f>
        <v>0</v>
      </c>
      <c r="AF851" s="529"/>
      <c r="AG851" s="529"/>
      <c r="AH851" s="529"/>
      <c r="AI851" s="507"/>
      <c r="AJ851" s="507">
        <v>5000</v>
      </c>
      <c r="AK851" s="507">
        <f t="shared" si="618"/>
        <v>134.9202308214528</v>
      </c>
      <c r="AL851" s="507">
        <f t="shared" si="619"/>
        <v>20.965679183177137</v>
      </c>
      <c r="AM851" s="507">
        <f t="shared" si="619"/>
        <v>50</v>
      </c>
      <c r="AN851" s="509"/>
      <c r="AO851" s="510"/>
      <c r="AP851" s="510" t="e">
        <f t="shared" ca="1" si="630"/>
        <v>#NAME?</v>
      </c>
      <c r="AQ851" s="532">
        <f>AQ852</f>
        <v>47696.76</v>
      </c>
      <c r="AR851" s="533">
        <f t="shared" si="636"/>
        <v>39.601719846119032</v>
      </c>
      <c r="AS851" s="533"/>
      <c r="AT851" s="533">
        <f t="shared" si="637"/>
        <v>134.9202308214528</v>
      </c>
      <c r="AU851" s="533">
        <f>AQ851/W851*100</f>
        <v>99.999496823699602</v>
      </c>
      <c r="AV851" s="533">
        <f>AQ851/R851*100</f>
        <v>134.9195519348269</v>
      </c>
      <c r="AW851" s="612"/>
      <c r="AX851" s="612"/>
      <c r="AY851" s="612"/>
      <c r="AZ851" s="612"/>
      <c r="BA851" s="612"/>
      <c r="BB851" s="612"/>
      <c r="BC851" s="612"/>
      <c r="BD851" s="612"/>
      <c r="BE851" s="612"/>
      <c r="BF851" s="612"/>
      <c r="BG851" s="612"/>
      <c r="BH851" s="612">
        <f t="shared" si="633"/>
        <v>0</v>
      </c>
      <c r="BI851" s="612">
        <f t="shared" si="646"/>
        <v>0</v>
      </c>
      <c r="BJ851" s="201"/>
    </row>
    <row r="852" spans="1:62" ht="12" customHeight="1">
      <c r="A852" s="227"/>
      <c r="B852" s="227"/>
      <c r="C852" s="227"/>
      <c r="D852" s="227"/>
      <c r="E852" s="227"/>
      <c r="F852" s="227"/>
      <c r="G852" s="227"/>
      <c r="H852" s="234"/>
      <c r="I852" s="265"/>
      <c r="J852" s="228">
        <v>32</v>
      </c>
      <c r="K852" s="258" t="s">
        <v>229</v>
      </c>
      <c r="L852" s="111">
        <f t="shared" si="658"/>
        <v>23125</v>
      </c>
      <c r="M852" s="111">
        <f t="shared" si="658"/>
        <v>3069.2149445882274</v>
      </c>
      <c r="N852" s="112">
        <f t="shared" si="658"/>
        <v>0</v>
      </c>
      <c r="O852" s="112">
        <f t="shared" si="658"/>
        <v>0</v>
      </c>
      <c r="P852" s="113">
        <f t="shared" si="658"/>
        <v>7000</v>
      </c>
      <c r="Q852" s="113">
        <f t="shared" si="658"/>
        <v>49900</v>
      </c>
      <c r="R852" s="87">
        <f t="shared" si="658"/>
        <v>35352</v>
      </c>
      <c r="S852" s="89" t="e">
        <f t="shared" ca="1" si="658"/>
        <v>#NAME?</v>
      </c>
      <c r="T852" s="89"/>
      <c r="U852" s="89"/>
      <c r="V852" s="532">
        <f>V853</f>
        <v>14000</v>
      </c>
      <c r="W852" s="532">
        <f t="shared" si="658"/>
        <v>47697</v>
      </c>
      <c r="X852" s="506">
        <f t="shared" si="658"/>
        <v>10000</v>
      </c>
      <c r="Y852" s="507">
        <f t="shared" si="658"/>
        <v>5000</v>
      </c>
      <c r="Z852" s="507">
        <f t="shared" si="658"/>
        <v>0</v>
      </c>
      <c r="AA852" s="562" t="e">
        <f t="shared" ca="1" si="632"/>
        <v>#NAME?</v>
      </c>
      <c r="AB852" s="507"/>
      <c r="AC852" s="508">
        <f t="shared" si="658"/>
        <v>7000</v>
      </c>
      <c r="AD852" s="508">
        <f t="shared" si="658"/>
        <v>7000</v>
      </c>
      <c r="AE852" s="529">
        <f>O852/M852*100</f>
        <v>0</v>
      </c>
      <c r="AF852" s="529"/>
      <c r="AG852" s="529"/>
      <c r="AH852" s="529"/>
      <c r="AI852" s="507"/>
      <c r="AJ852" s="507">
        <v>5000</v>
      </c>
      <c r="AK852" s="507">
        <f t="shared" si="618"/>
        <v>134.9202308214528</v>
      </c>
      <c r="AL852" s="507">
        <f t="shared" si="619"/>
        <v>20.965679183177137</v>
      </c>
      <c r="AM852" s="507">
        <f t="shared" si="619"/>
        <v>50</v>
      </c>
      <c r="AN852" s="509"/>
      <c r="AO852" s="510"/>
      <c r="AP852" s="510" t="e">
        <f t="shared" ca="1" si="630"/>
        <v>#NAME?</v>
      </c>
      <c r="AQ852" s="532">
        <f>AQ853</f>
        <v>47696.76</v>
      </c>
      <c r="AR852" s="533">
        <f t="shared" si="636"/>
        <v>39.601719846119032</v>
      </c>
      <c r="AS852" s="533"/>
      <c r="AT852" s="533">
        <f t="shared" si="637"/>
        <v>134.9202308214528</v>
      </c>
      <c r="AU852" s="533">
        <f>AQ852/W852*100</f>
        <v>99.999496823699602</v>
      </c>
      <c r="AV852" s="533">
        <f>AQ852/R852*100</f>
        <v>134.9195519348269</v>
      </c>
      <c r="AW852" s="612"/>
      <c r="AX852" s="612"/>
      <c r="AY852" s="612"/>
      <c r="AZ852" s="612"/>
      <c r="BA852" s="612"/>
      <c r="BB852" s="612"/>
      <c r="BC852" s="612"/>
      <c r="BD852" s="612"/>
      <c r="BE852" s="612"/>
      <c r="BF852" s="612"/>
      <c r="BG852" s="612"/>
      <c r="BH852" s="612">
        <f t="shared" si="633"/>
        <v>0</v>
      </c>
      <c r="BI852" s="612">
        <f t="shared" si="646"/>
        <v>0</v>
      </c>
      <c r="BJ852" s="201">
        <f>AQ859-BI852</f>
        <v>0</v>
      </c>
    </row>
    <row r="853" spans="1:62" ht="12" customHeight="1">
      <c r="A853" s="61"/>
      <c r="B853" s="61"/>
      <c r="C853" s="61"/>
      <c r="D853" s="61">
        <v>4</v>
      </c>
      <c r="E853" s="61"/>
      <c r="F853" s="61"/>
      <c r="G853" s="61"/>
      <c r="H853" s="230"/>
      <c r="I853" s="348"/>
      <c r="J853" s="229">
        <v>323</v>
      </c>
      <c r="K853" s="20" t="s">
        <v>346</v>
      </c>
      <c r="L853" s="111">
        <f t="shared" ref="L853:S853" si="659">L854+L855+L856</f>
        <v>23125</v>
      </c>
      <c r="M853" s="111">
        <f t="shared" si="659"/>
        <v>3069.2149445882274</v>
      </c>
      <c r="N853" s="112">
        <f t="shared" si="659"/>
        <v>0</v>
      </c>
      <c r="O853" s="112">
        <f t="shared" si="659"/>
        <v>0</v>
      </c>
      <c r="P853" s="113">
        <f t="shared" si="659"/>
        <v>7000</v>
      </c>
      <c r="Q853" s="113">
        <f t="shared" si="659"/>
        <v>49900</v>
      </c>
      <c r="R853" s="87">
        <f t="shared" si="659"/>
        <v>35352</v>
      </c>
      <c r="S853" s="89" t="e">
        <f t="shared" ca="1" si="659"/>
        <v>#NAME?</v>
      </c>
      <c r="T853" s="89"/>
      <c r="U853" s="89"/>
      <c r="V853" s="532">
        <f>V854+V855+V856</f>
        <v>14000</v>
      </c>
      <c r="W853" s="532">
        <f>W854+W855+W856</f>
        <v>47697</v>
      </c>
      <c r="X853" s="506">
        <f>X854+X855+X856</f>
        <v>10000</v>
      </c>
      <c r="Y853" s="507">
        <f>Y854+Y855+Y856</f>
        <v>5000</v>
      </c>
      <c r="Z853" s="507">
        <f>Z854+Z855+Z856</f>
        <v>0</v>
      </c>
      <c r="AA853" s="562" t="e">
        <f t="shared" ca="1" si="632"/>
        <v>#NAME?</v>
      </c>
      <c r="AB853" s="507"/>
      <c r="AC853" s="508">
        <f>AC854+AC855+AC856</f>
        <v>7000</v>
      </c>
      <c r="AD853" s="508">
        <f>AD854+AD855+AD856</f>
        <v>7000</v>
      </c>
      <c r="AE853" s="529">
        <f>O853/M853*100</f>
        <v>0</v>
      </c>
      <c r="AF853" s="529"/>
      <c r="AG853" s="529"/>
      <c r="AH853" s="529"/>
      <c r="AI853" s="507"/>
      <c r="AJ853" s="507">
        <v>5000</v>
      </c>
      <c r="AK853" s="507">
        <f t="shared" si="618"/>
        <v>134.9202308214528</v>
      </c>
      <c r="AL853" s="507">
        <f t="shared" si="619"/>
        <v>20.965679183177137</v>
      </c>
      <c r="AM853" s="507">
        <f t="shared" si="619"/>
        <v>50</v>
      </c>
      <c r="AN853" s="509"/>
      <c r="AO853" s="590"/>
      <c r="AP853" s="510" t="e">
        <f t="shared" ca="1" si="630"/>
        <v>#NAME?</v>
      </c>
      <c r="AQ853" s="532">
        <f>AQ854+AQ855+AQ856</f>
        <v>47696.76</v>
      </c>
      <c r="AR853" s="533">
        <f t="shared" si="636"/>
        <v>39.601719846119032</v>
      </c>
      <c r="AS853" s="533"/>
      <c r="AT853" s="533">
        <f t="shared" si="637"/>
        <v>134.9202308214528</v>
      </c>
      <c r="AU853" s="533">
        <f>AQ853/W853*100</f>
        <v>99.999496823699602</v>
      </c>
      <c r="AV853" s="533">
        <f>AQ853/R853*100</f>
        <v>134.9195519348269</v>
      </c>
      <c r="AW853" s="612"/>
      <c r="AX853" s="612"/>
      <c r="AY853" s="612"/>
      <c r="AZ853" s="612"/>
      <c r="BA853" s="612"/>
      <c r="BB853" s="612"/>
      <c r="BC853" s="612"/>
      <c r="BD853" s="612"/>
      <c r="BE853" s="612"/>
      <c r="BF853" s="612"/>
      <c r="BG853" s="612"/>
      <c r="BH853" s="612">
        <f t="shared" si="633"/>
        <v>0</v>
      </c>
      <c r="BI853" s="612">
        <f t="shared" si="646"/>
        <v>0</v>
      </c>
      <c r="BJ853" s="201"/>
    </row>
    <row r="854" spans="1:62" ht="12" customHeight="1">
      <c r="A854" s="52"/>
      <c r="B854" s="52"/>
      <c r="C854" s="52"/>
      <c r="D854" s="52"/>
      <c r="E854" s="52"/>
      <c r="F854" s="52"/>
      <c r="G854" s="52"/>
      <c r="H854" s="2">
        <v>109</v>
      </c>
      <c r="I854" s="289">
        <v>820</v>
      </c>
      <c r="J854" s="185">
        <v>3232</v>
      </c>
      <c r="K854" s="19" t="s">
        <v>674</v>
      </c>
      <c r="L854" s="129">
        <v>0</v>
      </c>
      <c r="M854" s="129">
        <v>0</v>
      </c>
      <c r="N854" s="130">
        <v>0</v>
      </c>
      <c r="O854" s="130">
        <v>0</v>
      </c>
      <c r="P854" s="131">
        <v>0</v>
      </c>
      <c r="Q854" s="156">
        <v>49900</v>
      </c>
      <c r="R854" s="153">
        <v>35352</v>
      </c>
      <c r="S854" s="158" t="e">
        <f ca="1">__xlfn.XLOOKUP(H854,[1]Izvršenje_proračuna_po_pozicija!$B$2:$B$153,[1]Izvršenje_proračuna_po_pozicija!$E$2:$E$153,0)</f>
        <v>#NAME?</v>
      </c>
      <c r="T854" s="158"/>
      <c r="U854" s="158"/>
      <c r="V854" s="532">
        <v>14000</v>
      </c>
      <c r="W854" s="532">
        <v>47697</v>
      </c>
      <c r="X854" s="560">
        <v>10000</v>
      </c>
      <c r="Y854" s="561">
        <v>5000</v>
      </c>
      <c r="Z854" s="561"/>
      <c r="AA854" s="562" t="e">
        <f t="shared" ca="1" si="632"/>
        <v>#NAME?</v>
      </c>
      <c r="AB854" s="535"/>
      <c r="AC854" s="529">
        <v>0</v>
      </c>
      <c r="AD854" s="529">
        <v>0</v>
      </c>
      <c r="AE854" s="529"/>
      <c r="AF854" s="529"/>
      <c r="AG854" s="529"/>
      <c r="AH854" s="529"/>
      <c r="AI854" s="535"/>
      <c r="AJ854" s="561">
        <v>5000</v>
      </c>
      <c r="AK854" s="507">
        <f t="shared" si="618"/>
        <v>134.9202308214528</v>
      </c>
      <c r="AL854" s="507">
        <f t="shared" si="619"/>
        <v>20.965679183177137</v>
      </c>
      <c r="AM854" s="507">
        <f t="shared" si="619"/>
        <v>50</v>
      </c>
      <c r="AN854" s="556"/>
      <c r="AO854" s="510"/>
      <c r="AP854" s="510" t="e">
        <f t="shared" ca="1" si="630"/>
        <v>#NAME?</v>
      </c>
      <c r="AQ854" s="532">
        <v>47696.76</v>
      </c>
      <c r="AR854" s="533">
        <f t="shared" si="636"/>
        <v>39.601719846119032</v>
      </c>
      <c r="AS854" s="533"/>
      <c r="AT854" s="533">
        <f t="shared" si="637"/>
        <v>134.9202308214528</v>
      </c>
      <c r="AU854" s="533">
        <f>AQ854/W854*100</f>
        <v>99.999496823699602</v>
      </c>
      <c r="AV854" s="533">
        <f>AQ854/R854*100</f>
        <v>134.9195519348269</v>
      </c>
      <c r="AW854" s="612">
        <f>AQ854-BE854</f>
        <v>13881.760000000002</v>
      </c>
      <c r="AX854" s="612"/>
      <c r="AY854" s="612"/>
      <c r="AZ854" s="612"/>
      <c r="BA854" s="612"/>
      <c r="BB854" s="612"/>
      <c r="BC854" s="612"/>
      <c r="BD854" s="612"/>
      <c r="BE854" s="612">
        <v>33815</v>
      </c>
      <c r="BF854" s="612"/>
      <c r="BG854" s="612"/>
      <c r="BH854" s="612">
        <f t="shared" si="633"/>
        <v>47696.76</v>
      </c>
      <c r="BI854" s="612">
        <f t="shared" si="646"/>
        <v>0</v>
      </c>
      <c r="BJ854" s="201"/>
    </row>
    <row r="855" spans="1:62" ht="12" customHeight="1">
      <c r="A855" s="52"/>
      <c r="B855" s="52"/>
      <c r="C855" s="52"/>
      <c r="D855" s="52"/>
      <c r="E855" s="52"/>
      <c r="F855" s="52"/>
      <c r="G855" s="52"/>
      <c r="H855" s="2" t="s">
        <v>675</v>
      </c>
      <c r="I855" s="289">
        <v>820</v>
      </c>
      <c r="J855" s="185">
        <v>3232</v>
      </c>
      <c r="K855" s="19" t="s">
        <v>676</v>
      </c>
      <c r="L855" s="129">
        <v>23125</v>
      </c>
      <c r="M855" s="129">
        <f>23125/7.5345</f>
        <v>3069.2149445882274</v>
      </c>
      <c r="N855" s="130"/>
      <c r="O855" s="130"/>
      <c r="P855" s="131"/>
      <c r="Q855" s="131"/>
      <c r="R855" s="153"/>
      <c r="S855" s="158" t="e">
        <f ca="1">__xlfn.XLOOKUP(H855,[1]Izvršenje_proračuna_po_pozicija!$B$2:$B$153,[1]Izvršenje_proračuna_po_pozicija!$E$2:$E$153,0)</f>
        <v>#NAME?</v>
      </c>
      <c r="T855" s="158"/>
      <c r="U855" s="158"/>
      <c r="V855" s="532"/>
      <c r="W855" s="532"/>
      <c r="X855" s="560"/>
      <c r="Y855" s="561"/>
      <c r="Z855" s="561"/>
      <c r="AA855" s="562" t="e">
        <f t="shared" ca="1" si="632"/>
        <v>#NAME?</v>
      </c>
      <c r="AB855" s="535"/>
      <c r="AC855" s="529"/>
      <c r="AD855" s="529"/>
      <c r="AE855" s="529">
        <f>O855/M855*100</f>
        <v>0</v>
      </c>
      <c r="AF855" s="529"/>
      <c r="AG855" s="529"/>
      <c r="AH855" s="529"/>
      <c r="AI855" s="535"/>
      <c r="AJ855" s="561"/>
      <c r="AK855" s="507"/>
      <c r="AL855" s="507"/>
      <c r="AM855" s="507"/>
      <c r="AN855" s="556"/>
      <c r="AO855" s="510"/>
      <c r="AP855" s="510" t="e">
        <f t="shared" ca="1" si="630"/>
        <v>#NAME?</v>
      </c>
      <c r="AQ855" s="532"/>
      <c r="AR855" s="533"/>
      <c r="AS855" s="533"/>
      <c r="AT855" s="533"/>
      <c r="AU855" s="533"/>
      <c r="AV855" s="533"/>
      <c r="AW855" s="612"/>
      <c r="AX855" s="612"/>
      <c r="AY855" s="612"/>
      <c r="AZ855" s="612"/>
      <c r="BA855" s="612"/>
      <c r="BB855" s="612"/>
      <c r="BC855" s="612"/>
      <c r="BD855" s="612"/>
      <c r="BE855" s="612"/>
      <c r="BF855" s="612"/>
      <c r="BG855" s="612"/>
      <c r="BH855" s="612">
        <f t="shared" si="633"/>
        <v>0</v>
      </c>
      <c r="BI855" s="612">
        <f t="shared" si="646"/>
        <v>27600</v>
      </c>
      <c r="BJ855" s="201"/>
    </row>
    <row r="856" spans="1:62" ht="12" customHeight="1">
      <c r="A856" s="52"/>
      <c r="B856" s="52"/>
      <c r="C856" s="52"/>
      <c r="D856" s="52"/>
      <c r="E856" s="52"/>
      <c r="F856" s="52"/>
      <c r="G856" s="52"/>
      <c r="H856" s="2" t="s">
        <v>677</v>
      </c>
      <c r="I856" s="289">
        <v>820</v>
      </c>
      <c r="J856" s="185">
        <v>3239</v>
      </c>
      <c r="K856" s="19" t="s">
        <v>678</v>
      </c>
      <c r="L856" s="129">
        <v>0</v>
      </c>
      <c r="M856" s="129">
        <v>0</v>
      </c>
      <c r="N856" s="130">
        <v>0</v>
      </c>
      <c r="O856" s="130">
        <v>0</v>
      </c>
      <c r="P856" s="131">
        <v>7000</v>
      </c>
      <c r="Q856" s="156">
        <v>0</v>
      </c>
      <c r="R856" s="153">
        <v>0</v>
      </c>
      <c r="S856" s="158" t="e">
        <f ca="1">__xlfn.XLOOKUP(H856,[1]Izvršenje_proračuna_po_pozicija!$B$2:$B$153,[1]Izvršenje_proračuna_po_pozicija!$E$2:$E$153,0)</f>
        <v>#NAME?</v>
      </c>
      <c r="T856" s="158"/>
      <c r="U856" s="158"/>
      <c r="V856" s="532"/>
      <c r="W856" s="532"/>
      <c r="X856" s="560"/>
      <c r="Y856" s="561"/>
      <c r="Z856" s="561"/>
      <c r="AA856" s="562" t="e">
        <f t="shared" ca="1" si="632"/>
        <v>#NAME?</v>
      </c>
      <c r="AB856" s="535"/>
      <c r="AC856" s="529">
        <v>7000</v>
      </c>
      <c r="AD856" s="529">
        <v>7000</v>
      </c>
      <c r="AE856" s="529"/>
      <c r="AF856" s="529"/>
      <c r="AG856" s="529"/>
      <c r="AH856" s="529"/>
      <c r="AI856" s="535"/>
      <c r="AJ856" s="561"/>
      <c r="AK856" s="507"/>
      <c r="AL856" s="507"/>
      <c r="AM856" s="507"/>
      <c r="AN856" s="556"/>
      <c r="AO856" s="510"/>
      <c r="AP856" s="510" t="e">
        <f t="shared" ca="1" si="630"/>
        <v>#NAME?</v>
      </c>
      <c r="AQ856" s="532"/>
      <c r="AR856" s="533"/>
      <c r="AS856" s="533"/>
      <c r="AT856" s="533"/>
      <c r="AU856" s="533"/>
      <c r="AV856" s="533"/>
      <c r="AW856" s="612"/>
      <c r="AX856" s="612"/>
      <c r="AY856" s="612"/>
      <c r="AZ856" s="612"/>
      <c r="BA856" s="612"/>
      <c r="BB856" s="612"/>
      <c r="BC856" s="612"/>
      <c r="BD856" s="612"/>
      <c r="BE856" s="612"/>
      <c r="BF856" s="612"/>
      <c r="BG856" s="612"/>
      <c r="BH856" s="612">
        <f t="shared" si="633"/>
        <v>0</v>
      </c>
      <c r="BI856" s="612">
        <f t="shared" si="646"/>
        <v>27600</v>
      </c>
      <c r="BJ856" s="201"/>
    </row>
    <row r="857" spans="1:62" ht="12" customHeight="1">
      <c r="A857" s="68"/>
      <c r="B857" s="68"/>
      <c r="C857" s="68"/>
      <c r="D857" s="68"/>
      <c r="E857" s="68"/>
      <c r="F857" s="68"/>
      <c r="G857" s="68"/>
      <c r="H857" s="319"/>
      <c r="I857" s="4"/>
      <c r="J857" s="8"/>
      <c r="K857" s="8"/>
      <c r="L857" s="84"/>
      <c r="M857" s="84"/>
      <c r="N857" s="85"/>
      <c r="O857" s="85"/>
      <c r="P857" s="86"/>
      <c r="Q857" s="86"/>
      <c r="R857" s="154"/>
      <c r="S857" s="158" t="e">
        <f ca="1">__xlfn.XLOOKUP(H857,[1]Izvršenje_proračuna_po_pozicija!$B$2:$B$153,[1]Izvršenje_proračuna_po_pozicija!$E$2:$E$153,0)</f>
        <v>#NAME?</v>
      </c>
      <c r="T857" s="158"/>
      <c r="U857" s="158"/>
      <c r="V857" s="532"/>
      <c r="W857" s="532"/>
      <c r="X857" s="568"/>
      <c r="Y857" s="569"/>
      <c r="Z857" s="569"/>
      <c r="AA857" s="562" t="e">
        <f t="shared" ca="1" si="632"/>
        <v>#NAME?</v>
      </c>
      <c r="AB857" s="537"/>
      <c r="AC857" s="538"/>
      <c r="AD857" s="538"/>
      <c r="AE857" s="529"/>
      <c r="AF857" s="529"/>
      <c r="AG857" s="529"/>
      <c r="AH857" s="529"/>
      <c r="AI857" s="537"/>
      <c r="AJ857" s="569"/>
      <c r="AK857" s="507"/>
      <c r="AL857" s="507"/>
      <c r="AM857" s="507"/>
      <c r="AN857" s="557"/>
      <c r="AO857" s="510"/>
      <c r="AP857" s="510" t="e">
        <f t="shared" ca="1" si="630"/>
        <v>#NAME?</v>
      </c>
      <c r="AQ857" s="532"/>
      <c r="AR857" s="533"/>
      <c r="AS857" s="533"/>
      <c r="AT857" s="533"/>
      <c r="AU857" s="533"/>
      <c r="AV857" s="533"/>
      <c r="AW857" s="612"/>
      <c r="AX857" s="612"/>
      <c r="AY857" s="612"/>
      <c r="AZ857" s="612"/>
      <c r="BA857" s="612"/>
      <c r="BB857" s="612"/>
      <c r="BC857" s="612"/>
      <c r="BD857" s="612"/>
      <c r="BE857" s="612"/>
      <c r="BF857" s="612"/>
      <c r="BG857" s="612"/>
      <c r="BH857" s="612">
        <f t="shared" si="633"/>
        <v>0</v>
      </c>
      <c r="BI857" s="612">
        <f t="shared" si="646"/>
        <v>0</v>
      </c>
      <c r="BJ857" s="201">
        <f t="shared" ref="BJ857:BJ869" si="660">AQ864-BI857</f>
        <v>0</v>
      </c>
    </row>
    <row r="858" spans="1:62" ht="12" customHeight="1">
      <c r="A858" s="282" t="s">
        <v>679</v>
      </c>
      <c r="B858" s="283"/>
      <c r="C858" s="283"/>
      <c r="D858" s="283"/>
      <c r="E858" s="283"/>
      <c r="F858" s="283"/>
      <c r="G858" s="283"/>
      <c r="H858" s="284"/>
      <c r="I858" s="369" t="s">
        <v>680</v>
      </c>
      <c r="J858" s="370"/>
      <c r="K858" s="226"/>
      <c r="L858" s="111">
        <f t="shared" ref="L858:S858" si="661">L860</f>
        <v>142000</v>
      </c>
      <c r="M858" s="111">
        <f t="shared" si="661"/>
        <v>18846.638794876897</v>
      </c>
      <c r="N858" s="112">
        <f t="shared" si="661"/>
        <v>184000</v>
      </c>
      <c r="O858" s="112">
        <f t="shared" si="661"/>
        <v>24420.996748291192</v>
      </c>
      <c r="P858" s="113">
        <f t="shared" si="661"/>
        <v>25300</v>
      </c>
      <c r="Q858" s="113">
        <f t="shared" si="661"/>
        <v>25300</v>
      </c>
      <c r="R858" s="87">
        <f t="shared" si="661"/>
        <v>24800</v>
      </c>
      <c r="S858" s="89" t="e">
        <f t="shared" ca="1" si="661"/>
        <v>#NAME?</v>
      </c>
      <c r="T858" s="89"/>
      <c r="U858" s="89"/>
      <c r="V858" s="532">
        <f>V860</f>
        <v>27800</v>
      </c>
      <c r="W858" s="532">
        <f>W860</f>
        <v>27800</v>
      </c>
      <c r="X858" s="506">
        <f>X860</f>
        <v>32000</v>
      </c>
      <c r="Y858" s="507" t="e">
        <f ca="1">Y860</f>
        <v>#NAME?</v>
      </c>
      <c r="Z858" s="507" t="e">
        <f ca="1">Z860</f>
        <v>#NAME?</v>
      </c>
      <c r="AA858" s="562" t="e">
        <f t="shared" ca="1" si="632"/>
        <v>#NAME?</v>
      </c>
      <c r="AB858" s="507"/>
      <c r="AC858" s="508">
        <f>AC860</f>
        <v>26000</v>
      </c>
      <c r="AD858" s="508">
        <f>AD860</f>
        <v>26000</v>
      </c>
      <c r="AE858" s="529">
        <f>O858/M858*100</f>
        <v>129.57746478873241</v>
      </c>
      <c r="AF858" s="529">
        <f>P858/O858*100</f>
        <v>103.59937500000001</v>
      </c>
      <c r="AG858" s="529">
        <f>Q858/P858*100</f>
        <v>100</v>
      </c>
      <c r="AH858" s="529">
        <f>AC858/Q858*100</f>
        <v>102.76679841897234</v>
      </c>
      <c r="AI858" s="507"/>
      <c r="AJ858" s="507">
        <v>35000</v>
      </c>
      <c r="AK858" s="507">
        <f t="shared" ref="AK858:AK917" si="662">W858/R858*100</f>
        <v>112.09677419354837</v>
      </c>
      <c r="AL858" s="507">
        <f t="shared" ref="AL858:AM917" si="663">X858/W858*100</f>
        <v>115.10791366906474</v>
      </c>
      <c r="AM858" s="507" t="e">
        <f t="shared" ca="1" si="663"/>
        <v>#NAME?</v>
      </c>
      <c r="AN858" s="509"/>
      <c r="AO858" s="510"/>
      <c r="AP858" s="510" t="e">
        <f t="shared" ca="1" si="630"/>
        <v>#NAME?</v>
      </c>
      <c r="AQ858" s="532">
        <f>AQ860</f>
        <v>27600</v>
      </c>
      <c r="AR858" s="533">
        <f t="shared" si="636"/>
        <v>112.09677419354837</v>
      </c>
      <c r="AS858" s="533">
        <f>W858/V858*100</f>
        <v>100</v>
      </c>
      <c r="AT858" s="533">
        <f t="shared" si="637"/>
        <v>112.09677419354837</v>
      </c>
      <c r="AU858" s="533">
        <f>AQ858/W858*100</f>
        <v>99.280575539568346</v>
      </c>
      <c r="AV858" s="533">
        <f>AQ858/R858*100</f>
        <v>111.29032258064515</v>
      </c>
      <c r="AW858" s="612"/>
      <c r="AX858" s="612"/>
      <c r="AY858" s="612"/>
      <c r="AZ858" s="612"/>
      <c r="BA858" s="612"/>
      <c r="BB858" s="612"/>
      <c r="BC858" s="612"/>
      <c r="BD858" s="612"/>
      <c r="BE858" s="612"/>
      <c r="BF858" s="612"/>
      <c r="BG858" s="612"/>
      <c r="BH858" s="612">
        <f t="shared" si="633"/>
        <v>0</v>
      </c>
      <c r="BI858" s="612">
        <f t="shared" si="646"/>
        <v>0</v>
      </c>
      <c r="BJ858" s="201">
        <f t="shared" si="660"/>
        <v>0</v>
      </c>
    </row>
    <row r="859" spans="1:62" ht="12" customHeight="1">
      <c r="A859" s="41"/>
      <c r="B859" s="41"/>
      <c r="C859" s="41"/>
      <c r="D859" s="41"/>
      <c r="E859" s="41"/>
      <c r="F859" s="41"/>
      <c r="G859" s="41"/>
      <c r="H859" s="235"/>
      <c r="I859" s="15"/>
      <c r="J859" s="3"/>
      <c r="K859" s="83"/>
      <c r="L859" s="84">
        <v>1</v>
      </c>
      <c r="M859" s="84">
        <v>2</v>
      </c>
      <c r="N859" s="85">
        <v>3</v>
      </c>
      <c r="O859" s="85">
        <v>4</v>
      </c>
      <c r="P859" s="86">
        <v>5</v>
      </c>
      <c r="Q859" s="86">
        <v>6</v>
      </c>
      <c r="R859" s="154"/>
      <c r="S859" s="158" t="e">
        <f ca="1">__xlfn.XLOOKUP(H859,[1]Izvršenje_proračuna_po_pozicija!$B$2:$B$153,[1]Izvršenje_proračuna_po_pozicija!$E$2:$E$153,0)</f>
        <v>#NAME?</v>
      </c>
      <c r="T859" s="158"/>
      <c r="U859" s="158"/>
      <c r="V859" s="532"/>
      <c r="W859" s="532"/>
      <c r="X859" s="568"/>
      <c r="Y859" s="569"/>
      <c r="Z859" s="569"/>
      <c r="AA859" s="562" t="e">
        <f t="shared" ca="1" si="632"/>
        <v>#NAME?</v>
      </c>
      <c r="AB859" s="537"/>
      <c r="AC859" s="538">
        <v>7</v>
      </c>
      <c r="AD859" s="538">
        <v>8</v>
      </c>
      <c r="AE859" s="538">
        <v>9</v>
      </c>
      <c r="AF859" s="538">
        <v>10</v>
      </c>
      <c r="AG859" s="538">
        <v>11</v>
      </c>
      <c r="AH859" s="538">
        <v>12</v>
      </c>
      <c r="AI859" s="537"/>
      <c r="AJ859" s="569"/>
      <c r="AK859" s="507"/>
      <c r="AL859" s="507"/>
      <c r="AM859" s="507"/>
      <c r="AN859" s="557"/>
      <c r="AO859" s="510"/>
      <c r="AP859" s="510" t="e">
        <f t="shared" ca="1" si="630"/>
        <v>#NAME?</v>
      </c>
      <c r="AQ859" s="532"/>
      <c r="AR859" s="533"/>
      <c r="AS859" s="533"/>
      <c r="AT859" s="533"/>
      <c r="AU859" s="533"/>
      <c r="AV859" s="533"/>
      <c r="AW859" s="612"/>
      <c r="AX859" s="612"/>
      <c r="AY859" s="612"/>
      <c r="AZ859" s="612"/>
      <c r="BA859" s="612"/>
      <c r="BB859" s="612"/>
      <c r="BC859" s="612"/>
      <c r="BD859" s="612"/>
      <c r="BE859" s="612"/>
      <c r="BF859" s="612"/>
      <c r="BG859" s="612"/>
      <c r="BH859" s="612">
        <f t="shared" si="633"/>
        <v>0</v>
      </c>
      <c r="BI859" s="612">
        <f t="shared" si="646"/>
        <v>0</v>
      </c>
      <c r="BJ859" s="201">
        <f t="shared" si="660"/>
        <v>0</v>
      </c>
    </row>
    <row r="860" spans="1:62" ht="12" customHeight="1">
      <c r="A860" s="25"/>
      <c r="B860" s="25"/>
      <c r="C860" s="25"/>
      <c r="D860" s="25"/>
      <c r="E860" s="25"/>
      <c r="F860" s="25"/>
      <c r="G860" s="25"/>
      <c r="H860" s="285"/>
      <c r="I860" s="349"/>
      <c r="J860" s="211">
        <v>3</v>
      </c>
      <c r="K860" s="3" t="s">
        <v>220</v>
      </c>
      <c r="L860" s="111">
        <f t="shared" ref="L860:S862" si="664">L861</f>
        <v>142000</v>
      </c>
      <c r="M860" s="111">
        <f t="shared" si="664"/>
        <v>18846.638794876897</v>
      </c>
      <c r="N860" s="112">
        <f t="shared" si="664"/>
        <v>184000</v>
      </c>
      <c r="O860" s="112">
        <f t="shared" si="664"/>
        <v>24420.996748291192</v>
      </c>
      <c r="P860" s="113">
        <f t="shared" si="664"/>
        <v>25300</v>
      </c>
      <c r="Q860" s="113">
        <f t="shared" si="664"/>
        <v>25300</v>
      </c>
      <c r="R860" s="87">
        <f t="shared" si="664"/>
        <v>24800</v>
      </c>
      <c r="S860" s="89" t="e">
        <f t="shared" ca="1" si="664"/>
        <v>#NAME?</v>
      </c>
      <c r="T860" s="89"/>
      <c r="U860" s="89"/>
      <c r="V860" s="532">
        <f>V861</f>
        <v>27800</v>
      </c>
      <c r="W860" s="532">
        <f t="shared" ref="W860:Z862" si="665">W861</f>
        <v>27800</v>
      </c>
      <c r="X860" s="506">
        <f t="shared" si="665"/>
        <v>32000</v>
      </c>
      <c r="Y860" s="507" t="e">
        <f t="shared" ca="1" si="665"/>
        <v>#NAME?</v>
      </c>
      <c r="Z860" s="507" t="e">
        <f t="shared" ca="1" si="665"/>
        <v>#NAME?</v>
      </c>
      <c r="AA860" s="562" t="e">
        <f t="shared" ca="1" si="632"/>
        <v>#NAME?</v>
      </c>
      <c r="AB860" s="507"/>
      <c r="AC860" s="508">
        <f t="shared" ref="AC860:AD862" si="666">AC861</f>
        <v>26000</v>
      </c>
      <c r="AD860" s="508">
        <f t="shared" si="666"/>
        <v>26000</v>
      </c>
      <c r="AE860" s="529">
        <f>O860/M860*100</f>
        <v>129.57746478873241</v>
      </c>
      <c r="AF860" s="529">
        <f t="shared" ref="AF860:AG863" si="667">P860/O860*100</f>
        <v>103.59937500000001</v>
      </c>
      <c r="AG860" s="529">
        <f t="shared" si="667"/>
        <v>100</v>
      </c>
      <c r="AH860" s="529">
        <f>AC860/Q860*100</f>
        <v>102.76679841897234</v>
      </c>
      <c r="AI860" s="507"/>
      <c r="AJ860" s="507">
        <v>35000</v>
      </c>
      <c r="AK860" s="507">
        <f t="shared" si="662"/>
        <v>112.09677419354837</v>
      </c>
      <c r="AL860" s="507">
        <f t="shared" si="663"/>
        <v>115.10791366906474</v>
      </c>
      <c r="AM860" s="507" t="e">
        <f t="shared" ca="1" si="663"/>
        <v>#NAME?</v>
      </c>
      <c r="AN860" s="509"/>
      <c r="AO860" s="510"/>
      <c r="AP860" s="510" t="e">
        <f t="shared" ca="1" si="630"/>
        <v>#NAME?</v>
      </c>
      <c r="AQ860" s="532">
        <f>AQ861</f>
        <v>27600</v>
      </c>
      <c r="AR860" s="533">
        <f t="shared" si="636"/>
        <v>112.09677419354837</v>
      </c>
      <c r="AS860" s="533">
        <f>W860/V860*100</f>
        <v>100</v>
      </c>
      <c r="AT860" s="533">
        <f t="shared" si="637"/>
        <v>112.09677419354837</v>
      </c>
      <c r="AU860" s="533">
        <f>AQ860/W860*100</f>
        <v>99.280575539568346</v>
      </c>
      <c r="AV860" s="533">
        <f>AQ860/R860*100</f>
        <v>111.29032258064515</v>
      </c>
      <c r="AW860" s="612"/>
      <c r="AX860" s="612"/>
      <c r="AY860" s="612"/>
      <c r="AZ860" s="612"/>
      <c r="BA860" s="612"/>
      <c r="BB860" s="612"/>
      <c r="BC860" s="612"/>
      <c r="BD860" s="612"/>
      <c r="BE860" s="612"/>
      <c r="BF860" s="612"/>
      <c r="BG860" s="612"/>
      <c r="BH860" s="612">
        <f t="shared" si="633"/>
        <v>0</v>
      </c>
      <c r="BI860" s="612">
        <f t="shared" si="646"/>
        <v>0</v>
      </c>
      <c r="BJ860" s="201">
        <f t="shared" si="660"/>
        <v>0</v>
      </c>
    </row>
    <row r="861" spans="1:62" ht="12" customHeight="1">
      <c r="A861" s="227"/>
      <c r="B861" s="227"/>
      <c r="C861" s="227"/>
      <c r="D861" s="227"/>
      <c r="E861" s="227"/>
      <c r="F861" s="227"/>
      <c r="G861" s="227"/>
      <c r="H861" s="234"/>
      <c r="I861" s="265"/>
      <c r="J861" s="228">
        <v>38</v>
      </c>
      <c r="K861" s="258" t="s">
        <v>281</v>
      </c>
      <c r="L861" s="111">
        <f t="shared" si="664"/>
        <v>142000</v>
      </c>
      <c r="M861" s="111">
        <f t="shared" si="664"/>
        <v>18846.638794876897</v>
      </c>
      <c r="N861" s="112">
        <f t="shared" si="664"/>
        <v>184000</v>
      </c>
      <c r="O861" s="112">
        <f t="shared" si="664"/>
        <v>24420.996748291192</v>
      </c>
      <c r="P861" s="113">
        <f t="shared" si="664"/>
        <v>25300</v>
      </c>
      <c r="Q861" s="113">
        <f t="shared" si="664"/>
        <v>25300</v>
      </c>
      <c r="R861" s="87">
        <f t="shared" si="664"/>
        <v>24800</v>
      </c>
      <c r="S861" s="89" t="e">
        <f t="shared" ca="1" si="664"/>
        <v>#NAME?</v>
      </c>
      <c r="T861" s="89"/>
      <c r="U861" s="89"/>
      <c r="V861" s="532">
        <f>V862</f>
        <v>27800</v>
      </c>
      <c r="W861" s="532">
        <f t="shared" si="665"/>
        <v>27800</v>
      </c>
      <c r="X861" s="506">
        <f t="shared" si="665"/>
        <v>32000</v>
      </c>
      <c r="Y861" s="507" t="e">
        <f t="shared" ca="1" si="665"/>
        <v>#NAME?</v>
      </c>
      <c r="Z861" s="507" t="e">
        <f t="shared" ca="1" si="665"/>
        <v>#NAME?</v>
      </c>
      <c r="AA861" s="562" t="e">
        <f t="shared" ca="1" si="632"/>
        <v>#NAME?</v>
      </c>
      <c r="AB861" s="507"/>
      <c r="AC861" s="508">
        <f t="shared" si="666"/>
        <v>26000</v>
      </c>
      <c r="AD861" s="508">
        <f t="shared" si="666"/>
        <v>26000</v>
      </c>
      <c r="AE861" s="529">
        <f>O861/M861*100</f>
        <v>129.57746478873241</v>
      </c>
      <c r="AF861" s="529">
        <f t="shared" si="667"/>
        <v>103.59937500000001</v>
      </c>
      <c r="AG861" s="529">
        <f t="shared" si="667"/>
        <v>100</v>
      </c>
      <c r="AH861" s="529">
        <f>AC861/Q861*100</f>
        <v>102.76679841897234</v>
      </c>
      <c r="AI861" s="507"/>
      <c r="AJ861" s="507">
        <v>35000</v>
      </c>
      <c r="AK861" s="507">
        <f t="shared" si="662"/>
        <v>112.09677419354837</v>
      </c>
      <c r="AL861" s="507">
        <f t="shared" si="663"/>
        <v>115.10791366906474</v>
      </c>
      <c r="AM861" s="507" t="e">
        <f t="shared" ca="1" si="663"/>
        <v>#NAME?</v>
      </c>
      <c r="AN861" s="509"/>
      <c r="AO861" s="510"/>
      <c r="AP861" s="510" t="e">
        <f t="shared" ca="1" si="630"/>
        <v>#NAME?</v>
      </c>
      <c r="AQ861" s="532">
        <f>AQ862</f>
        <v>27600</v>
      </c>
      <c r="AR861" s="533">
        <f t="shared" si="636"/>
        <v>112.09677419354837</v>
      </c>
      <c r="AS861" s="533">
        <f>W861/V861*100</f>
        <v>100</v>
      </c>
      <c r="AT861" s="533">
        <f t="shared" si="637"/>
        <v>112.09677419354837</v>
      </c>
      <c r="AU861" s="533">
        <f>AQ861/W861*100</f>
        <v>99.280575539568346</v>
      </c>
      <c r="AV861" s="533">
        <f>AQ861/R861*100</f>
        <v>111.29032258064515</v>
      </c>
      <c r="AW861" s="612"/>
      <c r="AX861" s="612"/>
      <c r="AY861" s="612"/>
      <c r="AZ861" s="612"/>
      <c r="BA861" s="612"/>
      <c r="BB861" s="612"/>
      <c r="BC861" s="612"/>
      <c r="BD861" s="612"/>
      <c r="BE861" s="612"/>
      <c r="BF861" s="612"/>
      <c r="BG861" s="612"/>
      <c r="BH861" s="612">
        <f t="shared" si="633"/>
        <v>0</v>
      </c>
      <c r="BI861" s="612">
        <f t="shared" si="646"/>
        <v>0</v>
      </c>
      <c r="BJ861" s="201">
        <f t="shared" si="660"/>
        <v>0</v>
      </c>
    </row>
    <row r="862" spans="1:62" ht="12" customHeight="1">
      <c r="A862" s="61"/>
      <c r="B862" s="61"/>
      <c r="C862" s="61"/>
      <c r="D862" s="61"/>
      <c r="E862" s="61"/>
      <c r="F862" s="61"/>
      <c r="G862" s="61"/>
      <c r="H862" s="230"/>
      <c r="I862" s="348"/>
      <c r="J862" s="229">
        <v>381</v>
      </c>
      <c r="K862" s="20" t="s">
        <v>397</v>
      </c>
      <c r="L862" s="111">
        <f t="shared" si="664"/>
        <v>142000</v>
      </c>
      <c r="M862" s="111">
        <f t="shared" si="664"/>
        <v>18846.638794876897</v>
      </c>
      <c r="N862" s="112">
        <f t="shared" si="664"/>
        <v>184000</v>
      </c>
      <c r="O862" s="112">
        <f t="shared" si="664"/>
        <v>24420.996748291192</v>
      </c>
      <c r="P862" s="113">
        <f t="shared" si="664"/>
        <v>25300</v>
      </c>
      <c r="Q862" s="113">
        <f t="shared" si="664"/>
        <v>25300</v>
      </c>
      <c r="R862" s="87">
        <f t="shared" si="664"/>
        <v>24800</v>
      </c>
      <c r="S862" s="89" t="e">
        <f t="shared" ca="1" si="664"/>
        <v>#NAME?</v>
      </c>
      <c r="T862" s="89"/>
      <c r="U862" s="89"/>
      <c r="V862" s="532">
        <f>V863</f>
        <v>27800</v>
      </c>
      <c r="W862" s="532">
        <f t="shared" si="665"/>
        <v>27800</v>
      </c>
      <c r="X862" s="506">
        <f t="shared" si="665"/>
        <v>32000</v>
      </c>
      <c r="Y862" s="507" t="e">
        <f t="shared" ca="1" si="665"/>
        <v>#NAME?</v>
      </c>
      <c r="Z862" s="507" t="e">
        <f t="shared" ca="1" si="665"/>
        <v>#NAME?</v>
      </c>
      <c r="AA862" s="562" t="e">
        <f t="shared" ca="1" si="632"/>
        <v>#NAME?</v>
      </c>
      <c r="AB862" s="507"/>
      <c r="AC862" s="508">
        <f t="shared" si="666"/>
        <v>26000</v>
      </c>
      <c r="AD862" s="508">
        <f t="shared" si="666"/>
        <v>26000</v>
      </c>
      <c r="AE862" s="529">
        <f>O862/M862*100</f>
        <v>129.57746478873241</v>
      </c>
      <c r="AF862" s="529">
        <f t="shared" si="667"/>
        <v>103.59937500000001</v>
      </c>
      <c r="AG862" s="529">
        <f t="shared" si="667"/>
        <v>100</v>
      </c>
      <c r="AH862" s="529">
        <f>AC862/Q862*100</f>
        <v>102.76679841897234</v>
      </c>
      <c r="AI862" s="507"/>
      <c r="AJ862" s="507">
        <v>35000</v>
      </c>
      <c r="AK862" s="507">
        <f t="shared" si="662"/>
        <v>112.09677419354837</v>
      </c>
      <c r="AL862" s="507">
        <f t="shared" si="663"/>
        <v>115.10791366906474</v>
      </c>
      <c r="AM862" s="507" t="e">
        <f t="shared" ca="1" si="663"/>
        <v>#NAME?</v>
      </c>
      <c r="AN862" s="509"/>
      <c r="AO862" s="510"/>
      <c r="AP862" s="510" t="e">
        <f t="shared" ca="1" si="630"/>
        <v>#NAME?</v>
      </c>
      <c r="AQ862" s="532">
        <f>AQ863</f>
        <v>27600</v>
      </c>
      <c r="AR862" s="533">
        <f t="shared" si="636"/>
        <v>112.09677419354837</v>
      </c>
      <c r="AS862" s="533">
        <f>W862/V862*100</f>
        <v>100</v>
      </c>
      <c r="AT862" s="533">
        <f t="shared" si="637"/>
        <v>112.09677419354837</v>
      </c>
      <c r="AU862" s="533">
        <f>AQ862/W862*100</f>
        <v>99.280575539568346</v>
      </c>
      <c r="AV862" s="533">
        <f>AQ862/R862*100</f>
        <v>111.29032258064515</v>
      </c>
      <c r="AW862" s="612">
        <f>AW863</f>
        <v>27600</v>
      </c>
      <c r="AX862" s="612"/>
      <c r="AY862" s="612"/>
      <c r="AZ862" s="612"/>
      <c r="BA862" s="612"/>
      <c r="BB862" s="612"/>
      <c r="BC862" s="612"/>
      <c r="BD862" s="612"/>
      <c r="BE862" s="612"/>
      <c r="BF862" s="612"/>
      <c r="BG862" s="612"/>
      <c r="BH862" s="612">
        <f t="shared" si="633"/>
        <v>27600</v>
      </c>
      <c r="BI862" s="612">
        <f t="shared" si="646"/>
        <v>0</v>
      </c>
      <c r="BJ862" s="201">
        <f t="shared" si="660"/>
        <v>0</v>
      </c>
    </row>
    <row r="863" spans="1:62" ht="12" customHeight="1">
      <c r="A863" s="52"/>
      <c r="B863" s="52"/>
      <c r="C863" s="52"/>
      <c r="D863" s="52"/>
      <c r="E863" s="52"/>
      <c r="F863" s="52"/>
      <c r="G863" s="52"/>
      <c r="H863" s="2"/>
      <c r="I863" s="289"/>
      <c r="J863" s="185">
        <v>3811</v>
      </c>
      <c r="K863" s="19" t="s">
        <v>282</v>
      </c>
      <c r="L863" s="111">
        <v>142000</v>
      </c>
      <c r="M863" s="111">
        <f>142000/7.5345</f>
        <v>18846.638794876897</v>
      </c>
      <c r="N863" s="112">
        <v>184000</v>
      </c>
      <c r="O863" s="112">
        <f>N863/7.5345</f>
        <v>24420.996748291192</v>
      </c>
      <c r="P863" s="113">
        <v>25300</v>
      </c>
      <c r="Q863" s="113">
        <v>25300</v>
      </c>
      <c r="R863" s="87">
        <f>SUM(R865:R876)</f>
        <v>24800</v>
      </c>
      <c r="S863" s="89" t="e">
        <f t="shared" ref="S863:X863" ca="1" si="668">S876</f>
        <v>#NAME?</v>
      </c>
      <c r="T863" s="89">
        <f t="shared" si="668"/>
        <v>0</v>
      </c>
      <c r="U863" s="89">
        <f t="shared" si="668"/>
        <v>0</v>
      </c>
      <c r="V863" s="532">
        <f t="shared" si="668"/>
        <v>27800</v>
      </c>
      <c r="W863" s="532">
        <f t="shared" si="668"/>
        <v>27800</v>
      </c>
      <c r="X863" s="506">
        <f t="shared" si="668"/>
        <v>32000</v>
      </c>
      <c r="Y863" s="507" t="e">
        <f ca="1">SUM(Y865:AH876)</f>
        <v>#NAME?</v>
      </c>
      <c r="Z863" s="507" t="e">
        <f ca="1">SUM(Z865:AI876)</f>
        <v>#NAME?</v>
      </c>
      <c r="AA863" s="562" t="e">
        <f t="shared" ca="1" si="632"/>
        <v>#NAME?</v>
      </c>
      <c r="AB863" s="507"/>
      <c r="AC863" s="508">
        <v>26000</v>
      </c>
      <c r="AD863" s="508">
        <v>26000</v>
      </c>
      <c r="AE863" s="529">
        <f>O863/M863*100</f>
        <v>129.57746478873241</v>
      </c>
      <c r="AF863" s="529">
        <f t="shared" si="667"/>
        <v>103.59937500000001</v>
      </c>
      <c r="AG863" s="529">
        <f t="shared" si="667"/>
        <v>100</v>
      </c>
      <c r="AH863" s="529">
        <f>AC863/Q863*100</f>
        <v>102.76679841897234</v>
      </c>
      <c r="AI863" s="507"/>
      <c r="AJ863" s="507">
        <v>35000</v>
      </c>
      <c r="AK863" s="507">
        <f t="shared" si="662"/>
        <v>112.09677419354837</v>
      </c>
      <c r="AL863" s="507">
        <f t="shared" si="663"/>
        <v>115.10791366906474</v>
      </c>
      <c r="AM863" s="507" t="e">
        <f t="shared" ca="1" si="663"/>
        <v>#NAME?</v>
      </c>
      <c r="AN863" s="509"/>
      <c r="AO863" s="510"/>
      <c r="AP863" s="510" t="e">
        <f t="shared" ca="1" si="630"/>
        <v>#NAME?</v>
      </c>
      <c r="AQ863" s="532">
        <f>AQ876</f>
        <v>27600</v>
      </c>
      <c r="AR863" s="533">
        <f t="shared" si="636"/>
        <v>112.09677419354837</v>
      </c>
      <c r="AS863" s="533">
        <f>W863/V863*100</f>
        <v>100</v>
      </c>
      <c r="AT863" s="533">
        <f t="shared" si="637"/>
        <v>112.09677419354837</v>
      </c>
      <c r="AU863" s="533">
        <f>AQ863/W863*100</f>
        <v>99.280575539568346</v>
      </c>
      <c r="AV863" s="533">
        <f>AQ863/R863*100</f>
        <v>111.29032258064515</v>
      </c>
      <c r="AW863" s="612">
        <f>AW876</f>
        <v>27600</v>
      </c>
      <c r="AX863" s="612"/>
      <c r="AY863" s="612"/>
      <c r="AZ863" s="612"/>
      <c r="BA863" s="612"/>
      <c r="BB863" s="612"/>
      <c r="BC863" s="612"/>
      <c r="BD863" s="612"/>
      <c r="BE863" s="612"/>
      <c r="BF863" s="612"/>
      <c r="BG863" s="612"/>
      <c r="BH863" s="612">
        <f t="shared" si="633"/>
        <v>27600</v>
      </c>
      <c r="BI863" s="612">
        <f t="shared" si="646"/>
        <v>0</v>
      </c>
      <c r="BJ863" s="201">
        <f t="shared" si="660"/>
        <v>0</v>
      </c>
    </row>
    <row r="864" spans="1:62" ht="12" customHeight="1">
      <c r="A864" s="52"/>
      <c r="B864" s="52"/>
      <c r="C864" s="52"/>
      <c r="D864" s="52"/>
      <c r="E864" s="52"/>
      <c r="F864" s="52"/>
      <c r="G864" s="52"/>
      <c r="H864" s="2">
        <v>160</v>
      </c>
      <c r="I864" s="289">
        <v>820</v>
      </c>
      <c r="J864" s="185">
        <v>3811</v>
      </c>
      <c r="K864" s="19" t="s">
        <v>681</v>
      </c>
      <c r="L864" s="129"/>
      <c r="M864" s="129"/>
      <c r="N864" s="130"/>
      <c r="O864" s="130"/>
      <c r="P864" s="131"/>
      <c r="Q864" s="131"/>
      <c r="R864" s="388">
        <v>500</v>
      </c>
      <c r="S864" s="158" t="e">
        <f ca="1">__xlfn.XLOOKUP(H864,[1]Izvršenje_proračuna_po_pozicija!$B$2:$B$153,[1]Izvršenje_proračuna_po_pozicija!$E$2:$E$153,0)</f>
        <v>#NAME?</v>
      </c>
      <c r="T864" s="158"/>
      <c r="U864" s="158"/>
      <c r="V864" s="532"/>
      <c r="W864" s="532"/>
      <c r="X864" s="560"/>
      <c r="Y864" s="561"/>
      <c r="Z864" s="561"/>
      <c r="AA864" s="562" t="e">
        <f t="shared" ca="1" si="632"/>
        <v>#NAME?</v>
      </c>
      <c r="AB864" s="596"/>
      <c r="AC864" s="529"/>
      <c r="AD864" s="529"/>
      <c r="AE864" s="529"/>
      <c r="AF864" s="529"/>
      <c r="AG864" s="529"/>
      <c r="AH864" s="529"/>
      <c r="AI864" s="596"/>
      <c r="AJ864" s="561"/>
      <c r="AK864" s="507">
        <f t="shared" si="662"/>
        <v>0</v>
      </c>
      <c r="AL864" s="507"/>
      <c r="AM864" s="507"/>
      <c r="AN864" s="597"/>
      <c r="AO864" s="510"/>
      <c r="AP864" s="510" t="e">
        <f t="shared" ca="1" si="630"/>
        <v>#NAME?</v>
      </c>
      <c r="AQ864" s="532"/>
      <c r="AR864" s="533">
        <f t="shared" si="636"/>
        <v>0</v>
      </c>
      <c r="AS864" s="533"/>
      <c r="AT864" s="533">
        <f t="shared" si="637"/>
        <v>0</v>
      </c>
      <c r="AU864" s="533"/>
      <c r="AV864" s="533">
        <f>AQ864/R864*100</f>
        <v>0</v>
      </c>
      <c r="AW864" s="612"/>
      <c r="AX864" s="612"/>
      <c r="AY864" s="612"/>
      <c r="AZ864" s="612"/>
      <c r="BA864" s="612"/>
      <c r="BB864" s="612"/>
      <c r="BC864" s="612"/>
      <c r="BD864" s="612"/>
      <c r="BE864" s="612"/>
      <c r="BF864" s="612"/>
      <c r="BG864" s="612"/>
      <c r="BH864" s="612">
        <f t="shared" si="633"/>
        <v>0</v>
      </c>
      <c r="BI864" s="612">
        <f t="shared" si="646"/>
        <v>0</v>
      </c>
      <c r="BJ864" s="201">
        <f t="shared" si="660"/>
        <v>0</v>
      </c>
    </row>
    <row r="865" spans="1:62" ht="12" customHeight="1">
      <c r="A865" s="52"/>
      <c r="B865" s="52"/>
      <c r="C865" s="52"/>
      <c r="D865" s="52"/>
      <c r="E865" s="52"/>
      <c r="F865" s="52"/>
      <c r="G865" s="52"/>
      <c r="H865" s="2">
        <v>161</v>
      </c>
      <c r="I865" s="289">
        <v>820</v>
      </c>
      <c r="J865" s="185">
        <v>3811</v>
      </c>
      <c r="K865" s="19" t="s">
        <v>682</v>
      </c>
      <c r="L865" s="129"/>
      <c r="M865" s="129"/>
      <c r="N865" s="130"/>
      <c r="O865" s="130"/>
      <c r="P865" s="131"/>
      <c r="Q865" s="131"/>
      <c r="R865" s="153"/>
      <c r="S865" s="158" t="e">
        <f ca="1">__xlfn.XLOOKUP(H865,[1]Izvršenje_proračuna_po_pozicija!$B$2:$B$153,[1]Izvršenje_proračuna_po_pozicija!$E$2:$E$153,0)</f>
        <v>#NAME?</v>
      </c>
      <c r="T865" s="158"/>
      <c r="U865" s="158"/>
      <c r="V865" s="532"/>
      <c r="W865" s="532"/>
      <c r="X865" s="560"/>
      <c r="Y865" s="561"/>
      <c r="Z865" s="561"/>
      <c r="AA865" s="562" t="e">
        <f t="shared" ca="1" si="632"/>
        <v>#NAME?</v>
      </c>
      <c r="AB865" s="535"/>
      <c r="AC865" s="529"/>
      <c r="AD865" s="529"/>
      <c r="AE865" s="529"/>
      <c r="AF865" s="529"/>
      <c r="AG865" s="529"/>
      <c r="AH865" s="529"/>
      <c r="AI865" s="535"/>
      <c r="AJ865" s="561"/>
      <c r="AK865" s="507"/>
      <c r="AL865" s="507"/>
      <c r="AM865" s="507"/>
      <c r="AN865" s="556"/>
      <c r="AO865" s="510"/>
      <c r="AP865" s="510" t="e">
        <f t="shared" ca="1" si="630"/>
        <v>#NAME?</v>
      </c>
      <c r="AQ865" s="532"/>
      <c r="AR865" s="533"/>
      <c r="AS865" s="533"/>
      <c r="AT865" s="533"/>
      <c r="AU865" s="533"/>
      <c r="AV865" s="533"/>
      <c r="AW865" s="612"/>
      <c r="AX865" s="612"/>
      <c r="AY865" s="612"/>
      <c r="AZ865" s="612"/>
      <c r="BA865" s="612"/>
      <c r="BB865" s="612"/>
      <c r="BC865" s="612"/>
      <c r="BD865" s="612"/>
      <c r="BE865" s="612"/>
      <c r="BF865" s="612"/>
      <c r="BG865" s="612"/>
      <c r="BH865" s="612">
        <f t="shared" si="633"/>
        <v>0</v>
      </c>
      <c r="BI865" s="612">
        <f t="shared" si="646"/>
        <v>0</v>
      </c>
      <c r="BJ865" s="201">
        <f t="shared" si="660"/>
        <v>0</v>
      </c>
    </row>
    <row r="866" spans="1:62" ht="12" customHeight="1">
      <c r="A866" s="52"/>
      <c r="B866" s="52"/>
      <c r="C866" s="52"/>
      <c r="D866" s="52"/>
      <c r="E866" s="52"/>
      <c r="F866" s="52"/>
      <c r="G866" s="52"/>
      <c r="H866" s="2" t="s">
        <v>683</v>
      </c>
      <c r="I866" s="289">
        <v>820</v>
      </c>
      <c r="J866" s="185">
        <v>3811</v>
      </c>
      <c r="K866" s="19" t="s">
        <v>684</v>
      </c>
      <c r="L866" s="129">
        <v>10000</v>
      </c>
      <c r="M866" s="129">
        <f>10000/7.5345</f>
        <v>1327.2280841462605</v>
      </c>
      <c r="N866" s="130"/>
      <c r="O866" s="130"/>
      <c r="P866" s="131"/>
      <c r="Q866" s="131"/>
      <c r="R866" s="153">
        <v>2000</v>
      </c>
      <c r="S866" s="158" t="e">
        <f ca="1">__xlfn.XLOOKUP(H866,[1]Izvršenje_proračuna_po_pozicija!$B$2:$B$153,[1]Izvršenje_proračuna_po_pozicija!$E$2:$E$153,0)</f>
        <v>#NAME?</v>
      </c>
      <c r="T866" s="158"/>
      <c r="U866" s="158"/>
      <c r="V866" s="532"/>
      <c r="W866" s="532"/>
      <c r="X866" s="560"/>
      <c r="Y866" s="561"/>
      <c r="Z866" s="561"/>
      <c r="AA866" s="562" t="e">
        <f t="shared" ca="1" si="632"/>
        <v>#NAME?</v>
      </c>
      <c r="AB866" s="535"/>
      <c r="AC866" s="529"/>
      <c r="AD866" s="529"/>
      <c r="AE866" s="529">
        <f>O866/M866*100</f>
        <v>0</v>
      </c>
      <c r="AF866" s="529"/>
      <c r="AG866" s="529"/>
      <c r="AH866" s="529"/>
      <c r="AI866" s="535"/>
      <c r="AJ866" s="561"/>
      <c r="AK866" s="507">
        <f t="shared" si="662"/>
        <v>0</v>
      </c>
      <c r="AL866" s="507"/>
      <c r="AM866" s="507"/>
      <c r="AN866" s="556"/>
      <c r="AO866" s="510"/>
      <c r="AP866" s="510" t="e">
        <f t="shared" ca="1" si="630"/>
        <v>#NAME?</v>
      </c>
      <c r="AQ866" s="532"/>
      <c r="AR866" s="533">
        <f t="shared" si="636"/>
        <v>0</v>
      </c>
      <c r="AS866" s="533"/>
      <c r="AT866" s="533">
        <f t="shared" si="637"/>
        <v>0</v>
      </c>
      <c r="AU866" s="533"/>
      <c r="AV866" s="533">
        <f t="shared" ref="AV866:AV871" si="669">AQ866/R866*100</f>
        <v>0</v>
      </c>
      <c r="AW866" s="612"/>
      <c r="AX866" s="612"/>
      <c r="AY866" s="612"/>
      <c r="AZ866" s="612"/>
      <c r="BA866" s="612"/>
      <c r="BB866" s="612"/>
      <c r="BC866" s="612"/>
      <c r="BD866" s="612"/>
      <c r="BE866" s="612"/>
      <c r="BF866" s="612"/>
      <c r="BG866" s="612"/>
      <c r="BH866" s="612">
        <f t="shared" si="633"/>
        <v>0</v>
      </c>
      <c r="BI866" s="612">
        <f t="shared" si="646"/>
        <v>0</v>
      </c>
      <c r="BJ866" s="201">
        <f t="shared" si="660"/>
        <v>0</v>
      </c>
    </row>
    <row r="867" spans="1:62" ht="12" customHeight="1">
      <c r="A867" s="52"/>
      <c r="B867" s="52"/>
      <c r="C867" s="52"/>
      <c r="D867" s="52"/>
      <c r="E867" s="52"/>
      <c r="F867" s="52"/>
      <c r="G867" s="52"/>
      <c r="H867" s="2">
        <v>140</v>
      </c>
      <c r="I867" s="289">
        <v>820</v>
      </c>
      <c r="J867" s="185">
        <v>3811</v>
      </c>
      <c r="K867" s="19" t="s">
        <v>685</v>
      </c>
      <c r="L867" s="129">
        <v>8000</v>
      </c>
      <c r="M867" s="129">
        <f>8000/7.5345</f>
        <v>1061.7824673170085</v>
      </c>
      <c r="N867" s="130"/>
      <c r="O867" s="130"/>
      <c r="P867" s="131"/>
      <c r="Q867" s="131"/>
      <c r="R867" s="153">
        <v>3000</v>
      </c>
      <c r="S867" s="158" t="e">
        <f ca="1">__xlfn.XLOOKUP(H867,[1]Izvršenje_proračuna_po_pozicija!$B$2:$B$153,[1]Izvršenje_proračuna_po_pozicija!$E$2:$E$153,0)</f>
        <v>#NAME?</v>
      </c>
      <c r="T867" s="158"/>
      <c r="U867" s="158"/>
      <c r="V867" s="532"/>
      <c r="W867" s="532"/>
      <c r="X867" s="560"/>
      <c r="Y867" s="561"/>
      <c r="Z867" s="561"/>
      <c r="AA867" s="562" t="e">
        <f t="shared" ca="1" si="632"/>
        <v>#NAME?</v>
      </c>
      <c r="AB867" s="535"/>
      <c r="AC867" s="529"/>
      <c r="AD867" s="529"/>
      <c r="AE867" s="529">
        <f>O867/M867*100</f>
        <v>0</v>
      </c>
      <c r="AF867" s="529"/>
      <c r="AG867" s="529"/>
      <c r="AH867" s="529"/>
      <c r="AI867" s="535"/>
      <c r="AJ867" s="561"/>
      <c r="AK867" s="507">
        <f t="shared" si="662"/>
        <v>0</v>
      </c>
      <c r="AL867" s="507"/>
      <c r="AM867" s="507"/>
      <c r="AN867" s="556"/>
      <c r="AO867" s="510"/>
      <c r="AP867" s="510" t="e">
        <f t="shared" ref="AP867:AP930" ca="1" si="670">__xlfn.ISFORMULA(X867)</f>
        <v>#NAME?</v>
      </c>
      <c r="AQ867" s="532"/>
      <c r="AR867" s="533">
        <f t="shared" si="636"/>
        <v>0</v>
      </c>
      <c r="AS867" s="533"/>
      <c r="AT867" s="533">
        <f t="shared" si="637"/>
        <v>0</v>
      </c>
      <c r="AU867" s="533"/>
      <c r="AV867" s="533">
        <f t="shared" si="669"/>
        <v>0</v>
      </c>
      <c r="AW867" s="612"/>
      <c r="AX867" s="612"/>
      <c r="AY867" s="612"/>
      <c r="AZ867" s="612"/>
      <c r="BA867" s="612"/>
      <c r="BB867" s="612"/>
      <c r="BC867" s="612"/>
      <c r="BD867" s="612"/>
      <c r="BE867" s="612"/>
      <c r="BF867" s="612"/>
      <c r="BG867" s="612"/>
      <c r="BH867" s="612">
        <f t="shared" si="633"/>
        <v>0</v>
      </c>
      <c r="BI867" s="612">
        <f t="shared" si="646"/>
        <v>0</v>
      </c>
      <c r="BJ867" s="201">
        <f t="shared" si="660"/>
        <v>0</v>
      </c>
    </row>
    <row r="868" spans="1:62" ht="12" customHeight="1">
      <c r="A868" s="52"/>
      <c r="B868" s="52"/>
      <c r="C868" s="52"/>
      <c r="D868" s="52"/>
      <c r="E868" s="52"/>
      <c r="F868" s="52"/>
      <c r="G868" s="52"/>
      <c r="H868" s="2" t="s">
        <v>686</v>
      </c>
      <c r="I868" s="289">
        <v>820</v>
      </c>
      <c r="J868" s="185">
        <v>3811</v>
      </c>
      <c r="K868" s="19" t="s">
        <v>687</v>
      </c>
      <c r="L868" s="129">
        <v>37000</v>
      </c>
      <c r="M868" s="129">
        <f>37000/7.5345</f>
        <v>4910.7439113411638</v>
      </c>
      <c r="N868" s="130"/>
      <c r="O868" s="130"/>
      <c r="P868" s="131"/>
      <c r="Q868" s="131"/>
      <c r="R868" s="153">
        <v>200</v>
      </c>
      <c r="S868" s="158" t="e">
        <f ca="1">__xlfn.XLOOKUP(H868,[1]Izvršenje_proračuna_po_pozicija!$B$2:$B$153,[1]Izvršenje_proračuna_po_pozicija!$E$2:$E$153,0)</f>
        <v>#NAME?</v>
      </c>
      <c r="T868" s="158"/>
      <c r="U868" s="158"/>
      <c r="V868" s="532"/>
      <c r="W868" s="532"/>
      <c r="X868" s="560"/>
      <c r="Y868" s="561"/>
      <c r="Z868" s="561"/>
      <c r="AA868" s="562" t="e">
        <f t="shared" ca="1" si="632"/>
        <v>#NAME?</v>
      </c>
      <c r="AB868" s="535"/>
      <c r="AC868" s="529"/>
      <c r="AD868" s="529"/>
      <c r="AE868" s="529">
        <f>O868/M868*100</f>
        <v>0</v>
      </c>
      <c r="AF868" s="529"/>
      <c r="AG868" s="529"/>
      <c r="AH868" s="529"/>
      <c r="AI868" s="535"/>
      <c r="AJ868" s="561"/>
      <c r="AK868" s="507">
        <f t="shared" si="662"/>
        <v>0</v>
      </c>
      <c r="AL868" s="507"/>
      <c r="AM868" s="507"/>
      <c r="AN868" s="556"/>
      <c r="AO868" s="510"/>
      <c r="AP868" s="510" t="e">
        <f t="shared" ca="1" si="670"/>
        <v>#NAME?</v>
      </c>
      <c r="AQ868" s="532"/>
      <c r="AR868" s="533">
        <f t="shared" si="636"/>
        <v>0</v>
      </c>
      <c r="AS868" s="533"/>
      <c r="AT868" s="533">
        <f t="shared" si="637"/>
        <v>0</v>
      </c>
      <c r="AU868" s="533"/>
      <c r="AV868" s="533">
        <f t="shared" si="669"/>
        <v>0</v>
      </c>
      <c r="AW868" s="612"/>
      <c r="AX868" s="612"/>
      <c r="AY868" s="612"/>
      <c r="AZ868" s="612"/>
      <c r="BA868" s="612"/>
      <c r="BB868" s="612"/>
      <c r="BC868" s="612"/>
      <c r="BD868" s="612"/>
      <c r="BE868" s="612"/>
      <c r="BF868" s="612"/>
      <c r="BG868" s="612"/>
      <c r="BH868" s="612">
        <f t="shared" si="633"/>
        <v>0</v>
      </c>
      <c r="BI868" s="612">
        <f t="shared" si="646"/>
        <v>0</v>
      </c>
      <c r="BJ868" s="201">
        <f t="shared" si="660"/>
        <v>0</v>
      </c>
    </row>
    <row r="869" spans="1:62" ht="12" customHeight="1">
      <c r="A869" s="52"/>
      <c r="B869" s="52"/>
      <c r="C869" s="52"/>
      <c r="D869" s="52"/>
      <c r="E869" s="52"/>
      <c r="F869" s="52"/>
      <c r="G869" s="52"/>
      <c r="H869" s="2" t="s">
        <v>688</v>
      </c>
      <c r="I869" s="289">
        <v>820</v>
      </c>
      <c r="J869" s="185">
        <v>3811</v>
      </c>
      <c r="K869" s="53" t="s">
        <v>689</v>
      </c>
      <c r="L869" s="129">
        <v>60000</v>
      </c>
      <c r="M869" s="129">
        <f>60000/7.5345</f>
        <v>7963.3685048775624</v>
      </c>
      <c r="N869" s="130"/>
      <c r="O869" s="130"/>
      <c r="P869" s="131"/>
      <c r="Q869" s="131"/>
      <c r="R869" s="153">
        <v>8700</v>
      </c>
      <c r="S869" s="158" t="e">
        <f ca="1">__xlfn.XLOOKUP(H869,[1]Izvršenje_proračuna_po_pozicija!$B$2:$B$153,[1]Izvršenje_proračuna_po_pozicija!$E$2:$E$153,0)</f>
        <v>#NAME?</v>
      </c>
      <c r="T869" s="158"/>
      <c r="U869" s="158"/>
      <c r="V869" s="532"/>
      <c r="W869" s="532"/>
      <c r="X869" s="560"/>
      <c r="Y869" s="561"/>
      <c r="Z869" s="561"/>
      <c r="AA869" s="562" t="e">
        <f t="shared" ref="AA869:AA932" ca="1" si="671">__xlfn.ISFORMULA(R869)</f>
        <v>#NAME?</v>
      </c>
      <c r="AB869" s="535"/>
      <c r="AC869" s="529"/>
      <c r="AD869" s="529"/>
      <c r="AE869" s="529">
        <f>O869/M869*100</f>
        <v>0</v>
      </c>
      <c r="AF869" s="529"/>
      <c r="AG869" s="529"/>
      <c r="AH869" s="529"/>
      <c r="AI869" s="535"/>
      <c r="AJ869" s="561"/>
      <c r="AK869" s="507">
        <f t="shared" si="662"/>
        <v>0</v>
      </c>
      <c r="AL869" s="507"/>
      <c r="AM869" s="507"/>
      <c r="AN869" s="556"/>
      <c r="AO869" s="510"/>
      <c r="AP869" s="510" t="e">
        <f t="shared" ca="1" si="670"/>
        <v>#NAME?</v>
      </c>
      <c r="AQ869" s="532"/>
      <c r="AR869" s="533">
        <f t="shared" si="636"/>
        <v>0</v>
      </c>
      <c r="AS869" s="533"/>
      <c r="AT869" s="533">
        <f t="shared" si="637"/>
        <v>0</v>
      </c>
      <c r="AU869" s="533"/>
      <c r="AV869" s="533">
        <f t="shared" si="669"/>
        <v>0</v>
      </c>
      <c r="AW869" s="612"/>
      <c r="AX869" s="612"/>
      <c r="AY869" s="612"/>
      <c r="AZ869" s="612"/>
      <c r="BA869" s="612"/>
      <c r="BB869" s="612"/>
      <c r="BC869" s="612"/>
      <c r="BD869" s="612"/>
      <c r="BE869" s="612"/>
      <c r="BF869" s="612"/>
      <c r="BG869" s="612"/>
      <c r="BH869" s="612">
        <f t="shared" ref="BH869:BH932" si="672">SUM(AW869:BG869)</f>
        <v>0</v>
      </c>
      <c r="BI869" s="612">
        <f t="shared" si="646"/>
        <v>27600</v>
      </c>
      <c r="BJ869" s="201">
        <f t="shared" si="660"/>
        <v>0</v>
      </c>
    </row>
    <row r="870" spans="1:62" ht="12" customHeight="1">
      <c r="A870" s="52"/>
      <c r="B870" s="52"/>
      <c r="C870" s="52"/>
      <c r="D870" s="52"/>
      <c r="E870" s="52"/>
      <c r="F870" s="52"/>
      <c r="G870" s="52"/>
      <c r="H870" s="2" t="s">
        <v>690</v>
      </c>
      <c r="I870" s="289">
        <v>820</v>
      </c>
      <c r="J870" s="185">
        <v>3811</v>
      </c>
      <c r="K870" s="53" t="s">
        <v>691</v>
      </c>
      <c r="L870" s="129"/>
      <c r="M870" s="129"/>
      <c r="N870" s="130"/>
      <c r="O870" s="130"/>
      <c r="P870" s="131"/>
      <c r="Q870" s="131"/>
      <c r="R870" s="153">
        <v>3000</v>
      </c>
      <c r="S870" s="158" t="e">
        <f ca="1">__xlfn.XLOOKUP(H870,[1]Izvršenje_proračuna_po_pozicija!$B$2:$B$153,[1]Izvršenje_proračuna_po_pozicija!$E$2:$E$153,0)</f>
        <v>#NAME?</v>
      </c>
      <c r="T870" s="158"/>
      <c r="U870" s="158"/>
      <c r="V870" s="532"/>
      <c r="W870" s="532"/>
      <c r="X870" s="560"/>
      <c r="Y870" s="561"/>
      <c r="Z870" s="561"/>
      <c r="AA870" s="562" t="e">
        <f t="shared" ca="1" si="671"/>
        <v>#NAME?</v>
      </c>
      <c r="AB870" s="535"/>
      <c r="AC870" s="529"/>
      <c r="AD870" s="529"/>
      <c r="AE870" s="529"/>
      <c r="AF870" s="529"/>
      <c r="AG870" s="529"/>
      <c r="AH870" s="529"/>
      <c r="AI870" s="535"/>
      <c r="AJ870" s="561"/>
      <c r="AK870" s="507">
        <f t="shared" si="662"/>
        <v>0</v>
      </c>
      <c r="AL870" s="507"/>
      <c r="AM870" s="507"/>
      <c r="AN870" s="556"/>
      <c r="AO870" s="510"/>
      <c r="AP870" s="510" t="e">
        <f t="shared" ca="1" si="670"/>
        <v>#NAME?</v>
      </c>
      <c r="AQ870" s="532"/>
      <c r="AR870" s="533">
        <f t="shared" si="636"/>
        <v>0</v>
      </c>
      <c r="AS870" s="533"/>
      <c r="AT870" s="533">
        <f t="shared" si="637"/>
        <v>0</v>
      </c>
      <c r="AU870" s="533"/>
      <c r="AV870" s="533">
        <f t="shared" si="669"/>
        <v>0</v>
      </c>
      <c r="AW870" s="612"/>
      <c r="AX870" s="612"/>
      <c r="AY870" s="612"/>
      <c r="AZ870" s="612"/>
      <c r="BA870" s="612"/>
      <c r="BB870" s="612"/>
      <c r="BC870" s="612"/>
      <c r="BD870" s="612"/>
      <c r="BE870" s="612"/>
      <c r="BF870" s="612"/>
      <c r="BG870" s="612"/>
      <c r="BH870" s="612">
        <f t="shared" si="672"/>
        <v>0</v>
      </c>
      <c r="BI870" s="612">
        <f t="shared" si="646"/>
        <v>0</v>
      </c>
      <c r="BJ870" s="201"/>
    </row>
    <row r="871" spans="1:62" ht="12" customHeight="1">
      <c r="A871" s="52"/>
      <c r="B871" s="52"/>
      <c r="C871" s="52"/>
      <c r="D871" s="52"/>
      <c r="E871" s="52"/>
      <c r="F871" s="52"/>
      <c r="G871" s="52"/>
      <c r="H871" s="2" t="s">
        <v>692</v>
      </c>
      <c r="I871" s="289">
        <v>820</v>
      </c>
      <c r="J871" s="185">
        <v>3811</v>
      </c>
      <c r="K871" s="53" t="s">
        <v>693</v>
      </c>
      <c r="L871" s="129">
        <v>5000</v>
      </c>
      <c r="M871" s="129">
        <f>5000/7.5345</f>
        <v>663.61404207313024</v>
      </c>
      <c r="N871" s="130"/>
      <c r="O871" s="130"/>
      <c r="P871" s="131"/>
      <c r="Q871" s="131"/>
      <c r="R871" s="153">
        <v>800</v>
      </c>
      <c r="S871" s="158" t="e">
        <f ca="1">__xlfn.XLOOKUP(H871,[1]Izvršenje_proračuna_po_pozicija!$B$2:$B$153,[1]Izvršenje_proračuna_po_pozicija!$E$2:$E$153,0)</f>
        <v>#NAME?</v>
      </c>
      <c r="T871" s="158"/>
      <c r="U871" s="158"/>
      <c r="V871" s="532"/>
      <c r="W871" s="532"/>
      <c r="X871" s="560"/>
      <c r="Y871" s="561"/>
      <c r="Z871" s="561"/>
      <c r="AA871" s="562" t="e">
        <f t="shared" ca="1" si="671"/>
        <v>#NAME?</v>
      </c>
      <c r="AB871" s="535"/>
      <c r="AC871" s="529"/>
      <c r="AD871" s="529"/>
      <c r="AE871" s="529">
        <f>O871/M871*100</f>
        <v>0</v>
      </c>
      <c r="AF871" s="529"/>
      <c r="AG871" s="529"/>
      <c r="AH871" s="529"/>
      <c r="AI871" s="535"/>
      <c r="AJ871" s="561"/>
      <c r="AK871" s="507">
        <f t="shared" si="662"/>
        <v>0</v>
      </c>
      <c r="AL871" s="507"/>
      <c r="AM871" s="507"/>
      <c r="AN871" s="556"/>
      <c r="AO871" s="510"/>
      <c r="AP871" s="510" t="e">
        <f t="shared" ca="1" si="670"/>
        <v>#NAME?</v>
      </c>
      <c r="AQ871" s="532"/>
      <c r="AR871" s="533">
        <f t="shared" ref="AR871:AR917" si="673">V871/R871*100</f>
        <v>0</v>
      </c>
      <c r="AS871" s="533"/>
      <c r="AT871" s="533">
        <f t="shared" ref="AT871:AT917" si="674">W871/R871*100</f>
        <v>0</v>
      </c>
      <c r="AU871" s="533"/>
      <c r="AV871" s="533">
        <f t="shared" si="669"/>
        <v>0</v>
      </c>
      <c r="AW871" s="612"/>
      <c r="AX871" s="612"/>
      <c r="AY871" s="612"/>
      <c r="AZ871" s="612"/>
      <c r="BA871" s="612"/>
      <c r="BB871" s="612"/>
      <c r="BC871" s="612"/>
      <c r="BD871" s="612"/>
      <c r="BE871" s="612"/>
      <c r="BF871" s="612"/>
      <c r="BG871" s="612"/>
      <c r="BH871" s="612">
        <f t="shared" si="672"/>
        <v>0</v>
      </c>
      <c r="BI871" s="612">
        <f t="shared" si="646"/>
        <v>0</v>
      </c>
      <c r="BJ871" s="201"/>
    </row>
    <row r="872" spans="1:62" ht="12" customHeight="1">
      <c r="A872" s="52"/>
      <c r="B872" s="52"/>
      <c r="C872" s="52"/>
      <c r="D872" s="52"/>
      <c r="E872" s="52"/>
      <c r="F872" s="52"/>
      <c r="G872" s="52"/>
      <c r="H872" s="2" t="s">
        <v>694</v>
      </c>
      <c r="I872" s="289">
        <v>820</v>
      </c>
      <c r="J872" s="185">
        <v>3811</v>
      </c>
      <c r="K872" s="53" t="s">
        <v>695</v>
      </c>
      <c r="L872" s="129"/>
      <c r="M872" s="129"/>
      <c r="N872" s="130"/>
      <c r="O872" s="130"/>
      <c r="P872" s="131"/>
      <c r="Q872" s="131"/>
      <c r="R872" s="153"/>
      <c r="S872" s="158" t="e">
        <f ca="1">__xlfn.XLOOKUP(H872,[1]Izvršenje_proračuna_po_pozicija!$B$2:$B$153,[1]Izvršenje_proračuna_po_pozicija!$E$2:$E$153,0)</f>
        <v>#NAME?</v>
      </c>
      <c r="T872" s="158"/>
      <c r="U872" s="158"/>
      <c r="V872" s="532"/>
      <c r="W872" s="532"/>
      <c r="X872" s="560"/>
      <c r="Y872" s="561"/>
      <c r="Z872" s="561"/>
      <c r="AA872" s="562" t="e">
        <f t="shared" ca="1" si="671"/>
        <v>#NAME?</v>
      </c>
      <c r="AB872" s="535"/>
      <c r="AC872" s="529"/>
      <c r="AD872" s="529"/>
      <c r="AE872" s="529"/>
      <c r="AF872" s="529"/>
      <c r="AG872" s="529"/>
      <c r="AH872" s="529"/>
      <c r="AI872" s="535"/>
      <c r="AJ872" s="561"/>
      <c r="AK872" s="507"/>
      <c r="AL872" s="507"/>
      <c r="AM872" s="507"/>
      <c r="AN872" s="556"/>
      <c r="AO872" s="510"/>
      <c r="AP872" s="510" t="e">
        <f t="shared" ca="1" si="670"/>
        <v>#NAME?</v>
      </c>
      <c r="AQ872" s="532"/>
      <c r="AR872" s="533"/>
      <c r="AS872" s="533"/>
      <c r="AT872" s="533"/>
      <c r="AU872" s="533"/>
      <c r="AV872" s="533"/>
      <c r="AW872" s="612"/>
      <c r="AX872" s="612"/>
      <c r="AY872" s="612"/>
      <c r="AZ872" s="612"/>
      <c r="BA872" s="612"/>
      <c r="BB872" s="612"/>
      <c r="BC872" s="612"/>
      <c r="BD872" s="612"/>
      <c r="BE872" s="612"/>
      <c r="BF872" s="612"/>
      <c r="BG872" s="612"/>
      <c r="BH872" s="612">
        <f t="shared" si="672"/>
        <v>0</v>
      </c>
      <c r="BI872" s="612">
        <f t="shared" si="646"/>
        <v>0</v>
      </c>
      <c r="BJ872" s="201"/>
    </row>
    <row r="873" spans="1:62" ht="12" customHeight="1">
      <c r="A873" s="52"/>
      <c r="B873" s="52"/>
      <c r="C873" s="52"/>
      <c r="D873" s="52"/>
      <c r="E873" s="52"/>
      <c r="F873" s="52"/>
      <c r="G873" s="52"/>
      <c r="H873" s="2" t="s">
        <v>696</v>
      </c>
      <c r="I873" s="289">
        <v>820</v>
      </c>
      <c r="J873" s="185">
        <v>3811</v>
      </c>
      <c r="K873" s="185" t="s">
        <v>697</v>
      </c>
      <c r="L873" s="129">
        <v>8000</v>
      </c>
      <c r="M873" s="129">
        <f>8000/7.5345</f>
        <v>1061.7824673170085</v>
      </c>
      <c r="N873" s="130"/>
      <c r="O873" s="130"/>
      <c r="P873" s="131"/>
      <c r="Q873" s="131"/>
      <c r="R873" s="153">
        <v>1000</v>
      </c>
      <c r="S873" s="158" t="e">
        <f ca="1">__xlfn.XLOOKUP(H873,[1]Izvršenje_proračuna_po_pozicija!$B$2:$B$153,[1]Izvršenje_proračuna_po_pozicija!$E$2:$E$153,0)</f>
        <v>#NAME?</v>
      </c>
      <c r="T873" s="158"/>
      <c r="U873" s="158"/>
      <c r="V873" s="532"/>
      <c r="W873" s="532"/>
      <c r="X873" s="560"/>
      <c r="Y873" s="561"/>
      <c r="Z873" s="561"/>
      <c r="AA873" s="562" t="e">
        <f t="shared" ca="1" si="671"/>
        <v>#NAME?</v>
      </c>
      <c r="AB873" s="535"/>
      <c r="AC873" s="529"/>
      <c r="AD873" s="529"/>
      <c r="AE873" s="529">
        <f>O873/M873*100</f>
        <v>0</v>
      </c>
      <c r="AF873" s="529"/>
      <c r="AG873" s="529"/>
      <c r="AH873" s="529"/>
      <c r="AI873" s="535"/>
      <c r="AJ873" s="561"/>
      <c r="AK873" s="507">
        <f t="shared" si="662"/>
        <v>0</v>
      </c>
      <c r="AL873" s="507"/>
      <c r="AM873" s="507"/>
      <c r="AN873" s="556"/>
      <c r="AO873" s="510"/>
      <c r="AP873" s="510" t="e">
        <f t="shared" ca="1" si="670"/>
        <v>#NAME?</v>
      </c>
      <c r="AQ873" s="532"/>
      <c r="AR873" s="533">
        <f t="shared" si="673"/>
        <v>0</v>
      </c>
      <c r="AS873" s="533"/>
      <c r="AT873" s="533">
        <f t="shared" si="674"/>
        <v>0</v>
      </c>
      <c r="AU873" s="533"/>
      <c r="AV873" s="533">
        <f>AQ873/R873*100</f>
        <v>0</v>
      </c>
      <c r="AW873" s="612"/>
      <c r="AX873" s="612"/>
      <c r="AY873" s="612"/>
      <c r="AZ873" s="612"/>
      <c r="BA873" s="612"/>
      <c r="BB873" s="612"/>
      <c r="BC873" s="612"/>
      <c r="BD873" s="612"/>
      <c r="BE873" s="612"/>
      <c r="BF873" s="612"/>
      <c r="BG873" s="612"/>
      <c r="BH873" s="612">
        <f t="shared" si="672"/>
        <v>0</v>
      </c>
      <c r="BI873" s="612">
        <f t="shared" si="646"/>
        <v>0</v>
      </c>
      <c r="BJ873" s="201"/>
    </row>
    <row r="874" spans="1:62" ht="12" customHeight="1">
      <c r="A874" s="52"/>
      <c r="B874" s="52"/>
      <c r="C874" s="52"/>
      <c r="D874" s="52"/>
      <c r="E874" s="52"/>
      <c r="F874" s="52"/>
      <c r="G874" s="52"/>
      <c r="H874" s="2" t="s">
        <v>698</v>
      </c>
      <c r="I874" s="289">
        <v>820</v>
      </c>
      <c r="J874" s="185">
        <v>3811</v>
      </c>
      <c r="K874" s="117" t="s">
        <v>699</v>
      </c>
      <c r="L874" s="129"/>
      <c r="M874" s="129"/>
      <c r="N874" s="130"/>
      <c r="O874" s="130"/>
      <c r="P874" s="131"/>
      <c r="Q874" s="131"/>
      <c r="R874" s="153"/>
      <c r="S874" s="158" t="e">
        <f ca="1">__xlfn.XLOOKUP(H874,[1]Izvršenje_proračuna_po_pozicija!$B$2:$B$153,[1]Izvršenje_proračuna_po_pozicija!$E$2:$E$153,0)</f>
        <v>#NAME?</v>
      </c>
      <c r="T874" s="158"/>
      <c r="U874" s="158"/>
      <c r="V874" s="532"/>
      <c r="W874" s="532"/>
      <c r="X874" s="560"/>
      <c r="Y874" s="561"/>
      <c r="Z874" s="561"/>
      <c r="AA874" s="562" t="e">
        <f t="shared" ca="1" si="671"/>
        <v>#NAME?</v>
      </c>
      <c r="AB874" s="535"/>
      <c r="AC874" s="529"/>
      <c r="AD874" s="529"/>
      <c r="AE874" s="529"/>
      <c r="AF874" s="529"/>
      <c r="AG874" s="529"/>
      <c r="AH874" s="529"/>
      <c r="AI874" s="535"/>
      <c r="AJ874" s="561"/>
      <c r="AK874" s="507"/>
      <c r="AL874" s="507"/>
      <c r="AM874" s="507"/>
      <c r="AN874" s="556"/>
      <c r="AO874" s="510"/>
      <c r="AP874" s="510" t="e">
        <f t="shared" ca="1" si="670"/>
        <v>#NAME?</v>
      </c>
      <c r="AQ874" s="532"/>
      <c r="AR874" s="533"/>
      <c r="AS874" s="533"/>
      <c r="AT874" s="533"/>
      <c r="AU874" s="533"/>
      <c r="AV874" s="533"/>
      <c r="AW874" s="612"/>
      <c r="AX874" s="612"/>
      <c r="AY874" s="612"/>
      <c r="AZ874" s="612"/>
      <c r="BA874" s="612"/>
      <c r="BB874" s="612"/>
      <c r="BC874" s="612"/>
      <c r="BD874" s="612"/>
      <c r="BE874" s="612"/>
      <c r="BF874" s="612"/>
      <c r="BG874" s="612"/>
      <c r="BH874" s="612">
        <f t="shared" si="672"/>
        <v>0</v>
      </c>
      <c r="BI874" s="612">
        <f t="shared" si="646"/>
        <v>0</v>
      </c>
      <c r="BJ874" s="201"/>
    </row>
    <row r="875" spans="1:62" ht="12" customHeight="1">
      <c r="A875" s="167"/>
      <c r="B875" s="167"/>
      <c r="C875" s="167"/>
      <c r="D875" s="167"/>
      <c r="E875" s="167"/>
      <c r="F875" s="167"/>
      <c r="G875" s="167"/>
      <c r="H875" s="2" t="s">
        <v>700</v>
      </c>
      <c r="I875" s="7">
        <v>820</v>
      </c>
      <c r="J875" s="185">
        <v>3811</v>
      </c>
      <c r="K875" s="208" t="s">
        <v>701</v>
      </c>
      <c r="L875" s="136">
        <v>14000</v>
      </c>
      <c r="M875" s="136">
        <f>14000/7.5345</f>
        <v>1858.1193178047647</v>
      </c>
      <c r="N875" s="263"/>
      <c r="O875" s="263"/>
      <c r="P875" s="264"/>
      <c r="Q875" s="264"/>
      <c r="R875" s="153">
        <v>6100</v>
      </c>
      <c r="S875" s="158" t="e">
        <f ca="1">__xlfn.XLOOKUP(H875,[1]Izvršenje_proračuna_po_pozicija!$B$2:$B$153,[1]Izvršenje_proračuna_po_pozicija!$E$2:$E$153,0)</f>
        <v>#NAME?</v>
      </c>
      <c r="T875" s="158"/>
      <c r="U875" s="158"/>
      <c r="V875" s="532"/>
      <c r="W875" s="532"/>
      <c r="X875" s="560"/>
      <c r="Y875" s="561"/>
      <c r="Z875" s="561"/>
      <c r="AA875" s="562" t="e">
        <f t="shared" ca="1" si="671"/>
        <v>#NAME?</v>
      </c>
      <c r="AB875" s="535"/>
      <c r="AC875" s="541"/>
      <c r="AD875" s="541"/>
      <c r="AE875" s="529">
        <f>O875/M875*100</f>
        <v>0</v>
      </c>
      <c r="AF875" s="529"/>
      <c r="AG875" s="529"/>
      <c r="AH875" s="529"/>
      <c r="AI875" s="535"/>
      <c r="AJ875" s="561"/>
      <c r="AK875" s="507">
        <f t="shared" si="662"/>
        <v>0</v>
      </c>
      <c r="AL875" s="507"/>
      <c r="AM875" s="507"/>
      <c r="AN875" s="556"/>
      <c r="AO875" s="510"/>
      <c r="AP875" s="510" t="e">
        <f t="shared" ca="1" si="670"/>
        <v>#NAME?</v>
      </c>
      <c r="AQ875" s="532"/>
      <c r="AR875" s="533">
        <f t="shared" si="673"/>
        <v>0</v>
      </c>
      <c r="AS875" s="533"/>
      <c r="AT875" s="533">
        <f t="shared" si="674"/>
        <v>0</v>
      </c>
      <c r="AU875" s="533"/>
      <c r="AV875" s="533">
        <f>AQ875/R875*100</f>
        <v>0</v>
      </c>
      <c r="AW875" s="612"/>
      <c r="AX875" s="612"/>
      <c r="AY875" s="612"/>
      <c r="AZ875" s="612"/>
      <c r="BA875" s="612"/>
      <c r="BB875" s="612"/>
      <c r="BC875" s="612"/>
      <c r="BD875" s="612"/>
      <c r="BE875" s="612"/>
      <c r="BF875" s="612"/>
      <c r="BG875" s="612"/>
      <c r="BH875" s="612">
        <f t="shared" si="672"/>
        <v>0</v>
      </c>
      <c r="BI875" s="612">
        <f t="shared" si="646"/>
        <v>3100</v>
      </c>
      <c r="BJ875" s="201"/>
    </row>
    <row r="876" spans="1:62" ht="12" customHeight="1">
      <c r="A876" s="41"/>
      <c r="B876" s="41"/>
      <c r="C876" s="41"/>
      <c r="D876" s="41"/>
      <c r="E876" s="41"/>
      <c r="F876" s="41"/>
      <c r="G876" s="41"/>
      <c r="H876" s="235" t="s">
        <v>702</v>
      </c>
      <c r="I876" s="15"/>
      <c r="J876" s="3"/>
      <c r="K876" s="83" t="s">
        <v>703</v>
      </c>
      <c r="L876" s="84"/>
      <c r="M876" s="84"/>
      <c r="N876" s="85"/>
      <c r="O876" s="85"/>
      <c r="P876" s="86"/>
      <c r="Q876" s="86"/>
      <c r="R876" s="154"/>
      <c r="S876" s="158" t="e">
        <f ca="1">__xlfn.XLOOKUP(H876,[1]Izvršenje_proračuna_po_pozicija!$B$2:$B$153,[1]Izvršenje_proračuna_po_pozicija!$E$2:$E$153,0)</f>
        <v>#NAME?</v>
      </c>
      <c r="T876" s="158"/>
      <c r="U876" s="158"/>
      <c r="V876" s="532">
        <v>27800</v>
      </c>
      <c r="W876" s="532">
        <v>27800</v>
      </c>
      <c r="X876" s="568">
        <v>32000</v>
      </c>
      <c r="Y876" s="569">
        <v>35000</v>
      </c>
      <c r="Z876" s="569"/>
      <c r="AA876" s="562" t="e">
        <f t="shared" ca="1" si="671"/>
        <v>#NAME?</v>
      </c>
      <c r="AB876" s="537"/>
      <c r="AC876" s="538"/>
      <c r="AD876" s="538"/>
      <c r="AE876" s="529"/>
      <c r="AF876" s="529"/>
      <c r="AG876" s="529"/>
      <c r="AH876" s="529"/>
      <c r="AI876" s="537"/>
      <c r="AJ876" s="569">
        <v>35000</v>
      </c>
      <c r="AK876" s="507"/>
      <c r="AL876" s="507">
        <f t="shared" si="663"/>
        <v>115.10791366906474</v>
      </c>
      <c r="AM876" s="507">
        <f t="shared" si="663"/>
        <v>109.375</v>
      </c>
      <c r="AN876" s="557"/>
      <c r="AO876" s="510"/>
      <c r="AP876" s="510" t="e">
        <f t="shared" ca="1" si="670"/>
        <v>#NAME?</v>
      </c>
      <c r="AQ876" s="532">
        <v>27600</v>
      </c>
      <c r="AR876" s="533"/>
      <c r="AS876" s="533">
        <f>W876/V876*100</f>
        <v>100</v>
      </c>
      <c r="AT876" s="533"/>
      <c r="AU876" s="533">
        <f>AQ876/W876*100</f>
        <v>99.280575539568346</v>
      </c>
      <c r="AV876" s="533"/>
      <c r="AW876" s="612">
        <v>27600</v>
      </c>
      <c r="AX876" s="612"/>
      <c r="AY876" s="612"/>
      <c r="AZ876" s="612"/>
      <c r="BA876" s="612"/>
      <c r="BB876" s="612"/>
      <c r="BC876" s="612"/>
      <c r="BD876" s="612"/>
      <c r="BE876" s="612"/>
      <c r="BF876" s="612"/>
      <c r="BG876" s="612"/>
      <c r="BH876" s="612">
        <f t="shared" si="672"/>
        <v>27600</v>
      </c>
      <c r="BI876" s="612">
        <f t="shared" si="646"/>
        <v>3100</v>
      </c>
      <c r="BJ876" s="201"/>
    </row>
    <row r="877" spans="1:62" ht="12" customHeight="1">
      <c r="A877" s="320"/>
      <c r="B877" s="320"/>
      <c r="C877" s="320"/>
      <c r="D877" s="320"/>
      <c r="E877" s="320"/>
      <c r="F877" s="320"/>
      <c r="G877" s="320"/>
      <c r="H877" s="321"/>
      <c r="I877" s="373" t="s">
        <v>704</v>
      </c>
      <c r="J877" s="374"/>
      <c r="K877" s="223"/>
      <c r="L877" s="111">
        <f t="shared" ref="L877:S877" si="675">L878+L886+L894</f>
        <v>151500</v>
      </c>
      <c r="M877" s="111">
        <f t="shared" si="675"/>
        <v>20107.505474815844</v>
      </c>
      <c r="N877" s="112">
        <f t="shared" si="675"/>
        <v>188679</v>
      </c>
      <c r="O877" s="112">
        <f t="shared" si="675"/>
        <v>25042.00676886323</v>
      </c>
      <c r="P877" s="113">
        <f t="shared" si="675"/>
        <v>23500</v>
      </c>
      <c r="Q877" s="113">
        <f t="shared" si="675"/>
        <v>26500</v>
      </c>
      <c r="R877" s="87">
        <f t="shared" si="675"/>
        <v>22638</v>
      </c>
      <c r="S877" s="89" t="e">
        <f t="shared" ca="1" si="675"/>
        <v>#NAME?</v>
      </c>
      <c r="T877" s="89"/>
      <c r="U877" s="89"/>
      <c r="V877" s="532">
        <f>V878+V886+V894</f>
        <v>27900</v>
      </c>
      <c r="W877" s="532">
        <f>W878+W886+W894</f>
        <v>28029</v>
      </c>
      <c r="X877" s="506">
        <f>X878+X886+X894</f>
        <v>32000</v>
      </c>
      <c r="Y877" s="507">
        <f>Y878+Y886+Y894</f>
        <v>36000</v>
      </c>
      <c r="Z877" s="507">
        <f>Z878+Z886+Z894</f>
        <v>0</v>
      </c>
      <c r="AA877" s="562" t="e">
        <f t="shared" ca="1" si="671"/>
        <v>#NAME?</v>
      </c>
      <c r="AB877" s="507"/>
      <c r="AC877" s="508">
        <f>AC878+AC886+AC894</f>
        <v>23500</v>
      </c>
      <c r="AD877" s="508">
        <f>AD878+AD886+AD894</f>
        <v>23500</v>
      </c>
      <c r="AE877" s="529">
        <f>O877/M877*100</f>
        <v>124.54059405940596</v>
      </c>
      <c r="AF877" s="529">
        <f>P877/O877*100</f>
        <v>93.842319495015332</v>
      </c>
      <c r="AG877" s="529">
        <f>Q877/P877*100</f>
        <v>112.7659574468085</v>
      </c>
      <c r="AH877" s="529">
        <f>AC877/Q877*100</f>
        <v>88.679245283018872</v>
      </c>
      <c r="AI877" s="507"/>
      <c r="AJ877" s="507">
        <v>36000</v>
      </c>
      <c r="AK877" s="507">
        <f t="shared" si="662"/>
        <v>123.81394116087993</v>
      </c>
      <c r="AL877" s="507">
        <f t="shared" si="663"/>
        <v>114.16746940668594</v>
      </c>
      <c r="AM877" s="507">
        <f t="shared" si="663"/>
        <v>112.5</v>
      </c>
      <c r="AN877" s="509"/>
      <c r="AO877" s="510"/>
      <c r="AP877" s="510" t="e">
        <f t="shared" ca="1" si="670"/>
        <v>#NAME?</v>
      </c>
      <c r="AQ877" s="532">
        <f>AQ878+AQ886+AQ894</f>
        <v>19690.8</v>
      </c>
      <c r="AR877" s="533">
        <f t="shared" si="673"/>
        <v>123.24410283593956</v>
      </c>
      <c r="AS877" s="533">
        <f>W877/V877*100</f>
        <v>100.46236559139786</v>
      </c>
      <c r="AT877" s="533">
        <f t="shared" si="674"/>
        <v>123.81394116087993</v>
      </c>
      <c r="AU877" s="533">
        <f>AQ877/W877*100</f>
        <v>70.251525206036604</v>
      </c>
      <c r="AV877" s="533">
        <f>AQ877/R877*100</f>
        <v>86.98118208322289</v>
      </c>
      <c r="AW877" s="612"/>
      <c r="AX877" s="612"/>
      <c r="AY877" s="612"/>
      <c r="AZ877" s="612"/>
      <c r="BA877" s="612"/>
      <c r="BB877" s="612"/>
      <c r="BC877" s="612"/>
      <c r="BD877" s="612"/>
      <c r="BE877" s="612"/>
      <c r="BF877" s="612"/>
      <c r="BG877" s="612"/>
      <c r="BH877" s="612">
        <f t="shared" si="672"/>
        <v>0</v>
      </c>
      <c r="BI877" s="612">
        <f t="shared" si="646"/>
        <v>3100</v>
      </c>
      <c r="BJ877" s="201">
        <f>AQ884-BI877</f>
        <v>0</v>
      </c>
    </row>
    <row r="878" spans="1:62" ht="12" customHeight="1">
      <c r="A878" s="282" t="s">
        <v>321</v>
      </c>
      <c r="B878" s="283"/>
      <c r="C878" s="283"/>
      <c r="D878" s="283"/>
      <c r="E878" s="283"/>
      <c r="F878" s="283"/>
      <c r="G878" s="283"/>
      <c r="H878" s="284"/>
      <c r="I878" s="369" t="s">
        <v>705</v>
      </c>
      <c r="J878" s="370"/>
      <c r="K878" s="226"/>
      <c r="L878" s="111">
        <f t="shared" ref="L878:S878" si="676">L880</f>
        <v>43500</v>
      </c>
      <c r="M878" s="111">
        <f t="shared" si="676"/>
        <v>5773.4421660362332</v>
      </c>
      <c r="N878" s="112">
        <f t="shared" si="676"/>
        <v>20000</v>
      </c>
      <c r="O878" s="112">
        <f t="shared" si="676"/>
        <v>2654.4561682925209</v>
      </c>
      <c r="P878" s="113">
        <f t="shared" si="676"/>
        <v>6000</v>
      </c>
      <c r="Q878" s="113">
        <f t="shared" si="676"/>
        <v>9000</v>
      </c>
      <c r="R878" s="87">
        <f t="shared" si="676"/>
        <v>7400</v>
      </c>
      <c r="S878" s="89" t="e">
        <f t="shared" ca="1" si="676"/>
        <v>#NAME?</v>
      </c>
      <c r="T878" s="89"/>
      <c r="U878" s="89"/>
      <c r="V878" s="532">
        <f>V880</f>
        <v>9000</v>
      </c>
      <c r="W878" s="532">
        <f>W880</f>
        <v>9000</v>
      </c>
      <c r="X878" s="506">
        <f>X880</f>
        <v>10000</v>
      </c>
      <c r="Y878" s="507">
        <f>Y880</f>
        <v>11000</v>
      </c>
      <c r="Z878" s="507">
        <f>Z880</f>
        <v>0</v>
      </c>
      <c r="AA878" s="562" t="e">
        <f t="shared" ca="1" si="671"/>
        <v>#NAME?</v>
      </c>
      <c r="AB878" s="507"/>
      <c r="AC878" s="508">
        <f>AC880</f>
        <v>6000</v>
      </c>
      <c r="AD878" s="508">
        <f>AD880</f>
        <v>6000</v>
      </c>
      <c r="AE878" s="529">
        <f>O878/M878*100</f>
        <v>45.977011494252871</v>
      </c>
      <c r="AF878" s="529">
        <f>P878/O878*100</f>
        <v>226.03500000000003</v>
      </c>
      <c r="AG878" s="529">
        <f>Q878/P878*100</f>
        <v>150</v>
      </c>
      <c r="AH878" s="529">
        <f>AC878/Q878*100</f>
        <v>66.666666666666657</v>
      </c>
      <c r="AI878" s="507"/>
      <c r="AJ878" s="507">
        <v>11000</v>
      </c>
      <c r="AK878" s="507">
        <f t="shared" si="662"/>
        <v>121.62162162162163</v>
      </c>
      <c r="AL878" s="507">
        <f t="shared" si="663"/>
        <v>111.11111111111111</v>
      </c>
      <c r="AM878" s="507">
        <f t="shared" si="663"/>
        <v>110.00000000000001</v>
      </c>
      <c r="AN878" s="509"/>
      <c r="AO878" s="510"/>
      <c r="AP878" s="510" t="e">
        <f t="shared" ca="1" si="670"/>
        <v>#NAME?</v>
      </c>
      <c r="AQ878" s="532">
        <f>AQ880</f>
        <v>3100</v>
      </c>
      <c r="AR878" s="533">
        <f t="shared" si="673"/>
        <v>121.62162162162163</v>
      </c>
      <c r="AS878" s="533">
        <f>W878/V878*100</f>
        <v>100</v>
      </c>
      <c r="AT878" s="533">
        <f t="shared" si="674"/>
        <v>121.62162162162163</v>
      </c>
      <c r="AU878" s="533">
        <f>AQ878/W878*100</f>
        <v>34.444444444444443</v>
      </c>
      <c r="AV878" s="533">
        <f>AQ878/R878*100</f>
        <v>41.891891891891895</v>
      </c>
      <c r="AW878" s="612"/>
      <c r="AX878" s="612"/>
      <c r="AY878" s="612"/>
      <c r="AZ878" s="612"/>
      <c r="BA878" s="612"/>
      <c r="BB878" s="612"/>
      <c r="BC878" s="612"/>
      <c r="BD878" s="612"/>
      <c r="BE878" s="612"/>
      <c r="BF878" s="612"/>
      <c r="BG878" s="612"/>
      <c r="BH878" s="612">
        <f t="shared" si="672"/>
        <v>0</v>
      </c>
      <c r="BI878" s="612">
        <f t="shared" si="646"/>
        <v>0</v>
      </c>
      <c r="BJ878" s="201">
        <f>AQ885-BI878</f>
        <v>0</v>
      </c>
    </row>
    <row r="879" spans="1:62" ht="12" customHeight="1">
      <c r="A879" s="41"/>
      <c r="B879" s="41"/>
      <c r="C879" s="41"/>
      <c r="D879" s="41"/>
      <c r="E879" s="41"/>
      <c r="F879" s="41"/>
      <c r="G879" s="41"/>
      <c r="H879" s="235"/>
      <c r="I879" s="15"/>
      <c r="J879" s="3"/>
      <c r="K879" s="83"/>
      <c r="L879" s="84"/>
      <c r="M879" s="84"/>
      <c r="N879" s="85"/>
      <c r="O879" s="85"/>
      <c r="P879" s="86"/>
      <c r="Q879" s="86"/>
      <c r="R879" s="154"/>
      <c r="S879" s="158" t="e">
        <f ca="1">__xlfn.XLOOKUP(H879,[1]Izvršenje_proračuna_po_pozicija!$B$2:$B$153,[1]Izvršenje_proračuna_po_pozicija!$E$2:$E$153,0)</f>
        <v>#NAME?</v>
      </c>
      <c r="T879" s="158"/>
      <c r="U879" s="158"/>
      <c r="V879" s="532"/>
      <c r="W879" s="532"/>
      <c r="X879" s="568"/>
      <c r="Y879" s="569"/>
      <c r="Z879" s="569"/>
      <c r="AA879" s="562" t="e">
        <f t="shared" ca="1" si="671"/>
        <v>#NAME?</v>
      </c>
      <c r="AB879" s="537"/>
      <c r="AC879" s="538"/>
      <c r="AD879" s="538"/>
      <c r="AE879" s="529"/>
      <c r="AF879" s="529"/>
      <c r="AG879" s="529"/>
      <c r="AH879" s="529"/>
      <c r="AI879" s="537"/>
      <c r="AJ879" s="569"/>
      <c r="AK879" s="507"/>
      <c r="AL879" s="507"/>
      <c r="AM879" s="507"/>
      <c r="AN879" s="557"/>
      <c r="AO879" s="510"/>
      <c r="AP879" s="510" t="e">
        <f t="shared" ca="1" si="670"/>
        <v>#NAME?</v>
      </c>
      <c r="AQ879" s="532"/>
      <c r="AR879" s="533"/>
      <c r="AS879" s="533"/>
      <c r="AT879" s="533"/>
      <c r="AU879" s="533"/>
      <c r="AV879" s="533"/>
      <c r="AW879" s="612"/>
      <c r="AX879" s="612"/>
      <c r="AY879" s="612"/>
      <c r="AZ879" s="612"/>
      <c r="BA879" s="612"/>
      <c r="BB879" s="612"/>
      <c r="BC879" s="612"/>
      <c r="BD879" s="612"/>
      <c r="BE879" s="612"/>
      <c r="BF879" s="612"/>
      <c r="BG879" s="612"/>
      <c r="BH879" s="612">
        <f t="shared" si="672"/>
        <v>0</v>
      </c>
      <c r="BI879" s="612">
        <f t="shared" si="646"/>
        <v>0</v>
      </c>
      <c r="BJ879" s="201"/>
    </row>
    <row r="880" spans="1:62" ht="12" customHeight="1">
      <c r="A880" s="25"/>
      <c r="B880" s="25"/>
      <c r="C880" s="25"/>
      <c r="D880" s="25"/>
      <c r="E880" s="25"/>
      <c r="F880" s="25"/>
      <c r="G880" s="25"/>
      <c r="H880" s="285"/>
      <c r="I880" s="349"/>
      <c r="J880" s="211">
        <v>3</v>
      </c>
      <c r="K880" s="3" t="s">
        <v>220</v>
      </c>
      <c r="L880" s="111">
        <f t="shared" ref="L880:AD883" si="677">L881</f>
        <v>43500</v>
      </c>
      <c r="M880" s="111">
        <f t="shared" si="677"/>
        <v>5773.4421660362332</v>
      </c>
      <c r="N880" s="112">
        <f t="shared" si="677"/>
        <v>20000</v>
      </c>
      <c r="O880" s="112">
        <f t="shared" si="677"/>
        <v>2654.4561682925209</v>
      </c>
      <c r="P880" s="113">
        <f t="shared" si="677"/>
        <v>6000</v>
      </c>
      <c r="Q880" s="113">
        <f t="shared" si="677"/>
        <v>9000</v>
      </c>
      <c r="R880" s="87">
        <f t="shared" si="677"/>
        <v>7400</v>
      </c>
      <c r="S880" s="89" t="e">
        <f t="shared" ca="1" si="677"/>
        <v>#NAME?</v>
      </c>
      <c r="T880" s="89"/>
      <c r="U880" s="89"/>
      <c r="V880" s="532">
        <f>V881</f>
        <v>9000</v>
      </c>
      <c r="W880" s="532">
        <f t="shared" si="677"/>
        <v>9000</v>
      </c>
      <c r="X880" s="506">
        <f t="shared" si="677"/>
        <v>10000</v>
      </c>
      <c r="Y880" s="507">
        <f t="shared" si="677"/>
        <v>11000</v>
      </c>
      <c r="Z880" s="507">
        <f t="shared" si="677"/>
        <v>0</v>
      </c>
      <c r="AA880" s="562" t="e">
        <f t="shared" ca="1" si="671"/>
        <v>#NAME?</v>
      </c>
      <c r="AB880" s="507"/>
      <c r="AC880" s="508">
        <f t="shared" si="677"/>
        <v>6000</v>
      </c>
      <c r="AD880" s="508">
        <f t="shared" si="677"/>
        <v>6000</v>
      </c>
      <c r="AE880" s="529">
        <f>O880/M880*100</f>
        <v>45.977011494252871</v>
      </c>
      <c r="AF880" s="529">
        <f t="shared" ref="AF880:AG884" si="678">P880/O880*100</f>
        <v>226.03500000000003</v>
      </c>
      <c r="AG880" s="529">
        <f t="shared" si="678"/>
        <v>150</v>
      </c>
      <c r="AH880" s="529">
        <f>AC880/Q880*100</f>
        <v>66.666666666666657</v>
      </c>
      <c r="AI880" s="507"/>
      <c r="AJ880" s="507">
        <v>11000</v>
      </c>
      <c r="AK880" s="507">
        <f t="shared" si="662"/>
        <v>121.62162162162163</v>
      </c>
      <c r="AL880" s="507">
        <f t="shared" si="663"/>
        <v>111.11111111111111</v>
      </c>
      <c r="AM880" s="507">
        <f t="shared" si="663"/>
        <v>110.00000000000001</v>
      </c>
      <c r="AN880" s="509"/>
      <c r="AO880" s="510"/>
      <c r="AP880" s="510" t="e">
        <f t="shared" ca="1" si="670"/>
        <v>#NAME?</v>
      </c>
      <c r="AQ880" s="532">
        <f>AQ881</f>
        <v>3100</v>
      </c>
      <c r="AR880" s="533">
        <f t="shared" si="673"/>
        <v>121.62162162162163</v>
      </c>
      <c r="AS880" s="533">
        <f>W880/V880*100</f>
        <v>100</v>
      </c>
      <c r="AT880" s="533">
        <f t="shared" si="674"/>
        <v>121.62162162162163</v>
      </c>
      <c r="AU880" s="533">
        <f>AQ880/W880*100</f>
        <v>34.444444444444443</v>
      </c>
      <c r="AV880" s="533">
        <f>AQ880/R880*100</f>
        <v>41.891891891891895</v>
      </c>
      <c r="AW880" s="612"/>
      <c r="AX880" s="612"/>
      <c r="AY880" s="612"/>
      <c r="AZ880" s="612"/>
      <c r="BA880" s="612"/>
      <c r="BB880" s="612"/>
      <c r="BC880" s="612"/>
      <c r="BD880" s="612"/>
      <c r="BE880" s="612"/>
      <c r="BF880" s="612"/>
      <c r="BG880" s="612"/>
      <c r="BH880" s="612">
        <f t="shared" si="672"/>
        <v>0</v>
      </c>
      <c r="BI880" s="612">
        <f t="shared" si="646"/>
        <v>0</v>
      </c>
      <c r="BJ880" s="201">
        <f>AQ887-BI880</f>
        <v>0</v>
      </c>
    </row>
    <row r="881" spans="1:62" ht="12" customHeight="1">
      <c r="A881" s="227"/>
      <c r="B881" s="227"/>
      <c r="C881" s="227"/>
      <c r="D881" s="227"/>
      <c r="E881" s="227"/>
      <c r="F881" s="227"/>
      <c r="G881" s="227"/>
      <c r="H881" s="234"/>
      <c r="I881" s="265"/>
      <c r="J881" s="228">
        <v>38</v>
      </c>
      <c r="K881" s="258" t="s">
        <v>281</v>
      </c>
      <c r="L881" s="111">
        <f t="shared" si="677"/>
        <v>43500</v>
      </c>
      <c r="M881" s="111">
        <f t="shared" si="677"/>
        <v>5773.4421660362332</v>
      </c>
      <c r="N881" s="112">
        <f t="shared" si="677"/>
        <v>20000</v>
      </c>
      <c r="O881" s="112">
        <f t="shared" si="677"/>
        <v>2654.4561682925209</v>
      </c>
      <c r="P881" s="113">
        <f t="shared" si="677"/>
        <v>6000</v>
      </c>
      <c r="Q881" s="113">
        <f t="shared" si="677"/>
        <v>9000</v>
      </c>
      <c r="R881" s="87">
        <f t="shared" si="677"/>
        <v>7400</v>
      </c>
      <c r="S881" s="89" t="e">
        <f t="shared" ca="1" si="677"/>
        <v>#NAME?</v>
      </c>
      <c r="T881" s="89"/>
      <c r="U881" s="89"/>
      <c r="V881" s="532">
        <f>V882</f>
        <v>9000</v>
      </c>
      <c r="W881" s="532">
        <f t="shared" si="677"/>
        <v>9000</v>
      </c>
      <c r="X881" s="506">
        <f t="shared" si="677"/>
        <v>10000</v>
      </c>
      <c r="Y881" s="507">
        <f t="shared" si="677"/>
        <v>11000</v>
      </c>
      <c r="Z881" s="507">
        <f t="shared" si="677"/>
        <v>0</v>
      </c>
      <c r="AA881" s="562" t="e">
        <f t="shared" ca="1" si="671"/>
        <v>#NAME?</v>
      </c>
      <c r="AB881" s="507"/>
      <c r="AC881" s="508">
        <f t="shared" si="677"/>
        <v>6000</v>
      </c>
      <c r="AD881" s="508">
        <f t="shared" si="677"/>
        <v>6000</v>
      </c>
      <c r="AE881" s="529">
        <f>O881/M881*100</f>
        <v>45.977011494252871</v>
      </c>
      <c r="AF881" s="529">
        <f t="shared" si="678"/>
        <v>226.03500000000003</v>
      </c>
      <c r="AG881" s="529">
        <f t="shared" si="678"/>
        <v>150</v>
      </c>
      <c r="AH881" s="529">
        <f>AC881/Q881*100</f>
        <v>66.666666666666657</v>
      </c>
      <c r="AI881" s="507"/>
      <c r="AJ881" s="507">
        <v>11000</v>
      </c>
      <c r="AK881" s="507">
        <f t="shared" si="662"/>
        <v>121.62162162162163</v>
      </c>
      <c r="AL881" s="507">
        <f t="shared" si="663"/>
        <v>111.11111111111111</v>
      </c>
      <c r="AM881" s="507">
        <f t="shared" si="663"/>
        <v>110.00000000000001</v>
      </c>
      <c r="AN881" s="509"/>
      <c r="AO881" s="510"/>
      <c r="AP881" s="510" t="e">
        <f t="shared" ca="1" si="670"/>
        <v>#NAME?</v>
      </c>
      <c r="AQ881" s="532">
        <f>AQ882</f>
        <v>3100</v>
      </c>
      <c r="AR881" s="533">
        <f t="shared" si="673"/>
        <v>121.62162162162163</v>
      </c>
      <c r="AS881" s="533">
        <f>W881/V881*100</f>
        <v>100</v>
      </c>
      <c r="AT881" s="533">
        <f t="shared" si="674"/>
        <v>121.62162162162163</v>
      </c>
      <c r="AU881" s="533">
        <f>AQ881/W881*100</f>
        <v>34.444444444444443</v>
      </c>
      <c r="AV881" s="533">
        <f>AQ881/R881*100</f>
        <v>41.891891891891895</v>
      </c>
      <c r="AW881" s="612"/>
      <c r="AX881" s="612"/>
      <c r="AY881" s="612"/>
      <c r="AZ881" s="612"/>
      <c r="BA881" s="612"/>
      <c r="BB881" s="612"/>
      <c r="BC881" s="612"/>
      <c r="BD881" s="612"/>
      <c r="BE881" s="612"/>
      <c r="BF881" s="612"/>
      <c r="BG881" s="612"/>
      <c r="BH881" s="612">
        <f t="shared" si="672"/>
        <v>0</v>
      </c>
      <c r="BI881" s="612">
        <f t="shared" si="646"/>
        <v>0</v>
      </c>
      <c r="BJ881" s="201"/>
    </row>
    <row r="882" spans="1:62" ht="12" customHeight="1">
      <c r="A882" s="61"/>
      <c r="B882" s="61"/>
      <c r="C882" s="61"/>
      <c r="D882" s="61"/>
      <c r="E882" s="61"/>
      <c r="F882" s="61"/>
      <c r="G882" s="61"/>
      <c r="H882" s="230"/>
      <c r="I882" s="348"/>
      <c r="J882" s="229">
        <v>381</v>
      </c>
      <c r="K882" s="20" t="s">
        <v>397</v>
      </c>
      <c r="L882" s="111">
        <f t="shared" si="677"/>
        <v>43500</v>
      </c>
      <c r="M882" s="111">
        <f t="shared" si="677"/>
        <v>5773.4421660362332</v>
      </c>
      <c r="N882" s="112">
        <f t="shared" si="677"/>
        <v>20000</v>
      </c>
      <c r="O882" s="112">
        <f t="shared" si="677"/>
        <v>2654.4561682925209</v>
      </c>
      <c r="P882" s="113">
        <f t="shared" si="677"/>
        <v>6000</v>
      </c>
      <c r="Q882" s="113">
        <f t="shared" si="677"/>
        <v>9000</v>
      </c>
      <c r="R882" s="87">
        <f t="shared" si="677"/>
        <v>7400</v>
      </c>
      <c r="S882" s="89" t="e">
        <f t="shared" ca="1" si="677"/>
        <v>#NAME?</v>
      </c>
      <c r="T882" s="89"/>
      <c r="U882" s="89"/>
      <c r="V882" s="532">
        <f>V883</f>
        <v>9000</v>
      </c>
      <c r="W882" s="532">
        <f t="shared" si="677"/>
        <v>9000</v>
      </c>
      <c r="X882" s="506">
        <f t="shared" si="677"/>
        <v>10000</v>
      </c>
      <c r="Y882" s="507">
        <f t="shared" si="677"/>
        <v>11000</v>
      </c>
      <c r="Z882" s="507">
        <f t="shared" si="677"/>
        <v>0</v>
      </c>
      <c r="AA882" s="562" t="e">
        <f t="shared" ca="1" si="671"/>
        <v>#NAME?</v>
      </c>
      <c r="AB882" s="507"/>
      <c r="AC882" s="508">
        <f t="shared" si="677"/>
        <v>6000</v>
      </c>
      <c r="AD882" s="508">
        <f t="shared" si="677"/>
        <v>6000</v>
      </c>
      <c r="AE882" s="529">
        <f>O882/M882*100</f>
        <v>45.977011494252871</v>
      </c>
      <c r="AF882" s="529">
        <f t="shared" si="678"/>
        <v>226.03500000000003</v>
      </c>
      <c r="AG882" s="529">
        <f t="shared" si="678"/>
        <v>150</v>
      </c>
      <c r="AH882" s="529">
        <f>AC882/Q882*100</f>
        <v>66.666666666666657</v>
      </c>
      <c r="AI882" s="507"/>
      <c r="AJ882" s="507">
        <v>11000</v>
      </c>
      <c r="AK882" s="507">
        <f t="shared" si="662"/>
        <v>121.62162162162163</v>
      </c>
      <c r="AL882" s="507">
        <f t="shared" si="663"/>
        <v>111.11111111111111</v>
      </c>
      <c r="AM882" s="507">
        <f t="shared" si="663"/>
        <v>110.00000000000001</v>
      </c>
      <c r="AN882" s="509"/>
      <c r="AO882" s="510"/>
      <c r="AP882" s="510" t="e">
        <f t="shared" ca="1" si="670"/>
        <v>#NAME?</v>
      </c>
      <c r="AQ882" s="532">
        <f>AQ883</f>
        <v>3100</v>
      </c>
      <c r="AR882" s="532">
        <f t="shared" ref="AR882:BE883" si="679">AR883</f>
        <v>121.62162162162163</v>
      </c>
      <c r="AS882" s="532">
        <f t="shared" si="679"/>
        <v>100</v>
      </c>
      <c r="AT882" s="532">
        <f t="shared" si="679"/>
        <v>121.62162162162163</v>
      </c>
      <c r="AU882" s="532">
        <f t="shared" si="679"/>
        <v>34.444444444444443</v>
      </c>
      <c r="AV882" s="532">
        <f t="shared" si="679"/>
        <v>41.891891891891895</v>
      </c>
      <c r="AW882" s="612">
        <f t="shared" si="679"/>
        <v>3100</v>
      </c>
      <c r="AX882" s="612">
        <f t="shared" si="679"/>
        <v>0</v>
      </c>
      <c r="AY882" s="612">
        <f t="shared" si="679"/>
        <v>0</v>
      </c>
      <c r="AZ882" s="612">
        <f t="shared" si="679"/>
        <v>0</v>
      </c>
      <c r="BA882" s="612">
        <f t="shared" si="679"/>
        <v>0</v>
      </c>
      <c r="BB882" s="612">
        <f t="shared" si="679"/>
        <v>0</v>
      </c>
      <c r="BC882" s="612">
        <f t="shared" si="679"/>
        <v>0</v>
      </c>
      <c r="BD882" s="612">
        <f t="shared" si="679"/>
        <v>0</v>
      </c>
      <c r="BE882" s="612">
        <f t="shared" si="679"/>
        <v>0</v>
      </c>
      <c r="BF882" s="612"/>
      <c r="BG882" s="612"/>
      <c r="BH882" s="612">
        <f t="shared" si="672"/>
        <v>3100</v>
      </c>
      <c r="BI882" s="612">
        <f t="shared" si="646"/>
        <v>0</v>
      </c>
      <c r="BJ882" s="201"/>
    </row>
    <row r="883" spans="1:62" ht="12" customHeight="1">
      <c r="A883" s="52"/>
      <c r="B883" s="52"/>
      <c r="C883" s="52"/>
      <c r="D883" s="52"/>
      <c r="E883" s="52"/>
      <c r="F883" s="52"/>
      <c r="G883" s="52"/>
      <c r="H883" s="2"/>
      <c r="I883" s="289"/>
      <c r="J883" s="185">
        <v>3811</v>
      </c>
      <c r="K883" s="19" t="s">
        <v>282</v>
      </c>
      <c r="L883" s="111">
        <f t="shared" si="677"/>
        <v>43500</v>
      </c>
      <c r="M883" s="111">
        <f t="shared" si="677"/>
        <v>5773.4421660362332</v>
      </c>
      <c r="N883" s="112">
        <f t="shared" si="677"/>
        <v>20000</v>
      </c>
      <c r="O883" s="112">
        <f t="shared" si="677"/>
        <v>2654.4561682925209</v>
      </c>
      <c r="P883" s="113">
        <f t="shared" si="677"/>
        <v>6000</v>
      </c>
      <c r="Q883" s="113">
        <f t="shared" si="677"/>
        <v>9000</v>
      </c>
      <c r="R883" s="87">
        <f t="shared" si="677"/>
        <v>7400</v>
      </c>
      <c r="S883" s="89" t="e">
        <f t="shared" ca="1" si="677"/>
        <v>#NAME?</v>
      </c>
      <c r="T883" s="89"/>
      <c r="U883" s="89"/>
      <c r="V883" s="532">
        <f>V884</f>
        <v>9000</v>
      </c>
      <c r="W883" s="532">
        <f t="shared" si="677"/>
        <v>9000</v>
      </c>
      <c r="X883" s="506">
        <f t="shared" si="677"/>
        <v>10000</v>
      </c>
      <c r="Y883" s="507">
        <f t="shared" si="677"/>
        <v>11000</v>
      </c>
      <c r="Z883" s="507">
        <f t="shared" si="677"/>
        <v>0</v>
      </c>
      <c r="AA883" s="562" t="e">
        <f t="shared" ca="1" si="671"/>
        <v>#NAME?</v>
      </c>
      <c r="AB883" s="507"/>
      <c r="AC883" s="508">
        <f>AC884</f>
        <v>6000</v>
      </c>
      <c r="AD883" s="508">
        <f>AD884</f>
        <v>6000</v>
      </c>
      <c r="AE883" s="529">
        <f>O883/M883*100</f>
        <v>45.977011494252871</v>
      </c>
      <c r="AF883" s="529">
        <f t="shared" si="678"/>
        <v>226.03500000000003</v>
      </c>
      <c r="AG883" s="529">
        <f t="shared" si="678"/>
        <v>150</v>
      </c>
      <c r="AH883" s="529">
        <f>AC883/Q883*100</f>
        <v>66.666666666666657</v>
      </c>
      <c r="AI883" s="507"/>
      <c r="AJ883" s="507">
        <v>11000</v>
      </c>
      <c r="AK883" s="507">
        <f t="shared" si="662"/>
        <v>121.62162162162163</v>
      </c>
      <c r="AL883" s="507">
        <f t="shared" si="663"/>
        <v>111.11111111111111</v>
      </c>
      <c r="AM883" s="507">
        <f t="shared" si="663"/>
        <v>110.00000000000001</v>
      </c>
      <c r="AN883" s="509"/>
      <c r="AO883" s="510"/>
      <c r="AP883" s="510" t="e">
        <f t="shared" ca="1" si="670"/>
        <v>#NAME?</v>
      </c>
      <c r="AQ883" s="532">
        <f>AQ884</f>
        <v>3100</v>
      </c>
      <c r="AR883" s="532">
        <f t="shared" si="679"/>
        <v>121.62162162162163</v>
      </c>
      <c r="AS883" s="532">
        <f t="shared" si="679"/>
        <v>100</v>
      </c>
      <c r="AT883" s="532">
        <f t="shared" si="679"/>
        <v>121.62162162162163</v>
      </c>
      <c r="AU883" s="532">
        <f t="shared" si="679"/>
        <v>34.444444444444443</v>
      </c>
      <c r="AV883" s="532">
        <f t="shared" si="679"/>
        <v>41.891891891891895</v>
      </c>
      <c r="AW883" s="612">
        <f t="shared" si="679"/>
        <v>3100</v>
      </c>
      <c r="AX883" s="612">
        <f t="shared" si="679"/>
        <v>0</v>
      </c>
      <c r="AY883" s="612">
        <f t="shared" si="679"/>
        <v>0</v>
      </c>
      <c r="AZ883" s="612">
        <f t="shared" si="679"/>
        <v>0</v>
      </c>
      <c r="BA883" s="612">
        <f t="shared" si="679"/>
        <v>0</v>
      </c>
      <c r="BB883" s="612"/>
      <c r="BC883" s="612"/>
      <c r="BD883" s="612"/>
      <c r="BE883" s="612"/>
      <c r="BF883" s="612"/>
      <c r="BG883" s="612"/>
      <c r="BH883" s="612">
        <f t="shared" si="672"/>
        <v>3100</v>
      </c>
      <c r="BI883" s="612">
        <f t="shared" si="646"/>
        <v>1061.8</v>
      </c>
      <c r="BJ883" s="201"/>
    </row>
    <row r="884" spans="1:62" ht="12" customHeight="1">
      <c r="A884" s="52"/>
      <c r="B884" s="52"/>
      <c r="C884" s="52"/>
      <c r="D884" s="52"/>
      <c r="E884" s="52"/>
      <c r="F884" s="52"/>
      <c r="G884" s="52"/>
      <c r="H884" s="2">
        <v>136</v>
      </c>
      <c r="I884" s="289">
        <v>840</v>
      </c>
      <c r="J884" s="185">
        <v>3811</v>
      </c>
      <c r="K884" s="19" t="s">
        <v>706</v>
      </c>
      <c r="L884" s="129">
        <v>43500</v>
      </c>
      <c r="M884" s="129">
        <f>43500/7.5345</f>
        <v>5773.4421660362332</v>
      </c>
      <c r="N884" s="130">
        <v>20000</v>
      </c>
      <c r="O884" s="130">
        <f>N884/7.5345</f>
        <v>2654.4561682925209</v>
      </c>
      <c r="P884" s="131">
        <v>6000</v>
      </c>
      <c r="Q884" s="156">
        <v>9000</v>
      </c>
      <c r="R884" s="153">
        <v>7400</v>
      </c>
      <c r="S884" s="158" t="e">
        <f ca="1">__xlfn.XLOOKUP(H884,[1]Izvršenje_proračuna_po_pozicija!$B$2:$B$153,[1]Izvršenje_proračuna_po_pozicija!$E$2:$E$153,0)</f>
        <v>#NAME?</v>
      </c>
      <c r="T884" s="158"/>
      <c r="U884" s="158"/>
      <c r="V884" s="532">
        <v>9000</v>
      </c>
      <c r="W884" s="532">
        <v>9000</v>
      </c>
      <c r="X884" s="560">
        <v>10000</v>
      </c>
      <c r="Y884" s="561">
        <v>11000</v>
      </c>
      <c r="Z884" s="561"/>
      <c r="AA884" s="562" t="e">
        <f t="shared" ca="1" si="671"/>
        <v>#NAME?</v>
      </c>
      <c r="AB884" s="535"/>
      <c r="AC884" s="529">
        <v>6000</v>
      </c>
      <c r="AD884" s="529">
        <v>6000</v>
      </c>
      <c r="AE884" s="529">
        <f>O884/M884*100</f>
        <v>45.977011494252871</v>
      </c>
      <c r="AF884" s="529">
        <f t="shared" si="678"/>
        <v>226.03500000000003</v>
      </c>
      <c r="AG884" s="529">
        <f t="shared" si="678"/>
        <v>150</v>
      </c>
      <c r="AH884" s="529">
        <f>AC884/Q884*100</f>
        <v>66.666666666666657</v>
      </c>
      <c r="AI884" s="535"/>
      <c r="AJ884" s="561">
        <v>11000</v>
      </c>
      <c r="AK884" s="507">
        <f t="shared" si="662"/>
        <v>121.62162162162163</v>
      </c>
      <c r="AL884" s="507">
        <f t="shared" si="663"/>
        <v>111.11111111111111</v>
      </c>
      <c r="AM884" s="507">
        <f t="shared" si="663"/>
        <v>110.00000000000001</v>
      </c>
      <c r="AN884" s="556"/>
      <c r="AO884" s="510"/>
      <c r="AP884" s="510" t="e">
        <f t="shared" ca="1" si="670"/>
        <v>#NAME?</v>
      </c>
      <c r="AQ884" s="532">
        <v>3100</v>
      </c>
      <c r="AR884" s="533">
        <f t="shared" si="673"/>
        <v>121.62162162162163</v>
      </c>
      <c r="AS884" s="533">
        <f>W884/V884*100</f>
        <v>100</v>
      </c>
      <c r="AT884" s="533">
        <f t="shared" si="674"/>
        <v>121.62162162162163</v>
      </c>
      <c r="AU884" s="533">
        <f>AQ884/W884*100</f>
        <v>34.444444444444443</v>
      </c>
      <c r="AV884" s="533">
        <f>AQ884/R884*100</f>
        <v>41.891891891891895</v>
      </c>
      <c r="AW884" s="612">
        <v>3100</v>
      </c>
      <c r="AX884" s="612"/>
      <c r="AY884" s="612"/>
      <c r="AZ884" s="612"/>
      <c r="BA884" s="612"/>
      <c r="BB884" s="612"/>
      <c r="BC884" s="612"/>
      <c r="BD884" s="612"/>
      <c r="BE884" s="612"/>
      <c r="BF884" s="612"/>
      <c r="BG884" s="612"/>
      <c r="BH884" s="612">
        <f t="shared" si="672"/>
        <v>3100</v>
      </c>
      <c r="BI884" s="612">
        <f t="shared" si="646"/>
        <v>1061.8</v>
      </c>
      <c r="BJ884" s="201"/>
    </row>
    <row r="885" spans="1:62" ht="12" customHeight="1">
      <c r="A885" s="68"/>
      <c r="B885" s="68"/>
      <c r="C885" s="68"/>
      <c r="D885" s="68"/>
      <c r="E885" s="68"/>
      <c r="F885" s="68"/>
      <c r="G885" s="68"/>
      <c r="H885" s="319"/>
      <c r="I885" s="4"/>
      <c r="J885" s="8"/>
      <c r="K885" s="8"/>
      <c r="L885" s="84"/>
      <c r="M885" s="84"/>
      <c r="N885" s="85"/>
      <c r="O885" s="85"/>
      <c r="P885" s="86"/>
      <c r="Q885" s="86"/>
      <c r="R885" s="154"/>
      <c r="S885" s="158" t="e">
        <f ca="1">__xlfn.XLOOKUP(H885,[1]Izvršenje_proračuna_po_pozicija!$B$2:$B$153,[1]Izvršenje_proračuna_po_pozicija!$E$2:$E$153,0)</f>
        <v>#NAME?</v>
      </c>
      <c r="T885" s="158"/>
      <c r="U885" s="158"/>
      <c r="V885" s="532"/>
      <c r="W885" s="532"/>
      <c r="X885" s="568"/>
      <c r="Y885" s="569"/>
      <c r="Z885" s="569"/>
      <c r="AA885" s="562" t="e">
        <f t="shared" ca="1" si="671"/>
        <v>#NAME?</v>
      </c>
      <c r="AB885" s="537"/>
      <c r="AC885" s="538"/>
      <c r="AD885" s="538"/>
      <c r="AE885" s="529"/>
      <c r="AF885" s="529"/>
      <c r="AG885" s="529"/>
      <c r="AH885" s="529"/>
      <c r="AI885" s="537"/>
      <c r="AJ885" s="569"/>
      <c r="AK885" s="507"/>
      <c r="AL885" s="507"/>
      <c r="AM885" s="507"/>
      <c r="AN885" s="557"/>
      <c r="AO885" s="510"/>
      <c r="AP885" s="510" t="e">
        <f t="shared" ca="1" si="670"/>
        <v>#NAME?</v>
      </c>
      <c r="AQ885" s="532"/>
      <c r="AR885" s="533"/>
      <c r="AS885" s="533"/>
      <c r="AT885" s="533"/>
      <c r="AU885" s="533"/>
      <c r="AV885" s="533"/>
      <c r="AW885" s="612"/>
      <c r="AX885" s="612"/>
      <c r="AY885" s="612"/>
      <c r="AZ885" s="612"/>
      <c r="BA885" s="612"/>
      <c r="BB885" s="612"/>
      <c r="BC885" s="612"/>
      <c r="BD885" s="612"/>
      <c r="BE885" s="612"/>
      <c r="BF885" s="612"/>
      <c r="BG885" s="612"/>
      <c r="BH885" s="612">
        <f t="shared" si="672"/>
        <v>0</v>
      </c>
      <c r="BI885" s="612">
        <f t="shared" si="646"/>
        <v>1061.8</v>
      </c>
      <c r="BJ885" s="201">
        <f>AQ892-BI885</f>
        <v>0</v>
      </c>
    </row>
    <row r="886" spans="1:62" ht="12" customHeight="1">
      <c r="A886" s="282" t="s">
        <v>356</v>
      </c>
      <c r="B886" s="283"/>
      <c r="C886" s="283"/>
      <c r="D886" s="283"/>
      <c r="E886" s="283"/>
      <c r="F886" s="283"/>
      <c r="G886" s="283"/>
      <c r="H886" s="284"/>
      <c r="I886" s="369" t="s">
        <v>707</v>
      </c>
      <c r="J886" s="370"/>
      <c r="K886" s="226"/>
      <c r="L886" s="111">
        <f t="shared" ref="L886:S886" si="680">L888</f>
        <v>0</v>
      </c>
      <c r="M886" s="111">
        <f t="shared" si="680"/>
        <v>0</v>
      </c>
      <c r="N886" s="112">
        <f t="shared" si="680"/>
        <v>66038</v>
      </c>
      <c r="O886" s="112">
        <f t="shared" si="680"/>
        <v>8764.7488220850755</v>
      </c>
      <c r="P886" s="113">
        <f t="shared" si="680"/>
        <v>3500</v>
      </c>
      <c r="Q886" s="113">
        <f t="shared" si="680"/>
        <v>3500</v>
      </c>
      <c r="R886" s="87">
        <f t="shared" si="680"/>
        <v>3238</v>
      </c>
      <c r="S886" s="89" t="e">
        <f t="shared" ca="1" si="680"/>
        <v>#NAME?</v>
      </c>
      <c r="T886" s="89"/>
      <c r="U886" s="89"/>
      <c r="V886" s="532">
        <f>V888</f>
        <v>3500</v>
      </c>
      <c r="W886" s="532">
        <f>W888</f>
        <v>3500</v>
      </c>
      <c r="X886" s="506">
        <f>X888</f>
        <v>4000</v>
      </c>
      <c r="Y886" s="507">
        <f>Y888</f>
        <v>5000</v>
      </c>
      <c r="Z886" s="507">
        <f>Z888</f>
        <v>0</v>
      </c>
      <c r="AA886" s="562" t="e">
        <f t="shared" ca="1" si="671"/>
        <v>#NAME?</v>
      </c>
      <c r="AB886" s="507"/>
      <c r="AC886" s="508">
        <f>AC888</f>
        <v>3500</v>
      </c>
      <c r="AD886" s="508">
        <f>AD888</f>
        <v>3500</v>
      </c>
      <c r="AE886" s="529"/>
      <c r="AF886" s="529"/>
      <c r="AG886" s="529"/>
      <c r="AH886" s="529"/>
      <c r="AI886" s="507"/>
      <c r="AJ886" s="507">
        <v>5000</v>
      </c>
      <c r="AK886" s="507">
        <f t="shared" si="662"/>
        <v>108.09141445336627</v>
      </c>
      <c r="AL886" s="507">
        <f t="shared" si="663"/>
        <v>114.28571428571428</v>
      </c>
      <c r="AM886" s="507">
        <f t="shared" si="663"/>
        <v>125</v>
      </c>
      <c r="AN886" s="509"/>
      <c r="AO886" s="510"/>
      <c r="AP886" s="510" t="e">
        <f t="shared" ca="1" si="670"/>
        <v>#NAME?</v>
      </c>
      <c r="AQ886" s="532">
        <f>AQ888</f>
        <v>1061.8</v>
      </c>
      <c r="AR886" s="533">
        <f t="shared" si="673"/>
        <v>108.09141445336627</v>
      </c>
      <c r="AS886" s="533">
        <f>W886/V886*100</f>
        <v>100</v>
      </c>
      <c r="AT886" s="533">
        <f t="shared" si="674"/>
        <v>108.09141445336627</v>
      </c>
      <c r="AU886" s="533">
        <f>AQ886/W886*100</f>
        <v>30.337142857142858</v>
      </c>
      <c r="AV886" s="533">
        <f>AQ886/R886*100</f>
        <v>32.791846819024087</v>
      </c>
      <c r="AW886" s="612"/>
      <c r="AX886" s="612"/>
      <c r="AY886" s="612"/>
      <c r="AZ886" s="612"/>
      <c r="BA886" s="612"/>
      <c r="BB886" s="612"/>
      <c r="BC886" s="612"/>
      <c r="BD886" s="612"/>
      <c r="BE886" s="612"/>
      <c r="BF886" s="612"/>
      <c r="BG886" s="612"/>
      <c r="BH886" s="612">
        <f t="shared" si="672"/>
        <v>0</v>
      </c>
      <c r="BI886" s="612">
        <f t="shared" si="646"/>
        <v>0</v>
      </c>
      <c r="BJ886" s="201"/>
    </row>
    <row r="887" spans="1:62" ht="12" customHeight="1">
      <c r="A887" s="52"/>
      <c r="B887" s="52"/>
      <c r="C887" s="52"/>
      <c r="D887" s="52"/>
      <c r="E887" s="52"/>
      <c r="F887" s="52"/>
      <c r="G887" s="52"/>
      <c r="H887" s="2"/>
      <c r="I887" s="289"/>
      <c r="J887" s="185"/>
      <c r="K887" s="19"/>
      <c r="L887" s="350"/>
      <c r="M887" s="350"/>
      <c r="N887" s="351"/>
      <c r="O887" s="351"/>
      <c r="P887" s="352"/>
      <c r="Q887" s="352"/>
      <c r="R887" s="212"/>
      <c r="S887" s="158" t="e">
        <f ca="1">__xlfn.XLOOKUP(H887,[1]Izvršenje_proračuna_po_pozicija!$B$2:$B$153,[1]Izvršenje_proračuna_po_pozicija!$E$2:$E$153,0)</f>
        <v>#NAME?</v>
      </c>
      <c r="T887" s="158"/>
      <c r="U887" s="158"/>
      <c r="V887" s="532"/>
      <c r="W887" s="532"/>
      <c r="X887" s="563"/>
      <c r="Y887" s="562"/>
      <c r="Z887" s="562"/>
      <c r="AA887" s="562" t="e">
        <f t="shared" ca="1" si="671"/>
        <v>#NAME?</v>
      </c>
      <c r="AB887" s="507"/>
      <c r="AC887" s="508"/>
      <c r="AD887" s="508"/>
      <c r="AE887" s="529"/>
      <c r="AF887" s="529"/>
      <c r="AG887" s="529"/>
      <c r="AH887" s="529"/>
      <c r="AI887" s="507"/>
      <c r="AJ887" s="562"/>
      <c r="AK887" s="507"/>
      <c r="AL887" s="507"/>
      <c r="AM887" s="507"/>
      <c r="AN887" s="509"/>
      <c r="AO887" s="510"/>
      <c r="AP887" s="510" t="e">
        <f t="shared" ca="1" si="670"/>
        <v>#NAME?</v>
      </c>
      <c r="AQ887" s="532"/>
      <c r="AR887" s="533"/>
      <c r="AS887" s="533"/>
      <c r="AT887" s="533"/>
      <c r="AU887" s="533"/>
      <c r="AV887" s="533"/>
      <c r="AW887" s="612"/>
      <c r="AX887" s="612"/>
      <c r="AY887" s="612"/>
      <c r="AZ887" s="612"/>
      <c r="BA887" s="612"/>
      <c r="BB887" s="612"/>
      <c r="BC887" s="612"/>
      <c r="BD887" s="612"/>
      <c r="BE887" s="612"/>
      <c r="BF887" s="612"/>
      <c r="BG887" s="612"/>
      <c r="BH887" s="612">
        <f t="shared" si="672"/>
        <v>0</v>
      </c>
      <c r="BI887" s="612">
        <f t="shared" si="646"/>
        <v>0</v>
      </c>
      <c r="BJ887" s="201"/>
    </row>
    <row r="888" spans="1:62" ht="12" customHeight="1">
      <c r="A888" s="25"/>
      <c r="B888" s="25"/>
      <c r="C888" s="25"/>
      <c r="D888" s="25"/>
      <c r="E888" s="25"/>
      <c r="F888" s="25"/>
      <c r="G888" s="25"/>
      <c r="H888" s="285"/>
      <c r="I888" s="349"/>
      <c r="J888" s="211">
        <v>3</v>
      </c>
      <c r="K888" s="3" t="s">
        <v>220</v>
      </c>
      <c r="L888" s="111">
        <f t="shared" ref="L888:AD891" si="681">L889</f>
        <v>0</v>
      </c>
      <c r="M888" s="111">
        <f t="shared" si="681"/>
        <v>0</v>
      </c>
      <c r="N888" s="112">
        <f t="shared" si="681"/>
        <v>66038</v>
      </c>
      <c r="O888" s="112">
        <f t="shared" si="681"/>
        <v>8764.7488220850755</v>
      </c>
      <c r="P888" s="113">
        <f t="shared" si="681"/>
        <v>3500</v>
      </c>
      <c r="Q888" s="113">
        <f t="shared" si="681"/>
        <v>3500</v>
      </c>
      <c r="R888" s="87">
        <f t="shared" si="681"/>
        <v>3238</v>
      </c>
      <c r="S888" s="89" t="e">
        <f t="shared" ca="1" si="681"/>
        <v>#NAME?</v>
      </c>
      <c r="T888" s="89"/>
      <c r="U888" s="89"/>
      <c r="V888" s="532">
        <f>V889</f>
        <v>3500</v>
      </c>
      <c r="W888" s="532">
        <f t="shared" si="681"/>
        <v>3500</v>
      </c>
      <c r="X888" s="506">
        <f t="shared" si="681"/>
        <v>4000</v>
      </c>
      <c r="Y888" s="507">
        <f t="shared" si="681"/>
        <v>5000</v>
      </c>
      <c r="Z888" s="507">
        <f t="shared" si="681"/>
        <v>0</v>
      </c>
      <c r="AA888" s="562" t="e">
        <f t="shared" ca="1" si="671"/>
        <v>#NAME?</v>
      </c>
      <c r="AB888" s="507"/>
      <c r="AC888" s="508">
        <f t="shared" si="681"/>
        <v>3500</v>
      </c>
      <c r="AD888" s="508">
        <f t="shared" si="681"/>
        <v>3500</v>
      </c>
      <c r="AE888" s="529"/>
      <c r="AF888" s="529"/>
      <c r="AG888" s="529"/>
      <c r="AH888" s="529"/>
      <c r="AI888" s="507"/>
      <c r="AJ888" s="507">
        <v>5000</v>
      </c>
      <c r="AK888" s="507">
        <f t="shared" si="662"/>
        <v>108.09141445336627</v>
      </c>
      <c r="AL888" s="507">
        <f t="shared" si="663"/>
        <v>114.28571428571428</v>
      </c>
      <c r="AM888" s="507">
        <f t="shared" si="663"/>
        <v>125</v>
      </c>
      <c r="AN888" s="509"/>
      <c r="AO888" s="510"/>
      <c r="AP888" s="510" t="e">
        <f t="shared" ca="1" si="670"/>
        <v>#NAME?</v>
      </c>
      <c r="AQ888" s="532">
        <f>AQ889</f>
        <v>1061.8</v>
      </c>
      <c r="AR888" s="533">
        <f t="shared" si="673"/>
        <v>108.09141445336627</v>
      </c>
      <c r="AS888" s="533">
        <f>W888/V888*100</f>
        <v>100</v>
      </c>
      <c r="AT888" s="533">
        <f t="shared" si="674"/>
        <v>108.09141445336627</v>
      </c>
      <c r="AU888" s="533">
        <f>AQ888/W888*100</f>
        <v>30.337142857142858</v>
      </c>
      <c r="AV888" s="533">
        <f>AQ888/R888*100</f>
        <v>32.791846819024087</v>
      </c>
      <c r="AW888" s="612"/>
      <c r="AX888" s="612"/>
      <c r="AY888" s="612"/>
      <c r="AZ888" s="612"/>
      <c r="BA888" s="612"/>
      <c r="BB888" s="612"/>
      <c r="BC888" s="612"/>
      <c r="BD888" s="612"/>
      <c r="BE888" s="612"/>
      <c r="BF888" s="612"/>
      <c r="BG888" s="612"/>
      <c r="BH888" s="612">
        <f t="shared" si="672"/>
        <v>0</v>
      </c>
      <c r="BI888" s="612">
        <f t="shared" si="646"/>
        <v>0</v>
      </c>
      <c r="BJ888" s="201"/>
    </row>
    <row r="889" spans="1:62" ht="12" customHeight="1">
      <c r="A889" s="227"/>
      <c r="B889" s="227"/>
      <c r="C889" s="227"/>
      <c r="D889" s="227"/>
      <c r="E889" s="227"/>
      <c r="F889" s="227"/>
      <c r="G889" s="227"/>
      <c r="H889" s="234"/>
      <c r="I889" s="265"/>
      <c r="J889" s="228">
        <v>38</v>
      </c>
      <c r="K889" s="258" t="s">
        <v>281</v>
      </c>
      <c r="L889" s="111">
        <f t="shared" si="681"/>
        <v>0</v>
      </c>
      <c r="M889" s="111">
        <f t="shared" si="681"/>
        <v>0</v>
      </c>
      <c r="N889" s="112">
        <f t="shared" si="681"/>
        <v>66038</v>
      </c>
      <c r="O889" s="112">
        <f t="shared" si="681"/>
        <v>8764.7488220850755</v>
      </c>
      <c r="P889" s="113">
        <f t="shared" si="681"/>
        <v>3500</v>
      </c>
      <c r="Q889" s="113">
        <f t="shared" si="681"/>
        <v>3500</v>
      </c>
      <c r="R889" s="87">
        <f t="shared" si="681"/>
        <v>3238</v>
      </c>
      <c r="S889" s="89" t="e">
        <f t="shared" ca="1" si="681"/>
        <v>#NAME?</v>
      </c>
      <c r="T889" s="89"/>
      <c r="U889" s="89"/>
      <c r="V889" s="532">
        <f>V890</f>
        <v>3500</v>
      </c>
      <c r="W889" s="532">
        <f t="shared" si="681"/>
        <v>3500</v>
      </c>
      <c r="X889" s="506">
        <f t="shared" si="681"/>
        <v>4000</v>
      </c>
      <c r="Y889" s="507">
        <f t="shared" si="681"/>
        <v>5000</v>
      </c>
      <c r="Z889" s="507">
        <f t="shared" si="681"/>
        <v>0</v>
      </c>
      <c r="AA889" s="562" t="e">
        <f t="shared" ca="1" si="671"/>
        <v>#NAME?</v>
      </c>
      <c r="AB889" s="507"/>
      <c r="AC889" s="508">
        <f t="shared" si="681"/>
        <v>3500</v>
      </c>
      <c r="AD889" s="508">
        <f t="shared" si="681"/>
        <v>3500</v>
      </c>
      <c r="AE889" s="529"/>
      <c r="AF889" s="529"/>
      <c r="AG889" s="529"/>
      <c r="AH889" s="529"/>
      <c r="AI889" s="507"/>
      <c r="AJ889" s="507">
        <v>5000</v>
      </c>
      <c r="AK889" s="507">
        <f t="shared" si="662"/>
        <v>108.09141445336627</v>
      </c>
      <c r="AL889" s="507">
        <f t="shared" si="663"/>
        <v>114.28571428571428</v>
      </c>
      <c r="AM889" s="507">
        <f t="shared" si="663"/>
        <v>125</v>
      </c>
      <c r="AN889" s="509"/>
      <c r="AO889" s="510"/>
      <c r="AP889" s="510" t="e">
        <f t="shared" ca="1" si="670"/>
        <v>#NAME?</v>
      </c>
      <c r="AQ889" s="532">
        <f>AQ890</f>
        <v>1061.8</v>
      </c>
      <c r="AR889" s="533">
        <f t="shared" si="673"/>
        <v>108.09141445336627</v>
      </c>
      <c r="AS889" s="533">
        <f>W889/V889*100</f>
        <v>100</v>
      </c>
      <c r="AT889" s="533">
        <f t="shared" si="674"/>
        <v>108.09141445336627</v>
      </c>
      <c r="AU889" s="533">
        <f>AQ889/W889*100</f>
        <v>30.337142857142858</v>
      </c>
      <c r="AV889" s="533">
        <f>AQ889/R889*100</f>
        <v>32.791846819024087</v>
      </c>
      <c r="AW889" s="612"/>
      <c r="AX889" s="612"/>
      <c r="AY889" s="612"/>
      <c r="AZ889" s="612"/>
      <c r="BA889" s="612"/>
      <c r="BB889" s="612"/>
      <c r="BC889" s="612"/>
      <c r="BD889" s="612"/>
      <c r="BE889" s="612"/>
      <c r="BF889" s="612"/>
      <c r="BG889" s="612"/>
      <c r="BH889" s="612">
        <f t="shared" si="672"/>
        <v>0</v>
      </c>
      <c r="BI889" s="612">
        <f t="shared" si="646"/>
        <v>0</v>
      </c>
      <c r="BJ889" s="201"/>
    </row>
    <row r="890" spans="1:62" ht="12" customHeight="1">
      <c r="A890" s="61"/>
      <c r="B890" s="61"/>
      <c r="C890" s="61"/>
      <c r="D890" s="61"/>
      <c r="E890" s="61"/>
      <c r="F890" s="61"/>
      <c r="G890" s="61"/>
      <c r="H890" s="230"/>
      <c r="I890" s="348"/>
      <c r="J890" s="229">
        <v>381</v>
      </c>
      <c r="K890" s="20" t="s">
        <v>397</v>
      </c>
      <c r="L890" s="111">
        <f t="shared" si="681"/>
        <v>0</v>
      </c>
      <c r="M890" s="111">
        <f t="shared" si="681"/>
        <v>0</v>
      </c>
      <c r="N890" s="112">
        <f t="shared" si="681"/>
        <v>66038</v>
      </c>
      <c r="O890" s="112">
        <f t="shared" si="681"/>
        <v>8764.7488220850755</v>
      </c>
      <c r="P890" s="113">
        <f t="shared" si="681"/>
        <v>3500</v>
      </c>
      <c r="Q890" s="113">
        <f t="shared" si="681"/>
        <v>3500</v>
      </c>
      <c r="R890" s="87">
        <f t="shared" si="681"/>
        <v>3238</v>
      </c>
      <c r="S890" s="89" t="e">
        <f t="shared" ca="1" si="681"/>
        <v>#NAME?</v>
      </c>
      <c r="T890" s="89"/>
      <c r="U890" s="89"/>
      <c r="V890" s="532">
        <f>V891</f>
        <v>3500</v>
      </c>
      <c r="W890" s="532">
        <f t="shared" si="681"/>
        <v>3500</v>
      </c>
      <c r="X890" s="506">
        <f t="shared" si="681"/>
        <v>4000</v>
      </c>
      <c r="Y890" s="507">
        <f t="shared" si="681"/>
        <v>5000</v>
      </c>
      <c r="Z890" s="507">
        <f t="shared" si="681"/>
        <v>0</v>
      </c>
      <c r="AA890" s="562" t="e">
        <f t="shared" ca="1" si="671"/>
        <v>#NAME?</v>
      </c>
      <c r="AB890" s="507"/>
      <c r="AC890" s="508">
        <f t="shared" si="681"/>
        <v>3500</v>
      </c>
      <c r="AD890" s="508">
        <f t="shared" si="681"/>
        <v>3500</v>
      </c>
      <c r="AE890" s="529"/>
      <c r="AF890" s="529"/>
      <c r="AG890" s="529"/>
      <c r="AH890" s="529"/>
      <c r="AI890" s="507"/>
      <c r="AJ890" s="507">
        <v>5000</v>
      </c>
      <c r="AK890" s="507">
        <f t="shared" si="662"/>
        <v>108.09141445336627</v>
      </c>
      <c r="AL890" s="507">
        <f t="shared" si="663"/>
        <v>114.28571428571428</v>
      </c>
      <c r="AM890" s="507">
        <f t="shared" si="663"/>
        <v>125</v>
      </c>
      <c r="AN890" s="509"/>
      <c r="AO890" s="510"/>
      <c r="AP890" s="510" t="e">
        <f t="shared" ca="1" si="670"/>
        <v>#NAME?</v>
      </c>
      <c r="AQ890" s="532">
        <f>AQ891</f>
        <v>1061.8</v>
      </c>
      <c r="AR890" s="532">
        <f t="shared" ref="AR890:BE891" si="682">AR891</f>
        <v>108.09141445336627</v>
      </c>
      <c r="AS890" s="532">
        <f t="shared" si="682"/>
        <v>100</v>
      </c>
      <c r="AT890" s="532">
        <f t="shared" si="682"/>
        <v>108.09141445336627</v>
      </c>
      <c r="AU890" s="532">
        <f t="shared" si="682"/>
        <v>30.337142857142858</v>
      </c>
      <c r="AV890" s="532">
        <f t="shared" si="682"/>
        <v>32.791846819024087</v>
      </c>
      <c r="AW890" s="612">
        <f t="shared" si="682"/>
        <v>1061.8</v>
      </c>
      <c r="AX890" s="612">
        <f t="shared" si="682"/>
        <v>0</v>
      </c>
      <c r="AY890" s="612">
        <f t="shared" si="682"/>
        <v>0</v>
      </c>
      <c r="AZ890" s="612">
        <f t="shared" si="682"/>
        <v>0</v>
      </c>
      <c r="BA890" s="612">
        <f t="shared" si="682"/>
        <v>0</v>
      </c>
      <c r="BB890" s="612">
        <f t="shared" si="682"/>
        <v>0</v>
      </c>
      <c r="BC890" s="612">
        <f t="shared" si="682"/>
        <v>0</v>
      </c>
      <c r="BD890" s="612">
        <f t="shared" si="682"/>
        <v>0</v>
      </c>
      <c r="BE890" s="612">
        <f t="shared" si="682"/>
        <v>0</v>
      </c>
      <c r="BF890" s="612"/>
      <c r="BG890" s="612"/>
      <c r="BH890" s="612">
        <f t="shared" si="672"/>
        <v>1061.8</v>
      </c>
      <c r="BI890" s="612">
        <f t="shared" si="646"/>
        <v>0</v>
      </c>
      <c r="BJ890" s="201"/>
    </row>
    <row r="891" spans="1:62" ht="12" customHeight="1">
      <c r="A891" s="52"/>
      <c r="B891" s="52"/>
      <c r="C891" s="52"/>
      <c r="D891" s="52"/>
      <c r="E891" s="52"/>
      <c r="F891" s="52"/>
      <c r="G891" s="52"/>
      <c r="H891" s="2"/>
      <c r="I891" s="289"/>
      <c r="J891" s="185">
        <v>3811</v>
      </c>
      <c r="K891" s="19" t="s">
        <v>282</v>
      </c>
      <c r="L891" s="111">
        <f t="shared" si="681"/>
        <v>0</v>
      </c>
      <c r="M891" s="111">
        <f t="shared" si="681"/>
        <v>0</v>
      </c>
      <c r="N891" s="112">
        <f t="shared" si="681"/>
        <v>66038</v>
      </c>
      <c r="O891" s="112">
        <f t="shared" si="681"/>
        <v>8764.7488220850755</v>
      </c>
      <c r="P891" s="113">
        <f t="shared" si="681"/>
        <v>3500</v>
      </c>
      <c r="Q891" s="113">
        <f t="shared" si="681"/>
        <v>3500</v>
      </c>
      <c r="R891" s="87">
        <f t="shared" si="681"/>
        <v>3238</v>
      </c>
      <c r="S891" s="89" t="e">
        <f t="shared" ca="1" si="681"/>
        <v>#NAME?</v>
      </c>
      <c r="T891" s="89"/>
      <c r="U891" s="89"/>
      <c r="V891" s="532">
        <f>V892</f>
        <v>3500</v>
      </c>
      <c r="W891" s="532">
        <f t="shared" si="681"/>
        <v>3500</v>
      </c>
      <c r="X891" s="506">
        <f t="shared" si="681"/>
        <v>4000</v>
      </c>
      <c r="Y891" s="507">
        <f t="shared" si="681"/>
        <v>5000</v>
      </c>
      <c r="Z891" s="507">
        <f t="shared" si="681"/>
        <v>0</v>
      </c>
      <c r="AA891" s="562" t="e">
        <f t="shared" ca="1" si="671"/>
        <v>#NAME?</v>
      </c>
      <c r="AB891" s="507"/>
      <c r="AC891" s="508">
        <f t="shared" si="681"/>
        <v>3500</v>
      </c>
      <c r="AD891" s="508">
        <f t="shared" si="681"/>
        <v>3500</v>
      </c>
      <c r="AE891" s="529"/>
      <c r="AF891" s="529"/>
      <c r="AG891" s="529"/>
      <c r="AH891" s="529"/>
      <c r="AI891" s="507"/>
      <c r="AJ891" s="507">
        <v>5000</v>
      </c>
      <c r="AK891" s="507">
        <f t="shared" si="662"/>
        <v>108.09141445336627</v>
      </c>
      <c r="AL891" s="507">
        <f t="shared" si="663"/>
        <v>114.28571428571428</v>
      </c>
      <c r="AM891" s="507">
        <f t="shared" si="663"/>
        <v>125</v>
      </c>
      <c r="AN891" s="509"/>
      <c r="AO891" s="510"/>
      <c r="AP891" s="510" t="e">
        <f t="shared" ca="1" si="670"/>
        <v>#NAME?</v>
      </c>
      <c r="AQ891" s="532">
        <f>AQ892</f>
        <v>1061.8</v>
      </c>
      <c r="AR891" s="532">
        <f t="shared" si="682"/>
        <v>108.09141445336627</v>
      </c>
      <c r="AS891" s="532">
        <f t="shared" si="682"/>
        <v>100</v>
      </c>
      <c r="AT891" s="532">
        <f t="shared" si="682"/>
        <v>108.09141445336627</v>
      </c>
      <c r="AU891" s="532">
        <f t="shared" si="682"/>
        <v>30.337142857142858</v>
      </c>
      <c r="AV891" s="532">
        <f t="shared" si="682"/>
        <v>32.791846819024087</v>
      </c>
      <c r="AW891" s="612">
        <f t="shared" si="682"/>
        <v>1061.8</v>
      </c>
      <c r="AX891" s="612">
        <f t="shared" si="682"/>
        <v>0</v>
      </c>
      <c r="AY891" s="612">
        <f t="shared" si="682"/>
        <v>0</v>
      </c>
      <c r="AZ891" s="612">
        <f t="shared" si="682"/>
        <v>0</v>
      </c>
      <c r="BA891" s="612">
        <f t="shared" si="682"/>
        <v>0</v>
      </c>
      <c r="BB891" s="612">
        <f t="shared" si="682"/>
        <v>0</v>
      </c>
      <c r="BC891" s="612"/>
      <c r="BD891" s="612"/>
      <c r="BE891" s="612"/>
      <c r="BF891" s="612"/>
      <c r="BG891" s="612"/>
      <c r="BH891" s="612">
        <f t="shared" si="672"/>
        <v>1061.8</v>
      </c>
      <c r="BI891" s="612">
        <f t="shared" si="646"/>
        <v>15529</v>
      </c>
      <c r="BJ891" s="201"/>
    </row>
    <row r="892" spans="1:62" ht="12" customHeight="1">
      <c r="A892" s="52"/>
      <c r="B892" s="52"/>
      <c r="C892" s="52"/>
      <c r="D892" s="52"/>
      <c r="E892" s="52"/>
      <c r="F892" s="52"/>
      <c r="G892" s="52"/>
      <c r="H892" s="2" t="s">
        <v>708</v>
      </c>
      <c r="I892" s="289">
        <v>840</v>
      </c>
      <c r="J892" s="185">
        <v>3811</v>
      </c>
      <c r="K892" s="19" t="s">
        <v>709</v>
      </c>
      <c r="L892" s="129">
        <v>0</v>
      </c>
      <c r="M892" s="129">
        <v>0</v>
      </c>
      <c r="N892" s="130">
        <v>66038</v>
      </c>
      <c r="O892" s="130">
        <f>N892/7.5345</f>
        <v>8764.7488220850755</v>
      </c>
      <c r="P892" s="131">
        <v>3500</v>
      </c>
      <c r="Q892" s="131">
        <v>3500</v>
      </c>
      <c r="R892" s="153">
        <v>3238</v>
      </c>
      <c r="S892" s="158" t="e">
        <f ca="1">__xlfn.XLOOKUP(H892,[1]Izvršenje_proračuna_po_pozicija!$B$2:$B$153,[1]Izvršenje_proračuna_po_pozicija!$E$2:$E$153,0)</f>
        <v>#NAME?</v>
      </c>
      <c r="T892" s="158"/>
      <c r="U892" s="158"/>
      <c r="V892" s="532">
        <v>3500</v>
      </c>
      <c r="W892" s="532">
        <v>3500</v>
      </c>
      <c r="X892" s="560">
        <v>4000</v>
      </c>
      <c r="Y892" s="561">
        <v>5000</v>
      </c>
      <c r="Z892" s="561"/>
      <c r="AA892" s="562" t="e">
        <f t="shared" ca="1" si="671"/>
        <v>#NAME?</v>
      </c>
      <c r="AB892" s="535"/>
      <c r="AC892" s="529">
        <v>3500</v>
      </c>
      <c r="AD892" s="529">
        <v>3500</v>
      </c>
      <c r="AE892" s="529"/>
      <c r="AF892" s="529"/>
      <c r="AG892" s="529"/>
      <c r="AH892" s="529"/>
      <c r="AI892" s="535"/>
      <c r="AJ892" s="561">
        <v>5000</v>
      </c>
      <c r="AK892" s="507">
        <f t="shared" si="662"/>
        <v>108.09141445336627</v>
      </c>
      <c r="AL892" s="507">
        <f t="shared" si="663"/>
        <v>114.28571428571428</v>
      </c>
      <c r="AM892" s="507">
        <f t="shared" si="663"/>
        <v>125</v>
      </c>
      <c r="AN892" s="556"/>
      <c r="AO892" s="510"/>
      <c r="AP892" s="510" t="e">
        <f t="shared" ca="1" si="670"/>
        <v>#NAME?</v>
      </c>
      <c r="AQ892" s="532">
        <v>1061.8</v>
      </c>
      <c r="AR892" s="533">
        <f t="shared" si="673"/>
        <v>108.09141445336627</v>
      </c>
      <c r="AS892" s="533">
        <f>W892/V892*100</f>
        <v>100</v>
      </c>
      <c r="AT892" s="533">
        <f t="shared" si="674"/>
        <v>108.09141445336627</v>
      </c>
      <c r="AU892" s="533">
        <f>AQ892/W892*100</f>
        <v>30.337142857142858</v>
      </c>
      <c r="AV892" s="533">
        <f>AQ892/R892*100</f>
        <v>32.791846819024087</v>
      </c>
      <c r="AW892" s="612">
        <f>AQ892</f>
        <v>1061.8</v>
      </c>
      <c r="AX892" s="612"/>
      <c r="AY892" s="612"/>
      <c r="AZ892" s="612"/>
      <c r="BA892" s="612"/>
      <c r="BB892" s="612"/>
      <c r="BC892" s="612"/>
      <c r="BD892" s="612"/>
      <c r="BE892" s="612"/>
      <c r="BF892" s="612"/>
      <c r="BG892" s="612"/>
      <c r="BH892" s="612">
        <f t="shared" si="672"/>
        <v>1061.8</v>
      </c>
      <c r="BI892" s="612">
        <f t="shared" ref="BI892:BI939" si="683">SUM(AW899:BG899)</f>
        <v>15529</v>
      </c>
      <c r="BJ892" s="201"/>
    </row>
    <row r="893" spans="1:62" ht="12" customHeight="1">
      <c r="A893" s="52"/>
      <c r="B893" s="52"/>
      <c r="C893" s="52"/>
      <c r="D893" s="52"/>
      <c r="E893" s="52"/>
      <c r="F893" s="52"/>
      <c r="G893" s="52"/>
      <c r="H893" s="2"/>
      <c r="I893" s="289"/>
      <c r="J893" s="185"/>
      <c r="K893" s="19"/>
      <c r="L893" s="129"/>
      <c r="M893" s="129"/>
      <c r="N893" s="130"/>
      <c r="O893" s="130"/>
      <c r="P893" s="131"/>
      <c r="Q893" s="131"/>
      <c r="R893" s="153"/>
      <c r="S893" s="158" t="e">
        <f ca="1">__xlfn.XLOOKUP(H893,[1]Izvršenje_proračuna_po_pozicija!$B$2:$B$153,[1]Izvršenje_proračuna_po_pozicija!$E$2:$E$153,0)</f>
        <v>#NAME?</v>
      </c>
      <c r="T893" s="158"/>
      <c r="U893" s="158"/>
      <c r="V893" s="532"/>
      <c r="W893" s="532"/>
      <c r="X893" s="560"/>
      <c r="Y893" s="561"/>
      <c r="Z893" s="561"/>
      <c r="AA893" s="562" t="e">
        <f t="shared" ca="1" si="671"/>
        <v>#NAME?</v>
      </c>
      <c r="AB893" s="535"/>
      <c r="AC893" s="529"/>
      <c r="AD893" s="529"/>
      <c r="AE893" s="529"/>
      <c r="AF893" s="529"/>
      <c r="AG893" s="529"/>
      <c r="AH893" s="529"/>
      <c r="AI893" s="535"/>
      <c r="AJ893" s="561"/>
      <c r="AK893" s="507"/>
      <c r="AL893" s="507"/>
      <c r="AM893" s="507"/>
      <c r="AN893" s="556"/>
      <c r="AO893" s="510"/>
      <c r="AP893" s="510" t="e">
        <f t="shared" ca="1" si="670"/>
        <v>#NAME?</v>
      </c>
      <c r="AQ893" s="532"/>
      <c r="AR893" s="533"/>
      <c r="AS893" s="533"/>
      <c r="AT893" s="533"/>
      <c r="AU893" s="533"/>
      <c r="AV893" s="533"/>
      <c r="AW893" s="612"/>
      <c r="AX893" s="612"/>
      <c r="AY893" s="612"/>
      <c r="AZ893" s="612"/>
      <c r="BA893" s="612"/>
      <c r="BB893" s="612"/>
      <c r="BC893" s="612"/>
      <c r="BD893" s="612"/>
      <c r="BE893" s="612"/>
      <c r="BF893" s="612"/>
      <c r="BG893" s="612"/>
      <c r="BH893" s="612">
        <f t="shared" si="672"/>
        <v>0</v>
      </c>
      <c r="BI893" s="612">
        <f t="shared" si="683"/>
        <v>0</v>
      </c>
      <c r="BJ893" s="201">
        <f t="shared" ref="BJ893:BJ901" si="684">AQ900-BI893</f>
        <v>0</v>
      </c>
    </row>
    <row r="894" spans="1:62" ht="12" customHeight="1">
      <c r="A894" s="282" t="s">
        <v>568</v>
      </c>
      <c r="B894" s="283"/>
      <c r="C894" s="283"/>
      <c r="D894" s="283"/>
      <c r="E894" s="283"/>
      <c r="F894" s="283"/>
      <c r="G894" s="283"/>
      <c r="H894" s="284"/>
      <c r="I894" s="369" t="s">
        <v>710</v>
      </c>
      <c r="J894" s="370"/>
      <c r="K894" s="226"/>
      <c r="L894" s="111">
        <f t="shared" ref="L894:S894" si="685">L896</f>
        <v>108000</v>
      </c>
      <c r="M894" s="111">
        <f t="shared" si="685"/>
        <v>14334.063308779612</v>
      </c>
      <c r="N894" s="112">
        <f t="shared" si="685"/>
        <v>102641</v>
      </c>
      <c r="O894" s="112">
        <f t="shared" si="685"/>
        <v>13622.801778485633</v>
      </c>
      <c r="P894" s="113">
        <f t="shared" si="685"/>
        <v>14000</v>
      </c>
      <c r="Q894" s="113">
        <f t="shared" si="685"/>
        <v>14000</v>
      </c>
      <c r="R894" s="87">
        <f t="shared" si="685"/>
        <v>12000</v>
      </c>
      <c r="S894" s="89" t="e">
        <f t="shared" ca="1" si="685"/>
        <v>#NAME?</v>
      </c>
      <c r="T894" s="89"/>
      <c r="U894" s="89"/>
      <c r="V894" s="532">
        <f>V896</f>
        <v>15400</v>
      </c>
      <c r="W894" s="532">
        <f>W896</f>
        <v>15529</v>
      </c>
      <c r="X894" s="506">
        <f>X896</f>
        <v>18000</v>
      </c>
      <c r="Y894" s="507">
        <f>Y896</f>
        <v>20000</v>
      </c>
      <c r="Z894" s="507">
        <f>Z896</f>
        <v>0</v>
      </c>
      <c r="AA894" s="562" t="e">
        <f t="shared" ca="1" si="671"/>
        <v>#NAME?</v>
      </c>
      <c r="AB894" s="507"/>
      <c r="AC894" s="508">
        <f>AC896</f>
        <v>14000</v>
      </c>
      <c r="AD894" s="508">
        <f>AD896</f>
        <v>14000</v>
      </c>
      <c r="AE894" s="529">
        <f>O894/M894*100</f>
        <v>95.037962962962979</v>
      </c>
      <c r="AF894" s="529">
        <f>P894/O894*100</f>
        <v>102.76887403669099</v>
      </c>
      <c r="AG894" s="529">
        <f>Q894/P894*100</f>
        <v>100</v>
      </c>
      <c r="AH894" s="529">
        <f>AC894/Q894*100</f>
        <v>100</v>
      </c>
      <c r="AI894" s="507"/>
      <c r="AJ894" s="507">
        <v>20000</v>
      </c>
      <c r="AK894" s="507">
        <f t="shared" si="662"/>
        <v>129.40833333333333</v>
      </c>
      <c r="AL894" s="507">
        <f t="shared" si="663"/>
        <v>115.91216433769078</v>
      </c>
      <c r="AM894" s="507">
        <f t="shared" si="663"/>
        <v>111.11111111111111</v>
      </c>
      <c r="AN894" s="509"/>
      <c r="AO894" s="510"/>
      <c r="AP894" s="510" t="e">
        <f t="shared" ca="1" si="670"/>
        <v>#NAME?</v>
      </c>
      <c r="AQ894" s="532">
        <f>AQ896</f>
        <v>15529</v>
      </c>
      <c r="AR894" s="533">
        <f t="shared" si="673"/>
        <v>128.33333333333334</v>
      </c>
      <c r="AS894" s="533">
        <f>W894/V894*100</f>
        <v>100.83766233766234</v>
      </c>
      <c r="AT894" s="533">
        <f t="shared" si="674"/>
        <v>129.40833333333333</v>
      </c>
      <c r="AU894" s="533">
        <f>AQ894/W894*100</f>
        <v>100</v>
      </c>
      <c r="AV894" s="533">
        <f>AQ894/R894*100</f>
        <v>129.40833333333333</v>
      </c>
      <c r="AW894" s="612"/>
      <c r="AX894" s="612"/>
      <c r="AY894" s="612"/>
      <c r="AZ894" s="612"/>
      <c r="BA894" s="612"/>
      <c r="BB894" s="612"/>
      <c r="BC894" s="612"/>
      <c r="BD894" s="612"/>
      <c r="BE894" s="612"/>
      <c r="BF894" s="612"/>
      <c r="BG894" s="612"/>
      <c r="BH894" s="612">
        <f t="shared" si="672"/>
        <v>0</v>
      </c>
      <c r="BI894" s="612">
        <f t="shared" si="683"/>
        <v>0</v>
      </c>
      <c r="BJ894" s="201">
        <f t="shared" si="684"/>
        <v>0</v>
      </c>
    </row>
    <row r="895" spans="1:62" ht="12" customHeight="1">
      <c r="A895" s="41"/>
      <c r="B895" s="41"/>
      <c r="C895" s="41"/>
      <c r="D895" s="41"/>
      <c r="E895" s="41"/>
      <c r="F895" s="41"/>
      <c r="G895" s="41"/>
      <c r="H895" s="235"/>
      <c r="I895" s="15"/>
      <c r="J895" s="3"/>
      <c r="K895" s="83"/>
      <c r="L895" s="84">
        <v>1</v>
      </c>
      <c r="M895" s="84">
        <v>2</v>
      </c>
      <c r="N895" s="85">
        <v>3</v>
      </c>
      <c r="O895" s="85">
        <v>4</v>
      </c>
      <c r="P895" s="86">
        <v>5</v>
      </c>
      <c r="Q895" s="86">
        <v>6</v>
      </c>
      <c r="R895" s="154"/>
      <c r="S895" s="158" t="e">
        <f ca="1">__xlfn.XLOOKUP(H895,[1]Izvršenje_proračuna_po_pozicija!$B$2:$B$153,[1]Izvršenje_proračuna_po_pozicija!$E$2:$E$153,0)</f>
        <v>#NAME?</v>
      </c>
      <c r="T895" s="158"/>
      <c r="U895" s="158"/>
      <c r="V895" s="532"/>
      <c r="W895" s="532"/>
      <c r="X895" s="568"/>
      <c r="Y895" s="569"/>
      <c r="Z895" s="569"/>
      <c r="AA895" s="562" t="e">
        <f t="shared" ca="1" si="671"/>
        <v>#NAME?</v>
      </c>
      <c r="AB895" s="537"/>
      <c r="AC895" s="538">
        <v>7</v>
      </c>
      <c r="AD895" s="538">
        <v>8</v>
      </c>
      <c r="AE895" s="538">
        <v>9</v>
      </c>
      <c r="AF895" s="538">
        <v>10</v>
      </c>
      <c r="AG895" s="538">
        <v>11</v>
      </c>
      <c r="AH895" s="538">
        <v>12</v>
      </c>
      <c r="AI895" s="537"/>
      <c r="AJ895" s="569"/>
      <c r="AK895" s="507"/>
      <c r="AL895" s="507"/>
      <c r="AM895" s="507"/>
      <c r="AN895" s="557"/>
      <c r="AO895" s="510"/>
      <c r="AP895" s="510" t="e">
        <f t="shared" ca="1" si="670"/>
        <v>#NAME?</v>
      </c>
      <c r="AQ895" s="532"/>
      <c r="AR895" s="533"/>
      <c r="AS895" s="533" t="e">
        <f>W895/V895*100</f>
        <v>#DIV/0!</v>
      </c>
      <c r="AT895" s="533"/>
      <c r="AU895" s="533"/>
      <c r="AV895" s="533"/>
      <c r="AW895" s="612"/>
      <c r="AX895" s="612"/>
      <c r="AY895" s="612"/>
      <c r="AZ895" s="612"/>
      <c r="BA895" s="612"/>
      <c r="BB895" s="612"/>
      <c r="BC895" s="612"/>
      <c r="BD895" s="612"/>
      <c r="BE895" s="612"/>
      <c r="BF895" s="612"/>
      <c r="BG895" s="612"/>
      <c r="BH895" s="612">
        <f t="shared" si="672"/>
        <v>0</v>
      </c>
      <c r="BI895" s="612">
        <f t="shared" si="683"/>
        <v>0</v>
      </c>
      <c r="BJ895" s="201">
        <f t="shared" si="684"/>
        <v>0</v>
      </c>
    </row>
    <row r="896" spans="1:62" ht="12" customHeight="1">
      <c r="A896" s="25"/>
      <c r="B896" s="25"/>
      <c r="C896" s="25"/>
      <c r="D896" s="25"/>
      <c r="E896" s="25"/>
      <c r="F896" s="25"/>
      <c r="G896" s="25"/>
      <c r="H896" s="285"/>
      <c r="I896" s="349"/>
      <c r="J896" s="211">
        <v>3</v>
      </c>
      <c r="K896" s="3" t="s">
        <v>220</v>
      </c>
      <c r="L896" s="111">
        <f t="shared" ref="L896:AD898" si="686">L897</f>
        <v>108000</v>
      </c>
      <c r="M896" s="111">
        <f t="shared" si="686"/>
        <v>14334.063308779612</v>
      </c>
      <c r="N896" s="112">
        <f t="shared" si="686"/>
        <v>102641</v>
      </c>
      <c r="O896" s="112">
        <f t="shared" si="686"/>
        <v>13622.801778485633</v>
      </c>
      <c r="P896" s="113">
        <f t="shared" si="686"/>
        <v>14000</v>
      </c>
      <c r="Q896" s="113">
        <f t="shared" si="686"/>
        <v>14000</v>
      </c>
      <c r="R896" s="87">
        <f t="shared" si="686"/>
        <v>12000</v>
      </c>
      <c r="S896" s="89" t="e">
        <f t="shared" ca="1" si="686"/>
        <v>#NAME?</v>
      </c>
      <c r="T896" s="89"/>
      <c r="U896" s="89"/>
      <c r="V896" s="532">
        <f>V897</f>
        <v>15400</v>
      </c>
      <c r="W896" s="532">
        <f t="shared" si="686"/>
        <v>15529</v>
      </c>
      <c r="X896" s="506">
        <f t="shared" si="686"/>
        <v>18000</v>
      </c>
      <c r="Y896" s="507">
        <f t="shared" si="686"/>
        <v>20000</v>
      </c>
      <c r="Z896" s="507">
        <f t="shared" si="686"/>
        <v>0</v>
      </c>
      <c r="AA896" s="562" t="e">
        <f t="shared" ca="1" si="671"/>
        <v>#NAME?</v>
      </c>
      <c r="AB896" s="507"/>
      <c r="AC896" s="508">
        <f t="shared" si="686"/>
        <v>14000</v>
      </c>
      <c r="AD896" s="508">
        <f t="shared" si="686"/>
        <v>14000</v>
      </c>
      <c r="AE896" s="529">
        <f t="shared" ref="AE896:AE903" si="687">O896/M896*100</f>
        <v>95.037962962962979</v>
      </c>
      <c r="AF896" s="529">
        <f t="shared" ref="AF896:AG899" si="688">P896/O896*100</f>
        <v>102.76887403669099</v>
      </c>
      <c r="AG896" s="529">
        <f t="shared" si="688"/>
        <v>100</v>
      </c>
      <c r="AH896" s="529">
        <f>AC896/Q896*100</f>
        <v>100</v>
      </c>
      <c r="AI896" s="507"/>
      <c r="AJ896" s="507">
        <v>20000</v>
      </c>
      <c r="AK896" s="507">
        <f t="shared" si="662"/>
        <v>129.40833333333333</v>
      </c>
      <c r="AL896" s="507">
        <f t="shared" si="663"/>
        <v>115.91216433769078</v>
      </c>
      <c r="AM896" s="507">
        <f t="shared" si="663"/>
        <v>111.11111111111111</v>
      </c>
      <c r="AN896" s="509"/>
      <c r="AO896" s="510"/>
      <c r="AP896" s="510" t="e">
        <f t="shared" ca="1" si="670"/>
        <v>#NAME?</v>
      </c>
      <c r="AQ896" s="532">
        <f>AQ897</f>
        <v>15529</v>
      </c>
      <c r="AR896" s="533">
        <f t="shared" si="673"/>
        <v>128.33333333333334</v>
      </c>
      <c r="AS896" s="533">
        <f>W896/V896*100</f>
        <v>100.83766233766234</v>
      </c>
      <c r="AT896" s="533">
        <f t="shared" si="674"/>
        <v>129.40833333333333</v>
      </c>
      <c r="AU896" s="533">
        <f>AQ896/W896*100</f>
        <v>100</v>
      </c>
      <c r="AV896" s="533">
        <f>AQ896/R896*100</f>
        <v>129.40833333333333</v>
      </c>
      <c r="AW896" s="612"/>
      <c r="AX896" s="612"/>
      <c r="AY896" s="612"/>
      <c r="AZ896" s="612"/>
      <c r="BA896" s="612"/>
      <c r="BB896" s="612"/>
      <c r="BC896" s="612"/>
      <c r="BD896" s="612"/>
      <c r="BE896" s="612"/>
      <c r="BF896" s="612"/>
      <c r="BG896" s="612"/>
      <c r="BH896" s="612">
        <f t="shared" si="672"/>
        <v>0</v>
      </c>
      <c r="BI896" s="612">
        <f t="shared" si="683"/>
        <v>0</v>
      </c>
      <c r="BJ896" s="201">
        <f t="shared" si="684"/>
        <v>0</v>
      </c>
    </row>
    <row r="897" spans="1:62" ht="12" customHeight="1">
      <c r="A897" s="227"/>
      <c r="B897" s="227"/>
      <c r="C897" s="227"/>
      <c r="D897" s="227"/>
      <c r="E897" s="227"/>
      <c r="F897" s="227"/>
      <c r="G897" s="227"/>
      <c r="H897" s="234"/>
      <c r="I897" s="265"/>
      <c r="J897" s="228">
        <v>38</v>
      </c>
      <c r="K897" s="258" t="s">
        <v>281</v>
      </c>
      <c r="L897" s="111">
        <f t="shared" si="686"/>
        <v>108000</v>
      </c>
      <c r="M897" s="111">
        <f t="shared" si="686"/>
        <v>14334.063308779612</v>
      </c>
      <c r="N897" s="112">
        <f t="shared" si="686"/>
        <v>102641</v>
      </c>
      <c r="O897" s="112">
        <f t="shared" si="686"/>
        <v>13622.801778485633</v>
      </c>
      <c r="P897" s="113">
        <f t="shared" si="686"/>
        <v>14000</v>
      </c>
      <c r="Q897" s="113">
        <f t="shared" si="686"/>
        <v>14000</v>
      </c>
      <c r="R897" s="87">
        <f t="shared" si="686"/>
        <v>12000</v>
      </c>
      <c r="S897" s="89" t="e">
        <f t="shared" ca="1" si="686"/>
        <v>#NAME?</v>
      </c>
      <c r="T897" s="89"/>
      <c r="U897" s="89"/>
      <c r="V897" s="532">
        <f>V898</f>
        <v>15400</v>
      </c>
      <c r="W897" s="532">
        <f t="shared" si="686"/>
        <v>15529</v>
      </c>
      <c r="X897" s="506">
        <f t="shared" si="686"/>
        <v>18000</v>
      </c>
      <c r="Y897" s="507">
        <f t="shared" si="686"/>
        <v>20000</v>
      </c>
      <c r="Z897" s="507">
        <f t="shared" si="686"/>
        <v>0</v>
      </c>
      <c r="AA897" s="562" t="e">
        <f t="shared" ca="1" si="671"/>
        <v>#NAME?</v>
      </c>
      <c r="AB897" s="507"/>
      <c r="AC897" s="508">
        <f t="shared" si="686"/>
        <v>14000</v>
      </c>
      <c r="AD897" s="508">
        <f t="shared" si="686"/>
        <v>14000</v>
      </c>
      <c r="AE897" s="529">
        <f t="shared" si="687"/>
        <v>95.037962962962979</v>
      </c>
      <c r="AF897" s="529">
        <f t="shared" si="688"/>
        <v>102.76887403669099</v>
      </c>
      <c r="AG897" s="529">
        <f t="shared" si="688"/>
        <v>100</v>
      </c>
      <c r="AH897" s="529">
        <f>AC897/Q897*100</f>
        <v>100</v>
      </c>
      <c r="AI897" s="507"/>
      <c r="AJ897" s="507">
        <v>20000</v>
      </c>
      <c r="AK897" s="507">
        <f t="shared" si="662"/>
        <v>129.40833333333333</v>
      </c>
      <c r="AL897" s="507">
        <f t="shared" si="663"/>
        <v>115.91216433769078</v>
      </c>
      <c r="AM897" s="507">
        <f t="shared" si="663"/>
        <v>111.11111111111111</v>
      </c>
      <c r="AN897" s="509"/>
      <c r="AO897" s="510"/>
      <c r="AP897" s="510" t="e">
        <f t="shared" ca="1" si="670"/>
        <v>#NAME?</v>
      </c>
      <c r="AQ897" s="532">
        <f>AQ898</f>
        <v>15529</v>
      </c>
      <c r="AR897" s="533">
        <f t="shared" si="673"/>
        <v>128.33333333333334</v>
      </c>
      <c r="AS897" s="533">
        <f>W897/V897*100</f>
        <v>100.83766233766234</v>
      </c>
      <c r="AT897" s="533">
        <f t="shared" si="674"/>
        <v>129.40833333333333</v>
      </c>
      <c r="AU897" s="533">
        <f>AQ897/W897*100</f>
        <v>100</v>
      </c>
      <c r="AV897" s="533">
        <f>AQ897/R897*100</f>
        <v>129.40833333333333</v>
      </c>
      <c r="AW897" s="612"/>
      <c r="AX897" s="612"/>
      <c r="AY897" s="612"/>
      <c r="AZ897" s="612"/>
      <c r="BA897" s="612"/>
      <c r="BB897" s="612"/>
      <c r="BC897" s="612"/>
      <c r="BD897" s="612"/>
      <c r="BE897" s="612"/>
      <c r="BF897" s="612"/>
      <c r="BG897" s="612"/>
      <c r="BH897" s="612">
        <f t="shared" si="672"/>
        <v>0</v>
      </c>
      <c r="BI897" s="612">
        <f t="shared" si="683"/>
        <v>0</v>
      </c>
      <c r="BJ897" s="201">
        <f t="shared" si="684"/>
        <v>0</v>
      </c>
    </row>
    <row r="898" spans="1:62" ht="12" customHeight="1">
      <c r="A898" s="61"/>
      <c r="B898" s="61"/>
      <c r="C898" s="61"/>
      <c r="D898" s="61"/>
      <c r="E898" s="61"/>
      <c r="F898" s="61"/>
      <c r="G898" s="61"/>
      <c r="H898" s="230"/>
      <c r="I898" s="348"/>
      <c r="J898" s="229">
        <v>381</v>
      </c>
      <c r="K898" s="20" t="s">
        <v>397</v>
      </c>
      <c r="L898" s="111">
        <f t="shared" si="686"/>
        <v>108000</v>
      </c>
      <c r="M898" s="111">
        <f t="shared" si="686"/>
        <v>14334.063308779612</v>
      </c>
      <c r="N898" s="112">
        <f t="shared" si="686"/>
        <v>102641</v>
      </c>
      <c r="O898" s="112">
        <f t="shared" si="686"/>
        <v>13622.801778485633</v>
      </c>
      <c r="P898" s="113">
        <f t="shared" si="686"/>
        <v>14000</v>
      </c>
      <c r="Q898" s="113">
        <f t="shared" si="686"/>
        <v>14000</v>
      </c>
      <c r="R898" s="87">
        <f t="shared" si="686"/>
        <v>12000</v>
      </c>
      <c r="S898" s="89" t="e">
        <f t="shared" ca="1" si="686"/>
        <v>#NAME?</v>
      </c>
      <c r="T898" s="89"/>
      <c r="U898" s="89"/>
      <c r="V898" s="532">
        <f>V899</f>
        <v>15400</v>
      </c>
      <c r="W898" s="532">
        <f t="shared" si="686"/>
        <v>15529</v>
      </c>
      <c r="X898" s="506">
        <f t="shared" si="686"/>
        <v>18000</v>
      </c>
      <c r="Y898" s="507">
        <f t="shared" si="686"/>
        <v>20000</v>
      </c>
      <c r="Z898" s="507">
        <f t="shared" si="686"/>
        <v>0</v>
      </c>
      <c r="AA898" s="562" t="e">
        <f t="shared" ca="1" si="671"/>
        <v>#NAME?</v>
      </c>
      <c r="AB898" s="507"/>
      <c r="AC898" s="508">
        <f>AC899</f>
        <v>14000</v>
      </c>
      <c r="AD898" s="508">
        <f>AD899</f>
        <v>14000</v>
      </c>
      <c r="AE898" s="529">
        <f t="shared" si="687"/>
        <v>95.037962962962979</v>
      </c>
      <c r="AF898" s="529">
        <f t="shared" si="688"/>
        <v>102.76887403669099</v>
      </c>
      <c r="AG898" s="529">
        <f t="shared" si="688"/>
        <v>100</v>
      </c>
      <c r="AH898" s="529">
        <f>AC898/Q898*100</f>
        <v>100</v>
      </c>
      <c r="AI898" s="507"/>
      <c r="AJ898" s="507">
        <v>20000</v>
      </c>
      <c r="AK898" s="507">
        <f t="shared" si="662"/>
        <v>129.40833333333333</v>
      </c>
      <c r="AL898" s="507">
        <f t="shared" si="663"/>
        <v>115.91216433769078</v>
      </c>
      <c r="AM898" s="507">
        <f t="shared" si="663"/>
        <v>111.11111111111111</v>
      </c>
      <c r="AN898" s="509"/>
      <c r="AO898" s="510"/>
      <c r="AP898" s="510" t="e">
        <f t="shared" ca="1" si="670"/>
        <v>#NAME?</v>
      </c>
      <c r="AQ898" s="532">
        <f>AQ899</f>
        <v>15529</v>
      </c>
      <c r="AR898" s="532">
        <f t="shared" ref="AR898:AX898" si="689">AR899</f>
        <v>1283.3333333333335</v>
      </c>
      <c r="AS898" s="532">
        <f t="shared" si="689"/>
        <v>100.83766233766234</v>
      </c>
      <c r="AT898" s="532">
        <f t="shared" si="689"/>
        <v>1294.0833333333335</v>
      </c>
      <c r="AU898" s="532">
        <f t="shared" si="689"/>
        <v>100</v>
      </c>
      <c r="AV898" s="532">
        <f t="shared" si="689"/>
        <v>1294.0833333333335</v>
      </c>
      <c r="AW898" s="612">
        <f t="shared" si="689"/>
        <v>15529</v>
      </c>
      <c r="AX898" s="612">
        <f t="shared" si="689"/>
        <v>0</v>
      </c>
      <c r="AY898" s="612"/>
      <c r="AZ898" s="612"/>
      <c r="BA898" s="612"/>
      <c r="BB898" s="612"/>
      <c r="BC898" s="612"/>
      <c r="BD898" s="612"/>
      <c r="BE898" s="612"/>
      <c r="BF898" s="612"/>
      <c r="BG898" s="612"/>
      <c r="BH898" s="612">
        <f t="shared" si="672"/>
        <v>15529</v>
      </c>
      <c r="BI898" s="612">
        <f t="shared" si="683"/>
        <v>0</v>
      </c>
      <c r="BJ898" s="201">
        <f t="shared" si="684"/>
        <v>0</v>
      </c>
    </row>
    <row r="899" spans="1:62" ht="12" customHeight="1">
      <c r="A899" s="52"/>
      <c r="B899" s="52"/>
      <c r="C899" s="52"/>
      <c r="D899" s="52"/>
      <c r="E899" s="52"/>
      <c r="F899" s="52"/>
      <c r="G899" s="52"/>
      <c r="H899" s="2"/>
      <c r="I899" s="289"/>
      <c r="J899" s="185">
        <v>3811</v>
      </c>
      <c r="K899" s="19" t="s">
        <v>282</v>
      </c>
      <c r="L899" s="111">
        <v>108000</v>
      </c>
      <c r="M899" s="111">
        <f>108000/7.5345</f>
        <v>14334.063308779612</v>
      </c>
      <c r="N899" s="112">
        <v>102641</v>
      </c>
      <c r="O899" s="112">
        <f>N899/7.5345</f>
        <v>13622.801778485633</v>
      </c>
      <c r="P899" s="113">
        <v>14000</v>
      </c>
      <c r="Q899" s="113">
        <v>14000</v>
      </c>
      <c r="R899" s="87">
        <f t="shared" ref="R899:Z899" si="690">SUM(R900:R907)</f>
        <v>12000</v>
      </c>
      <c r="S899" s="89" t="e">
        <f t="shared" ca="1" si="690"/>
        <v>#NAME?</v>
      </c>
      <c r="T899" s="89"/>
      <c r="U899" s="89"/>
      <c r="V899" s="532">
        <f t="shared" si="690"/>
        <v>15400</v>
      </c>
      <c r="W899" s="532">
        <f t="shared" si="690"/>
        <v>15529</v>
      </c>
      <c r="X899" s="506">
        <f t="shared" si="690"/>
        <v>18000</v>
      </c>
      <c r="Y899" s="507">
        <f t="shared" si="690"/>
        <v>20000</v>
      </c>
      <c r="Z899" s="507">
        <f t="shared" si="690"/>
        <v>0</v>
      </c>
      <c r="AA899" s="562" t="e">
        <f t="shared" ca="1" si="671"/>
        <v>#NAME?</v>
      </c>
      <c r="AB899" s="507"/>
      <c r="AC899" s="508">
        <v>14000</v>
      </c>
      <c r="AD899" s="508">
        <v>14000</v>
      </c>
      <c r="AE899" s="529">
        <f t="shared" si="687"/>
        <v>95.037962962962979</v>
      </c>
      <c r="AF899" s="529">
        <f t="shared" si="688"/>
        <v>102.76887403669099</v>
      </c>
      <c r="AG899" s="529">
        <f t="shared" si="688"/>
        <v>100</v>
      </c>
      <c r="AH899" s="529">
        <f>AC899/Q899*100</f>
        <v>100</v>
      </c>
      <c r="AI899" s="507"/>
      <c r="AJ899" s="507">
        <v>20000</v>
      </c>
      <c r="AK899" s="507">
        <f t="shared" si="662"/>
        <v>129.40833333333333</v>
      </c>
      <c r="AL899" s="507">
        <f t="shared" si="663"/>
        <v>115.91216433769078</v>
      </c>
      <c r="AM899" s="507">
        <f t="shared" si="663"/>
        <v>111.11111111111111</v>
      </c>
      <c r="AN899" s="509"/>
      <c r="AO899" s="510"/>
      <c r="AP899" s="510" t="e">
        <f t="shared" ca="1" si="670"/>
        <v>#NAME?</v>
      </c>
      <c r="AQ899" s="532">
        <f>SUM(AQ900:AQ907)</f>
        <v>15529</v>
      </c>
      <c r="AR899" s="532">
        <f t="shared" ref="AR899:AX899" si="691">SUM(AR900:AR907)</f>
        <v>1283.3333333333335</v>
      </c>
      <c r="AS899" s="532">
        <f t="shared" si="691"/>
        <v>100.83766233766234</v>
      </c>
      <c r="AT899" s="532">
        <f t="shared" si="691"/>
        <v>1294.0833333333335</v>
      </c>
      <c r="AU899" s="532">
        <f t="shared" si="691"/>
        <v>100</v>
      </c>
      <c r="AV899" s="532">
        <f t="shared" si="691"/>
        <v>1294.0833333333335</v>
      </c>
      <c r="AW899" s="612">
        <f t="shared" si="691"/>
        <v>15529</v>
      </c>
      <c r="AX899" s="612">
        <f t="shared" si="691"/>
        <v>0</v>
      </c>
      <c r="AY899" s="612"/>
      <c r="AZ899" s="612"/>
      <c r="BA899" s="612"/>
      <c r="BB899" s="612"/>
      <c r="BC899" s="612"/>
      <c r="BD899" s="612"/>
      <c r="BE899" s="612"/>
      <c r="BF899" s="612"/>
      <c r="BG899" s="612"/>
      <c r="BH899" s="612">
        <f t="shared" si="672"/>
        <v>15529</v>
      </c>
      <c r="BI899" s="612">
        <f t="shared" si="683"/>
        <v>0</v>
      </c>
      <c r="BJ899" s="201">
        <f t="shared" si="684"/>
        <v>0</v>
      </c>
    </row>
    <row r="900" spans="1:62" ht="12" customHeight="1">
      <c r="A900" s="52"/>
      <c r="B900" s="52"/>
      <c r="C900" s="52"/>
      <c r="D900" s="52"/>
      <c r="E900" s="52"/>
      <c r="F900" s="52"/>
      <c r="G900" s="52"/>
      <c r="H900" s="2">
        <v>142</v>
      </c>
      <c r="I900" s="289">
        <v>860</v>
      </c>
      <c r="J900" s="185">
        <v>3811</v>
      </c>
      <c r="K900" s="19" t="s">
        <v>711</v>
      </c>
      <c r="L900" s="129">
        <v>8000</v>
      </c>
      <c r="M900" s="129">
        <f>8000/7.5345</f>
        <v>1061.7824673170085</v>
      </c>
      <c r="N900" s="130"/>
      <c r="O900" s="130"/>
      <c r="P900" s="131"/>
      <c r="Q900" s="131"/>
      <c r="R900" s="153">
        <v>2200</v>
      </c>
      <c r="S900" s="158" t="e">
        <f ca="1">__xlfn.XLOOKUP(H900,[1]Izvršenje_proračuna_po_pozicija!$B$2:$B$153,[1]Izvršenje_proračuna_po_pozicija!$E$2:$E$153,0)</f>
        <v>#NAME?</v>
      </c>
      <c r="T900" s="158"/>
      <c r="U900" s="158"/>
      <c r="V900" s="532"/>
      <c r="W900" s="532"/>
      <c r="X900" s="560"/>
      <c r="Y900" s="561"/>
      <c r="Z900" s="561"/>
      <c r="AA900" s="562" t="e">
        <f t="shared" ca="1" si="671"/>
        <v>#NAME?</v>
      </c>
      <c r="AB900" s="535"/>
      <c r="AC900" s="529"/>
      <c r="AD900" s="529"/>
      <c r="AE900" s="529">
        <f t="shared" si="687"/>
        <v>0</v>
      </c>
      <c r="AF900" s="529"/>
      <c r="AG900" s="529"/>
      <c r="AH900" s="529"/>
      <c r="AI900" s="535"/>
      <c r="AJ900" s="561"/>
      <c r="AK900" s="507">
        <f t="shared" si="662"/>
        <v>0</v>
      </c>
      <c r="AL900" s="507"/>
      <c r="AM900" s="507"/>
      <c r="AN900" s="556"/>
      <c r="AO900" s="510"/>
      <c r="AP900" s="510" t="e">
        <f t="shared" ca="1" si="670"/>
        <v>#NAME?</v>
      </c>
      <c r="AQ900" s="532"/>
      <c r="AR900" s="533">
        <f t="shared" si="673"/>
        <v>0</v>
      </c>
      <c r="AS900" s="533"/>
      <c r="AT900" s="533">
        <f t="shared" si="674"/>
        <v>0</v>
      </c>
      <c r="AU900" s="533"/>
      <c r="AV900" s="533">
        <f>AQ900/R900*100</f>
        <v>0</v>
      </c>
      <c r="AW900" s="612"/>
      <c r="AX900" s="612"/>
      <c r="AY900" s="612"/>
      <c r="AZ900" s="612"/>
      <c r="BA900" s="612"/>
      <c r="BB900" s="612"/>
      <c r="BC900" s="612"/>
      <c r="BD900" s="612"/>
      <c r="BE900" s="612"/>
      <c r="BF900" s="612"/>
      <c r="BG900" s="612"/>
      <c r="BH900" s="612">
        <f t="shared" si="672"/>
        <v>0</v>
      </c>
      <c r="BI900" s="612">
        <f t="shared" si="683"/>
        <v>15529</v>
      </c>
      <c r="BJ900" s="201">
        <f t="shared" si="684"/>
        <v>0</v>
      </c>
    </row>
    <row r="901" spans="1:62" ht="12" customHeight="1">
      <c r="A901" s="52"/>
      <c r="B901" s="52"/>
      <c r="C901" s="52"/>
      <c r="D901" s="52"/>
      <c r="E901" s="52"/>
      <c r="F901" s="52"/>
      <c r="G901" s="52"/>
      <c r="H901" s="2" t="s">
        <v>712</v>
      </c>
      <c r="I901" s="289">
        <v>860</v>
      </c>
      <c r="J901" s="185">
        <v>3811</v>
      </c>
      <c r="K901" s="19" t="s">
        <v>713</v>
      </c>
      <c r="L901" s="129">
        <v>10000</v>
      </c>
      <c r="M901" s="129">
        <f>10000/7.5345</f>
        <v>1327.2280841462605</v>
      </c>
      <c r="N901" s="130"/>
      <c r="O901" s="130"/>
      <c r="P901" s="131"/>
      <c r="Q901" s="131"/>
      <c r="R901" s="153">
        <v>800</v>
      </c>
      <c r="S901" s="158" t="e">
        <f ca="1">__xlfn.XLOOKUP(H901,[1]Izvršenje_proračuna_po_pozicija!$B$2:$B$153,[1]Izvršenje_proračuna_po_pozicija!$E$2:$E$153,0)</f>
        <v>#NAME?</v>
      </c>
      <c r="T901" s="158"/>
      <c r="U901" s="158"/>
      <c r="V901" s="532"/>
      <c r="W901" s="532"/>
      <c r="X901" s="560"/>
      <c r="Y901" s="561"/>
      <c r="Z901" s="561"/>
      <c r="AA901" s="562" t="e">
        <f t="shared" ca="1" si="671"/>
        <v>#NAME?</v>
      </c>
      <c r="AB901" s="535"/>
      <c r="AC901" s="529"/>
      <c r="AD901" s="529"/>
      <c r="AE901" s="529">
        <f t="shared" si="687"/>
        <v>0</v>
      </c>
      <c r="AF901" s="529"/>
      <c r="AG901" s="529"/>
      <c r="AH901" s="529"/>
      <c r="AI901" s="535"/>
      <c r="AJ901" s="561"/>
      <c r="AK901" s="507">
        <f t="shared" si="662"/>
        <v>0</v>
      </c>
      <c r="AL901" s="507"/>
      <c r="AM901" s="507"/>
      <c r="AN901" s="556"/>
      <c r="AO901" s="510"/>
      <c r="AP901" s="510" t="e">
        <f t="shared" ca="1" si="670"/>
        <v>#NAME?</v>
      </c>
      <c r="AQ901" s="532"/>
      <c r="AR901" s="533">
        <f t="shared" si="673"/>
        <v>0</v>
      </c>
      <c r="AS901" s="533"/>
      <c r="AT901" s="533">
        <f t="shared" si="674"/>
        <v>0</v>
      </c>
      <c r="AU901" s="533"/>
      <c r="AV901" s="533">
        <f>AQ901/R901*100</f>
        <v>0</v>
      </c>
      <c r="AW901" s="612"/>
      <c r="AX901" s="612"/>
      <c r="AY901" s="612"/>
      <c r="AZ901" s="612"/>
      <c r="BA901" s="612"/>
      <c r="BB901" s="612"/>
      <c r="BC901" s="612"/>
      <c r="BD901" s="612"/>
      <c r="BE901" s="612"/>
      <c r="BF901" s="612"/>
      <c r="BG901" s="612"/>
      <c r="BH901" s="612">
        <f t="shared" si="672"/>
        <v>0</v>
      </c>
      <c r="BI901" s="612">
        <f t="shared" si="683"/>
        <v>0</v>
      </c>
      <c r="BJ901" s="201">
        <f t="shared" si="684"/>
        <v>0</v>
      </c>
    </row>
    <row r="902" spans="1:62" ht="12" customHeight="1">
      <c r="A902" s="52"/>
      <c r="B902" s="52"/>
      <c r="C902" s="52"/>
      <c r="D902" s="52"/>
      <c r="E902" s="52"/>
      <c r="F902" s="52"/>
      <c r="G902" s="52"/>
      <c r="H902" s="2" t="s">
        <v>714</v>
      </c>
      <c r="I902" s="289">
        <v>860</v>
      </c>
      <c r="J902" s="185">
        <v>3811</v>
      </c>
      <c r="K902" s="19" t="s">
        <v>715</v>
      </c>
      <c r="L902" s="129">
        <v>17000</v>
      </c>
      <c r="M902" s="129">
        <f>17000/7.5345</f>
        <v>2256.2877430486428</v>
      </c>
      <c r="N902" s="130"/>
      <c r="O902" s="130"/>
      <c r="P902" s="131"/>
      <c r="Q902" s="131"/>
      <c r="R902" s="153">
        <v>3200</v>
      </c>
      <c r="S902" s="158" t="e">
        <f ca="1">__xlfn.XLOOKUP(H902,[1]Izvršenje_proračuna_po_pozicija!$B$2:$B$153,[1]Izvršenje_proračuna_po_pozicija!$E$2:$E$153,0)</f>
        <v>#NAME?</v>
      </c>
      <c r="T902" s="158"/>
      <c r="U902" s="158"/>
      <c r="V902" s="532"/>
      <c r="W902" s="532"/>
      <c r="X902" s="560"/>
      <c r="Y902" s="561"/>
      <c r="Z902" s="561"/>
      <c r="AA902" s="562" t="e">
        <f t="shared" ca="1" si="671"/>
        <v>#NAME?</v>
      </c>
      <c r="AB902" s="535"/>
      <c r="AC902" s="529"/>
      <c r="AD902" s="529"/>
      <c r="AE902" s="529">
        <f t="shared" si="687"/>
        <v>0</v>
      </c>
      <c r="AF902" s="529"/>
      <c r="AG902" s="529"/>
      <c r="AH902" s="529"/>
      <c r="AI902" s="535"/>
      <c r="AJ902" s="561"/>
      <c r="AK902" s="507">
        <f t="shared" si="662"/>
        <v>0</v>
      </c>
      <c r="AL902" s="507"/>
      <c r="AM902" s="507"/>
      <c r="AN902" s="556"/>
      <c r="AO902" s="510"/>
      <c r="AP902" s="510" t="e">
        <f t="shared" ca="1" si="670"/>
        <v>#NAME?</v>
      </c>
      <c r="AQ902" s="532"/>
      <c r="AR902" s="533">
        <f t="shared" si="673"/>
        <v>0</v>
      </c>
      <c r="AS902" s="533"/>
      <c r="AT902" s="533">
        <f t="shared" si="674"/>
        <v>0</v>
      </c>
      <c r="AU902" s="533"/>
      <c r="AV902" s="533">
        <f>AQ902/R902*100</f>
        <v>0</v>
      </c>
      <c r="AW902" s="612"/>
      <c r="AX902" s="612"/>
      <c r="AY902" s="612"/>
      <c r="AZ902" s="612"/>
      <c r="BA902" s="612"/>
      <c r="BB902" s="612"/>
      <c r="BC902" s="612"/>
      <c r="BD902" s="612"/>
      <c r="BE902" s="612"/>
      <c r="BF902" s="612"/>
      <c r="BG902" s="612"/>
      <c r="BH902" s="612">
        <f t="shared" si="672"/>
        <v>0</v>
      </c>
      <c r="BI902" s="612">
        <f t="shared" si="683"/>
        <v>0</v>
      </c>
      <c r="BJ902" s="201"/>
    </row>
    <row r="903" spans="1:62" ht="12" customHeight="1">
      <c r="A903" s="167"/>
      <c r="B903" s="167"/>
      <c r="C903" s="167"/>
      <c r="D903" s="167"/>
      <c r="E903" s="167"/>
      <c r="F903" s="167"/>
      <c r="G903" s="167"/>
      <c r="H903" s="2" t="s">
        <v>716</v>
      </c>
      <c r="I903" s="289">
        <v>860</v>
      </c>
      <c r="J903" s="185">
        <v>3811</v>
      </c>
      <c r="K903" s="185" t="s">
        <v>717</v>
      </c>
      <c r="L903" s="129">
        <v>25000</v>
      </c>
      <c r="M903" s="129">
        <f>25000/7.5345</f>
        <v>3318.0702103656513</v>
      </c>
      <c r="N903" s="130"/>
      <c r="O903" s="130"/>
      <c r="P903" s="131"/>
      <c r="Q903" s="131"/>
      <c r="R903" s="153">
        <v>3000</v>
      </c>
      <c r="S903" s="158" t="e">
        <f ca="1">__xlfn.XLOOKUP(H903,[1]Izvršenje_proračuna_po_pozicija!$B$2:$B$153,[1]Izvršenje_proračuna_po_pozicija!$E$2:$E$153,0)</f>
        <v>#NAME?</v>
      </c>
      <c r="T903" s="158"/>
      <c r="U903" s="158"/>
      <c r="V903" s="532"/>
      <c r="W903" s="532"/>
      <c r="X903" s="560"/>
      <c r="Y903" s="561"/>
      <c r="Z903" s="561"/>
      <c r="AA903" s="562" t="e">
        <f t="shared" ca="1" si="671"/>
        <v>#NAME?</v>
      </c>
      <c r="AB903" s="535"/>
      <c r="AC903" s="529"/>
      <c r="AD903" s="529"/>
      <c r="AE903" s="529">
        <f t="shared" si="687"/>
        <v>0</v>
      </c>
      <c r="AF903" s="529"/>
      <c r="AG903" s="529"/>
      <c r="AH903" s="529"/>
      <c r="AI903" s="535"/>
      <c r="AJ903" s="561"/>
      <c r="AK903" s="507">
        <f t="shared" si="662"/>
        <v>0</v>
      </c>
      <c r="AL903" s="507"/>
      <c r="AM903" s="507"/>
      <c r="AN903" s="556"/>
      <c r="AO903" s="510"/>
      <c r="AP903" s="510" t="e">
        <f t="shared" ca="1" si="670"/>
        <v>#NAME?</v>
      </c>
      <c r="AQ903" s="532"/>
      <c r="AR903" s="533">
        <f t="shared" si="673"/>
        <v>0</v>
      </c>
      <c r="AS903" s="533"/>
      <c r="AT903" s="533">
        <f t="shared" si="674"/>
        <v>0</v>
      </c>
      <c r="AU903" s="533"/>
      <c r="AV903" s="533">
        <f>AQ903/R903*100</f>
        <v>0</v>
      </c>
      <c r="AW903" s="612"/>
      <c r="AX903" s="612"/>
      <c r="AY903" s="612"/>
      <c r="AZ903" s="612"/>
      <c r="BA903" s="612"/>
      <c r="BB903" s="612"/>
      <c r="BC903" s="612"/>
      <c r="BD903" s="612"/>
      <c r="BE903" s="612"/>
      <c r="BF903" s="612"/>
      <c r="BG903" s="612"/>
      <c r="BH903" s="612">
        <f t="shared" si="672"/>
        <v>0</v>
      </c>
      <c r="BI903" s="612">
        <f t="shared" si="683"/>
        <v>0</v>
      </c>
      <c r="BJ903" s="201"/>
    </row>
    <row r="904" spans="1:62" ht="12" customHeight="1">
      <c r="A904" s="167"/>
      <c r="B904" s="167"/>
      <c r="C904" s="167"/>
      <c r="D904" s="167"/>
      <c r="E904" s="167"/>
      <c r="F904" s="167"/>
      <c r="G904" s="167"/>
      <c r="H904" s="2" t="s">
        <v>718</v>
      </c>
      <c r="I904" s="289">
        <v>860</v>
      </c>
      <c r="J904" s="185">
        <v>3811</v>
      </c>
      <c r="K904" s="208" t="s">
        <v>719</v>
      </c>
      <c r="L904" s="129"/>
      <c r="M904" s="129"/>
      <c r="N904" s="130"/>
      <c r="O904" s="130"/>
      <c r="P904" s="131"/>
      <c r="Q904" s="131"/>
      <c r="R904" s="153"/>
      <c r="S904" s="158" t="e">
        <f ca="1">__xlfn.XLOOKUP(H904,[1]Izvršenje_proračuna_po_pozicija!$B$2:$B$153,[1]Izvršenje_proračuna_po_pozicija!$E$2:$E$153,0)</f>
        <v>#NAME?</v>
      </c>
      <c r="T904" s="158"/>
      <c r="U904" s="158"/>
      <c r="V904" s="532"/>
      <c r="W904" s="532"/>
      <c r="X904" s="560"/>
      <c r="Y904" s="561"/>
      <c r="Z904" s="561"/>
      <c r="AA904" s="562" t="e">
        <f t="shared" ca="1" si="671"/>
        <v>#NAME?</v>
      </c>
      <c r="AB904" s="535"/>
      <c r="AC904" s="529"/>
      <c r="AD904" s="529"/>
      <c r="AE904" s="529"/>
      <c r="AF904" s="529"/>
      <c r="AG904" s="529"/>
      <c r="AH904" s="529"/>
      <c r="AI904" s="535"/>
      <c r="AJ904" s="561"/>
      <c r="AK904" s="507"/>
      <c r="AL904" s="507"/>
      <c r="AM904" s="507"/>
      <c r="AN904" s="556"/>
      <c r="AO904" s="510"/>
      <c r="AP904" s="510" t="e">
        <f t="shared" ca="1" si="670"/>
        <v>#NAME?</v>
      </c>
      <c r="AQ904" s="532"/>
      <c r="AR904" s="533"/>
      <c r="AS904" s="533"/>
      <c r="AT904" s="533"/>
      <c r="AU904" s="533"/>
      <c r="AV904" s="533"/>
      <c r="AW904" s="612"/>
      <c r="AX904" s="612"/>
      <c r="AY904" s="612"/>
      <c r="AZ904" s="612"/>
      <c r="BA904" s="612"/>
      <c r="BB904" s="612"/>
      <c r="BC904" s="612"/>
      <c r="BD904" s="612"/>
      <c r="BE904" s="612"/>
      <c r="BF904" s="612"/>
      <c r="BG904" s="612"/>
      <c r="BH904" s="612">
        <f t="shared" si="672"/>
        <v>0</v>
      </c>
      <c r="BI904" s="612">
        <f t="shared" si="683"/>
        <v>0</v>
      </c>
      <c r="BJ904" s="201"/>
    </row>
    <row r="905" spans="1:62" ht="12" customHeight="1">
      <c r="A905" s="167"/>
      <c r="B905" s="167"/>
      <c r="C905" s="167"/>
      <c r="D905" s="167"/>
      <c r="E905" s="167"/>
      <c r="F905" s="167"/>
      <c r="G905" s="167"/>
      <c r="H905" s="2" t="s">
        <v>720</v>
      </c>
      <c r="I905" s="289">
        <v>860</v>
      </c>
      <c r="J905" s="185">
        <v>3811</v>
      </c>
      <c r="K905" s="185" t="s">
        <v>721</v>
      </c>
      <c r="L905" s="129">
        <v>8000</v>
      </c>
      <c r="M905" s="129">
        <f>8000/7.5345</f>
        <v>1061.7824673170085</v>
      </c>
      <c r="N905" s="130"/>
      <c r="O905" s="130"/>
      <c r="P905" s="131"/>
      <c r="Q905" s="131"/>
      <c r="R905" s="153">
        <v>1600</v>
      </c>
      <c r="S905" s="158" t="e">
        <f ca="1">__xlfn.XLOOKUP(H905,[1]Izvršenje_proračuna_po_pozicija!$B$2:$B$153,[1]Izvršenje_proračuna_po_pozicija!$E$2:$E$153,0)</f>
        <v>#NAME?</v>
      </c>
      <c r="T905" s="158"/>
      <c r="U905" s="158"/>
      <c r="V905" s="532"/>
      <c r="W905" s="532"/>
      <c r="X905" s="560"/>
      <c r="Y905" s="561"/>
      <c r="Z905" s="561"/>
      <c r="AA905" s="562" t="e">
        <f t="shared" ca="1" si="671"/>
        <v>#NAME?</v>
      </c>
      <c r="AB905" s="535"/>
      <c r="AC905" s="529"/>
      <c r="AD905" s="529"/>
      <c r="AE905" s="529">
        <f>O905/M905*100</f>
        <v>0</v>
      </c>
      <c r="AF905" s="529"/>
      <c r="AG905" s="529"/>
      <c r="AH905" s="529"/>
      <c r="AI905" s="535"/>
      <c r="AJ905" s="561"/>
      <c r="AK905" s="507">
        <f t="shared" si="662"/>
        <v>0</v>
      </c>
      <c r="AL905" s="507"/>
      <c r="AM905" s="507"/>
      <c r="AN905" s="556"/>
      <c r="AO905" s="510"/>
      <c r="AP905" s="510" t="e">
        <f t="shared" ca="1" si="670"/>
        <v>#NAME?</v>
      </c>
      <c r="AQ905" s="532"/>
      <c r="AR905" s="533">
        <f t="shared" si="673"/>
        <v>0</v>
      </c>
      <c r="AS905" s="533"/>
      <c r="AT905" s="533">
        <f t="shared" si="674"/>
        <v>0</v>
      </c>
      <c r="AU905" s="533"/>
      <c r="AV905" s="533">
        <f>AQ905/R905*100</f>
        <v>0</v>
      </c>
      <c r="AW905" s="612"/>
      <c r="AX905" s="612"/>
      <c r="AY905" s="612"/>
      <c r="AZ905" s="612"/>
      <c r="BA905" s="612"/>
      <c r="BB905" s="612"/>
      <c r="BC905" s="612"/>
      <c r="BD905" s="612"/>
      <c r="BE905" s="612"/>
      <c r="BF905" s="612"/>
      <c r="BG905" s="612"/>
      <c r="BH905" s="612">
        <f t="shared" si="672"/>
        <v>0</v>
      </c>
      <c r="BI905" s="612">
        <f t="shared" si="683"/>
        <v>0</v>
      </c>
      <c r="BJ905" s="201"/>
    </row>
    <row r="906" spans="1:62" ht="12" customHeight="1">
      <c r="A906" s="167"/>
      <c r="B906" s="167"/>
      <c r="C906" s="167"/>
      <c r="D906" s="167"/>
      <c r="E906" s="167"/>
      <c r="F906" s="167"/>
      <c r="G906" s="167"/>
      <c r="H906" s="2" t="s">
        <v>722</v>
      </c>
      <c r="I906" s="289">
        <v>860</v>
      </c>
      <c r="J906" s="185">
        <v>3811</v>
      </c>
      <c r="K906" s="208" t="s">
        <v>723</v>
      </c>
      <c r="L906" s="129"/>
      <c r="M906" s="129"/>
      <c r="N906" s="130"/>
      <c r="O906" s="130"/>
      <c r="P906" s="131"/>
      <c r="Q906" s="131"/>
      <c r="R906" s="153"/>
      <c r="S906" s="158" t="e">
        <f ca="1">__xlfn.XLOOKUP(H906,[1]Izvršenje_proračuna_po_pozicija!$B$2:$B$153,[1]Izvršenje_proračuna_po_pozicija!$E$2:$E$153,0)</f>
        <v>#NAME?</v>
      </c>
      <c r="T906" s="158"/>
      <c r="U906" s="158"/>
      <c r="V906" s="532"/>
      <c r="W906" s="532"/>
      <c r="X906" s="560"/>
      <c r="Y906" s="561"/>
      <c r="Z906" s="561"/>
      <c r="AA906" s="562" t="e">
        <f t="shared" ca="1" si="671"/>
        <v>#NAME?</v>
      </c>
      <c r="AB906" s="535"/>
      <c r="AC906" s="529"/>
      <c r="AD906" s="529"/>
      <c r="AE906" s="529"/>
      <c r="AF906" s="529"/>
      <c r="AG906" s="529"/>
      <c r="AH906" s="529"/>
      <c r="AI906" s="535"/>
      <c r="AJ906" s="561"/>
      <c r="AK906" s="507"/>
      <c r="AL906" s="507"/>
      <c r="AM906" s="507"/>
      <c r="AN906" s="556"/>
      <c r="AO906" s="510"/>
      <c r="AP906" s="510" t="e">
        <f t="shared" ca="1" si="670"/>
        <v>#NAME?</v>
      </c>
      <c r="AQ906" s="532"/>
      <c r="AR906" s="533"/>
      <c r="AS906" s="533"/>
      <c r="AT906" s="533"/>
      <c r="AU906" s="533"/>
      <c r="AV906" s="533"/>
      <c r="AW906" s="612"/>
      <c r="AX906" s="612"/>
      <c r="AY906" s="612"/>
      <c r="AZ906" s="612"/>
      <c r="BA906" s="612"/>
      <c r="BB906" s="612"/>
      <c r="BC906" s="612"/>
      <c r="BD906" s="612"/>
      <c r="BE906" s="612"/>
      <c r="BF906" s="612"/>
      <c r="BG906" s="612"/>
      <c r="BH906" s="612">
        <f t="shared" si="672"/>
        <v>0</v>
      </c>
      <c r="BI906" s="612">
        <f t="shared" si="683"/>
        <v>0</v>
      </c>
      <c r="BJ906" s="201"/>
    </row>
    <row r="907" spans="1:62" ht="12" customHeight="1">
      <c r="A907" s="167"/>
      <c r="B907" s="167"/>
      <c r="C907" s="167"/>
      <c r="D907" s="167"/>
      <c r="E907" s="167"/>
      <c r="F907" s="167"/>
      <c r="G907" s="167"/>
      <c r="H907" s="2" t="s">
        <v>724</v>
      </c>
      <c r="I907" s="289">
        <v>860</v>
      </c>
      <c r="J907" s="185">
        <v>3811</v>
      </c>
      <c r="K907" s="208" t="s">
        <v>725</v>
      </c>
      <c r="L907" s="129">
        <v>32000</v>
      </c>
      <c r="M907" s="129">
        <f>32000/7.5345</f>
        <v>4247.1298692680339</v>
      </c>
      <c r="N907" s="130"/>
      <c r="O907" s="130"/>
      <c r="P907" s="131"/>
      <c r="Q907" s="131"/>
      <c r="R907" s="153">
        <v>1200</v>
      </c>
      <c r="S907" s="158" t="e">
        <f ca="1">__xlfn.XLOOKUP(H907,[1]Izvršenje_proračuna_po_pozicija!$B$2:$B$153,[1]Izvršenje_proračuna_po_pozicija!$E$2:$E$153,0)</f>
        <v>#NAME?</v>
      </c>
      <c r="T907" s="158"/>
      <c r="U907" s="158"/>
      <c r="V907" s="532">
        <v>15400</v>
      </c>
      <c r="W907" s="532">
        <v>15529</v>
      </c>
      <c r="X907" s="560">
        <v>18000</v>
      </c>
      <c r="Y907" s="561">
        <v>20000</v>
      </c>
      <c r="Z907" s="561"/>
      <c r="AA907" s="562" t="e">
        <f t="shared" ca="1" si="671"/>
        <v>#NAME?</v>
      </c>
      <c r="AB907" s="535"/>
      <c r="AC907" s="529"/>
      <c r="AD907" s="529"/>
      <c r="AE907" s="529">
        <f>O907/M907*100</f>
        <v>0</v>
      </c>
      <c r="AF907" s="529"/>
      <c r="AG907" s="529"/>
      <c r="AH907" s="529"/>
      <c r="AI907" s="535"/>
      <c r="AJ907" s="561">
        <v>20000</v>
      </c>
      <c r="AK907" s="507">
        <f t="shared" si="662"/>
        <v>1294.0833333333335</v>
      </c>
      <c r="AL907" s="507">
        <f t="shared" si="663"/>
        <v>115.91216433769078</v>
      </c>
      <c r="AM907" s="507">
        <f t="shared" si="663"/>
        <v>111.11111111111111</v>
      </c>
      <c r="AN907" s="556"/>
      <c r="AO907" s="510"/>
      <c r="AP907" s="510" t="e">
        <f t="shared" ca="1" si="670"/>
        <v>#NAME?</v>
      </c>
      <c r="AQ907" s="532">
        <v>15529</v>
      </c>
      <c r="AR907" s="533">
        <f t="shared" si="673"/>
        <v>1283.3333333333335</v>
      </c>
      <c r="AS907" s="533">
        <f>W907/V907*100</f>
        <v>100.83766233766234</v>
      </c>
      <c r="AT907" s="533">
        <f t="shared" si="674"/>
        <v>1294.0833333333335</v>
      </c>
      <c r="AU907" s="533">
        <f>AQ907/W907*100</f>
        <v>100</v>
      </c>
      <c r="AV907" s="533">
        <f>AQ907/R907*100</f>
        <v>1294.0833333333335</v>
      </c>
      <c r="AW907" s="612">
        <v>15529</v>
      </c>
      <c r="AX907" s="612"/>
      <c r="AY907" s="612"/>
      <c r="AZ907" s="612"/>
      <c r="BA907" s="612"/>
      <c r="BB907" s="612"/>
      <c r="BC907" s="612"/>
      <c r="BD907" s="612"/>
      <c r="BE907" s="612"/>
      <c r="BF907" s="612"/>
      <c r="BG907" s="612"/>
      <c r="BH907" s="612">
        <f t="shared" si="672"/>
        <v>15529</v>
      </c>
      <c r="BI907" s="612">
        <f t="shared" si="683"/>
        <v>7116.18</v>
      </c>
      <c r="BJ907" s="201"/>
    </row>
    <row r="908" spans="1:62" ht="12" customHeight="1">
      <c r="A908" s="167"/>
      <c r="B908" s="167"/>
      <c r="C908" s="167"/>
      <c r="D908" s="167"/>
      <c r="E908" s="167"/>
      <c r="F908" s="167"/>
      <c r="G908" s="167"/>
      <c r="H908" s="2"/>
      <c r="I908" s="289"/>
      <c r="J908" s="19"/>
      <c r="K908" s="208"/>
      <c r="L908" s="129"/>
      <c r="M908" s="129"/>
      <c r="N908" s="130"/>
      <c r="O908" s="130"/>
      <c r="P908" s="131"/>
      <c r="Q908" s="131"/>
      <c r="R908" s="153"/>
      <c r="S908" s="158" t="e">
        <f ca="1">__xlfn.XLOOKUP(H908,[1]Izvršenje_proračuna_po_pozicija!$B$2:$B$153,[1]Izvršenje_proračuna_po_pozicija!$E$2:$E$153,0)</f>
        <v>#NAME?</v>
      </c>
      <c r="T908" s="158"/>
      <c r="U908" s="158"/>
      <c r="V908" s="532"/>
      <c r="W908" s="532"/>
      <c r="X908" s="560"/>
      <c r="Y908" s="561"/>
      <c r="Z908" s="561"/>
      <c r="AA908" s="562" t="e">
        <f t="shared" ca="1" si="671"/>
        <v>#NAME?</v>
      </c>
      <c r="AB908" s="535"/>
      <c r="AC908" s="529"/>
      <c r="AD908" s="529"/>
      <c r="AE908" s="529"/>
      <c r="AF908" s="529"/>
      <c r="AG908" s="529"/>
      <c r="AH908" s="529"/>
      <c r="AI908" s="535"/>
      <c r="AJ908" s="561"/>
      <c r="AK908" s="507"/>
      <c r="AL908" s="507"/>
      <c r="AM908" s="507"/>
      <c r="AN908" s="556"/>
      <c r="AO908" s="510"/>
      <c r="AP908" s="510" t="e">
        <f t="shared" ca="1" si="670"/>
        <v>#NAME?</v>
      </c>
      <c r="AQ908" s="532"/>
      <c r="AR908" s="533"/>
      <c r="AS908" s="533"/>
      <c r="AT908" s="533"/>
      <c r="AU908" s="533"/>
      <c r="AV908" s="533"/>
      <c r="AW908" s="612"/>
      <c r="AX908" s="612"/>
      <c r="AY908" s="612"/>
      <c r="AZ908" s="612"/>
      <c r="BA908" s="612"/>
      <c r="BB908" s="612"/>
      <c r="BC908" s="612"/>
      <c r="BD908" s="612"/>
      <c r="BE908" s="612"/>
      <c r="BF908" s="612"/>
      <c r="BG908" s="612"/>
      <c r="BH908" s="612">
        <f t="shared" si="672"/>
        <v>0</v>
      </c>
      <c r="BI908" s="612">
        <f t="shared" si="683"/>
        <v>7116.18</v>
      </c>
      <c r="BJ908" s="201"/>
    </row>
    <row r="909" spans="1:62" ht="12" customHeight="1">
      <c r="A909" s="320"/>
      <c r="B909" s="320"/>
      <c r="C909" s="320"/>
      <c r="D909" s="320"/>
      <c r="E909" s="320"/>
      <c r="F909" s="320"/>
      <c r="G909" s="320"/>
      <c r="H909" s="321"/>
      <c r="I909" s="373" t="s">
        <v>726</v>
      </c>
      <c r="J909" s="374"/>
      <c r="K909" s="223"/>
      <c r="L909" s="111">
        <f t="shared" ref="L909:S909" si="692">L910+L926</f>
        <v>15225</v>
      </c>
      <c r="M909" s="111">
        <f t="shared" si="692"/>
        <v>2020.7047581126815</v>
      </c>
      <c r="N909" s="112">
        <f t="shared" si="692"/>
        <v>13588</v>
      </c>
      <c r="O909" s="112">
        <f t="shared" si="692"/>
        <v>1803.4375207379387</v>
      </c>
      <c r="P909" s="113">
        <f t="shared" si="692"/>
        <v>11300</v>
      </c>
      <c r="Q909" s="113">
        <f t="shared" si="692"/>
        <v>11300</v>
      </c>
      <c r="R909" s="87">
        <f t="shared" si="692"/>
        <v>3504</v>
      </c>
      <c r="S909" s="89" t="e">
        <f t="shared" ca="1" si="692"/>
        <v>#NAME?</v>
      </c>
      <c r="T909" s="89"/>
      <c r="U909" s="89"/>
      <c r="V909" s="532">
        <f>V910+V926</f>
        <v>5000</v>
      </c>
      <c r="W909" s="532">
        <f>W910+W926</f>
        <v>5000</v>
      </c>
      <c r="X909" s="506">
        <f>X910+X926</f>
        <v>5500</v>
      </c>
      <c r="Y909" s="507">
        <f>Y910+Y926</f>
        <v>7000</v>
      </c>
      <c r="Z909" s="507">
        <f>Z910+Z926</f>
        <v>0</v>
      </c>
      <c r="AA909" s="562" t="e">
        <f t="shared" ca="1" si="671"/>
        <v>#NAME?</v>
      </c>
      <c r="AB909" s="507"/>
      <c r="AC909" s="508">
        <f>AC910+AC926</f>
        <v>16500</v>
      </c>
      <c r="AD909" s="508">
        <f>AD910+AD926</f>
        <v>16500</v>
      </c>
      <c r="AE909" s="529">
        <f>O909/M909*100</f>
        <v>89.247947454844009</v>
      </c>
      <c r="AF909" s="529">
        <f>P909/O909*100</f>
        <v>626.58117456579339</v>
      </c>
      <c r="AG909" s="529">
        <f>Q909/P909*100</f>
        <v>100</v>
      </c>
      <c r="AH909" s="529">
        <f>AC909/Q909*100</f>
        <v>146.01769911504425</v>
      </c>
      <c r="AI909" s="507"/>
      <c r="AJ909" s="507">
        <v>7000</v>
      </c>
      <c r="AK909" s="507">
        <f t="shared" si="662"/>
        <v>142.69406392694063</v>
      </c>
      <c r="AL909" s="507">
        <f t="shared" si="663"/>
        <v>110.00000000000001</v>
      </c>
      <c r="AM909" s="507">
        <f t="shared" si="663"/>
        <v>127.27272727272727</v>
      </c>
      <c r="AN909" s="509"/>
      <c r="AO909" s="510"/>
      <c r="AP909" s="510" t="e">
        <f t="shared" ca="1" si="670"/>
        <v>#NAME?</v>
      </c>
      <c r="AQ909" s="532">
        <f>AQ910+AQ926</f>
        <v>7116.18</v>
      </c>
      <c r="AR909" s="533">
        <f t="shared" si="673"/>
        <v>142.69406392694063</v>
      </c>
      <c r="AS909" s="533">
        <f>W909/V909*100</f>
        <v>100</v>
      </c>
      <c r="AT909" s="533">
        <f t="shared" si="674"/>
        <v>142.69406392694063</v>
      </c>
      <c r="AU909" s="533">
        <f>AQ909/W909*100</f>
        <v>142.32360000000003</v>
      </c>
      <c r="AV909" s="533">
        <f>AQ909/R909*100</f>
        <v>203.08732876712327</v>
      </c>
      <c r="AW909" s="612"/>
      <c r="AX909" s="612"/>
      <c r="AY909" s="612"/>
      <c r="AZ909" s="612"/>
      <c r="BA909" s="612"/>
      <c r="BB909" s="612"/>
      <c r="BC909" s="612"/>
      <c r="BD909" s="612"/>
      <c r="BE909" s="612"/>
      <c r="BF909" s="612"/>
      <c r="BG909" s="612"/>
      <c r="BH909" s="612">
        <f t="shared" si="672"/>
        <v>0</v>
      </c>
      <c r="BI909" s="612">
        <f t="shared" si="683"/>
        <v>6366.1</v>
      </c>
      <c r="BJ909" s="201">
        <f t="shared" ref="BJ909:BJ926" si="693">AQ916-BI909</f>
        <v>0</v>
      </c>
    </row>
    <row r="910" spans="1:62" ht="12" customHeight="1">
      <c r="A910" s="282" t="s">
        <v>321</v>
      </c>
      <c r="B910" s="283"/>
      <c r="C910" s="283"/>
      <c r="D910" s="283"/>
      <c r="E910" s="283"/>
      <c r="F910" s="283"/>
      <c r="G910" s="283"/>
      <c r="H910" s="284"/>
      <c r="I910" s="369" t="s">
        <v>727</v>
      </c>
      <c r="J910" s="370"/>
      <c r="K910" s="226"/>
      <c r="L910" s="111">
        <f t="shared" ref="L910:S910" si="694">L912</f>
        <v>15225</v>
      </c>
      <c r="M910" s="111">
        <f t="shared" si="694"/>
        <v>2020.7047581126815</v>
      </c>
      <c r="N910" s="112">
        <f t="shared" si="694"/>
        <v>13588</v>
      </c>
      <c r="O910" s="112">
        <f t="shared" si="694"/>
        <v>1803.4375207379387</v>
      </c>
      <c r="P910" s="113">
        <f t="shared" si="694"/>
        <v>11300</v>
      </c>
      <c r="Q910" s="113">
        <f t="shared" si="694"/>
        <v>11300</v>
      </c>
      <c r="R910" s="87">
        <f t="shared" si="694"/>
        <v>3504</v>
      </c>
      <c r="S910" s="89" t="e">
        <f t="shared" ca="1" si="694"/>
        <v>#NAME?</v>
      </c>
      <c r="T910" s="89"/>
      <c r="U910" s="89"/>
      <c r="V910" s="532">
        <f>V912</f>
        <v>5000</v>
      </c>
      <c r="W910" s="532">
        <f>W912</f>
        <v>5000</v>
      </c>
      <c r="X910" s="506">
        <f>X912</f>
        <v>5500</v>
      </c>
      <c r="Y910" s="507">
        <f>Y912</f>
        <v>7000</v>
      </c>
      <c r="Z910" s="507">
        <f>Z912</f>
        <v>0</v>
      </c>
      <c r="AA910" s="562" t="e">
        <f t="shared" ca="1" si="671"/>
        <v>#NAME?</v>
      </c>
      <c r="AB910" s="507"/>
      <c r="AC910" s="508">
        <f>AC912</f>
        <v>11500</v>
      </c>
      <c r="AD910" s="508">
        <f>AD912</f>
        <v>11500</v>
      </c>
      <c r="AE910" s="529">
        <f>O910/M910*100</f>
        <v>89.247947454844009</v>
      </c>
      <c r="AF910" s="529">
        <f>P910/O910*100</f>
        <v>626.58117456579339</v>
      </c>
      <c r="AG910" s="529">
        <f>Q910/P910*100</f>
        <v>100</v>
      </c>
      <c r="AH910" s="529">
        <f>AC910/Q910*100</f>
        <v>101.76991150442478</v>
      </c>
      <c r="AI910" s="507"/>
      <c r="AJ910" s="507">
        <v>7000</v>
      </c>
      <c r="AK910" s="507">
        <f t="shared" si="662"/>
        <v>142.69406392694063</v>
      </c>
      <c r="AL910" s="507">
        <f t="shared" si="663"/>
        <v>110.00000000000001</v>
      </c>
      <c r="AM910" s="507">
        <f t="shared" si="663"/>
        <v>127.27272727272727</v>
      </c>
      <c r="AN910" s="509"/>
      <c r="AO910" s="510"/>
      <c r="AP910" s="510" t="e">
        <f t="shared" ca="1" si="670"/>
        <v>#NAME?</v>
      </c>
      <c r="AQ910" s="532">
        <f>AQ912</f>
        <v>7116.18</v>
      </c>
      <c r="AR910" s="533">
        <f t="shared" si="673"/>
        <v>142.69406392694063</v>
      </c>
      <c r="AS910" s="533">
        <f>W910/V910*100</f>
        <v>100</v>
      </c>
      <c r="AT910" s="533">
        <f t="shared" si="674"/>
        <v>142.69406392694063</v>
      </c>
      <c r="AU910" s="533">
        <f>AQ910/W910*100</f>
        <v>142.32360000000003</v>
      </c>
      <c r="AV910" s="533">
        <f>AQ910/R910*100</f>
        <v>203.08732876712327</v>
      </c>
      <c r="AW910" s="612"/>
      <c r="AX910" s="612"/>
      <c r="AY910" s="612"/>
      <c r="AZ910" s="612"/>
      <c r="BA910" s="612"/>
      <c r="BB910" s="612"/>
      <c r="BC910" s="612"/>
      <c r="BD910" s="612"/>
      <c r="BE910" s="612"/>
      <c r="BF910" s="612"/>
      <c r="BG910" s="612"/>
      <c r="BH910" s="612">
        <f t="shared" si="672"/>
        <v>0</v>
      </c>
      <c r="BI910" s="612">
        <f t="shared" si="683"/>
        <v>750.08</v>
      </c>
      <c r="BJ910" s="201">
        <f t="shared" si="693"/>
        <v>0</v>
      </c>
    </row>
    <row r="911" spans="1:62" ht="12" customHeight="1">
      <c r="A911" s="41"/>
      <c r="B911" s="41"/>
      <c r="C911" s="41"/>
      <c r="D911" s="41"/>
      <c r="E911" s="41"/>
      <c r="F911" s="41"/>
      <c r="G911" s="41"/>
      <c r="H911" s="235"/>
      <c r="I911" s="15"/>
      <c r="J911" s="3"/>
      <c r="K911" s="211"/>
      <c r="L911" s="84"/>
      <c r="M911" s="84"/>
      <c r="N911" s="85"/>
      <c r="O911" s="85"/>
      <c r="P911" s="86"/>
      <c r="Q911" s="86"/>
      <c r="R911" s="154"/>
      <c r="S911" s="158" t="e">
        <f ca="1">__xlfn.XLOOKUP(H911,[1]Izvršenje_proračuna_po_pozicija!$B$2:$B$153,[1]Izvršenje_proračuna_po_pozicija!$E$2:$E$153,0)</f>
        <v>#NAME?</v>
      </c>
      <c r="T911" s="158"/>
      <c r="U911" s="158"/>
      <c r="V911" s="532"/>
      <c r="W911" s="532"/>
      <c r="X911" s="568"/>
      <c r="Y911" s="569"/>
      <c r="Z911" s="569"/>
      <c r="AA911" s="562" t="e">
        <f t="shared" ca="1" si="671"/>
        <v>#NAME?</v>
      </c>
      <c r="AB911" s="537"/>
      <c r="AC911" s="538"/>
      <c r="AD911" s="538"/>
      <c r="AE911" s="529"/>
      <c r="AF911" s="529"/>
      <c r="AG911" s="529"/>
      <c r="AH911" s="529"/>
      <c r="AI911" s="537"/>
      <c r="AJ911" s="569"/>
      <c r="AK911" s="507"/>
      <c r="AL911" s="507"/>
      <c r="AM911" s="507"/>
      <c r="AN911" s="557"/>
      <c r="AO911" s="510"/>
      <c r="AP911" s="510" t="e">
        <f t="shared" ca="1" si="670"/>
        <v>#NAME?</v>
      </c>
      <c r="AQ911" s="532"/>
      <c r="AR911" s="533"/>
      <c r="AS911" s="533"/>
      <c r="AT911" s="533"/>
      <c r="AU911" s="533"/>
      <c r="AV911" s="533"/>
      <c r="AW911" s="612"/>
      <c r="AX911" s="612"/>
      <c r="AY911" s="612"/>
      <c r="AZ911" s="612"/>
      <c r="BA911" s="612"/>
      <c r="BB911" s="612"/>
      <c r="BC911" s="612"/>
      <c r="BD911" s="612"/>
      <c r="BE911" s="612"/>
      <c r="BF911" s="612"/>
      <c r="BG911" s="612"/>
      <c r="BH911" s="612">
        <f t="shared" si="672"/>
        <v>0</v>
      </c>
      <c r="BI911" s="612">
        <f t="shared" si="683"/>
        <v>0</v>
      </c>
      <c r="BJ911" s="201">
        <f t="shared" si="693"/>
        <v>0</v>
      </c>
    </row>
    <row r="912" spans="1:62" ht="12" customHeight="1">
      <c r="A912" s="25"/>
      <c r="B912" s="25"/>
      <c r="C912" s="25"/>
      <c r="D912" s="25"/>
      <c r="E912" s="25"/>
      <c r="F912" s="25"/>
      <c r="G912" s="25"/>
      <c r="H912" s="285"/>
      <c r="I912" s="349"/>
      <c r="J912" s="211">
        <v>3</v>
      </c>
      <c r="K912" s="392" t="s">
        <v>220</v>
      </c>
      <c r="L912" s="111">
        <f t="shared" ref="L912:Z914" si="695">L913</f>
        <v>15225</v>
      </c>
      <c r="M912" s="111">
        <f t="shared" si="695"/>
        <v>2020.7047581126815</v>
      </c>
      <c r="N912" s="112">
        <f t="shared" si="695"/>
        <v>13588</v>
      </c>
      <c r="O912" s="112">
        <f t="shared" si="695"/>
        <v>1803.4375207379387</v>
      </c>
      <c r="P912" s="113">
        <f t="shared" si="695"/>
        <v>11300</v>
      </c>
      <c r="Q912" s="113">
        <f t="shared" si="695"/>
        <v>11300</v>
      </c>
      <c r="R912" s="87">
        <f t="shared" si="695"/>
        <v>3504</v>
      </c>
      <c r="S912" s="89" t="e">
        <f t="shared" ca="1" si="695"/>
        <v>#NAME?</v>
      </c>
      <c r="T912" s="89"/>
      <c r="U912" s="89"/>
      <c r="V912" s="532">
        <f>V913</f>
        <v>5000</v>
      </c>
      <c r="W912" s="532">
        <f t="shared" si="695"/>
        <v>5000</v>
      </c>
      <c r="X912" s="506">
        <f t="shared" si="695"/>
        <v>5500</v>
      </c>
      <c r="Y912" s="507">
        <f t="shared" si="695"/>
        <v>7000</v>
      </c>
      <c r="Z912" s="507">
        <f t="shared" si="695"/>
        <v>0</v>
      </c>
      <c r="AA912" s="562" t="e">
        <f t="shared" ca="1" si="671"/>
        <v>#NAME?</v>
      </c>
      <c r="AB912" s="507"/>
      <c r="AC912" s="508">
        <f t="shared" ref="AC912:AD914" si="696">AC913</f>
        <v>11500</v>
      </c>
      <c r="AD912" s="508">
        <f t="shared" si="696"/>
        <v>11500</v>
      </c>
      <c r="AE912" s="529">
        <f>O912/M912*100</f>
        <v>89.247947454844009</v>
      </c>
      <c r="AF912" s="529">
        <f t="shared" ref="AF912:AG916" si="697">P912/O912*100</f>
        <v>626.58117456579339</v>
      </c>
      <c r="AG912" s="529">
        <f t="shared" si="697"/>
        <v>100</v>
      </c>
      <c r="AH912" s="529">
        <f>AC912/Q912*100</f>
        <v>101.76991150442478</v>
      </c>
      <c r="AI912" s="507"/>
      <c r="AJ912" s="507">
        <v>7000</v>
      </c>
      <c r="AK912" s="507">
        <f t="shared" si="662"/>
        <v>142.69406392694063</v>
      </c>
      <c r="AL912" s="507">
        <f t="shared" si="663"/>
        <v>110.00000000000001</v>
      </c>
      <c r="AM912" s="507">
        <f t="shared" si="663"/>
        <v>127.27272727272727</v>
      </c>
      <c r="AN912" s="509"/>
      <c r="AO912" s="510"/>
      <c r="AP912" s="510" t="e">
        <f t="shared" ca="1" si="670"/>
        <v>#NAME?</v>
      </c>
      <c r="AQ912" s="532">
        <f>AQ913</f>
        <v>7116.18</v>
      </c>
      <c r="AR912" s="533">
        <f t="shared" si="673"/>
        <v>142.69406392694063</v>
      </c>
      <c r="AS912" s="533">
        <f t="shared" ref="AS912:AS917" si="698">W912/V912*100</f>
        <v>100</v>
      </c>
      <c r="AT912" s="533">
        <f t="shared" si="674"/>
        <v>142.69406392694063</v>
      </c>
      <c r="AU912" s="533">
        <f>AQ912/W912*100</f>
        <v>142.32360000000003</v>
      </c>
      <c r="AV912" s="533">
        <f>AQ912/R912*100</f>
        <v>203.08732876712327</v>
      </c>
      <c r="AW912" s="612"/>
      <c r="AX912" s="612"/>
      <c r="AY912" s="612"/>
      <c r="AZ912" s="612"/>
      <c r="BA912" s="612"/>
      <c r="BB912" s="612"/>
      <c r="BC912" s="612"/>
      <c r="BD912" s="612"/>
      <c r="BE912" s="612"/>
      <c r="BF912" s="612"/>
      <c r="BG912" s="612"/>
      <c r="BH912" s="612">
        <f t="shared" si="672"/>
        <v>0</v>
      </c>
      <c r="BI912" s="612">
        <f t="shared" si="683"/>
        <v>0</v>
      </c>
      <c r="BJ912" s="201">
        <f t="shared" si="693"/>
        <v>0</v>
      </c>
    </row>
    <row r="913" spans="1:62" ht="12" customHeight="1">
      <c r="A913" s="227"/>
      <c r="B913" s="227"/>
      <c r="C913" s="227"/>
      <c r="D913" s="227"/>
      <c r="E913" s="227"/>
      <c r="F913" s="227"/>
      <c r="G913" s="227"/>
      <c r="H913" s="234"/>
      <c r="I913" s="265"/>
      <c r="J913" s="228">
        <v>36</v>
      </c>
      <c r="K913" s="258" t="s">
        <v>728</v>
      </c>
      <c r="L913" s="111">
        <f t="shared" si="695"/>
        <v>15225</v>
      </c>
      <c r="M913" s="111">
        <f t="shared" si="695"/>
        <v>2020.7047581126815</v>
      </c>
      <c r="N913" s="112">
        <f t="shared" si="695"/>
        <v>13588</v>
      </c>
      <c r="O913" s="112">
        <f t="shared" si="695"/>
        <v>1803.4375207379387</v>
      </c>
      <c r="P913" s="113">
        <f t="shared" si="695"/>
        <v>11300</v>
      </c>
      <c r="Q913" s="113">
        <f t="shared" si="695"/>
        <v>11300</v>
      </c>
      <c r="R913" s="87">
        <f t="shared" si="695"/>
        <v>3504</v>
      </c>
      <c r="S913" s="89" t="e">
        <f t="shared" ca="1" si="695"/>
        <v>#NAME?</v>
      </c>
      <c r="T913" s="89"/>
      <c r="U913" s="89"/>
      <c r="V913" s="532">
        <f>V914</f>
        <v>5000</v>
      </c>
      <c r="W913" s="532">
        <f t="shared" si="695"/>
        <v>5000</v>
      </c>
      <c r="X913" s="506">
        <f t="shared" si="695"/>
        <v>5500</v>
      </c>
      <c r="Y913" s="507">
        <f t="shared" si="695"/>
        <v>7000</v>
      </c>
      <c r="Z913" s="507">
        <f t="shared" si="695"/>
        <v>0</v>
      </c>
      <c r="AA913" s="562" t="e">
        <f t="shared" ca="1" si="671"/>
        <v>#NAME?</v>
      </c>
      <c r="AB913" s="507"/>
      <c r="AC913" s="508">
        <f t="shared" si="696"/>
        <v>11500</v>
      </c>
      <c r="AD913" s="508">
        <f t="shared" si="696"/>
        <v>11500</v>
      </c>
      <c r="AE913" s="529">
        <f>O913/M913*100</f>
        <v>89.247947454844009</v>
      </c>
      <c r="AF913" s="529">
        <f t="shared" si="697"/>
        <v>626.58117456579339</v>
      </c>
      <c r="AG913" s="529">
        <f t="shared" si="697"/>
        <v>100</v>
      </c>
      <c r="AH913" s="529">
        <f>AC913/Q913*100</f>
        <v>101.76991150442478</v>
      </c>
      <c r="AI913" s="507"/>
      <c r="AJ913" s="507">
        <v>7000</v>
      </c>
      <c r="AK913" s="507">
        <f t="shared" si="662"/>
        <v>142.69406392694063</v>
      </c>
      <c r="AL913" s="507">
        <f t="shared" si="663"/>
        <v>110.00000000000001</v>
      </c>
      <c r="AM913" s="507">
        <f t="shared" si="663"/>
        <v>127.27272727272727</v>
      </c>
      <c r="AN913" s="509"/>
      <c r="AO913" s="510"/>
      <c r="AP913" s="510" t="e">
        <f t="shared" ca="1" si="670"/>
        <v>#NAME?</v>
      </c>
      <c r="AQ913" s="532">
        <f>AQ914</f>
        <v>7116.18</v>
      </c>
      <c r="AR913" s="533">
        <f t="shared" si="673"/>
        <v>142.69406392694063</v>
      </c>
      <c r="AS913" s="533">
        <f t="shared" si="698"/>
        <v>100</v>
      </c>
      <c r="AT913" s="533">
        <f t="shared" si="674"/>
        <v>142.69406392694063</v>
      </c>
      <c r="AU913" s="533">
        <f>AQ913/W913*100</f>
        <v>142.32360000000003</v>
      </c>
      <c r="AV913" s="533">
        <f>AQ913/R913*100</f>
        <v>203.08732876712327</v>
      </c>
      <c r="AW913" s="612"/>
      <c r="AX913" s="612"/>
      <c r="AY913" s="612"/>
      <c r="AZ913" s="612"/>
      <c r="BA913" s="612"/>
      <c r="BB913" s="612"/>
      <c r="BC913" s="612"/>
      <c r="BD913" s="612"/>
      <c r="BE913" s="612"/>
      <c r="BF913" s="612"/>
      <c r="BG913" s="612"/>
      <c r="BH913" s="612">
        <f t="shared" si="672"/>
        <v>0</v>
      </c>
      <c r="BI913" s="612">
        <f t="shared" si="683"/>
        <v>0</v>
      </c>
      <c r="BJ913" s="201">
        <f t="shared" si="693"/>
        <v>0</v>
      </c>
    </row>
    <row r="914" spans="1:62" ht="12" customHeight="1">
      <c r="A914" s="61"/>
      <c r="B914" s="61"/>
      <c r="C914" s="61"/>
      <c r="D914" s="61"/>
      <c r="E914" s="61"/>
      <c r="F914" s="61"/>
      <c r="G914" s="61"/>
      <c r="H914" s="230"/>
      <c r="I914" s="348"/>
      <c r="J914" s="229">
        <v>366</v>
      </c>
      <c r="K914" s="20" t="s">
        <v>729</v>
      </c>
      <c r="L914" s="111">
        <f t="shared" si="695"/>
        <v>15225</v>
      </c>
      <c r="M914" s="111">
        <f t="shared" si="695"/>
        <v>2020.7047581126815</v>
      </c>
      <c r="N914" s="112">
        <f t="shared" si="695"/>
        <v>13588</v>
      </c>
      <c r="O914" s="112">
        <f t="shared" si="695"/>
        <v>1803.4375207379387</v>
      </c>
      <c r="P914" s="113">
        <f t="shared" si="695"/>
        <v>11300</v>
      </c>
      <c r="Q914" s="113">
        <f t="shared" si="695"/>
        <v>11300</v>
      </c>
      <c r="R914" s="87">
        <f t="shared" si="695"/>
        <v>3504</v>
      </c>
      <c r="S914" s="89" t="e">
        <f t="shared" ca="1" si="695"/>
        <v>#NAME?</v>
      </c>
      <c r="T914" s="89"/>
      <c r="U914" s="89"/>
      <c r="V914" s="532">
        <f>V915</f>
        <v>5000</v>
      </c>
      <c r="W914" s="532">
        <f t="shared" si="695"/>
        <v>5000</v>
      </c>
      <c r="X914" s="506">
        <f t="shared" si="695"/>
        <v>5500</v>
      </c>
      <c r="Y914" s="507">
        <f t="shared" si="695"/>
        <v>7000</v>
      </c>
      <c r="Z914" s="507">
        <f t="shared" si="695"/>
        <v>0</v>
      </c>
      <c r="AA914" s="562" t="e">
        <f t="shared" ca="1" si="671"/>
        <v>#NAME?</v>
      </c>
      <c r="AB914" s="507"/>
      <c r="AC914" s="508">
        <f t="shared" si="696"/>
        <v>11500</v>
      </c>
      <c r="AD914" s="508">
        <f t="shared" si="696"/>
        <v>11500</v>
      </c>
      <c r="AE914" s="529">
        <f>O914/M914*100</f>
        <v>89.247947454844009</v>
      </c>
      <c r="AF914" s="529">
        <f t="shared" si="697"/>
        <v>626.58117456579339</v>
      </c>
      <c r="AG914" s="529">
        <f t="shared" si="697"/>
        <v>100</v>
      </c>
      <c r="AH914" s="529">
        <f>AC914/Q914*100</f>
        <v>101.76991150442478</v>
      </c>
      <c r="AI914" s="507"/>
      <c r="AJ914" s="507">
        <v>7000</v>
      </c>
      <c r="AK914" s="507">
        <f t="shared" si="662"/>
        <v>142.69406392694063</v>
      </c>
      <c r="AL914" s="507">
        <f t="shared" si="663"/>
        <v>110.00000000000001</v>
      </c>
      <c r="AM914" s="507">
        <f t="shared" si="663"/>
        <v>127.27272727272727</v>
      </c>
      <c r="AN914" s="509"/>
      <c r="AO914" s="510"/>
      <c r="AP914" s="510" t="e">
        <f t="shared" ca="1" si="670"/>
        <v>#NAME?</v>
      </c>
      <c r="AQ914" s="532">
        <f>AQ915</f>
        <v>7116.18</v>
      </c>
      <c r="AR914" s="532">
        <f t="shared" ref="AR914:AW914" si="699">AR915</f>
        <v>494.05620834192263</v>
      </c>
      <c r="AS914" s="532">
        <f t="shared" si="699"/>
        <v>200</v>
      </c>
      <c r="AT914" s="532">
        <f t="shared" si="699"/>
        <v>494.05620834192263</v>
      </c>
      <c r="AU914" s="532">
        <f t="shared" si="699"/>
        <v>234.16050000000001</v>
      </c>
      <c r="AV914" s="532">
        <f t="shared" si="699"/>
        <v>474.65651068508214</v>
      </c>
      <c r="AW914" s="612">
        <f t="shared" si="699"/>
        <v>7116.18</v>
      </c>
      <c r="AX914" s="612"/>
      <c r="AY914" s="612"/>
      <c r="AZ914" s="612"/>
      <c r="BA914" s="612"/>
      <c r="BB914" s="612"/>
      <c r="BC914" s="612"/>
      <c r="BD914" s="612"/>
      <c r="BE914" s="612"/>
      <c r="BF914" s="612"/>
      <c r="BG914" s="612"/>
      <c r="BH914" s="612">
        <f t="shared" si="672"/>
        <v>7116.18</v>
      </c>
      <c r="BI914" s="612">
        <f t="shared" si="683"/>
        <v>0</v>
      </c>
      <c r="BJ914" s="201">
        <f t="shared" si="693"/>
        <v>0</v>
      </c>
    </row>
    <row r="915" spans="1:62" ht="12" customHeight="1">
      <c r="A915" s="52"/>
      <c r="B915" s="52"/>
      <c r="C915" s="52"/>
      <c r="D915" s="52"/>
      <c r="E915" s="52"/>
      <c r="F915" s="52"/>
      <c r="G915" s="52"/>
      <c r="H915" s="2"/>
      <c r="I915" s="289"/>
      <c r="J915" s="185">
        <v>3661</v>
      </c>
      <c r="K915" s="19" t="s">
        <v>730</v>
      </c>
      <c r="L915" s="111">
        <f t="shared" ref="L915:S915" si="700">L916+L917+L918</f>
        <v>15225</v>
      </c>
      <c r="M915" s="111">
        <f t="shared" si="700"/>
        <v>2020.7047581126815</v>
      </c>
      <c r="N915" s="112">
        <f t="shared" si="700"/>
        <v>13588</v>
      </c>
      <c r="O915" s="112">
        <f t="shared" si="700"/>
        <v>1803.4375207379387</v>
      </c>
      <c r="P915" s="113">
        <f t="shared" si="700"/>
        <v>11300</v>
      </c>
      <c r="Q915" s="113">
        <f t="shared" si="700"/>
        <v>11300</v>
      </c>
      <c r="R915" s="87">
        <f t="shared" si="700"/>
        <v>3504</v>
      </c>
      <c r="S915" s="89" t="e">
        <f t="shared" ca="1" si="700"/>
        <v>#NAME?</v>
      </c>
      <c r="T915" s="89"/>
      <c r="U915" s="89"/>
      <c r="V915" s="532">
        <f>V916+V917+V918</f>
        <v>5000</v>
      </c>
      <c r="W915" s="532">
        <f>W916+W917+W918</f>
        <v>5000</v>
      </c>
      <c r="X915" s="506">
        <f>X916+X917+X918</f>
        <v>5500</v>
      </c>
      <c r="Y915" s="507">
        <f>Y916+Y917+Y918</f>
        <v>7000</v>
      </c>
      <c r="Z915" s="507">
        <f>Z916+Z917+Z918</f>
        <v>0</v>
      </c>
      <c r="AA915" s="562" t="e">
        <f t="shared" ca="1" si="671"/>
        <v>#NAME?</v>
      </c>
      <c r="AB915" s="507"/>
      <c r="AC915" s="507">
        <f>AC916+AC917+AC918</f>
        <v>11500</v>
      </c>
      <c r="AD915" s="507">
        <f>AD916+AD917+AD918</f>
        <v>11500</v>
      </c>
      <c r="AE915" s="529">
        <f>O915/M915*100</f>
        <v>89.247947454844009</v>
      </c>
      <c r="AF915" s="529">
        <f t="shared" si="697"/>
        <v>626.58117456579339</v>
      </c>
      <c r="AG915" s="529">
        <f t="shared" si="697"/>
        <v>100</v>
      </c>
      <c r="AH915" s="529">
        <f>AC915/Q915*100</f>
        <v>101.76991150442478</v>
      </c>
      <c r="AI915" s="507"/>
      <c r="AJ915" s="507">
        <v>7000</v>
      </c>
      <c r="AK915" s="507">
        <f t="shared" si="662"/>
        <v>142.69406392694063</v>
      </c>
      <c r="AL915" s="507">
        <f t="shared" si="663"/>
        <v>110.00000000000001</v>
      </c>
      <c r="AM915" s="507">
        <f t="shared" si="663"/>
        <v>127.27272727272727</v>
      </c>
      <c r="AN915" s="509"/>
      <c r="AO915" s="510"/>
      <c r="AP915" s="510" t="e">
        <f t="shared" ca="1" si="670"/>
        <v>#NAME?</v>
      </c>
      <c r="AQ915" s="532">
        <f>AQ916+AQ917+AQ918</f>
        <v>7116.18</v>
      </c>
      <c r="AR915" s="532">
        <f t="shared" ref="AR915:AW915" si="701">AR916+AR917+AR918</f>
        <v>494.05620834192263</v>
      </c>
      <c r="AS915" s="532">
        <f t="shared" si="701"/>
        <v>200</v>
      </c>
      <c r="AT915" s="532">
        <f t="shared" si="701"/>
        <v>494.05620834192263</v>
      </c>
      <c r="AU915" s="532">
        <f t="shared" si="701"/>
        <v>234.16050000000001</v>
      </c>
      <c r="AV915" s="532">
        <f t="shared" si="701"/>
        <v>474.65651068508214</v>
      </c>
      <c r="AW915" s="612">
        <f t="shared" si="701"/>
        <v>7116.18</v>
      </c>
      <c r="AX915" s="612"/>
      <c r="AY915" s="612"/>
      <c r="AZ915" s="612"/>
      <c r="BA915" s="612"/>
      <c r="BB915" s="612"/>
      <c r="BC915" s="612"/>
      <c r="BD915" s="612"/>
      <c r="BE915" s="612"/>
      <c r="BF915" s="612"/>
      <c r="BG915" s="612"/>
      <c r="BH915" s="612">
        <f t="shared" si="672"/>
        <v>7116.18</v>
      </c>
      <c r="BI915" s="612">
        <f t="shared" si="683"/>
        <v>0</v>
      </c>
      <c r="BJ915" s="201">
        <f t="shared" si="693"/>
        <v>0</v>
      </c>
    </row>
    <row r="916" spans="1:62" ht="12" customHeight="1">
      <c r="A916" s="52"/>
      <c r="B916" s="52"/>
      <c r="C916" s="52"/>
      <c r="D916" s="52"/>
      <c r="E916" s="52"/>
      <c r="F916" s="52"/>
      <c r="G916" s="52"/>
      <c r="H916" s="2">
        <v>163</v>
      </c>
      <c r="I916" s="289">
        <v>912</v>
      </c>
      <c r="J916" s="185">
        <v>3661</v>
      </c>
      <c r="K916" s="19" t="s">
        <v>731</v>
      </c>
      <c r="L916" s="129">
        <v>15225</v>
      </c>
      <c r="M916" s="129">
        <f>15225/7.5345</f>
        <v>2020.7047581126815</v>
      </c>
      <c r="N916" s="130">
        <v>9188</v>
      </c>
      <c r="O916" s="130">
        <f>N916/7.5345</f>
        <v>1219.4571637135841</v>
      </c>
      <c r="P916" s="131">
        <v>6500</v>
      </c>
      <c r="Q916" s="131">
        <v>6500</v>
      </c>
      <c r="R916" s="153">
        <v>3234</v>
      </c>
      <c r="S916" s="158" t="e">
        <f ca="1">__xlfn.XLOOKUP(H916,[1]Izvršenje_proračuna_po_pozicija!$B$2:$B$153,[1]Izvršenje_proračuna_po_pozicija!$E$2:$E$153,0)</f>
        <v>#NAME?</v>
      </c>
      <c r="T916" s="158"/>
      <c r="U916" s="158"/>
      <c r="V916" s="532">
        <v>4000</v>
      </c>
      <c r="W916" s="532">
        <v>4000</v>
      </c>
      <c r="X916" s="560">
        <v>4000</v>
      </c>
      <c r="Y916" s="561">
        <v>5000</v>
      </c>
      <c r="Z916" s="561"/>
      <c r="AA916" s="562" t="e">
        <f t="shared" ca="1" si="671"/>
        <v>#NAME?</v>
      </c>
      <c r="AB916" s="535"/>
      <c r="AC916" s="529">
        <v>6500</v>
      </c>
      <c r="AD916" s="529">
        <v>6500</v>
      </c>
      <c r="AE916" s="529">
        <f>O916/M916*100</f>
        <v>60.348111658456496</v>
      </c>
      <c r="AF916" s="529">
        <f t="shared" si="697"/>
        <v>533.02405311275584</v>
      </c>
      <c r="AG916" s="529">
        <f t="shared" si="697"/>
        <v>100</v>
      </c>
      <c r="AH916" s="529">
        <f>AC916/Q916*100</f>
        <v>100</v>
      </c>
      <c r="AI916" s="535"/>
      <c r="AJ916" s="561">
        <v>5000</v>
      </c>
      <c r="AK916" s="507">
        <f t="shared" si="662"/>
        <v>123.68583797155226</v>
      </c>
      <c r="AL916" s="507">
        <f t="shared" si="663"/>
        <v>100</v>
      </c>
      <c r="AM916" s="507">
        <f t="shared" si="663"/>
        <v>125</v>
      </c>
      <c r="AN916" s="556"/>
      <c r="AO916" s="510"/>
      <c r="AP916" s="510" t="e">
        <f t="shared" ca="1" si="670"/>
        <v>#NAME?</v>
      </c>
      <c r="AQ916" s="532">
        <v>6366.1</v>
      </c>
      <c r="AR916" s="533">
        <f t="shared" si="673"/>
        <v>123.68583797155226</v>
      </c>
      <c r="AS916" s="533">
        <f t="shared" si="698"/>
        <v>100</v>
      </c>
      <c r="AT916" s="533">
        <f t="shared" si="674"/>
        <v>123.68583797155226</v>
      </c>
      <c r="AU916" s="533">
        <f>AQ916/W916*100</f>
        <v>159.1525</v>
      </c>
      <c r="AV916" s="533">
        <f>AQ916/R916*100</f>
        <v>196.84910327767471</v>
      </c>
      <c r="AW916" s="612">
        <f>AQ916</f>
        <v>6366.1</v>
      </c>
      <c r="AX916" s="612"/>
      <c r="AY916" s="612"/>
      <c r="AZ916" s="612"/>
      <c r="BA916" s="612"/>
      <c r="BB916" s="612"/>
      <c r="BC916" s="612"/>
      <c r="BD916" s="612"/>
      <c r="BE916" s="612"/>
      <c r="BF916" s="612"/>
      <c r="BG916" s="612"/>
      <c r="BH916" s="612">
        <f t="shared" si="672"/>
        <v>6366.1</v>
      </c>
      <c r="BI916" s="612">
        <f t="shared" si="683"/>
        <v>0</v>
      </c>
      <c r="BJ916" s="201">
        <f t="shared" si="693"/>
        <v>0</v>
      </c>
    </row>
    <row r="917" spans="1:62" ht="12" customHeight="1">
      <c r="A917" s="52"/>
      <c r="B917" s="52"/>
      <c r="C917" s="52"/>
      <c r="D917" s="52"/>
      <c r="E917" s="52"/>
      <c r="F917" s="52"/>
      <c r="G917" s="52"/>
      <c r="H917" s="2">
        <v>164</v>
      </c>
      <c r="I917" s="289">
        <v>920</v>
      </c>
      <c r="J917" s="185">
        <v>3661</v>
      </c>
      <c r="K917" s="19" t="s">
        <v>732</v>
      </c>
      <c r="L917" s="129">
        <v>0</v>
      </c>
      <c r="M917" s="129">
        <v>0</v>
      </c>
      <c r="N917" s="130">
        <v>4400</v>
      </c>
      <c r="O917" s="130">
        <f>N917/7.5345</f>
        <v>583.98035702435459</v>
      </c>
      <c r="P917" s="131">
        <v>4000</v>
      </c>
      <c r="Q917" s="131">
        <v>4000</v>
      </c>
      <c r="R917" s="153">
        <v>270</v>
      </c>
      <c r="S917" s="158" t="e">
        <f ca="1">__xlfn.XLOOKUP(H917,[1]Izvršenje_proračuna_po_pozicija!$B$2:$B$153,[1]Izvršenje_proračuna_po_pozicija!$E$2:$E$153,0)</f>
        <v>#NAME?</v>
      </c>
      <c r="T917" s="158"/>
      <c r="U917" s="158"/>
      <c r="V917" s="532">
        <v>1000</v>
      </c>
      <c r="W917" s="532">
        <v>1000</v>
      </c>
      <c r="X917" s="560">
        <v>1000</v>
      </c>
      <c r="Y917" s="561">
        <v>1500</v>
      </c>
      <c r="Z917" s="561"/>
      <c r="AA917" s="562" t="e">
        <f t="shared" ca="1" si="671"/>
        <v>#NAME?</v>
      </c>
      <c r="AB917" s="535"/>
      <c r="AC917" s="529">
        <v>4000</v>
      </c>
      <c r="AD917" s="529">
        <v>4000</v>
      </c>
      <c r="AE917" s="529"/>
      <c r="AF917" s="529"/>
      <c r="AG917" s="529"/>
      <c r="AH917" s="529"/>
      <c r="AI917" s="535"/>
      <c r="AJ917" s="561">
        <v>1500</v>
      </c>
      <c r="AK917" s="507">
        <f t="shared" si="662"/>
        <v>370.37037037037038</v>
      </c>
      <c r="AL917" s="507">
        <f t="shared" si="663"/>
        <v>100</v>
      </c>
      <c r="AM917" s="507">
        <f t="shared" si="663"/>
        <v>150</v>
      </c>
      <c r="AN917" s="556"/>
      <c r="AO917" s="510"/>
      <c r="AP917" s="510" t="e">
        <f t="shared" ca="1" si="670"/>
        <v>#NAME?</v>
      </c>
      <c r="AQ917" s="532">
        <v>750.08</v>
      </c>
      <c r="AR917" s="533">
        <f t="shared" si="673"/>
        <v>370.37037037037038</v>
      </c>
      <c r="AS917" s="533">
        <f t="shared" si="698"/>
        <v>100</v>
      </c>
      <c r="AT917" s="533">
        <f t="shared" si="674"/>
        <v>370.37037037037038</v>
      </c>
      <c r="AU917" s="533">
        <f>AQ917/W917*100</f>
        <v>75.00800000000001</v>
      </c>
      <c r="AV917" s="533">
        <f>AQ917/R917*100</f>
        <v>277.80740740740742</v>
      </c>
      <c r="AW917" s="612">
        <f>AQ917</f>
        <v>750.08</v>
      </c>
      <c r="AX917" s="612"/>
      <c r="AY917" s="612"/>
      <c r="AZ917" s="612"/>
      <c r="BA917" s="612"/>
      <c r="BB917" s="612"/>
      <c r="BC917" s="612"/>
      <c r="BD917" s="612"/>
      <c r="BE917" s="612"/>
      <c r="BF917" s="612"/>
      <c r="BG917" s="612"/>
      <c r="BH917" s="612">
        <f t="shared" si="672"/>
        <v>750.08</v>
      </c>
      <c r="BI917" s="612">
        <f t="shared" si="683"/>
        <v>0</v>
      </c>
      <c r="BJ917" s="201">
        <f t="shared" si="693"/>
        <v>0</v>
      </c>
    </row>
    <row r="918" spans="1:62" ht="12" customHeight="1">
      <c r="A918" s="52"/>
      <c r="B918" s="52"/>
      <c r="C918" s="52"/>
      <c r="D918" s="52"/>
      <c r="E918" s="52"/>
      <c r="F918" s="52"/>
      <c r="G918" s="52"/>
      <c r="H918" s="2" t="s">
        <v>733</v>
      </c>
      <c r="I918" s="289">
        <v>912</v>
      </c>
      <c r="J918" s="185">
        <v>3661</v>
      </c>
      <c r="K918" s="19" t="s">
        <v>734</v>
      </c>
      <c r="L918" s="129">
        <v>0</v>
      </c>
      <c r="M918" s="129">
        <v>0</v>
      </c>
      <c r="N918" s="130">
        <v>0</v>
      </c>
      <c r="O918" s="130">
        <f>N918/7.5345</f>
        <v>0</v>
      </c>
      <c r="P918" s="131">
        <v>800</v>
      </c>
      <c r="Q918" s="131">
        <v>800</v>
      </c>
      <c r="R918" s="153">
        <v>0</v>
      </c>
      <c r="S918" s="158" t="e">
        <f ca="1">__xlfn.XLOOKUP(H918,[1]Izvršenje_proračuna_po_pozicija!$B$2:$B$153,[1]Izvršenje_proračuna_po_pozicija!$E$2:$E$153,0)</f>
        <v>#NAME?</v>
      </c>
      <c r="T918" s="158"/>
      <c r="U918" s="158"/>
      <c r="V918" s="532">
        <v>0</v>
      </c>
      <c r="W918" s="532">
        <v>0</v>
      </c>
      <c r="X918" s="560">
        <v>500</v>
      </c>
      <c r="Y918" s="561">
        <v>500</v>
      </c>
      <c r="Z918" s="561"/>
      <c r="AA918" s="562" t="e">
        <f t="shared" ca="1" si="671"/>
        <v>#NAME?</v>
      </c>
      <c r="AB918" s="535"/>
      <c r="AC918" s="529">
        <v>1000</v>
      </c>
      <c r="AD918" s="529">
        <v>1000</v>
      </c>
      <c r="AE918" s="529"/>
      <c r="AF918" s="529"/>
      <c r="AG918" s="529"/>
      <c r="AH918" s="529"/>
      <c r="AI918" s="535"/>
      <c r="AJ918" s="561">
        <v>500</v>
      </c>
      <c r="AK918" s="507"/>
      <c r="AL918" s="507"/>
      <c r="AM918" s="507">
        <f>Y918/X918*100</f>
        <v>100</v>
      </c>
      <c r="AN918" s="556"/>
      <c r="AO918" s="510"/>
      <c r="AP918" s="510" t="e">
        <f t="shared" ca="1" si="670"/>
        <v>#NAME?</v>
      </c>
      <c r="AQ918" s="532"/>
      <c r="AR918" s="533"/>
      <c r="AS918" s="533"/>
      <c r="AT918" s="533"/>
      <c r="AU918" s="533"/>
      <c r="AV918" s="533"/>
      <c r="AW918" s="612"/>
      <c r="AX918" s="612"/>
      <c r="AY918" s="612"/>
      <c r="AZ918" s="612"/>
      <c r="BA918" s="612"/>
      <c r="BB918" s="612"/>
      <c r="BC918" s="612"/>
      <c r="BD918" s="612"/>
      <c r="BE918" s="612"/>
      <c r="BF918" s="612"/>
      <c r="BG918" s="612"/>
      <c r="BH918" s="612">
        <f t="shared" si="672"/>
        <v>0</v>
      </c>
      <c r="BI918" s="612">
        <f t="shared" si="683"/>
        <v>0</v>
      </c>
      <c r="BJ918" s="201">
        <f t="shared" si="693"/>
        <v>0</v>
      </c>
    </row>
    <row r="919" spans="1:62" ht="12" customHeight="1">
      <c r="A919" s="52"/>
      <c r="B919" s="52"/>
      <c r="C919" s="52"/>
      <c r="D919" s="52"/>
      <c r="E919" s="52"/>
      <c r="F919" s="52"/>
      <c r="G919" s="52"/>
      <c r="H919" s="2"/>
      <c r="I919" s="289"/>
      <c r="J919" s="185"/>
      <c r="K919" s="19"/>
      <c r="L919" s="129"/>
      <c r="M919" s="129"/>
      <c r="N919" s="130"/>
      <c r="O919" s="130"/>
      <c r="P919" s="131"/>
      <c r="Q919" s="131"/>
      <c r="R919" s="153"/>
      <c r="S919" s="158" t="e">
        <f ca="1">__xlfn.XLOOKUP(H919,[1]Izvršenje_proračuna_po_pozicija!$B$2:$B$153,[1]Izvršenje_proračuna_po_pozicija!$E$2:$E$153,0)</f>
        <v>#NAME?</v>
      </c>
      <c r="T919" s="158"/>
      <c r="U919" s="158"/>
      <c r="V919" s="532"/>
      <c r="W919" s="532"/>
      <c r="X919" s="560"/>
      <c r="Y919" s="561"/>
      <c r="Z919" s="561"/>
      <c r="AA919" s="562" t="e">
        <f t="shared" ca="1" si="671"/>
        <v>#NAME?</v>
      </c>
      <c r="AB919" s="535"/>
      <c r="AC919" s="529"/>
      <c r="AD919" s="529"/>
      <c r="AE919" s="529"/>
      <c r="AF919" s="529"/>
      <c r="AG919" s="529"/>
      <c r="AH919" s="529"/>
      <c r="AI919" s="535"/>
      <c r="AJ919" s="561"/>
      <c r="AK919" s="507"/>
      <c r="AL919" s="507"/>
      <c r="AM919" s="507"/>
      <c r="AN919" s="556"/>
      <c r="AO919" s="510"/>
      <c r="AP919" s="510" t="e">
        <f t="shared" ca="1" si="670"/>
        <v>#NAME?</v>
      </c>
      <c r="AQ919" s="532"/>
      <c r="AR919" s="533"/>
      <c r="AS919" s="533"/>
      <c r="AT919" s="533"/>
      <c r="AU919" s="533"/>
      <c r="AV919" s="533"/>
      <c r="AW919" s="612"/>
      <c r="AX919" s="612"/>
      <c r="AY919" s="612"/>
      <c r="AZ919" s="612"/>
      <c r="BA919" s="612"/>
      <c r="BB919" s="612"/>
      <c r="BC919" s="612"/>
      <c r="BD919" s="612"/>
      <c r="BE919" s="612"/>
      <c r="BF919" s="612"/>
      <c r="BG919" s="612"/>
      <c r="BH919" s="612">
        <f t="shared" si="672"/>
        <v>0</v>
      </c>
      <c r="BI919" s="612">
        <f t="shared" si="683"/>
        <v>0</v>
      </c>
      <c r="BJ919" s="201">
        <f t="shared" si="693"/>
        <v>0</v>
      </c>
    </row>
    <row r="920" spans="1:62" ht="12" customHeight="1">
      <c r="A920" s="227"/>
      <c r="B920" s="227"/>
      <c r="C920" s="227"/>
      <c r="D920" s="227"/>
      <c r="E920" s="227"/>
      <c r="F920" s="227"/>
      <c r="G920" s="227"/>
      <c r="H920" s="234"/>
      <c r="I920" s="265"/>
      <c r="J920" s="228">
        <v>38</v>
      </c>
      <c r="K920" s="258" t="s">
        <v>281</v>
      </c>
      <c r="L920" s="111">
        <f t="shared" ref="L920:AD921" si="702">L921</f>
        <v>0</v>
      </c>
      <c r="M920" s="111">
        <f t="shared" si="702"/>
        <v>0</v>
      </c>
      <c r="N920" s="112">
        <f t="shared" si="702"/>
        <v>0</v>
      </c>
      <c r="O920" s="112">
        <f t="shared" si="702"/>
        <v>0</v>
      </c>
      <c r="P920" s="113">
        <f t="shared" si="702"/>
        <v>0</v>
      </c>
      <c r="Q920" s="113">
        <f t="shared" si="702"/>
        <v>0</v>
      </c>
      <c r="R920" s="87">
        <f t="shared" si="702"/>
        <v>0</v>
      </c>
      <c r="S920" s="89" t="e">
        <f t="shared" ca="1" si="702"/>
        <v>#NAME?</v>
      </c>
      <c r="T920" s="89"/>
      <c r="U920" s="89"/>
      <c r="V920" s="532">
        <f>V921</f>
        <v>0</v>
      </c>
      <c r="W920" s="532">
        <f t="shared" si="702"/>
        <v>0</v>
      </c>
      <c r="X920" s="506">
        <f t="shared" si="702"/>
        <v>0</v>
      </c>
      <c r="Y920" s="507">
        <f t="shared" si="702"/>
        <v>0</v>
      </c>
      <c r="Z920" s="507">
        <f t="shared" si="702"/>
        <v>0</v>
      </c>
      <c r="AA920" s="562" t="e">
        <f t="shared" ca="1" si="671"/>
        <v>#NAME?</v>
      </c>
      <c r="AB920" s="507"/>
      <c r="AC920" s="508">
        <f t="shared" si="702"/>
        <v>0</v>
      </c>
      <c r="AD920" s="508">
        <f t="shared" si="702"/>
        <v>0</v>
      </c>
      <c r="AE920" s="529"/>
      <c r="AF920" s="529"/>
      <c r="AG920" s="529"/>
      <c r="AH920" s="529"/>
      <c r="AI920" s="507"/>
      <c r="AJ920" s="507">
        <v>0</v>
      </c>
      <c r="AK920" s="507"/>
      <c r="AL920" s="507"/>
      <c r="AM920" s="507"/>
      <c r="AN920" s="509"/>
      <c r="AO920" s="510"/>
      <c r="AP920" s="510" t="e">
        <f t="shared" ca="1" si="670"/>
        <v>#NAME?</v>
      </c>
      <c r="AQ920" s="532">
        <f>AQ921</f>
        <v>0</v>
      </c>
      <c r="AR920" s="533"/>
      <c r="AS920" s="533"/>
      <c r="AT920" s="533"/>
      <c r="AU920" s="533"/>
      <c r="AV920" s="533"/>
      <c r="AW920" s="612"/>
      <c r="AX920" s="612"/>
      <c r="AY920" s="612"/>
      <c r="AZ920" s="612"/>
      <c r="BA920" s="612"/>
      <c r="BB920" s="612"/>
      <c r="BC920" s="612"/>
      <c r="BD920" s="612"/>
      <c r="BE920" s="612"/>
      <c r="BF920" s="612"/>
      <c r="BG920" s="612"/>
      <c r="BH920" s="612">
        <f t="shared" si="672"/>
        <v>0</v>
      </c>
      <c r="BI920" s="612">
        <f t="shared" si="683"/>
        <v>0</v>
      </c>
      <c r="BJ920" s="201">
        <f t="shared" si="693"/>
        <v>0</v>
      </c>
    </row>
    <row r="921" spans="1:62" ht="12" customHeight="1">
      <c r="A921" s="61"/>
      <c r="B921" s="61"/>
      <c r="C921" s="61"/>
      <c r="D921" s="61"/>
      <c r="E921" s="61"/>
      <c r="F921" s="61"/>
      <c r="G921" s="61"/>
      <c r="H921" s="230"/>
      <c r="I921" s="348"/>
      <c r="J921" s="229">
        <v>381</v>
      </c>
      <c r="K921" s="20" t="s">
        <v>397</v>
      </c>
      <c r="L921" s="111">
        <f t="shared" si="702"/>
        <v>0</v>
      </c>
      <c r="M921" s="111">
        <f t="shared" si="702"/>
        <v>0</v>
      </c>
      <c r="N921" s="112">
        <f t="shared" si="702"/>
        <v>0</v>
      </c>
      <c r="O921" s="112">
        <f t="shared" si="702"/>
        <v>0</v>
      </c>
      <c r="P921" s="113">
        <f t="shared" si="702"/>
        <v>0</v>
      </c>
      <c r="Q921" s="113">
        <f t="shared" si="702"/>
        <v>0</v>
      </c>
      <c r="R921" s="87">
        <f t="shared" si="702"/>
        <v>0</v>
      </c>
      <c r="S921" s="89" t="e">
        <f t="shared" ca="1" si="702"/>
        <v>#NAME?</v>
      </c>
      <c r="T921" s="89"/>
      <c r="U921" s="89"/>
      <c r="V921" s="532">
        <f>V922</f>
        <v>0</v>
      </c>
      <c r="W921" s="532">
        <f t="shared" si="702"/>
        <v>0</v>
      </c>
      <c r="X921" s="506">
        <f t="shared" si="702"/>
        <v>0</v>
      </c>
      <c r="Y921" s="507">
        <f t="shared" si="702"/>
        <v>0</v>
      </c>
      <c r="Z921" s="507">
        <f t="shared" si="702"/>
        <v>0</v>
      </c>
      <c r="AA921" s="562" t="e">
        <f t="shared" ca="1" si="671"/>
        <v>#NAME?</v>
      </c>
      <c r="AB921" s="507"/>
      <c r="AC921" s="508">
        <f t="shared" si="702"/>
        <v>0</v>
      </c>
      <c r="AD921" s="508">
        <f t="shared" si="702"/>
        <v>0</v>
      </c>
      <c r="AE921" s="529"/>
      <c r="AF921" s="529"/>
      <c r="AG921" s="529"/>
      <c r="AH921" s="529"/>
      <c r="AI921" s="507"/>
      <c r="AJ921" s="507">
        <v>0</v>
      </c>
      <c r="AK921" s="507"/>
      <c r="AL921" s="507"/>
      <c r="AM921" s="507"/>
      <c r="AN921" s="509"/>
      <c r="AO921" s="510"/>
      <c r="AP921" s="510" t="e">
        <f t="shared" ca="1" si="670"/>
        <v>#NAME?</v>
      </c>
      <c r="AQ921" s="532">
        <f>AQ922</f>
        <v>0</v>
      </c>
      <c r="AR921" s="533"/>
      <c r="AS921" s="533"/>
      <c r="AT921" s="533"/>
      <c r="AU921" s="533"/>
      <c r="AV921" s="533"/>
      <c r="AW921" s="612"/>
      <c r="AX921" s="612"/>
      <c r="AY921" s="612"/>
      <c r="AZ921" s="612"/>
      <c r="BA921" s="612"/>
      <c r="BB921" s="612"/>
      <c r="BC921" s="612"/>
      <c r="BD921" s="612"/>
      <c r="BE921" s="612"/>
      <c r="BF921" s="612"/>
      <c r="BG921" s="612"/>
      <c r="BH921" s="612">
        <f t="shared" si="672"/>
        <v>0</v>
      </c>
      <c r="BI921" s="612">
        <f t="shared" si="683"/>
        <v>0</v>
      </c>
      <c r="BJ921" s="201">
        <f t="shared" si="693"/>
        <v>0</v>
      </c>
    </row>
    <row r="922" spans="1:62" ht="12" customHeight="1">
      <c r="A922" s="52"/>
      <c r="B922" s="52"/>
      <c r="C922" s="52"/>
      <c r="D922" s="52"/>
      <c r="E922" s="52"/>
      <c r="F922" s="52"/>
      <c r="G922" s="52"/>
      <c r="H922" s="2"/>
      <c r="I922" s="289"/>
      <c r="J922" s="185">
        <v>3811</v>
      </c>
      <c r="K922" s="19" t="s">
        <v>282</v>
      </c>
      <c r="L922" s="111">
        <f t="shared" ref="L922:S922" si="703">L923+L924</f>
        <v>0</v>
      </c>
      <c r="M922" s="111">
        <f t="shared" si="703"/>
        <v>0</v>
      </c>
      <c r="N922" s="112">
        <f t="shared" si="703"/>
        <v>0</v>
      </c>
      <c r="O922" s="112">
        <f t="shared" si="703"/>
        <v>0</v>
      </c>
      <c r="P922" s="113">
        <f t="shared" si="703"/>
        <v>0</v>
      </c>
      <c r="Q922" s="113">
        <f t="shared" si="703"/>
        <v>0</v>
      </c>
      <c r="R922" s="87">
        <f t="shared" si="703"/>
        <v>0</v>
      </c>
      <c r="S922" s="89" t="e">
        <f t="shared" ca="1" si="703"/>
        <v>#NAME?</v>
      </c>
      <c r="T922" s="89"/>
      <c r="U922" s="89"/>
      <c r="V922" s="532">
        <f>V923+V924</f>
        <v>0</v>
      </c>
      <c r="W922" s="532">
        <f>W923+W924</f>
        <v>0</v>
      </c>
      <c r="X922" s="506">
        <f>X923+X924</f>
        <v>0</v>
      </c>
      <c r="Y922" s="507">
        <f>Y923+Y924</f>
        <v>0</v>
      </c>
      <c r="Z922" s="507">
        <f>Z923+Z924</f>
        <v>0</v>
      </c>
      <c r="AA922" s="562" t="e">
        <f t="shared" ca="1" si="671"/>
        <v>#NAME?</v>
      </c>
      <c r="AB922" s="507"/>
      <c r="AC922" s="508">
        <f>AC923+AC924</f>
        <v>0</v>
      </c>
      <c r="AD922" s="508">
        <f>AD923+AD924</f>
        <v>0</v>
      </c>
      <c r="AE922" s="529"/>
      <c r="AF922" s="529"/>
      <c r="AG922" s="529"/>
      <c r="AH922" s="529"/>
      <c r="AI922" s="507"/>
      <c r="AJ922" s="507">
        <v>0</v>
      </c>
      <c r="AK922" s="507"/>
      <c r="AL922" s="507"/>
      <c r="AM922" s="507"/>
      <c r="AN922" s="509"/>
      <c r="AO922" s="510"/>
      <c r="AP922" s="510" t="e">
        <f t="shared" ca="1" si="670"/>
        <v>#NAME?</v>
      </c>
      <c r="AQ922" s="532">
        <f>AQ923+AQ924</f>
        <v>0</v>
      </c>
      <c r="AR922" s="533"/>
      <c r="AS922" s="533"/>
      <c r="AT922" s="533"/>
      <c r="AU922" s="533"/>
      <c r="AV922" s="533"/>
      <c r="AW922" s="612"/>
      <c r="AX922" s="612"/>
      <c r="AY922" s="612"/>
      <c r="AZ922" s="612"/>
      <c r="BA922" s="612"/>
      <c r="BB922" s="612"/>
      <c r="BC922" s="612"/>
      <c r="BD922" s="612"/>
      <c r="BE922" s="612"/>
      <c r="BF922" s="612"/>
      <c r="BG922" s="612"/>
      <c r="BH922" s="612">
        <f t="shared" si="672"/>
        <v>0</v>
      </c>
      <c r="BI922" s="612">
        <f t="shared" si="683"/>
        <v>0</v>
      </c>
      <c r="BJ922" s="201">
        <f t="shared" si="693"/>
        <v>0</v>
      </c>
    </row>
    <row r="923" spans="1:62" ht="12" customHeight="1">
      <c r="A923" s="52"/>
      <c r="B923" s="52"/>
      <c r="C923" s="52"/>
      <c r="D923" s="52"/>
      <c r="E923" s="52"/>
      <c r="F923" s="52"/>
      <c r="G923" s="52"/>
      <c r="H923" s="2">
        <v>163</v>
      </c>
      <c r="I923" s="289">
        <v>912</v>
      </c>
      <c r="J923" s="185">
        <v>3811</v>
      </c>
      <c r="K923" s="19" t="s">
        <v>731</v>
      </c>
      <c r="L923" s="129">
        <v>0</v>
      </c>
      <c r="M923" s="129">
        <v>0</v>
      </c>
      <c r="N923" s="130">
        <v>0</v>
      </c>
      <c r="O923" s="130">
        <v>0</v>
      </c>
      <c r="P923" s="131">
        <v>0</v>
      </c>
      <c r="Q923" s="131">
        <v>0</v>
      </c>
      <c r="R923" s="153">
        <v>0</v>
      </c>
      <c r="S923" s="158" t="e">
        <f ca="1">__xlfn.XLOOKUP(H923,[1]Izvršenje_proračuna_po_pozicija!$B$2:$B$153,[1]Izvršenje_proračuna_po_pozicija!$E$2:$E$153,0)</f>
        <v>#NAME?</v>
      </c>
      <c r="T923" s="158"/>
      <c r="U923" s="158"/>
      <c r="V923" s="532"/>
      <c r="W923" s="532"/>
      <c r="X923" s="560"/>
      <c r="Y923" s="561"/>
      <c r="Z923" s="561"/>
      <c r="AA923" s="562" t="e">
        <f t="shared" ca="1" si="671"/>
        <v>#NAME?</v>
      </c>
      <c r="AB923" s="535"/>
      <c r="AC923" s="529">
        <v>0</v>
      </c>
      <c r="AD923" s="529">
        <v>0</v>
      </c>
      <c r="AE923" s="529"/>
      <c r="AF923" s="529"/>
      <c r="AG923" s="529"/>
      <c r="AH923" s="529"/>
      <c r="AI923" s="535"/>
      <c r="AJ923" s="561"/>
      <c r="AK923" s="507"/>
      <c r="AL923" s="507"/>
      <c r="AM923" s="507"/>
      <c r="AN923" s="556"/>
      <c r="AO923" s="510"/>
      <c r="AP923" s="510" t="e">
        <f t="shared" ca="1" si="670"/>
        <v>#NAME?</v>
      </c>
      <c r="AQ923" s="532"/>
      <c r="AR923" s="533"/>
      <c r="AS923" s="533"/>
      <c r="AT923" s="533"/>
      <c r="AU923" s="533"/>
      <c r="AV923" s="533"/>
      <c r="AW923" s="612"/>
      <c r="AX923" s="612"/>
      <c r="AY923" s="612"/>
      <c r="AZ923" s="612"/>
      <c r="BA923" s="612"/>
      <c r="BB923" s="612"/>
      <c r="BC923" s="612"/>
      <c r="BD923" s="612"/>
      <c r="BE923" s="612"/>
      <c r="BF923" s="612"/>
      <c r="BG923" s="612"/>
      <c r="BH923" s="612">
        <f t="shared" si="672"/>
        <v>0</v>
      </c>
      <c r="BI923" s="612">
        <f t="shared" si="683"/>
        <v>0</v>
      </c>
      <c r="BJ923" s="201">
        <f t="shared" si="693"/>
        <v>0</v>
      </c>
    </row>
    <row r="924" spans="1:62" ht="12" customHeight="1">
      <c r="A924" s="52"/>
      <c r="B924" s="52"/>
      <c r="C924" s="52"/>
      <c r="D924" s="52"/>
      <c r="E924" s="52"/>
      <c r="F924" s="52"/>
      <c r="G924" s="52"/>
      <c r="H924" s="2">
        <v>164</v>
      </c>
      <c r="I924" s="289">
        <v>920</v>
      </c>
      <c r="J924" s="185">
        <v>3811</v>
      </c>
      <c r="K924" s="19" t="s">
        <v>732</v>
      </c>
      <c r="L924" s="129">
        <v>0</v>
      </c>
      <c r="M924" s="129">
        <v>0</v>
      </c>
      <c r="N924" s="130">
        <v>0</v>
      </c>
      <c r="O924" s="130">
        <v>0</v>
      </c>
      <c r="P924" s="131">
        <v>0</v>
      </c>
      <c r="Q924" s="131">
        <v>0</v>
      </c>
      <c r="R924" s="153">
        <v>0</v>
      </c>
      <c r="S924" s="158" t="e">
        <f ca="1">__xlfn.XLOOKUP(H924,[1]Izvršenje_proračuna_po_pozicija!$B$2:$B$153,[1]Izvršenje_proračuna_po_pozicija!$E$2:$E$153,0)</f>
        <v>#NAME?</v>
      </c>
      <c r="T924" s="158"/>
      <c r="U924" s="158"/>
      <c r="V924" s="532"/>
      <c r="W924" s="532"/>
      <c r="X924" s="560"/>
      <c r="Y924" s="561"/>
      <c r="Z924" s="561"/>
      <c r="AA924" s="562" t="e">
        <f t="shared" ca="1" si="671"/>
        <v>#NAME?</v>
      </c>
      <c r="AB924" s="535"/>
      <c r="AC924" s="529">
        <v>0</v>
      </c>
      <c r="AD924" s="529">
        <v>0</v>
      </c>
      <c r="AE924" s="529"/>
      <c r="AF924" s="529"/>
      <c r="AG924" s="529"/>
      <c r="AH924" s="529"/>
      <c r="AI924" s="535"/>
      <c r="AJ924" s="561"/>
      <c r="AK924" s="507"/>
      <c r="AL924" s="507"/>
      <c r="AM924" s="507"/>
      <c r="AN924" s="556"/>
      <c r="AO924" s="510"/>
      <c r="AP924" s="510" t="e">
        <f t="shared" ca="1" si="670"/>
        <v>#NAME?</v>
      </c>
      <c r="AQ924" s="532"/>
      <c r="AR924" s="533"/>
      <c r="AS924" s="533"/>
      <c r="AT924" s="533"/>
      <c r="AU924" s="533"/>
      <c r="AV924" s="533"/>
      <c r="AW924" s="612"/>
      <c r="AX924" s="612"/>
      <c r="AY924" s="612"/>
      <c r="AZ924" s="612"/>
      <c r="BA924" s="612"/>
      <c r="BB924" s="612"/>
      <c r="BC924" s="612"/>
      <c r="BD924" s="612"/>
      <c r="BE924" s="612"/>
      <c r="BF924" s="612"/>
      <c r="BG924" s="612"/>
      <c r="BH924" s="612">
        <f t="shared" si="672"/>
        <v>0</v>
      </c>
      <c r="BI924" s="612">
        <f t="shared" si="683"/>
        <v>0</v>
      </c>
      <c r="BJ924" s="201">
        <f t="shared" si="693"/>
        <v>0</v>
      </c>
    </row>
    <row r="925" spans="1:62" ht="12" customHeight="1">
      <c r="A925" s="52"/>
      <c r="B925" s="52"/>
      <c r="C925" s="52"/>
      <c r="D925" s="52"/>
      <c r="E925" s="52"/>
      <c r="F925" s="52"/>
      <c r="G925" s="52"/>
      <c r="H925" s="2"/>
      <c r="I925" s="289"/>
      <c r="J925" s="185"/>
      <c r="K925" s="19"/>
      <c r="L925" s="129"/>
      <c r="M925" s="129"/>
      <c r="N925" s="130"/>
      <c r="O925" s="130"/>
      <c r="P925" s="131"/>
      <c r="Q925" s="131"/>
      <c r="R925" s="153"/>
      <c r="S925" s="158" t="e">
        <f ca="1">__xlfn.XLOOKUP(H925,[1]Izvršenje_proračuna_po_pozicija!$B$2:$B$153,[1]Izvršenje_proračuna_po_pozicija!$E$2:$E$153,0)</f>
        <v>#NAME?</v>
      </c>
      <c r="T925" s="158"/>
      <c r="U925" s="158"/>
      <c r="V925" s="532"/>
      <c r="W925" s="532"/>
      <c r="X925" s="560"/>
      <c r="Y925" s="561"/>
      <c r="Z925" s="561"/>
      <c r="AA925" s="562" t="e">
        <f t="shared" ca="1" si="671"/>
        <v>#NAME?</v>
      </c>
      <c r="AB925" s="535"/>
      <c r="AC925" s="529"/>
      <c r="AD925" s="529"/>
      <c r="AE925" s="529"/>
      <c r="AF925" s="529"/>
      <c r="AG925" s="529"/>
      <c r="AH925" s="529"/>
      <c r="AI925" s="535"/>
      <c r="AJ925" s="561"/>
      <c r="AK925" s="507"/>
      <c r="AL925" s="507"/>
      <c r="AM925" s="507"/>
      <c r="AN925" s="556"/>
      <c r="AO925" s="510"/>
      <c r="AP925" s="510" t="e">
        <f t="shared" ca="1" si="670"/>
        <v>#NAME?</v>
      </c>
      <c r="AQ925" s="532"/>
      <c r="AR925" s="533"/>
      <c r="AS925" s="533"/>
      <c r="AT925" s="533"/>
      <c r="AU925" s="533"/>
      <c r="AV925" s="533"/>
      <c r="AW925" s="612"/>
      <c r="AX925" s="612"/>
      <c r="AY925" s="612"/>
      <c r="AZ925" s="612"/>
      <c r="BA925" s="612"/>
      <c r="BB925" s="612"/>
      <c r="BC925" s="612"/>
      <c r="BD925" s="612"/>
      <c r="BE925" s="612"/>
      <c r="BF925" s="612"/>
      <c r="BG925" s="612"/>
      <c r="BH925" s="612">
        <f t="shared" si="672"/>
        <v>0</v>
      </c>
      <c r="BI925" s="612">
        <f t="shared" si="683"/>
        <v>0</v>
      </c>
      <c r="BJ925" s="201">
        <f t="shared" si="693"/>
        <v>0</v>
      </c>
    </row>
    <row r="926" spans="1:62" ht="12" customHeight="1">
      <c r="A926" s="282" t="s">
        <v>522</v>
      </c>
      <c r="B926" s="283"/>
      <c r="C926" s="283"/>
      <c r="D926" s="283"/>
      <c r="E926" s="283"/>
      <c r="F926" s="283"/>
      <c r="G926" s="283"/>
      <c r="H926" s="284"/>
      <c r="I926" s="369" t="s">
        <v>735</v>
      </c>
      <c r="J926" s="370"/>
      <c r="K926" s="226"/>
      <c r="L926" s="111">
        <f t="shared" ref="L926:S926" si="704">L928</f>
        <v>0</v>
      </c>
      <c r="M926" s="111">
        <f t="shared" si="704"/>
        <v>0</v>
      </c>
      <c r="N926" s="112">
        <f t="shared" si="704"/>
        <v>0</v>
      </c>
      <c r="O926" s="112">
        <f t="shared" si="704"/>
        <v>0</v>
      </c>
      <c r="P926" s="113">
        <f t="shared" si="704"/>
        <v>0</v>
      </c>
      <c r="Q926" s="113">
        <f t="shared" si="704"/>
        <v>0</v>
      </c>
      <c r="R926" s="87">
        <f t="shared" si="704"/>
        <v>0</v>
      </c>
      <c r="S926" s="89" t="e">
        <f t="shared" ca="1" si="704"/>
        <v>#NAME?</v>
      </c>
      <c r="T926" s="89"/>
      <c r="U926" s="89"/>
      <c r="V926" s="532">
        <f>V928</f>
        <v>0</v>
      </c>
      <c r="W926" s="532">
        <f>W928</f>
        <v>0</v>
      </c>
      <c r="X926" s="506">
        <f>X928</f>
        <v>0</v>
      </c>
      <c r="Y926" s="507">
        <f>Y928</f>
        <v>0</v>
      </c>
      <c r="Z926" s="507">
        <f>Z928</f>
        <v>0</v>
      </c>
      <c r="AA926" s="562" t="e">
        <f t="shared" ca="1" si="671"/>
        <v>#NAME?</v>
      </c>
      <c r="AB926" s="507"/>
      <c r="AC926" s="508">
        <f>AC928</f>
        <v>5000</v>
      </c>
      <c r="AD926" s="508">
        <f>AD928</f>
        <v>5000</v>
      </c>
      <c r="AE926" s="529"/>
      <c r="AF926" s="529"/>
      <c r="AG926" s="529"/>
      <c r="AH926" s="529"/>
      <c r="AI926" s="507"/>
      <c r="AJ926" s="507">
        <v>0</v>
      </c>
      <c r="AK926" s="507"/>
      <c r="AL926" s="507"/>
      <c r="AM926" s="507"/>
      <c r="AN926" s="509"/>
      <c r="AO926" s="510"/>
      <c r="AP926" s="510" t="e">
        <f t="shared" ca="1" si="670"/>
        <v>#NAME?</v>
      </c>
      <c r="AQ926" s="532">
        <f>AQ928</f>
        <v>0</v>
      </c>
      <c r="AR926" s="533"/>
      <c r="AS926" s="533"/>
      <c r="AT926" s="533"/>
      <c r="AU926" s="533"/>
      <c r="AV926" s="533"/>
      <c r="AW926" s="612"/>
      <c r="AX926" s="612"/>
      <c r="AY926" s="612"/>
      <c r="AZ926" s="612"/>
      <c r="BA926" s="612"/>
      <c r="BB926" s="612"/>
      <c r="BC926" s="612"/>
      <c r="BD926" s="612"/>
      <c r="BE926" s="612"/>
      <c r="BF926" s="612"/>
      <c r="BG926" s="612"/>
      <c r="BH926" s="612">
        <f t="shared" si="672"/>
        <v>0</v>
      </c>
      <c r="BI926" s="612">
        <f t="shared" si="683"/>
        <v>0</v>
      </c>
      <c r="BJ926" s="201">
        <f t="shared" si="693"/>
        <v>0</v>
      </c>
    </row>
    <row r="927" spans="1:62" ht="12" customHeight="1">
      <c r="A927" s="41"/>
      <c r="B927" s="41"/>
      <c r="C927" s="41"/>
      <c r="D927" s="41"/>
      <c r="E927" s="41"/>
      <c r="F927" s="41"/>
      <c r="G927" s="41"/>
      <c r="H927" s="235"/>
      <c r="I927" s="15"/>
      <c r="J927" s="3"/>
      <c r="K927" s="83"/>
      <c r="L927" s="84">
        <v>1</v>
      </c>
      <c r="M927" s="84">
        <v>2</v>
      </c>
      <c r="N927" s="85">
        <v>3</v>
      </c>
      <c r="O927" s="85">
        <v>4</v>
      </c>
      <c r="P927" s="86">
        <v>5</v>
      </c>
      <c r="Q927" s="86">
        <v>6</v>
      </c>
      <c r="R927" s="154"/>
      <c r="S927" s="158" t="e">
        <f ca="1">__xlfn.XLOOKUP(H927,[1]Izvršenje_proračuna_po_pozicija!$B$2:$B$153,[1]Izvršenje_proračuna_po_pozicija!$E$2:$E$153,0)</f>
        <v>#NAME?</v>
      </c>
      <c r="T927" s="158"/>
      <c r="U927" s="158"/>
      <c r="V927" s="532"/>
      <c r="W927" s="532"/>
      <c r="X927" s="568"/>
      <c r="Y927" s="569"/>
      <c r="Z927" s="569"/>
      <c r="AA927" s="562" t="e">
        <f t="shared" ca="1" si="671"/>
        <v>#NAME?</v>
      </c>
      <c r="AB927" s="537"/>
      <c r="AC927" s="538">
        <v>7</v>
      </c>
      <c r="AD927" s="538">
        <v>8</v>
      </c>
      <c r="AE927" s="538">
        <v>9</v>
      </c>
      <c r="AF927" s="538">
        <v>10</v>
      </c>
      <c r="AG927" s="538">
        <v>11</v>
      </c>
      <c r="AH927" s="538">
        <v>12</v>
      </c>
      <c r="AI927" s="537"/>
      <c r="AJ927" s="569"/>
      <c r="AK927" s="507"/>
      <c r="AL927" s="507"/>
      <c r="AM927" s="507"/>
      <c r="AN927" s="557"/>
      <c r="AO927" s="510"/>
      <c r="AP927" s="510" t="e">
        <f t="shared" ca="1" si="670"/>
        <v>#NAME?</v>
      </c>
      <c r="AQ927" s="532"/>
      <c r="AR927" s="533"/>
      <c r="AS927" s="533"/>
      <c r="AT927" s="533"/>
      <c r="AU927" s="533"/>
      <c r="AV927" s="533"/>
      <c r="AW927" s="612"/>
      <c r="AX927" s="612"/>
      <c r="AY927" s="612"/>
      <c r="AZ927" s="612"/>
      <c r="BA927" s="612"/>
      <c r="BB927" s="612"/>
      <c r="BC927" s="612"/>
      <c r="BD927" s="612"/>
      <c r="BE927" s="612"/>
      <c r="BF927" s="612"/>
      <c r="BG927" s="612"/>
      <c r="BH927" s="612">
        <f t="shared" si="672"/>
        <v>0</v>
      </c>
      <c r="BI927" s="612">
        <f t="shared" si="683"/>
        <v>0</v>
      </c>
      <c r="BJ927" s="201"/>
    </row>
    <row r="928" spans="1:62" ht="12" customHeight="1">
      <c r="A928" s="25"/>
      <c r="B928" s="25"/>
      <c r="C928" s="25"/>
      <c r="D928" s="25"/>
      <c r="E928" s="25"/>
      <c r="F928" s="25"/>
      <c r="G928" s="25"/>
      <c r="H928" s="285"/>
      <c r="I928" s="349"/>
      <c r="J928" s="211">
        <v>3</v>
      </c>
      <c r="K928" s="3" t="s">
        <v>220</v>
      </c>
      <c r="L928" s="111">
        <f t="shared" ref="L928:S931" si="705">L929</f>
        <v>0</v>
      </c>
      <c r="M928" s="111">
        <f t="shared" si="705"/>
        <v>0</v>
      </c>
      <c r="N928" s="112">
        <f t="shared" si="705"/>
        <v>0</v>
      </c>
      <c r="O928" s="112">
        <f t="shared" si="705"/>
        <v>0</v>
      </c>
      <c r="P928" s="113">
        <f t="shared" si="705"/>
        <v>0</v>
      </c>
      <c r="Q928" s="113">
        <f t="shared" si="705"/>
        <v>0</v>
      </c>
      <c r="R928" s="87">
        <f t="shared" si="705"/>
        <v>0</v>
      </c>
      <c r="S928" s="89" t="e">
        <f t="shared" ca="1" si="705"/>
        <v>#NAME?</v>
      </c>
      <c r="T928" s="89"/>
      <c r="U928" s="89"/>
      <c r="V928" s="532">
        <f>V929</f>
        <v>0</v>
      </c>
      <c r="W928" s="532">
        <f t="shared" ref="W928:Z931" si="706">W929</f>
        <v>0</v>
      </c>
      <c r="X928" s="506">
        <f t="shared" si="706"/>
        <v>0</v>
      </c>
      <c r="Y928" s="507">
        <f t="shared" si="706"/>
        <v>0</v>
      </c>
      <c r="Z928" s="507">
        <f t="shared" si="706"/>
        <v>0</v>
      </c>
      <c r="AA928" s="562" t="e">
        <f t="shared" ca="1" si="671"/>
        <v>#NAME?</v>
      </c>
      <c r="AB928" s="507"/>
      <c r="AC928" s="508">
        <f t="shared" ref="AC928:AD931" si="707">AC929</f>
        <v>5000</v>
      </c>
      <c r="AD928" s="508">
        <f t="shared" si="707"/>
        <v>5000</v>
      </c>
      <c r="AE928" s="529"/>
      <c r="AF928" s="529"/>
      <c r="AG928" s="529"/>
      <c r="AH928" s="529"/>
      <c r="AI928" s="507"/>
      <c r="AJ928" s="507">
        <v>0</v>
      </c>
      <c r="AK928" s="507"/>
      <c r="AL928" s="507"/>
      <c r="AM928" s="507"/>
      <c r="AN928" s="509"/>
      <c r="AO928" s="510"/>
      <c r="AP928" s="510" t="e">
        <f t="shared" ca="1" si="670"/>
        <v>#NAME?</v>
      </c>
      <c r="AQ928" s="532">
        <f>AQ929</f>
        <v>0</v>
      </c>
      <c r="AR928" s="533"/>
      <c r="AS928" s="533"/>
      <c r="AT928" s="533"/>
      <c r="AU928" s="533"/>
      <c r="AV928" s="533"/>
      <c r="AW928" s="612"/>
      <c r="AX928" s="612"/>
      <c r="AY928" s="612"/>
      <c r="AZ928" s="612"/>
      <c r="BA928" s="612"/>
      <c r="BB928" s="612"/>
      <c r="BC928" s="612"/>
      <c r="BD928" s="612"/>
      <c r="BE928" s="612"/>
      <c r="BF928" s="612"/>
      <c r="BG928" s="612"/>
      <c r="BH928" s="612">
        <f t="shared" si="672"/>
        <v>0</v>
      </c>
      <c r="BI928" s="612">
        <f t="shared" si="683"/>
        <v>0</v>
      </c>
      <c r="BJ928" s="201"/>
    </row>
    <row r="929" spans="1:62" ht="12" customHeight="1">
      <c r="A929" s="227"/>
      <c r="B929" s="227"/>
      <c r="C929" s="227"/>
      <c r="D929" s="227"/>
      <c r="E929" s="227"/>
      <c r="F929" s="227"/>
      <c r="G929" s="227"/>
      <c r="H929" s="234"/>
      <c r="I929" s="265"/>
      <c r="J929" s="228">
        <v>36</v>
      </c>
      <c r="K929" s="258" t="s">
        <v>728</v>
      </c>
      <c r="L929" s="111">
        <f t="shared" si="705"/>
        <v>0</v>
      </c>
      <c r="M929" s="111">
        <f t="shared" si="705"/>
        <v>0</v>
      </c>
      <c r="N929" s="112">
        <f t="shared" si="705"/>
        <v>0</v>
      </c>
      <c r="O929" s="112">
        <f t="shared" si="705"/>
        <v>0</v>
      </c>
      <c r="P929" s="113">
        <f t="shared" si="705"/>
        <v>0</v>
      </c>
      <c r="Q929" s="113">
        <f t="shared" si="705"/>
        <v>0</v>
      </c>
      <c r="R929" s="87">
        <f t="shared" si="705"/>
        <v>0</v>
      </c>
      <c r="S929" s="89" t="e">
        <f t="shared" ca="1" si="705"/>
        <v>#NAME?</v>
      </c>
      <c r="T929" s="89"/>
      <c r="U929" s="89"/>
      <c r="V929" s="532">
        <f>V930</f>
        <v>0</v>
      </c>
      <c r="W929" s="532">
        <f t="shared" si="706"/>
        <v>0</v>
      </c>
      <c r="X929" s="506">
        <f t="shared" si="706"/>
        <v>0</v>
      </c>
      <c r="Y929" s="507">
        <f t="shared" si="706"/>
        <v>0</v>
      </c>
      <c r="Z929" s="507">
        <f t="shared" si="706"/>
        <v>0</v>
      </c>
      <c r="AA929" s="562" t="e">
        <f t="shared" ca="1" si="671"/>
        <v>#NAME?</v>
      </c>
      <c r="AB929" s="507"/>
      <c r="AC929" s="508">
        <f t="shared" si="707"/>
        <v>5000</v>
      </c>
      <c r="AD929" s="508">
        <f t="shared" si="707"/>
        <v>5000</v>
      </c>
      <c r="AE929" s="529"/>
      <c r="AF929" s="529"/>
      <c r="AG929" s="529"/>
      <c r="AH929" s="529"/>
      <c r="AI929" s="507"/>
      <c r="AJ929" s="507">
        <v>0</v>
      </c>
      <c r="AK929" s="507"/>
      <c r="AL929" s="507"/>
      <c r="AM929" s="507"/>
      <c r="AN929" s="509"/>
      <c r="AO929" s="510"/>
      <c r="AP929" s="510" t="e">
        <f t="shared" ca="1" si="670"/>
        <v>#NAME?</v>
      </c>
      <c r="AQ929" s="532">
        <f>AQ930</f>
        <v>0</v>
      </c>
      <c r="AR929" s="533"/>
      <c r="AS929" s="533"/>
      <c r="AT929" s="533"/>
      <c r="AU929" s="533"/>
      <c r="AV929" s="533"/>
      <c r="AW929" s="612"/>
      <c r="AX929" s="612"/>
      <c r="AY929" s="612"/>
      <c r="AZ929" s="612"/>
      <c r="BA929" s="612"/>
      <c r="BB929" s="612"/>
      <c r="BC929" s="612"/>
      <c r="BD929" s="612"/>
      <c r="BE929" s="612"/>
      <c r="BF929" s="612"/>
      <c r="BG929" s="612"/>
      <c r="BH929" s="612">
        <f t="shared" si="672"/>
        <v>0</v>
      </c>
      <c r="BI929" s="612">
        <f t="shared" si="683"/>
        <v>0</v>
      </c>
      <c r="BJ929" s="201"/>
    </row>
    <row r="930" spans="1:62" ht="12" customHeight="1">
      <c r="A930" s="61"/>
      <c r="B930" s="61"/>
      <c r="C930" s="61"/>
      <c r="D930" s="61"/>
      <c r="E930" s="61"/>
      <c r="F930" s="61"/>
      <c r="G930" s="61"/>
      <c r="H930" s="230"/>
      <c r="I930" s="348"/>
      <c r="J930" s="229">
        <v>366</v>
      </c>
      <c r="K930" s="20" t="s">
        <v>729</v>
      </c>
      <c r="L930" s="111">
        <f t="shared" si="705"/>
        <v>0</v>
      </c>
      <c r="M930" s="111">
        <f t="shared" si="705"/>
        <v>0</v>
      </c>
      <c r="N930" s="112">
        <f t="shared" si="705"/>
        <v>0</v>
      </c>
      <c r="O930" s="112">
        <f t="shared" si="705"/>
        <v>0</v>
      </c>
      <c r="P930" s="113">
        <f t="shared" si="705"/>
        <v>0</v>
      </c>
      <c r="Q930" s="113">
        <f t="shared" si="705"/>
        <v>0</v>
      </c>
      <c r="R930" s="87">
        <f t="shared" si="705"/>
        <v>0</v>
      </c>
      <c r="S930" s="89" t="e">
        <f t="shared" ca="1" si="705"/>
        <v>#NAME?</v>
      </c>
      <c r="T930" s="89"/>
      <c r="U930" s="89"/>
      <c r="V930" s="532">
        <f>V931</f>
        <v>0</v>
      </c>
      <c r="W930" s="532">
        <f t="shared" si="706"/>
        <v>0</v>
      </c>
      <c r="X930" s="506">
        <f t="shared" si="706"/>
        <v>0</v>
      </c>
      <c r="Y930" s="507">
        <f t="shared" si="706"/>
        <v>0</v>
      </c>
      <c r="Z930" s="507">
        <f t="shared" si="706"/>
        <v>0</v>
      </c>
      <c r="AA930" s="562" t="e">
        <f t="shared" ca="1" si="671"/>
        <v>#NAME?</v>
      </c>
      <c r="AB930" s="507"/>
      <c r="AC930" s="508">
        <f t="shared" si="707"/>
        <v>5000</v>
      </c>
      <c r="AD930" s="508">
        <f t="shared" si="707"/>
        <v>5000</v>
      </c>
      <c r="AE930" s="529"/>
      <c r="AF930" s="529"/>
      <c r="AG930" s="529"/>
      <c r="AH930" s="529"/>
      <c r="AI930" s="507"/>
      <c r="AJ930" s="507">
        <v>0</v>
      </c>
      <c r="AK930" s="507"/>
      <c r="AL930" s="507"/>
      <c r="AM930" s="507"/>
      <c r="AN930" s="509"/>
      <c r="AO930" s="510"/>
      <c r="AP930" s="510" t="e">
        <f t="shared" ca="1" si="670"/>
        <v>#NAME?</v>
      </c>
      <c r="AQ930" s="532">
        <f>AQ931</f>
        <v>0</v>
      </c>
      <c r="AR930" s="533"/>
      <c r="AS930" s="533"/>
      <c r="AT930" s="533"/>
      <c r="AU930" s="533"/>
      <c r="AV930" s="533"/>
      <c r="AW930" s="612"/>
      <c r="AX930" s="612"/>
      <c r="AY930" s="612"/>
      <c r="AZ930" s="612"/>
      <c r="BA930" s="612"/>
      <c r="BB930" s="612"/>
      <c r="BC930" s="612"/>
      <c r="BD930" s="612"/>
      <c r="BE930" s="612"/>
      <c r="BF930" s="612"/>
      <c r="BG930" s="612"/>
      <c r="BH930" s="612">
        <f t="shared" si="672"/>
        <v>0</v>
      </c>
      <c r="BI930" s="612">
        <f t="shared" si="683"/>
        <v>0</v>
      </c>
      <c r="BJ930" s="201"/>
    </row>
    <row r="931" spans="1:62" ht="12" customHeight="1">
      <c r="A931" s="52"/>
      <c r="B931" s="52"/>
      <c r="C931" s="52"/>
      <c r="D931" s="52"/>
      <c r="E931" s="52"/>
      <c r="F931" s="52"/>
      <c r="G931" s="52"/>
      <c r="H931" s="2"/>
      <c r="I931" s="289"/>
      <c r="J931" s="185">
        <v>3662</v>
      </c>
      <c r="K931" s="19" t="s">
        <v>276</v>
      </c>
      <c r="L931" s="111">
        <f t="shared" si="705"/>
        <v>0</v>
      </c>
      <c r="M931" s="111">
        <f t="shared" si="705"/>
        <v>0</v>
      </c>
      <c r="N931" s="112">
        <f t="shared" si="705"/>
        <v>0</v>
      </c>
      <c r="O931" s="112">
        <f t="shared" si="705"/>
        <v>0</v>
      </c>
      <c r="P931" s="113">
        <f t="shared" si="705"/>
        <v>0</v>
      </c>
      <c r="Q931" s="113">
        <f t="shared" si="705"/>
        <v>0</v>
      </c>
      <c r="R931" s="87">
        <f t="shared" si="705"/>
        <v>0</v>
      </c>
      <c r="S931" s="89" t="e">
        <f t="shared" ca="1" si="705"/>
        <v>#NAME?</v>
      </c>
      <c r="T931" s="89"/>
      <c r="U931" s="89"/>
      <c r="V931" s="532">
        <f>V932</f>
        <v>0</v>
      </c>
      <c r="W931" s="532">
        <f t="shared" si="706"/>
        <v>0</v>
      </c>
      <c r="X931" s="506">
        <f t="shared" si="706"/>
        <v>0</v>
      </c>
      <c r="Y931" s="507">
        <f t="shared" si="706"/>
        <v>0</v>
      </c>
      <c r="Z931" s="507">
        <f t="shared" si="706"/>
        <v>0</v>
      </c>
      <c r="AA931" s="562" t="e">
        <f t="shared" ca="1" si="671"/>
        <v>#NAME?</v>
      </c>
      <c r="AB931" s="507"/>
      <c r="AC931" s="508">
        <f t="shared" si="707"/>
        <v>5000</v>
      </c>
      <c r="AD931" s="508">
        <f t="shared" si="707"/>
        <v>5000</v>
      </c>
      <c r="AE931" s="529"/>
      <c r="AF931" s="529"/>
      <c r="AG931" s="529"/>
      <c r="AH931" s="529"/>
      <c r="AI931" s="507"/>
      <c r="AJ931" s="507">
        <v>0</v>
      </c>
      <c r="AK931" s="507"/>
      <c r="AL931" s="507"/>
      <c r="AM931" s="507"/>
      <c r="AN931" s="509"/>
      <c r="AO931" s="510"/>
      <c r="AP931" s="510" t="e">
        <f t="shared" ref="AP931:AP994" ca="1" si="708">__xlfn.ISFORMULA(X931)</f>
        <v>#NAME?</v>
      </c>
      <c r="AQ931" s="532">
        <f>AQ932</f>
        <v>0</v>
      </c>
      <c r="AR931" s="533"/>
      <c r="AS931" s="533"/>
      <c r="AT931" s="533"/>
      <c r="AU931" s="533"/>
      <c r="AV931" s="533"/>
      <c r="AW931" s="612"/>
      <c r="AX931" s="612"/>
      <c r="AY931" s="612"/>
      <c r="AZ931" s="612"/>
      <c r="BA931" s="612"/>
      <c r="BB931" s="612"/>
      <c r="BC931" s="612"/>
      <c r="BD931" s="612"/>
      <c r="BE931" s="612"/>
      <c r="BF931" s="612"/>
      <c r="BG931" s="612"/>
      <c r="BH931" s="612">
        <f t="shared" si="672"/>
        <v>0</v>
      </c>
      <c r="BI931" s="612">
        <f t="shared" si="683"/>
        <v>0</v>
      </c>
      <c r="BJ931" s="201"/>
    </row>
    <row r="932" spans="1:62" ht="12" customHeight="1">
      <c r="A932" s="52"/>
      <c r="B932" s="52"/>
      <c r="C932" s="52"/>
      <c r="D932" s="52"/>
      <c r="E932" s="52"/>
      <c r="F932" s="52"/>
      <c r="G932" s="52"/>
      <c r="H932" s="2" t="s">
        <v>736</v>
      </c>
      <c r="I932" s="289">
        <v>920</v>
      </c>
      <c r="J932" s="185">
        <v>3662</v>
      </c>
      <c r="K932" s="19" t="s">
        <v>737</v>
      </c>
      <c r="L932" s="129">
        <v>0</v>
      </c>
      <c r="M932" s="129">
        <v>0</v>
      </c>
      <c r="N932" s="130">
        <v>0</v>
      </c>
      <c r="O932" s="130">
        <v>0</v>
      </c>
      <c r="P932" s="131">
        <v>0</v>
      </c>
      <c r="Q932" s="131">
        <v>0</v>
      </c>
      <c r="R932" s="153">
        <v>0</v>
      </c>
      <c r="S932" s="158" t="e">
        <f ca="1">__xlfn.XLOOKUP(H932,[1]Izvršenje_proračuna_po_pozicija!$B$2:$B$153,[1]Izvršenje_proračuna_po_pozicija!$E$2:$E$153,0)</f>
        <v>#NAME?</v>
      </c>
      <c r="T932" s="158"/>
      <c r="U932" s="158"/>
      <c r="V932" s="532"/>
      <c r="W932" s="532"/>
      <c r="X932" s="560"/>
      <c r="Y932" s="561"/>
      <c r="Z932" s="561"/>
      <c r="AA932" s="562" t="e">
        <f t="shared" ca="1" si="671"/>
        <v>#NAME?</v>
      </c>
      <c r="AB932" s="535"/>
      <c r="AC932" s="529">
        <v>5000</v>
      </c>
      <c r="AD932" s="529">
        <v>5000</v>
      </c>
      <c r="AE932" s="529"/>
      <c r="AF932" s="529"/>
      <c r="AG932" s="529"/>
      <c r="AH932" s="529"/>
      <c r="AI932" s="535"/>
      <c r="AJ932" s="561"/>
      <c r="AK932" s="507"/>
      <c r="AL932" s="507"/>
      <c r="AM932" s="507"/>
      <c r="AN932" s="556"/>
      <c r="AO932" s="510"/>
      <c r="AP932" s="510" t="e">
        <f t="shared" ca="1" si="708"/>
        <v>#NAME?</v>
      </c>
      <c r="AQ932" s="532"/>
      <c r="AR932" s="533"/>
      <c r="AS932" s="533"/>
      <c r="AT932" s="533"/>
      <c r="AU932" s="533"/>
      <c r="AV932" s="533"/>
      <c r="AW932" s="612"/>
      <c r="AX932" s="612"/>
      <c r="AY932" s="612"/>
      <c r="AZ932" s="612"/>
      <c r="BA932" s="612"/>
      <c r="BB932" s="612"/>
      <c r="BC932" s="612"/>
      <c r="BD932" s="612"/>
      <c r="BE932" s="612"/>
      <c r="BF932" s="612"/>
      <c r="BG932" s="612"/>
      <c r="BH932" s="612">
        <f t="shared" si="672"/>
        <v>0</v>
      </c>
      <c r="BI932" s="612">
        <f t="shared" si="683"/>
        <v>154738.14000000001</v>
      </c>
      <c r="BJ932" s="201"/>
    </row>
    <row r="933" spans="1:62" ht="12" customHeight="1">
      <c r="A933" s="41"/>
      <c r="B933" s="41"/>
      <c r="C933" s="41"/>
      <c r="D933" s="41"/>
      <c r="E933" s="41"/>
      <c r="F933" s="41"/>
      <c r="G933" s="41"/>
      <c r="H933" s="235"/>
      <c r="I933" s="15"/>
      <c r="J933" s="3"/>
      <c r="K933" s="83"/>
      <c r="L933" s="84"/>
      <c r="M933" s="84"/>
      <c r="N933" s="85"/>
      <c r="O933" s="85"/>
      <c r="P933" s="86"/>
      <c r="Q933" s="86"/>
      <c r="R933" s="154"/>
      <c r="S933" s="158" t="e">
        <f ca="1">__xlfn.XLOOKUP(H933,[1]Izvršenje_proračuna_po_pozicija!$B$2:$B$153,[1]Izvršenje_proračuna_po_pozicija!$E$2:$E$153,0)</f>
        <v>#NAME?</v>
      </c>
      <c r="T933" s="158"/>
      <c r="U933" s="158"/>
      <c r="V933" s="532"/>
      <c r="W933" s="532"/>
      <c r="X933" s="568"/>
      <c r="Y933" s="569"/>
      <c r="Z933" s="569"/>
      <c r="AA933" s="562" t="e">
        <f t="shared" ref="AA933:AA996" ca="1" si="709">__xlfn.ISFORMULA(R933)</f>
        <v>#NAME?</v>
      </c>
      <c r="AB933" s="537"/>
      <c r="AC933" s="538"/>
      <c r="AD933" s="538"/>
      <c r="AE933" s="529"/>
      <c r="AF933" s="529"/>
      <c r="AG933" s="529"/>
      <c r="AH933" s="529"/>
      <c r="AI933" s="537"/>
      <c r="AJ933" s="569"/>
      <c r="AK933" s="507"/>
      <c r="AL933" s="507"/>
      <c r="AM933" s="507"/>
      <c r="AN933" s="557"/>
      <c r="AO933" s="510"/>
      <c r="AP933" s="510" t="e">
        <f t="shared" ca="1" si="708"/>
        <v>#NAME?</v>
      </c>
      <c r="AQ933" s="532"/>
      <c r="AR933" s="533"/>
      <c r="AS933" s="533"/>
      <c r="AT933" s="533"/>
      <c r="AU933" s="533"/>
      <c r="AV933" s="533"/>
      <c r="AW933" s="612"/>
      <c r="AX933" s="612"/>
      <c r="AY933" s="612"/>
      <c r="AZ933" s="612"/>
      <c r="BA933" s="612"/>
      <c r="BB933" s="612"/>
      <c r="BC933" s="612"/>
      <c r="BD933" s="612"/>
      <c r="BE933" s="612"/>
      <c r="BF933" s="612"/>
      <c r="BG933" s="612"/>
      <c r="BH933" s="612">
        <f t="shared" ref="BH933:BH996" si="710">SUM(AW933:BG933)</f>
        <v>0</v>
      </c>
      <c r="BI933" s="612">
        <f t="shared" si="683"/>
        <v>0</v>
      </c>
      <c r="BJ933" s="201"/>
    </row>
    <row r="934" spans="1:62" ht="12" customHeight="1">
      <c r="A934" s="320"/>
      <c r="B934" s="320"/>
      <c r="C934" s="320"/>
      <c r="D934" s="320"/>
      <c r="E934" s="320"/>
      <c r="F934" s="320"/>
      <c r="G934" s="320"/>
      <c r="H934" s="321"/>
      <c r="I934" s="373" t="s">
        <v>738</v>
      </c>
      <c r="J934" s="374"/>
      <c r="K934" s="223"/>
      <c r="L934" s="111">
        <f t="shared" ref="L934:S934" si="711">L935+L951+L967</f>
        <v>856840</v>
      </c>
      <c r="M934" s="111">
        <f t="shared" si="711"/>
        <v>113722.21116198818</v>
      </c>
      <c r="N934" s="112">
        <f t="shared" si="711"/>
        <v>1118301</v>
      </c>
      <c r="O934" s="112">
        <f t="shared" si="711"/>
        <v>148424.04937288471</v>
      </c>
      <c r="P934" s="113">
        <f t="shared" si="711"/>
        <v>164620</v>
      </c>
      <c r="Q934" s="113">
        <f t="shared" si="711"/>
        <v>175920</v>
      </c>
      <c r="R934" s="87">
        <f t="shared" si="711"/>
        <v>170696</v>
      </c>
      <c r="S934" s="89" t="e">
        <f t="shared" ca="1" si="711"/>
        <v>#NAME?</v>
      </c>
      <c r="T934" s="89"/>
      <c r="U934" s="89"/>
      <c r="V934" s="532">
        <f>V935+V951+V967</f>
        <v>204000</v>
      </c>
      <c r="W934" s="532">
        <f>W935+W951+W967</f>
        <v>212000</v>
      </c>
      <c r="X934" s="506">
        <f>X935+X951+X967</f>
        <v>258200</v>
      </c>
      <c r="Y934" s="507">
        <f>Y935+Y951+Y967</f>
        <v>300000</v>
      </c>
      <c r="Z934" s="507">
        <f>Z935+Z951+Z967</f>
        <v>0</v>
      </c>
      <c r="AA934" s="562" t="e">
        <f t="shared" ca="1" si="709"/>
        <v>#NAME?</v>
      </c>
      <c r="AB934" s="507"/>
      <c r="AC934" s="508">
        <f>AC935+AC951+AC967</f>
        <v>171000</v>
      </c>
      <c r="AD934" s="508">
        <f>AD935+AD951+AD967</f>
        <v>171000</v>
      </c>
      <c r="AE934" s="529">
        <f>O934/M934*100</f>
        <v>130.51456514635171</v>
      </c>
      <c r="AF934" s="529">
        <f>P934/O934*100</f>
        <v>110.91194499513102</v>
      </c>
      <c r="AG934" s="529">
        <f>Q934/P934*100</f>
        <v>106.86429352448062</v>
      </c>
      <c r="AH934" s="529">
        <f>AC934/Q934*100</f>
        <v>97.203274215552526</v>
      </c>
      <c r="AI934" s="507"/>
      <c r="AJ934" s="507">
        <v>300000</v>
      </c>
      <c r="AK934" s="507">
        <f t="shared" ref="AK934:AK982" si="712">W934/R934*100</f>
        <v>124.19740357126119</v>
      </c>
      <c r="AL934" s="507">
        <f t="shared" ref="AL934:AM982" si="713">X934/W934*100</f>
        <v>121.79245283018867</v>
      </c>
      <c r="AM934" s="507">
        <f t="shared" si="713"/>
        <v>116.18900077459332</v>
      </c>
      <c r="AN934" s="509"/>
      <c r="AO934" s="510"/>
      <c r="AP934" s="510" t="e">
        <f t="shared" ca="1" si="708"/>
        <v>#NAME?</v>
      </c>
      <c r="AQ934" s="532">
        <f>AQ935+AQ951+AQ967</f>
        <v>183238.14</v>
      </c>
      <c r="AR934" s="533">
        <f>V934/R934*100</f>
        <v>119.51070909687398</v>
      </c>
      <c r="AS934" s="533">
        <f t="shared" ref="AS934:AS997" si="714">W934/V934*100</f>
        <v>103.92156862745099</v>
      </c>
      <c r="AT934" s="533">
        <f>W934/R934*100</f>
        <v>124.19740357126119</v>
      </c>
      <c r="AU934" s="533">
        <f>AQ934/W934*100</f>
        <v>86.43308490566038</v>
      </c>
      <c r="AV934" s="533">
        <f>AQ934/R934*100</f>
        <v>107.34764727937387</v>
      </c>
      <c r="AW934" s="612"/>
      <c r="AX934" s="612"/>
      <c r="AY934" s="612"/>
      <c r="AZ934" s="612"/>
      <c r="BA934" s="612"/>
      <c r="BB934" s="612"/>
      <c r="BC934" s="612"/>
      <c r="BD934" s="612"/>
      <c r="BE934" s="612"/>
      <c r="BF934" s="612"/>
      <c r="BG934" s="612"/>
      <c r="BH934" s="612">
        <f t="shared" si="710"/>
        <v>0</v>
      </c>
      <c r="BI934" s="612">
        <f t="shared" si="683"/>
        <v>113267.61</v>
      </c>
      <c r="BJ934" s="201"/>
    </row>
    <row r="935" spans="1:62" ht="12" customHeight="1">
      <c r="A935" s="282" t="s">
        <v>321</v>
      </c>
      <c r="B935" s="283"/>
      <c r="C935" s="283"/>
      <c r="D935" s="283"/>
      <c r="E935" s="283"/>
      <c r="F935" s="283"/>
      <c r="G935" s="283"/>
      <c r="H935" s="284"/>
      <c r="I935" s="369" t="s">
        <v>739</v>
      </c>
      <c r="J935" s="370"/>
      <c r="K935" s="226"/>
      <c r="L935" s="111">
        <f t="shared" ref="L935:S935" si="715">L937</f>
        <v>731840</v>
      </c>
      <c r="M935" s="111">
        <f t="shared" si="715"/>
        <v>97131.86011015992</v>
      </c>
      <c r="N935" s="112">
        <f t="shared" si="715"/>
        <v>988301</v>
      </c>
      <c r="O935" s="112">
        <f t="shared" si="715"/>
        <v>131170.08427898333</v>
      </c>
      <c r="P935" s="113">
        <f t="shared" si="715"/>
        <v>146700</v>
      </c>
      <c r="Q935" s="113">
        <f t="shared" si="715"/>
        <v>158000</v>
      </c>
      <c r="R935" s="87">
        <f t="shared" si="715"/>
        <v>153896</v>
      </c>
      <c r="S935" s="89" t="e">
        <f t="shared" ca="1" si="715"/>
        <v>#NAME?</v>
      </c>
      <c r="T935" s="89"/>
      <c r="U935" s="89"/>
      <c r="V935" s="532">
        <f>V937</f>
        <v>183500</v>
      </c>
      <c r="W935" s="532">
        <f>W937</f>
        <v>183500</v>
      </c>
      <c r="X935" s="506">
        <f>X937</f>
        <v>234000</v>
      </c>
      <c r="Y935" s="507">
        <f>Y937</f>
        <v>273000</v>
      </c>
      <c r="Z935" s="507">
        <f>Z937</f>
        <v>0</v>
      </c>
      <c r="AA935" s="562" t="e">
        <f t="shared" ca="1" si="709"/>
        <v>#NAME?</v>
      </c>
      <c r="AB935" s="507"/>
      <c r="AC935" s="508">
        <f>AC937</f>
        <v>152000</v>
      </c>
      <c r="AD935" s="508">
        <f>AD937</f>
        <v>152000</v>
      </c>
      <c r="AE935" s="529">
        <f>O935/M935*100</f>
        <v>135.04331547879318</v>
      </c>
      <c r="AF935" s="529">
        <f>P935/O935*100</f>
        <v>111.83952561011272</v>
      </c>
      <c r="AG935" s="529">
        <f>Q935/P935*100</f>
        <v>107.70279481935923</v>
      </c>
      <c r="AH935" s="529">
        <f>AC935/Q935*100</f>
        <v>96.202531645569621</v>
      </c>
      <c r="AI935" s="507"/>
      <c r="AJ935" s="507">
        <v>273000</v>
      </c>
      <c r="AK935" s="507">
        <f t="shared" si="712"/>
        <v>119.23636741695691</v>
      </c>
      <c r="AL935" s="507">
        <f t="shared" si="713"/>
        <v>127.52043596730245</v>
      </c>
      <c r="AM935" s="507">
        <f t="shared" si="713"/>
        <v>116.66666666666667</v>
      </c>
      <c r="AN935" s="509"/>
      <c r="AO935" s="510"/>
      <c r="AP935" s="510" t="e">
        <f t="shared" ca="1" si="708"/>
        <v>#NAME?</v>
      </c>
      <c r="AQ935" s="532">
        <f>AQ937</f>
        <v>154738.14000000001</v>
      </c>
      <c r="AR935" s="533">
        <f>V935/R935*100</f>
        <v>119.23636741695691</v>
      </c>
      <c r="AS935" s="533">
        <f t="shared" si="714"/>
        <v>100</v>
      </c>
      <c r="AT935" s="533">
        <f>W935/R935*100</f>
        <v>119.23636741695691</v>
      </c>
      <c r="AU935" s="533">
        <f>AQ935/W935*100</f>
        <v>84.325961852861042</v>
      </c>
      <c r="AV935" s="533">
        <f>AQ935/R935*100</f>
        <v>100.54721370276032</v>
      </c>
      <c r="AW935" s="612"/>
      <c r="AX935" s="612"/>
      <c r="AY935" s="612"/>
      <c r="AZ935" s="612"/>
      <c r="BA935" s="612"/>
      <c r="BB935" s="612"/>
      <c r="BC935" s="612"/>
      <c r="BD935" s="612"/>
      <c r="BE935" s="612"/>
      <c r="BF935" s="612"/>
      <c r="BG935" s="612"/>
      <c r="BH935" s="612">
        <f t="shared" si="710"/>
        <v>0</v>
      </c>
      <c r="BI935" s="612">
        <f t="shared" si="683"/>
        <v>76220.33</v>
      </c>
      <c r="BJ935" s="201">
        <f>AQ942-BI935</f>
        <v>0</v>
      </c>
    </row>
    <row r="936" spans="1:62" ht="12" customHeight="1">
      <c r="A936" s="41"/>
      <c r="B936" s="41"/>
      <c r="C936" s="41"/>
      <c r="D936" s="41"/>
      <c r="E936" s="41"/>
      <c r="F936" s="41"/>
      <c r="G936" s="41"/>
      <c r="H936" s="235"/>
      <c r="I936" s="15"/>
      <c r="J936" s="3"/>
      <c r="K936" s="211"/>
      <c r="L936" s="84"/>
      <c r="M936" s="84"/>
      <c r="N936" s="85"/>
      <c r="O936" s="85"/>
      <c r="P936" s="86"/>
      <c r="Q936" s="86"/>
      <c r="R936" s="154"/>
      <c r="S936" s="158" t="e">
        <f ca="1">__xlfn.XLOOKUP(H936,[1]Izvršenje_proračuna_po_pozicija!$B$2:$B$153,[1]Izvršenje_proračuna_po_pozicija!$E$2:$E$153,0)</f>
        <v>#NAME?</v>
      </c>
      <c r="T936" s="158"/>
      <c r="U936" s="158"/>
      <c r="V936" s="532"/>
      <c r="W936" s="532"/>
      <c r="X936" s="568"/>
      <c r="Y936" s="569"/>
      <c r="Z936" s="569"/>
      <c r="AA936" s="562" t="e">
        <f t="shared" ca="1" si="709"/>
        <v>#NAME?</v>
      </c>
      <c r="AB936" s="537"/>
      <c r="AC936" s="538"/>
      <c r="AD936" s="538"/>
      <c r="AE936" s="529"/>
      <c r="AF936" s="529"/>
      <c r="AG936" s="529"/>
      <c r="AH936" s="529"/>
      <c r="AI936" s="537"/>
      <c r="AJ936" s="569"/>
      <c r="AK936" s="507"/>
      <c r="AL936" s="507"/>
      <c r="AM936" s="507"/>
      <c r="AN936" s="557"/>
      <c r="AO936" s="510"/>
      <c r="AP936" s="510" t="e">
        <f t="shared" ca="1" si="708"/>
        <v>#NAME?</v>
      </c>
      <c r="AQ936" s="532"/>
      <c r="AR936" s="533"/>
      <c r="AS936" s="533"/>
      <c r="AT936" s="533"/>
      <c r="AU936" s="533"/>
      <c r="AV936" s="533"/>
      <c r="AW936" s="612"/>
      <c r="AX936" s="612"/>
      <c r="AY936" s="612"/>
      <c r="AZ936" s="612"/>
      <c r="BA936" s="612"/>
      <c r="BB936" s="612"/>
      <c r="BC936" s="612"/>
      <c r="BD936" s="612"/>
      <c r="BE936" s="612"/>
      <c r="BF936" s="612"/>
      <c r="BG936" s="612"/>
      <c r="BH936" s="612">
        <f t="shared" si="710"/>
        <v>0</v>
      </c>
      <c r="BI936" s="612">
        <f t="shared" si="683"/>
        <v>0</v>
      </c>
      <c r="BJ936" s="201">
        <f>AQ943-BI936</f>
        <v>0</v>
      </c>
    </row>
    <row r="937" spans="1:62" ht="12" customHeight="1">
      <c r="A937" s="41"/>
      <c r="B937" s="41"/>
      <c r="C937" s="41"/>
      <c r="D937" s="41"/>
      <c r="E937" s="41"/>
      <c r="F937" s="41"/>
      <c r="G937" s="41"/>
      <c r="H937" s="359"/>
      <c r="I937" s="349"/>
      <c r="J937" s="211">
        <v>3</v>
      </c>
      <c r="K937" s="3" t="s">
        <v>220</v>
      </c>
      <c r="L937" s="111">
        <f t="shared" ref="L937:S938" si="716">L938</f>
        <v>731840</v>
      </c>
      <c r="M937" s="111">
        <f t="shared" si="716"/>
        <v>97131.86011015992</v>
      </c>
      <c r="N937" s="112">
        <f t="shared" si="716"/>
        <v>988301</v>
      </c>
      <c r="O937" s="112">
        <f t="shared" si="716"/>
        <v>131170.08427898333</v>
      </c>
      <c r="P937" s="113">
        <f t="shared" si="716"/>
        <v>146700</v>
      </c>
      <c r="Q937" s="113">
        <f t="shared" si="716"/>
        <v>158000</v>
      </c>
      <c r="R937" s="87">
        <f t="shared" si="716"/>
        <v>153896</v>
      </c>
      <c r="S937" s="89" t="e">
        <f t="shared" ca="1" si="716"/>
        <v>#NAME?</v>
      </c>
      <c r="T937" s="89"/>
      <c r="U937" s="89"/>
      <c r="V937" s="532">
        <f>V938</f>
        <v>183500</v>
      </c>
      <c r="W937" s="532">
        <f t="shared" ref="W937:Z938" si="717">W938</f>
        <v>183500</v>
      </c>
      <c r="X937" s="506">
        <f t="shared" si="717"/>
        <v>234000</v>
      </c>
      <c r="Y937" s="507">
        <f t="shared" si="717"/>
        <v>273000</v>
      </c>
      <c r="Z937" s="507">
        <f t="shared" si="717"/>
        <v>0</v>
      </c>
      <c r="AA937" s="562" t="e">
        <f t="shared" ca="1" si="709"/>
        <v>#NAME?</v>
      </c>
      <c r="AB937" s="507"/>
      <c r="AC937" s="508">
        <f>AC938</f>
        <v>152000</v>
      </c>
      <c r="AD937" s="508">
        <f>AD938</f>
        <v>152000</v>
      </c>
      <c r="AE937" s="529">
        <f>O937/M937*100</f>
        <v>135.04331547879318</v>
      </c>
      <c r="AF937" s="529">
        <f t="shared" ref="AF937:AG939" si="718">P937/O937*100</f>
        <v>111.83952561011272</v>
      </c>
      <c r="AG937" s="529">
        <f t="shared" si="718"/>
        <v>107.70279481935923</v>
      </c>
      <c r="AH937" s="529">
        <f>AC937/Q937*100</f>
        <v>96.202531645569621</v>
      </c>
      <c r="AI937" s="507"/>
      <c r="AJ937" s="507">
        <v>273000</v>
      </c>
      <c r="AK937" s="507">
        <f t="shared" si="712"/>
        <v>119.23636741695691</v>
      </c>
      <c r="AL937" s="507">
        <f t="shared" si="713"/>
        <v>127.52043596730245</v>
      </c>
      <c r="AM937" s="507">
        <f t="shared" si="713"/>
        <v>116.66666666666667</v>
      </c>
      <c r="AN937" s="509"/>
      <c r="AO937" s="510"/>
      <c r="AP937" s="510" t="e">
        <f t="shared" ca="1" si="708"/>
        <v>#NAME?</v>
      </c>
      <c r="AQ937" s="532">
        <f>AQ938</f>
        <v>154738.14000000001</v>
      </c>
      <c r="AR937" s="533">
        <f>V937/R937*100</f>
        <v>119.23636741695691</v>
      </c>
      <c r="AS937" s="533">
        <f t="shared" si="714"/>
        <v>100</v>
      </c>
      <c r="AT937" s="533">
        <f>W937/R937*100</f>
        <v>119.23636741695691</v>
      </c>
      <c r="AU937" s="533">
        <f>AQ937/W937*100</f>
        <v>84.325961852861042</v>
      </c>
      <c r="AV937" s="533">
        <f>AQ937/R937*100</f>
        <v>100.54721370276032</v>
      </c>
      <c r="AW937" s="612"/>
      <c r="AX937" s="612"/>
      <c r="AY937" s="612"/>
      <c r="AZ937" s="612"/>
      <c r="BA937" s="612"/>
      <c r="BB937" s="612"/>
      <c r="BC937" s="612"/>
      <c r="BD937" s="612"/>
      <c r="BE937" s="612"/>
      <c r="BF937" s="612"/>
      <c r="BG937" s="612"/>
      <c r="BH937" s="612">
        <f t="shared" si="710"/>
        <v>0</v>
      </c>
      <c r="BI937" s="612">
        <f t="shared" si="683"/>
        <v>13300</v>
      </c>
      <c r="BJ937" s="201">
        <f>AQ944-BI937</f>
        <v>0</v>
      </c>
    </row>
    <row r="938" spans="1:62" ht="12" customHeight="1">
      <c r="A938" s="360"/>
      <c r="B938" s="360"/>
      <c r="C938" s="360"/>
      <c r="D938" s="360"/>
      <c r="E938" s="360"/>
      <c r="F938" s="360"/>
      <c r="G938" s="360"/>
      <c r="H938" s="23"/>
      <c r="I938" s="265"/>
      <c r="J938" s="228">
        <v>37</v>
      </c>
      <c r="K938" s="258" t="s">
        <v>740</v>
      </c>
      <c r="L938" s="111">
        <f t="shared" si="716"/>
        <v>731840</v>
      </c>
      <c r="M938" s="111">
        <f t="shared" si="716"/>
        <v>97131.86011015992</v>
      </c>
      <c r="N938" s="112">
        <f t="shared" si="716"/>
        <v>988301</v>
      </c>
      <c r="O938" s="112">
        <f t="shared" si="716"/>
        <v>131170.08427898333</v>
      </c>
      <c r="P938" s="113">
        <f t="shared" si="716"/>
        <v>146700</v>
      </c>
      <c r="Q938" s="113">
        <f t="shared" si="716"/>
        <v>158000</v>
      </c>
      <c r="R938" s="87">
        <f t="shared" si="716"/>
        <v>153896</v>
      </c>
      <c r="S938" s="89" t="e">
        <f t="shared" ca="1" si="716"/>
        <v>#NAME?</v>
      </c>
      <c r="T938" s="89"/>
      <c r="U938" s="89"/>
      <c r="V938" s="532">
        <f>V939</f>
        <v>183500</v>
      </c>
      <c r="W938" s="532">
        <f t="shared" si="717"/>
        <v>183500</v>
      </c>
      <c r="X938" s="506">
        <f t="shared" si="717"/>
        <v>234000</v>
      </c>
      <c r="Y938" s="507">
        <f t="shared" si="717"/>
        <v>273000</v>
      </c>
      <c r="Z938" s="507">
        <f t="shared" si="717"/>
        <v>0</v>
      </c>
      <c r="AA938" s="562" t="e">
        <f t="shared" ca="1" si="709"/>
        <v>#NAME?</v>
      </c>
      <c r="AB938" s="507"/>
      <c r="AC938" s="508">
        <f>AC939</f>
        <v>152000</v>
      </c>
      <c r="AD938" s="508">
        <f>AD939</f>
        <v>152000</v>
      </c>
      <c r="AE938" s="529">
        <f>O938/M938*100</f>
        <v>135.04331547879318</v>
      </c>
      <c r="AF938" s="529">
        <f t="shared" si="718"/>
        <v>111.83952561011272</v>
      </c>
      <c r="AG938" s="529">
        <f t="shared" si="718"/>
        <v>107.70279481935923</v>
      </c>
      <c r="AH938" s="529">
        <f>AC938/Q938*100</f>
        <v>96.202531645569621</v>
      </c>
      <c r="AI938" s="507"/>
      <c r="AJ938" s="507">
        <v>273000</v>
      </c>
      <c r="AK938" s="507">
        <f t="shared" si="712"/>
        <v>119.23636741695691</v>
      </c>
      <c r="AL938" s="507">
        <f t="shared" si="713"/>
        <v>127.52043596730245</v>
      </c>
      <c r="AM938" s="507">
        <f t="shared" si="713"/>
        <v>116.66666666666667</v>
      </c>
      <c r="AN938" s="509"/>
      <c r="AO938" s="510"/>
      <c r="AP938" s="510" t="e">
        <f t="shared" ca="1" si="708"/>
        <v>#NAME?</v>
      </c>
      <c r="AQ938" s="532">
        <f>AQ939</f>
        <v>154738.14000000001</v>
      </c>
      <c r="AR938" s="533">
        <f>V938/R938*100</f>
        <v>119.23636741695691</v>
      </c>
      <c r="AS938" s="533">
        <f t="shared" si="714"/>
        <v>100</v>
      </c>
      <c r="AT938" s="533">
        <f>W938/R938*100</f>
        <v>119.23636741695691</v>
      </c>
      <c r="AU938" s="533">
        <f>AQ938/W938*100</f>
        <v>84.325961852861042</v>
      </c>
      <c r="AV938" s="533">
        <f>AQ938/R938*100</f>
        <v>100.54721370276032</v>
      </c>
      <c r="AW938" s="612"/>
      <c r="AX938" s="612"/>
      <c r="AY938" s="612"/>
      <c r="AZ938" s="612"/>
      <c r="BA938" s="612"/>
      <c r="BB938" s="612"/>
      <c r="BC938" s="612"/>
      <c r="BD938" s="612"/>
      <c r="BE938" s="612"/>
      <c r="BF938" s="612"/>
      <c r="BG938" s="612"/>
      <c r="BH938" s="612">
        <f t="shared" si="710"/>
        <v>0</v>
      </c>
      <c r="BI938" s="612">
        <f t="shared" si="683"/>
        <v>23747.279999999999</v>
      </c>
      <c r="BJ938" s="201">
        <f>AQ945-BI938</f>
        <v>0</v>
      </c>
    </row>
    <row r="939" spans="1:62" ht="12" customHeight="1">
      <c r="A939" s="357"/>
      <c r="B939" s="357"/>
      <c r="C939" s="357"/>
      <c r="D939" s="357"/>
      <c r="E939" s="357"/>
      <c r="F939" s="357"/>
      <c r="G939" s="357"/>
      <c r="H939" s="358"/>
      <c r="I939" s="348"/>
      <c r="J939" s="229">
        <v>372</v>
      </c>
      <c r="K939" s="20" t="s">
        <v>741</v>
      </c>
      <c r="L939" s="111">
        <f t="shared" ref="L939:S939" si="719">L941+L947</f>
        <v>731840</v>
      </c>
      <c r="M939" s="111">
        <f t="shared" si="719"/>
        <v>97131.86011015992</v>
      </c>
      <c r="N939" s="112">
        <f t="shared" si="719"/>
        <v>988301</v>
      </c>
      <c r="O939" s="112">
        <f t="shared" si="719"/>
        <v>131170.08427898333</v>
      </c>
      <c r="P939" s="113">
        <f t="shared" si="719"/>
        <v>146700</v>
      </c>
      <c r="Q939" s="113">
        <f t="shared" si="719"/>
        <v>158000</v>
      </c>
      <c r="R939" s="87">
        <f t="shared" si="719"/>
        <v>153896</v>
      </c>
      <c r="S939" s="89" t="e">
        <f t="shared" ca="1" si="719"/>
        <v>#NAME?</v>
      </c>
      <c r="T939" s="89"/>
      <c r="U939" s="89"/>
      <c r="V939" s="532">
        <f>V941+V947</f>
        <v>183500</v>
      </c>
      <c r="W939" s="532">
        <f>W941+W947</f>
        <v>183500</v>
      </c>
      <c r="X939" s="506">
        <f>X941+X947</f>
        <v>234000</v>
      </c>
      <c r="Y939" s="507">
        <f>Y941+Y947</f>
        <v>273000</v>
      </c>
      <c r="Z939" s="507">
        <f>Z941+Z947</f>
        <v>0</v>
      </c>
      <c r="AA939" s="562" t="e">
        <f t="shared" ca="1" si="709"/>
        <v>#NAME?</v>
      </c>
      <c r="AB939" s="507"/>
      <c r="AC939" s="508">
        <f>AC941+AC947</f>
        <v>152000</v>
      </c>
      <c r="AD939" s="508">
        <f>AD941+AD947</f>
        <v>152000</v>
      </c>
      <c r="AE939" s="529">
        <f>O939/M939*100</f>
        <v>135.04331547879318</v>
      </c>
      <c r="AF939" s="529">
        <f t="shared" si="718"/>
        <v>111.83952561011272</v>
      </c>
      <c r="AG939" s="529">
        <f t="shared" si="718"/>
        <v>107.70279481935923</v>
      </c>
      <c r="AH939" s="529">
        <f>AC939/Q939*100</f>
        <v>96.202531645569621</v>
      </c>
      <c r="AI939" s="507"/>
      <c r="AJ939" s="507">
        <v>273000</v>
      </c>
      <c r="AK939" s="507">
        <f t="shared" si="712"/>
        <v>119.23636741695691</v>
      </c>
      <c r="AL939" s="507">
        <f t="shared" si="713"/>
        <v>127.52043596730245</v>
      </c>
      <c r="AM939" s="507">
        <f t="shared" si="713"/>
        <v>116.66666666666667</v>
      </c>
      <c r="AN939" s="509"/>
      <c r="AO939" s="510"/>
      <c r="AP939" s="510" t="e">
        <f t="shared" ca="1" si="708"/>
        <v>#NAME?</v>
      </c>
      <c r="AQ939" s="532">
        <f>AQ941+AQ947</f>
        <v>154738.14000000001</v>
      </c>
      <c r="AR939" s="532">
        <f t="shared" ref="AR939:AW939" si="720">AR941+AR947</f>
        <v>480.83180345737554</v>
      </c>
      <c r="AS939" s="532">
        <f t="shared" si="720"/>
        <v>600</v>
      </c>
      <c r="AT939" s="532">
        <f t="shared" si="720"/>
        <v>480.83180345737554</v>
      </c>
      <c r="AU939" s="532">
        <f t="shared" si="720"/>
        <v>424.01664698564593</v>
      </c>
      <c r="AV939" s="532">
        <f t="shared" si="720"/>
        <v>402.30246847010733</v>
      </c>
      <c r="AW939" s="612">
        <f t="shared" si="720"/>
        <v>154738.14000000001</v>
      </c>
      <c r="AX939" s="612"/>
      <c r="AY939" s="612"/>
      <c r="AZ939" s="612"/>
      <c r="BA939" s="612"/>
      <c r="BB939" s="612"/>
      <c r="BC939" s="612"/>
      <c r="BD939" s="612"/>
      <c r="BE939" s="612"/>
      <c r="BF939" s="612"/>
      <c r="BG939" s="612"/>
      <c r="BH939" s="612">
        <f t="shared" si="710"/>
        <v>154738.14000000001</v>
      </c>
      <c r="BI939" s="612">
        <f t="shared" si="683"/>
        <v>0</v>
      </c>
      <c r="BJ939" s="201">
        <f>AQ946-BI939</f>
        <v>0</v>
      </c>
    </row>
    <row r="940" spans="1:62" ht="12" customHeight="1">
      <c r="A940" s="41"/>
      <c r="B940" s="41"/>
      <c r="C940" s="41"/>
      <c r="D940" s="41"/>
      <c r="E940" s="41"/>
      <c r="F940" s="41"/>
      <c r="G940" s="41"/>
      <c r="H940" s="235"/>
      <c r="I940" s="15"/>
      <c r="J940" s="3"/>
      <c r="K940" s="83"/>
      <c r="L940" s="84"/>
      <c r="M940" s="84"/>
      <c r="N940" s="85"/>
      <c r="O940" s="85"/>
      <c r="P940" s="86"/>
      <c r="Q940" s="86"/>
      <c r="R940" s="154"/>
      <c r="S940" s="158" t="e">
        <f ca="1">__xlfn.XLOOKUP(H940,[1]Izvršenje_proračuna_po_pozicija!$B$2:$B$153,[1]Izvršenje_proračuna_po_pozicija!$E$2:$E$153,0)</f>
        <v>#NAME?</v>
      </c>
      <c r="T940" s="158"/>
      <c r="U940" s="158"/>
      <c r="V940" s="532"/>
      <c r="W940" s="532"/>
      <c r="X940" s="568"/>
      <c r="Y940" s="569"/>
      <c r="Z940" s="569"/>
      <c r="AA940" s="562" t="e">
        <f t="shared" ca="1" si="709"/>
        <v>#NAME?</v>
      </c>
      <c r="AB940" s="537"/>
      <c r="AC940" s="538"/>
      <c r="AD940" s="538"/>
      <c r="AE940" s="529"/>
      <c r="AF940" s="529"/>
      <c r="AG940" s="529"/>
      <c r="AH940" s="529"/>
      <c r="AI940" s="537"/>
      <c r="AJ940" s="569"/>
      <c r="AK940" s="507"/>
      <c r="AL940" s="507"/>
      <c r="AM940" s="507"/>
      <c r="AN940" s="557"/>
      <c r="AO940" s="510"/>
      <c r="AP940" s="510" t="e">
        <f t="shared" ca="1" si="708"/>
        <v>#NAME?</v>
      </c>
      <c r="AQ940" s="532"/>
      <c r="AR940" s="533"/>
      <c r="AS940" s="533"/>
      <c r="AT940" s="533"/>
      <c r="AU940" s="533"/>
      <c r="AV940" s="533"/>
      <c r="AW940" s="612"/>
      <c r="AX940" s="612"/>
      <c r="AY940" s="612"/>
      <c r="AZ940" s="612"/>
      <c r="BA940" s="612"/>
      <c r="BB940" s="612"/>
      <c r="BC940" s="612"/>
      <c r="BD940" s="612"/>
      <c r="BE940" s="612"/>
      <c r="BF940" s="612"/>
      <c r="BG940" s="612"/>
      <c r="BH940" s="612">
        <f t="shared" si="710"/>
        <v>0</v>
      </c>
      <c r="BI940" s="612"/>
      <c r="BJ940" s="201"/>
    </row>
    <row r="941" spans="1:62" ht="12" customHeight="1">
      <c r="A941" s="167"/>
      <c r="B941" s="167"/>
      <c r="C941" s="167"/>
      <c r="D941" s="167"/>
      <c r="E941" s="167"/>
      <c r="F941" s="167"/>
      <c r="G941" s="167"/>
      <c r="H941" s="22"/>
      <c r="I941" s="289"/>
      <c r="J941" s="185">
        <v>3721</v>
      </c>
      <c r="K941" s="19" t="s">
        <v>742</v>
      </c>
      <c r="L941" s="111">
        <f t="shared" ref="L941:S941" si="721">L942+L943+L944+L945</f>
        <v>526750</v>
      </c>
      <c r="M941" s="111">
        <f t="shared" si="721"/>
        <v>69911.739332404264</v>
      </c>
      <c r="N941" s="112">
        <f t="shared" si="721"/>
        <v>592585</v>
      </c>
      <c r="O941" s="112">
        <f t="shared" si="721"/>
        <v>78649.545424381169</v>
      </c>
      <c r="P941" s="113">
        <f t="shared" si="721"/>
        <v>96700</v>
      </c>
      <c r="Q941" s="113">
        <f t="shared" si="721"/>
        <v>98000</v>
      </c>
      <c r="R941" s="87">
        <f t="shared" si="721"/>
        <v>100320</v>
      </c>
      <c r="S941" s="89" t="e">
        <f t="shared" ca="1" si="721"/>
        <v>#NAME?</v>
      </c>
      <c r="T941" s="89"/>
      <c r="U941" s="89"/>
      <c r="V941" s="532">
        <f>V942+V943+V944+V945</f>
        <v>114500</v>
      </c>
      <c r="W941" s="532">
        <f>W942+W943+W944+W945</f>
        <v>114500</v>
      </c>
      <c r="X941" s="506">
        <f>X942+X943+X944+X945</f>
        <v>154000</v>
      </c>
      <c r="Y941" s="507">
        <f>Y942+Y943+Y944+Y945</f>
        <v>173000</v>
      </c>
      <c r="Z941" s="507">
        <f>Z942+Z943+Z944+Z945</f>
        <v>0</v>
      </c>
      <c r="AA941" s="562" t="e">
        <f t="shared" ca="1" si="709"/>
        <v>#NAME?</v>
      </c>
      <c r="AB941" s="507"/>
      <c r="AC941" s="508">
        <f>AC942+AC943+AC944+AC945</f>
        <v>100000</v>
      </c>
      <c r="AD941" s="508">
        <f>AD942+AD943+AD944+AD945</f>
        <v>100000</v>
      </c>
      <c r="AE941" s="529">
        <f>O941/M941*100</f>
        <v>112.49833887043191</v>
      </c>
      <c r="AF941" s="529">
        <f>P941/O941*100</f>
        <v>122.95048811562901</v>
      </c>
      <c r="AG941" s="529">
        <f>Q941/P941*100</f>
        <v>101.34436401240951</v>
      </c>
      <c r="AH941" s="529">
        <f>AC941/Q941*100</f>
        <v>102.04081632653062</v>
      </c>
      <c r="AI941" s="507"/>
      <c r="AJ941" s="507">
        <v>173000</v>
      </c>
      <c r="AK941" s="507">
        <f t="shared" si="712"/>
        <v>114.1347687400319</v>
      </c>
      <c r="AL941" s="507">
        <f t="shared" si="713"/>
        <v>134.49781659388645</v>
      </c>
      <c r="AM941" s="507">
        <f t="shared" si="713"/>
        <v>112.33766233766234</v>
      </c>
      <c r="AN941" s="509"/>
      <c r="AO941" s="590"/>
      <c r="AP941" s="510" t="e">
        <f t="shared" ca="1" si="708"/>
        <v>#NAME?</v>
      </c>
      <c r="AQ941" s="532">
        <f>AQ942+AQ943+AQ944+AQ945</f>
        <v>113267.61</v>
      </c>
      <c r="AR941" s="532">
        <f t="shared" ref="AR941:AW941" si="722">AR942+AR943+AR944+AR945</f>
        <v>191.13153968840169</v>
      </c>
      <c r="AS941" s="532">
        <f t="shared" si="722"/>
        <v>400</v>
      </c>
      <c r="AT941" s="532">
        <f t="shared" si="722"/>
        <v>191.13153968840169</v>
      </c>
      <c r="AU941" s="532">
        <f t="shared" si="722"/>
        <v>290.17534909090909</v>
      </c>
      <c r="AV941" s="532">
        <f t="shared" si="722"/>
        <v>200.14264104375735</v>
      </c>
      <c r="AW941" s="612">
        <f t="shared" si="722"/>
        <v>113267.61</v>
      </c>
      <c r="AX941" s="612"/>
      <c r="AY941" s="612"/>
      <c r="AZ941" s="612"/>
      <c r="BA941" s="612"/>
      <c r="BB941" s="612"/>
      <c r="BC941" s="612"/>
      <c r="BD941" s="612"/>
      <c r="BE941" s="612"/>
      <c r="BF941" s="612"/>
      <c r="BG941" s="612"/>
      <c r="BH941" s="612">
        <f t="shared" si="710"/>
        <v>113267.61</v>
      </c>
      <c r="BI941" s="612">
        <f t="shared" ref="BI941:BI977" si="723">SUM(AW948:BG948)</f>
        <v>15598.46</v>
      </c>
      <c r="BJ941" s="201">
        <f>AQ948-BI941</f>
        <v>0</v>
      </c>
    </row>
    <row r="942" spans="1:62" ht="12" customHeight="1">
      <c r="A942" s="52"/>
      <c r="B942" s="52"/>
      <c r="C942" s="52"/>
      <c r="D942" s="52"/>
      <c r="E942" s="52"/>
      <c r="F942" s="52"/>
      <c r="G942" s="52"/>
      <c r="H942" s="2">
        <v>130</v>
      </c>
      <c r="I942" s="7">
        <v>1070</v>
      </c>
      <c r="J942" s="185">
        <v>3721</v>
      </c>
      <c r="K942" s="19" t="s">
        <v>743</v>
      </c>
      <c r="L942" s="129">
        <v>384226</v>
      </c>
      <c r="M942" s="129">
        <f>384226/7.5345</f>
        <v>50995.553785918106</v>
      </c>
      <c r="N942" s="130">
        <v>469009</v>
      </c>
      <c r="O942" s="130">
        <f>N942/7.5345</f>
        <v>62248.191651735346</v>
      </c>
      <c r="P942" s="131">
        <v>66400</v>
      </c>
      <c r="Q942" s="156">
        <v>70000</v>
      </c>
      <c r="R942" s="153">
        <v>76777</v>
      </c>
      <c r="S942" s="158" t="e">
        <f ca="1">__xlfn.XLOOKUP(H942,[1]Izvršenje_proračuna_po_pozicija!$B$2:$B$153,[1]Izvršenje_proračuna_po_pozicija!$E$2:$E$153,0)</f>
        <v>#NAME?</v>
      </c>
      <c r="T942" s="158"/>
      <c r="U942" s="158"/>
      <c r="V942" s="532">
        <v>75000</v>
      </c>
      <c r="W942" s="532">
        <v>75000</v>
      </c>
      <c r="X942" s="560">
        <v>80000</v>
      </c>
      <c r="Y942" s="561">
        <v>90000</v>
      </c>
      <c r="Z942" s="561"/>
      <c r="AA942" s="562" t="e">
        <f t="shared" ca="1" si="709"/>
        <v>#NAME?</v>
      </c>
      <c r="AB942" s="535"/>
      <c r="AC942" s="529">
        <v>67000</v>
      </c>
      <c r="AD942" s="529">
        <v>67000</v>
      </c>
      <c r="AE942" s="529">
        <f>O942/M942*100</f>
        <v>122.06591953693919</v>
      </c>
      <c r="AF942" s="529">
        <f>P942/O942*100</f>
        <v>106.66976539895823</v>
      </c>
      <c r="AG942" s="529">
        <f>Q942/P942*100</f>
        <v>105.42168674698796</v>
      </c>
      <c r="AH942" s="529">
        <f>AC942/Q942*100</f>
        <v>95.714285714285722</v>
      </c>
      <c r="AI942" s="535"/>
      <c r="AJ942" s="561">
        <v>90000</v>
      </c>
      <c r="AK942" s="507">
        <f t="shared" si="712"/>
        <v>97.685504773565</v>
      </c>
      <c r="AL942" s="507">
        <f t="shared" si="713"/>
        <v>106.66666666666667</v>
      </c>
      <c r="AM942" s="507">
        <f t="shared" si="713"/>
        <v>112.5</v>
      </c>
      <c r="AN942" s="556"/>
      <c r="AO942" s="590"/>
      <c r="AP942" s="510" t="e">
        <f t="shared" ca="1" si="708"/>
        <v>#NAME?</v>
      </c>
      <c r="AQ942" s="532">
        <v>76220.33</v>
      </c>
      <c r="AR942" s="533">
        <f>V942/R942*100</f>
        <v>97.685504773565</v>
      </c>
      <c r="AS942" s="533">
        <f t="shared" si="714"/>
        <v>100</v>
      </c>
      <c r="AT942" s="533">
        <f>W942/R942*100</f>
        <v>97.685504773565</v>
      </c>
      <c r="AU942" s="533">
        <f>AQ942/W942*100</f>
        <v>101.62710666666668</v>
      </c>
      <c r="AV942" s="533">
        <f>AQ942/R942*100</f>
        <v>99.274952134102662</v>
      </c>
      <c r="AW942" s="612">
        <f>AQ942</f>
        <v>76220.33</v>
      </c>
      <c r="AX942" s="612"/>
      <c r="AY942" s="612"/>
      <c r="AZ942" s="612"/>
      <c r="BA942" s="612"/>
      <c r="BB942" s="612"/>
      <c r="BC942" s="612"/>
      <c r="BD942" s="612"/>
      <c r="BE942" s="612"/>
      <c r="BF942" s="612"/>
      <c r="BG942" s="612"/>
      <c r="BH942" s="612">
        <f t="shared" si="710"/>
        <v>76220.33</v>
      </c>
      <c r="BI942" s="612">
        <f t="shared" si="723"/>
        <v>25872.07</v>
      </c>
      <c r="BJ942" s="201">
        <f>AQ949-BI942</f>
        <v>0</v>
      </c>
    </row>
    <row r="943" spans="1:62" ht="12" customHeight="1">
      <c r="A943" s="52"/>
      <c r="B943" s="52"/>
      <c r="C943" s="52"/>
      <c r="D943" s="52"/>
      <c r="E943" s="52"/>
      <c r="F943" s="52"/>
      <c r="G943" s="52"/>
      <c r="H943" s="2">
        <v>131</v>
      </c>
      <c r="I943" s="7">
        <v>1012</v>
      </c>
      <c r="J943" s="185">
        <v>3721</v>
      </c>
      <c r="K943" s="19" t="s">
        <v>744</v>
      </c>
      <c r="L943" s="129">
        <v>0</v>
      </c>
      <c r="M943" s="129">
        <v>0</v>
      </c>
      <c r="N943" s="130">
        <v>0</v>
      </c>
      <c r="O943" s="130">
        <f>N943/7.5345</f>
        <v>0</v>
      </c>
      <c r="P943" s="131">
        <v>1000</v>
      </c>
      <c r="Q943" s="131">
        <v>1000</v>
      </c>
      <c r="R943" s="153">
        <v>0</v>
      </c>
      <c r="S943" s="158" t="e">
        <f ca="1">__xlfn.XLOOKUP(H943,[1]Izvršenje_proračuna_po_pozicija!$B$2:$B$153,[1]Izvršenje_proračuna_po_pozicija!$E$2:$E$153,0)</f>
        <v>#NAME?</v>
      </c>
      <c r="T943" s="158"/>
      <c r="U943" s="158"/>
      <c r="V943" s="532">
        <v>1000</v>
      </c>
      <c r="W943" s="532">
        <v>1000</v>
      </c>
      <c r="X943" s="560">
        <v>1000</v>
      </c>
      <c r="Y943" s="561">
        <v>3000</v>
      </c>
      <c r="Z943" s="561"/>
      <c r="AA943" s="562" t="e">
        <f t="shared" ca="1" si="709"/>
        <v>#NAME?</v>
      </c>
      <c r="AB943" s="535"/>
      <c r="AC943" s="529">
        <v>1000</v>
      </c>
      <c r="AD943" s="529">
        <v>1000</v>
      </c>
      <c r="AE943" s="529"/>
      <c r="AF943" s="529"/>
      <c r="AG943" s="529">
        <f>Q943/P943*100</f>
        <v>100</v>
      </c>
      <c r="AH943" s="529">
        <f>AC943/Q943*100</f>
        <v>100</v>
      </c>
      <c r="AI943" s="535"/>
      <c r="AJ943" s="561">
        <v>3000</v>
      </c>
      <c r="AK943" s="507"/>
      <c r="AL943" s="507">
        <f t="shared" si="713"/>
        <v>100</v>
      </c>
      <c r="AM943" s="507">
        <f t="shared" si="713"/>
        <v>300</v>
      </c>
      <c r="AN943" s="556"/>
      <c r="AO943" s="590"/>
      <c r="AP943" s="510" t="e">
        <f t="shared" ca="1" si="708"/>
        <v>#NAME?</v>
      </c>
      <c r="AQ943" s="532"/>
      <c r="AR943" s="533"/>
      <c r="AS943" s="533">
        <f t="shared" si="714"/>
        <v>100</v>
      </c>
      <c r="AT943" s="533"/>
      <c r="AU943" s="533">
        <f>AQ943/W943*100</f>
        <v>0</v>
      </c>
      <c r="AV943" s="533"/>
      <c r="AW943" s="612"/>
      <c r="AX943" s="612"/>
      <c r="AY943" s="612"/>
      <c r="AZ943" s="612"/>
      <c r="BA943" s="612"/>
      <c r="BB943" s="612"/>
      <c r="BC943" s="612"/>
      <c r="BD943" s="612"/>
      <c r="BE943" s="612"/>
      <c r="BF943" s="612"/>
      <c r="BG943" s="612"/>
      <c r="BH943" s="612">
        <f t="shared" si="710"/>
        <v>0</v>
      </c>
      <c r="BI943" s="612">
        <f t="shared" si="723"/>
        <v>0</v>
      </c>
      <c r="BJ943" s="201">
        <f>AQ950-BI943</f>
        <v>0</v>
      </c>
    </row>
    <row r="944" spans="1:62" ht="12" customHeight="1">
      <c r="A944" s="52"/>
      <c r="B944" s="52"/>
      <c r="C944" s="52"/>
      <c r="D944" s="52"/>
      <c r="E944" s="52"/>
      <c r="F944" s="52"/>
      <c r="G944" s="52"/>
      <c r="H944" s="2">
        <v>132</v>
      </c>
      <c r="I944" s="7">
        <v>1040</v>
      </c>
      <c r="J944" s="185">
        <v>3721</v>
      </c>
      <c r="K944" s="19" t="s">
        <v>745</v>
      </c>
      <c r="L944" s="129">
        <v>0</v>
      </c>
      <c r="M944" s="129">
        <v>0</v>
      </c>
      <c r="N944" s="130">
        <v>0</v>
      </c>
      <c r="O944" s="130">
        <f>N944/7.5345</f>
        <v>0</v>
      </c>
      <c r="P944" s="131">
        <v>9300</v>
      </c>
      <c r="Q944" s="156">
        <v>5500</v>
      </c>
      <c r="R944" s="153">
        <v>0</v>
      </c>
      <c r="S944" s="158" t="e">
        <f ca="1">__xlfn.XLOOKUP(H944,[1]Izvršenje_proračuna_po_pozicija!$B$2:$B$153,[1]Izvršenje_proračuna_po_pozicija!$E$2:$E$153,0)</f>
        <v>#NAME?</v>
      </c>
      <c r="T944" s="158"/>
      <c r="U944" s="158"/>
      <c r="V944" s="532">
        <v>16500</v>
      </c>
      <c r="W944" s="532">
        <v>16500</v>
      </c>
      <c r="X944" s="560">
        <v>50000</v>
      </c>
      <c r="Y944" s="561">
        <v>50000</v>
      </c>
      <c r="Z944" s="561"/>
      <c r="AA944" s="562" t="e">
        <f t="shared" ca="1" si="709"/>
        <v>#NAME?</v>
      </c>
      <c r="AB944" s="535"/>
      <c r="AC944" s="529">
        <v>12000</v>
      </c>
      <c r="AD944" s="529">
        <v>12000</v>
      </c>
      <c r="AE944" s="529"/>
      <c r="AF944" s="529"/>
      <c r="AG944" s="529"/>
      <c r="AH944" s="529"/>
      <c r="AI944" s="535"/>
      <c r="AJ944" s="561">
        <v>50000</v>
      </c>
      <c r="AK944" s="507"/>
      <c r="AL944" s="507">
        <f t="shared" si="713"/>
        <v>303.030303030303</v>
      </c>
      <c r="AM944" s="507">
        <f t="shared" si="713"/>
        <v>100</v>
      </c>
      <c r="AN944" s="556"/>
      <c r="AO944" s="590"/>
      <c r="AP944" s="510" t="e">
        <f t="shared" ca="1" si="708"/>
        <v>#NAME?</v>
      </c>
      <c r="AQ944" s="532">
        <v>13300</v>
      </c>
      <c r="AR944" s="533"/>
      <c r="AS944" s="533">
        <f t="shared" si="714"/>
        <v>100</v>
      </c>
      <c r="AT944" s="533"/>
      <c r="AU944" s="533">
        <f>AQ944/W944*100</f>
        <v>80.606060606060609</v>
      </c>
      <c r="AV944" s="533"/>
      <c r="AW944" s="612">
        <v>13300</v>
      </c>
      <c r="AX944" s="612"/>
      <c r="AY944" s="612"/>
      <c r="AZ944" s="612"/>
      <c r="BA944" s="612"/>
      <c r="BB944" s="612"/>
      <c r="BC944" s="612"/>
      <c r="BD944" s="612"/>
      <c r="BE944" s="612"/>
      <c r="BF944" s="612"/>
      <c r="BG944" s="612"/>
      <c r="BH944" s="612">
        <f t="shared" si="710"/>
        <v>13300</v>
      </c>
      <c r="BI944" s="612">
        <f t="shared" si="723"/>
        <v>0</v>
      </c>
      <c r="BJ944" s="201"/>
    </row>
    <row r="945" spans="1:62" ht="12" customHeight="1">
      <c r="A945" s="52"/>
      <c r="B945" s="52"/>
      <c r="C945" s="52"/>
      <c r="D945" s="52"/>
      <c r="E945" s="52"/>
      <c r="F945" s="52"/>
      <c r="G945" s="52"/>
      <c r="H945" s="2" t="s">
        <v>746</v>
      </c>
      <c r="I945" s="7">
        <v>1040</v>
      </c>
      <c r="J945" s="185">
        <v>3721</v>
      </c>
      <c r="K945" s="19" t="s">
        <v>747</v>
      </c>
      <c r="L945" s="129">
        <v>142524</v>
      </c>
      <c r="M945" s="129">
        <f>142524/7.5345</f>
        <v>18916.185546486162</v>
      </c>
      <c r="N945" s="130">
        <v>123576</v>
      </c>
      <c r="O945" s="130">
        <f>N945/7.5345</f>
        <v>16401.353772645827</v>
      </c>
      <c r="P945" s="131">
        <v>20000</v>
      </c>
      <c r="Q945" s="156">
        <v>21500</v>
      </c>
      <c r="R945" s="153">
        <v>23543</v>
      </c>
      <c r="S945" s="158" t="e">
        <f ca="1">__xlfn.XLOOKUP(H945,[1]Izvršenje_proračuna_po_pozicija!$B$2:$B$153,[1]Izvršenje_proračuna_po_pozicija!$E$2:$E$153,0)</f>
        <v>#NAME?</v>
      </c>
      <c r="T945" s="158"/>
      <c r="U945" s="158"/>
      <c r="V945" s="532">
        <v>22000</v>
      </c>
      <c r="W945" s="532">
        <v>22000</v>
      </c>
      <c r="X945" s="560">
        <v>23000</v>
      </c>
      <c r="Y945" s="561">
        <v>30000</v>
      </c>
      <c r="Z945" s="561"/>
      <c r="AA945" s="562" t="e">
        <f t="shared" ca="1" si="709"/>
        <v>#NAME?</v>
      </c>
      <c r="AB945" s="535"/>
      <c r="AC945" s="529">
        <v>20000</v>
      </c>
      <c r="AD945" s="529">
        <v>20000</v>
      </c>
      <c r="AE945" s="529">
        <f>O945/M945*100</f>
        <v>86.705396985770804</v>
      </c>
      <c r="AF945" s="529">
        <f>P945/O945*100</f>
        <v>121.94115362206254</v>
      </c>
      <c r="AG945" s="529">
        <f>Q945/P945*100</f>
        <v>107.5</v>
      </c>
      <c r="AH945" s="529">
        <f>AC945/Q945*100</f>
        <v>93.023255813953483</v>
      </c>
      <c r="AI945" s="535"/>
      <c r="AJ945" s="561">
        <v>30000</v>
      </c>
      <c r="AK945" s="507">
        <f t="shared" si="712"/>
        <v>93.446034914836687</v>
      </c>
      <c r="AL945" s="507">
        <f t="shared" si="713"/>
        <v>104.54545454545455</v>
      </c>
      <c r="AM945" s="507">
        <f t="shared" si="713"/>
        <v>130.43478260869566</v>
      </c>
      <c r="AN945" s="556"/>
      <c r="AO945" s="590"/>
      <c r="AP945" s="510" t="e">
        <f t="shared" ca="1" si="708"/>
        <v>#NAME?</v>
      </c>
      <c r="AQ945" s="532">
        <v>23747.279999999999</v>
      </c>
      <c r="AR945" s="533">
        <f>V945/R945*100</f>
        <v>93.446034914836687</v>
      </c>
      <c r="AS945" s="533">
        <f t="shared" si="714"/>
        <v>100</v>
      </c>
      <c r="AT945" s="533">
        <f>W945/R945*100</f>
        <v>93.446034914836687</v>
      </c>
      <c r="AU945" s="533">
        <f>AQ945/W945*100</f>
        <v>107.94218181818181</v>
      </c>
      <c r="AV945" s="533">
        <f>AQ945/R945*100</f>
        <v>100.86768890965467</v>
      </c>
      <c r="AW945" s="612">
        <f>AQ945</f>
        <v>23747.279999999999</v>
      </c>
      <c r="AX945" s="612"/>
      <c r="AY945" s="612"/>
      <c r="AZ945" s="612"/>
      <c r="BA945" s="612"/>
      <c r="BB945" s="612"/>
      <c r="BC945" s="612"/>
      <c r="BD945" s="612"/>
      <c r="BE945" s="612"/>
      <c r="BF945" s="612"/>
      <c r="BG945" s="612"/>
      <c r="BH945" s="612">
        <f t="shared" si="710"/>
        <v>23747.279999999999</v>
      </c>
      <c r="BI945" s="612">
        <f t="shared" si="723"/>
        <v>0</v>
      </c>
      <c r="BJ945" s="201"/>
    </row>
    <row r="946" spans="1:62" ht="12" customHeight="1">
      <c r="A946" s="68"/>
      <c r="B946" s="68"/>
      <c r="C946" s="68"/>
      <c r="D946" s="68"/>
      <c r="E946" s="68"/>
      <c r="F946" s="68"/>
      <c r="G946" s="68"/>
      <c r="H946" s="281"/>
      <c r="I946" s="4"/>
      <c r="J946" s="8"/>
      <c r="K946" s="8"/>
      <c r="L946" s="175"/>
      <c r="M946" s="175"/>
      <c r="N946" s="176"/>
      <c r="O946" s="176"/>
      <c r="P946" s="177"/>
      <c r="Q946" s="177"/>
      <c r="R946" s="212"/>
      <c r="S946" s="158" t="e">
        <f ca="1">__xlfn.XLOOKUP(H946,[1]Izvršenje_proračuna_po_pozicija!$B$2:$B$153,[1]Izvršenje_proračuna_po_pozicija!$E$2:$E$153,0)</f>
        <v>#NAME?</v>
      </c>
      <c r="T946" s="158"/>
      <c r="U946" s="158"/>
      <c r="V946" s="532"/>
      <c r="W946" s="532"/>
      <c r="X946" s="563"/>
      <c r="Y946" s="562"/>
      <c r="Z946" s="562"/>
      <c r="AA946" s="562" t="e">
        <f t="shared" ca="1" si="709"/>
        <v>#NAME?</v>
      </c>
      <c r="AB946" s="507"/>
      <c r="AC946" s="508"/>
      <c r="AD946" s="508"/>
      <c r="AE946" s="529"/>
      <c r="AF946" s="529"/>
      <c r="AG946" s="529"/>
      <c r="AH946" s="529"/>
      <c r="AI946" s="507"/>
      <c r="AJ946" s="562"/>
      <c r="AK946" s="507"/>
      <c r="AL946" s="507"/>
      <c r="AM946" s="507"/>
      <c r="AN946" s="509"/>
      <c r="AO946" s="590"/>
      <c r="AP946" s="510" t="e">
        <f t="shared" ca="1" si="708"/>
        <v>#NAME?</v>
      </c>
      <c r="AQ946" s="532"/>
      <c r="AR946" s="533"/>
      <c r="AS946" s="533"/>
      <c r="AT946" s="533"/>
      <c r="AU946" s="533"/>
      <c r="AV946" s="533"/>
      <c r="AW946" s="612"/>
      <c r="AX946" s="612"/>
      <c r="AY946" s="612"/>
      <c r="AZ946" s="612"/>
      <c r="BA946" s="612"/>
      <c r="BB946" s="612"/>
      <c r="BC946" s="612"/>
      <c r="BD946" s="612"/>
      <c r="BE946" s="612"/>
      <c r="BF946" s="612"/>
      <c r="BG946" s="612"/>
      <c r="BH946" s="612">
        <f t="shared" si="710"/>
        <v>0</v>
      </c>
      <c r="BI946" s="612">
        <f t="shared" si="723"/>
        <v>0</v>
      </c>
      <c r="BJ946" s="201"/>
    </row>
    <row r="947" spans="1:62" ht="12" customHeight="1">
      <c r="A947" s="52"/>
      <c r="B947" s="52"/>
      <c r="C947" s="52"/>
      <c r="D947" s="52"/>
      <c r="E947" s="52"/>
      <c r="F947" s="52"/>
      <c r="G947" s="52"/>
      <c r="H947" s="2"/>
      <c r="I947" s="7"/>
      <c r="J947" s="185">
        <v>3722</v>
      </c>
      <c r="K947" s="19" t="s">
        <v>748</v>
      </c>
      <c r="L947" s="111">
        <f t="shared" ref="L947:S947" si="724">L948+L949</f>
        <v>205090</v>
      </c>
      <c r="M947" s="111">
        <f t="shared" si="724"/>
        <v>27220.120777755656</v>
      </c>
      <c r="N947" s="112">
        <f t="shared" si="724"/>
        <v>395716</v>
      </c>
      <c r="O947" s="112">
        <f t="shared" si="724"/>
        <v>52520.538854602157</v>
      </c>
      <c r="P947" s="113">
        <f t="shared" si="724"/>
        <v>50000</v>
      </c>
      <c r="Q947" s="113">
        <f t="shared" si="724"/>
        <v>60000</v>
      </c>
      <c r="R947" s="87">
        <f t="shared" si="724"/>
        <v>53576</v>
      </c>
      <c r="S947" s="89" t="e">
        <f t="shared" ca="1" si="724"/>
        <v>#NAME?</v>
      </c>
      <c r="T947" s="89"/>
      <c r="U947" s="89"/>
      <c r="V947" s="532">
        <f>V948+V949</f>
        <v>69000</v>
      </c>
      <c r="W947" s="532">
        <f>W948+W949</f>
        <v>69000</v>
      </c>
      <c r="X947" s="506">
        <f>X948+X949</f>
        <v>80000</v>
      </c>
      <c r="Y947" s="507">
        <f>Y948+Y949</f>
        <v>100000</v>
      </c>
      <c r="Z947" s="507">
        <f>Z948+Z949</f>
        <v>0</v>
      </c>
      <c r="AA947" s="562" t="e">
        <f t="shared" ca="1" si="709"/>
        <v>#NAME?</v>
      </c>
      <c r="AB947" s="507"/>
      <c r="AC947" s="508">
        <f>AC948+AC949</f>
        <v>52000</v>
      </c>
      <c r="AD947" s="508">
        <f>AD948+AD949</f>
        <v>52000</v>
      </c>
      <c r="AE947" s="529">
        <f>O947/M947*100</f>
        <v>192.94748646935491</v>
      </c>
      <c r="AF947" s="529">
        <f t="shared" ref="AF947:AG949" si="725">P947/O947*100</f>
        <v>95.20085111544644</v>
      </c>
      <c r="AG947" s="529">
        <f t="shared" si="725"/>
        <v>120</v>
      </c>
      <c r="AH947" s="529">
        <f>AC947/Q947*100</f>
        <v>86.666666666666671</v>
      </c>
      <c r="AI947" s="507"/>
      <c r="AJ947" s="507">
        <v>100000</v>
      </c>
      <c r="AK947" s="507">
        <f t="shared" si="712"/>
        <v>128.78901000447962</v>
      </c>
      <c r="AL947" s="507">
        <f t="shared" si="713"/>
        <v>115.94202898550725</v>
      </c>
      <c r="AM947" s="507">
        <f t="shared" si="713"/>
        <v>125</v>
      </c>
      <c r="AN947" s="509"/>
      <c r="AO947" s="590"/>
      <c r="AP947" s="510" t="e">
        <f t="shared" ca="1" si="708"/>
        <v>#NAME?</v>
      </c>
      <c r="AQ947" s="532">
        <f>AQ948+AQ949</f>
        <v>41470.53</v>
      </c>
      <c r="AR947" s="532">
        <f t="shared" ref="AR947:AW947" si="726">AR948+AR949</f>
        <v>289.70026376897385</v>
      </c>
      <c r="AS947" s="532">
        <f t="shared" si="726"/>
        <v>200</v>
      </c>
      <c r="AT947" s="532">
        <f t="shared" si="726"/>
        <v>289.70026376897385</v>
      </c>
      <c r="AU947" s="532">
        <f t="shared" si="726"/>
        <v>133.84129789473684</v>
      </c>
      <c r="AV947" s="532">
        <f t="shared" si="726"/>
        <v>202.15982742634995</v>
      </c>
      <c r="AW947" s="612">
        <f t="shared" si="726"/>
        <v>41470.53</v>
      </c>
      <c r="AX947" s="612"/>
      <c r="AY947" s="612"/>
      <c r="AZ947" s="612"/>
      <c r="BA947" s="612"/>
      <c r="BB947" s="612"/>
      <c r="BC947" s="612"/>
      <c r="BD947" s="612"/>
      <c r="BE947" s="612"/>
      <c r="BF947" s="612"/>
      <c r="BG947" s="612"/>
      <c r="BH947" s="612">
        <f t="shared" si="710"/>
        <v>41470.53</v>
      </c>
      <c r="BI947" s="612">
        <f t="shared" si="723"/>
        <v>0</v>
      </c>
      <c r="BJ947" s="201"/>
    </row>
    <row r="948" spans="1:62" ht="12" customHeight="1">
      <c r="A948" s="52"/>
      <c r="B948" s="52"/>
      <c r="C948" s="52"/>
      <c r="D948" s="52"/>
      <c r="E948" s="52"/>
      <c r="F948" s="52"/>
      <c r="G948" s="52"/>
      <c r="H948" s="2">
        <v>134</v>
      </c>
      <c r="I948" s="7">
        <v>1060</v>
      </c>
      <c r="J948" s="185">
        <v>3722</v>
      </c>
      <c r="K948" s="19" t="s">
        <v>749</v>
      </c>
      <c r="L948" s="129">
        <v>96456</v>
      </c>
      <c r="M948" s="129">
        <f>96456/7.5345</f>
        <v>12801.91120844117</v>
      </c>
      <c r="N948" s="130">
        <v>83520</v>
      </c>
      <c r="O948" s="130">
        <f>N948/7.5345</f>
        <v>11085.008958789567</v>
      </c>
      <c r="P948" s="131">
        <v>19000</v>
      </c>
      <c r="Q948" s="131">
        <v>19000</v>
      </c>
      <c r="R948" s="153">
        <v>11036</v>
      </c>
      <c r="S948" s="158" t="e">
        <f ca="1">__xlfn.XLOOKUP(H948,[1]Izvršenje_proračuna_po_pozicija!$B$2:$B$153,[1]Izvršenje_proračuna_po_pozicija!$E$2:$E$153,0)</f>
        <v>#NAME?</v>
      </c>
      <c r="T948" s="158"/>
      <c r="U948" s="158"/>
      <c r="V948" s="532">
        <v>19000</v>
      </c>
      <c r="W948" s="532">
        <v>19000</v>
      </c>
      <c r="X948" s="560">
        <v>20000</v>
      </c>
      <c r="Y948" s="561">
        <v>20000</v>
      </c>
      <c r="Z948" s="561"/>
      <c r="AA948" s="562" t="e">
        <f t="shared" ca="1" si="709"/>
        <v>#NAME?</v>
      </c>
      <c r="AB948" s="535"/>
      <c r="AC948" s="529">
        <v>20000</v>
      </c>
      <c r="AD948" s="529">
        <v>20000</v>
      </c>
      <c r="AE948" s="529">
        <f>O948/M948*100</f>
        <v>86.588703657626269</v>
      </c>
      <c r="AF948" s="529">
        <f t="shared" si="725"/>
        <v>171.40265804597703</v>
      </c>
      <c r="AG948" s="529">
        <f t="shared" si="725"/>
        <v>100</v>
      </c>
      <c r="AH948" s="529">
        <f>AC948/Q948*100</f>
        <v>105.26315789473684</v>
      </c>
      <c r="AI948" s="535"/>
      <c r="AJ948" s="561">
        <v>20000</v>
      </c>
      <c r="AK948" s="507">
        <f t="shared" si="712"/>
        <v>172.16382747372236</v>
      </c>
      <c r="AL948" s="507">
        <f t="shared" si="713"/>
        <v>105.26315789473684</v>
      </c>
      <c r="AM948" s="507">
        <f t="shared" si="713"/>
        <v>100</v>
      </c>
      <c r="AN948" s="556"/>
      <c r="AO948" s="590"/>
      <c r="AP948" s="510" t="e">
        <f t="shared" ca="1" si="708"/>
        <v>#NAME?</v>
      </c>
      <c r="AQ948" s="532">
        <v>15598.46</v>
      </c>
      <c r="AR948" s="533">
        <f>V948/R948*100</f>
        <v>172.16382747372236</v>
      </c>
      <c r="AS948" s="533">
        <f t="shared" si="714"/>
        <v>100</v>
      </c>
      <c r="AT948" s="533">
        <f>W948/R948*100</f>
        <v>172.16382747372236</v>
      </c>
      <c r="AU948" s="533">
        <f>AQ948/W948*100</f>
        <v>82.097157894736839</v>
      </c>
      <c r="AV948" s="533">
        <f>AQ948/R948*100</f>
        <v>141.34160927872418</v>
      </c>
      <c r="AW948" s="612">
        <f>AQ948</f>
        <v>15598.46</v>
      </c>
      <c r="AX948" s="612"/>
      <c r="AY948" s="612"/>
      <c r="AZ948" s="612"/>
      <c r="BA948" s="612"/>
      <c r="BB948" s="612"/>
      <c r="BC948" s="612"/>
      <c r="BD948" s="612"/>
      <c r="BE948" s="612"/>
      <c r="BF948" s="612"/>
      <c r="BG948" s="612"/>
      <c r="BH948" s="612">
        <f t="shared" si="710"/>
        <v>15598.46</v>
      </c>
      <c r="BI948" s="612">
        <f t="shared" si="723"/>
        <v>28500</v>
      </c>
      <c r="BJ948" s="201"/>
    </row>
    <row r="949" spans="1:62" ht="12" customHeight="1">
      <c r="A949" s="231"/>
      <c r="B949" s="231"/>
      <c r="C949" s="231"/>
      <c r="D949" s="231"/>
      <c r="E949" s="231"/>
      <c r="F949" s="231"/>
      <c r="G949" s="231"/>
      <c r="H949" s="389" t="s">
        <v>750</v>
      </c>
      <c r="I949" s="7">
        <v>1060</v>
      </c>
      <c r="J949" s="185">
        <v>3722</v>
      </c>
      <c r="K949" s="185" t="s">
        <v>751</v>
      </c>
      <c r="L949" s="136">
        <v>108634</v>
      </c>
      <c r="M949" s="136">
        <f>108634/7.5345</f>
        <v>14418.209569314486</v>
      </c>
      <c r="N949" s="137">
        <v>312196</v>
      </c>
      <c r="O949" s="130">
        <f>N949/7.5345</f>
        <v>41435.529895812593</v>
      </c>
      <c r="P949" s="138">
        <v>31000</v>
      </c>
      <c r="Q949" s="309">
        <v>41000</v>
      </c>
      <c r="R949" s="136">
        <v>42540</v>
      </c>
      <c r="S949" s="158" t="e">
        <f ca="1">__xlfn.XLOOKUP(H949,[1]Izvršenje_proračuna_po_pozicija!$B$2:$B$153,[1]Izvršenje_proračuna_po_pozicija!$E$2:$E$153,0)</f>
        <v>#NAME?</v>
      </c>
      <c r="T949" s="158"/>
      <c r="U949" s="158"/>
      <c r="V949" s="532">
        <v>50000</v>
      </c>
      <c r="W949" s="532">
        <v>50000</v>
      </c>
      <c r="X949" s="574">
        <v>60000</v>
      </c>
      <c r="Y949" s="575">
        <v>80000</v>
      </c>
      <c r="Z949" s="575"/>
      <c r="AA949" s="562" t="e">
        <f t="shared" ca="1" si="709"/>
        <v>#NAME?</v>
      </c>
      <c r="AB949" s="540"/>
      <c r="AC949" s="541">
        <v>32000</v>
      </c>
      <c r="AD949" s="541">
        <v>32000</v>
      </c>
      <c r="AE949" s="529">
        <f>O949/M949*100</f>
        <v>287.3833238212714</v>
      </c>
      <c r="AF949" s="529">
        <f t="shared" si="725"/>
        <v>74.81502005150611</v>
      </c>
      <c r="AG949" s="529">
        <f t="shared" si="725"/>
        <v>132.25806451612902</v>
      </c>
      <c r="AH949" s="529">
        <f>AC949/Q949*100</f>
        <v>78.048780487804876</v>
      </c>
      <c r="AI949" s="540"/>
      <c r="AJ949" s="575">
        <v>80000</v>
      </c>
      <c r="AK949" s="507">
        <f t="shared" si="712"/>
        <v>117.53643629525152</v>
      </c>
      <c r="AL949" s="507">
        <f t="shared" si="713"/>
        <v>120</v>
      </c>
      <c r="AM949" s="507">
        <f t="shared" si="713"/>
        <v>133.33333333333331</v>
      </c>
      <c r="AN949" s="558"/>
      <c r="AO949" s="590"/>
      <c r="AP949" s="510" t="e">
        <f t="shared" ca="1" si="708"/>
        <v>#NAME?</v>
      </c>
      <c r="AQ949" s="532">
        <v>25872.07</v>
      </c>
      <c r="AR949" s="533">
        <f>V949/R949*100</f>
        <v>117.53643629525152</v>
      </c>
      <c r="AS949" s="533">
        <f t="shared" si="714"/>
        <v>100</v>
      </c>
      <c r="AT949" s="533">
        <f>W949/R949*100</f>
        <v>117.53643629525152</v>
      </c>
      <c r="AU949" s="533">
        <f>AQ949/W949*100</f>
        <v>51.744139999999994</v>
      </c>
      <c r="AV949" s="533">
        <f>AQ949/R949*100</f>
        <v>60.818218147625771</v>
      </c>
      <c r="AW949" s="612">
        <f>AQ949</f>
        <v>25872.07</v>
      </c>
      <c r="AX949" s="612"/>
      <c r="AY949" s="612"/>
      <c r="AZ949" s="612"/>
      <c r="BA949" s="612"/>
      <c r="BB949" s="612"/>
      <c r="BC949" s="612"/>
      <c r="BD949" s="612"/>
      <c r="BE949" s="612"/>
      <c r="BF949" s="612"/>
      <c r="BG949" s="612"/>
      <c r="BH949" s="612">
        <f t="shared" si="710"/>
        <v>25872.07</v>
      </c>
      <c r="BI949" s="612">
        <f t="shared" si="723"/>
        <v>28500</v>
      </c>
      <c r="BJ949" s="201"/>
    </row>
    <row r="950" spans="1:62" ht="12" customHeight="1">
      <c r="A950" s="231"/>
      <c r="B950" s="231"/>
      <c r="C950" s="231"/>
      <c r="D950" s="231"/>
      <c r="E950" s="231"/>
      <c r="F950" s="231"/>
      <c r="G950" s="231"/>
      <c r="H950" s="345"/>
      <c r="I950" s="14"/>
      <c r="J950" s="5"/>
      <c r="K950" s="185"/>
      <c r="L950" s="136"/>
      <c r="M950" s="136"/>
      <c r="N950" s="137"/>
      <c r="O950" s="137"/>
      <c r="P950" s="138"/>
      <c r="Q950" s="138"/>
      <c r="R950" s="136"/>
      <c r="S950" s="158" t="e">
        <f ca="1">__xlfn.XLOOKUP(H950,[1]Izvršenje_proračuna_po_pozicija!$B$2:$B$153,[1]Izvršenje_proračuna_po_pozicija!$E$2:$E$153,0)</f>
        <v>#NAME?</v>
      </c>
      <c r="T950" s="158"/>
      <c r="U950" s="158"/>
      <c r="V950" s="532"/>
      <c r="W950" s="532"/>
      <c r="X950" s="574"/>
      <c r="Y950" s="575"/>
      <c r="Z950" s="575"/>
      <c r="AA950" s="562" t="e">
        <f t="shared" ca="1" si="709"/>
        <v>#NAME?</v>
      </c>
      <c r="AB950" s="540"/>
      <c r="AC950" s="541"/>
      <c r="AD950" s="541"/>
      <c r="AE950" s="529"/>
      <c r="AF950" s="529"/>
      <c r="AG950" s="529"/>
      <c r="AH950" s="529"/>
      <c r="AI950" s="540"/>
      <c r="AJ950" s="575"/>
      <c r="AK950" s="507"/>
      <c r="AL950" s="507"/>
      <c r="AM950" s="507"/>
      <c r="AN950" s="558"/>
      <c r="AO950" s="510"/>
      <c r="AP950" s="510" t="e">
        <f t="shared" ca="1" si="708"/>
        <v>#NAME?</v>
      </c>
      <c r="AQ950" s="532"/>
      <c r="AR950" s="533"/>
      <c r="AS950" s="533"/>
      <c r="AT950" s="533"/>
      <c r="AU950" s="533"/>
      <c r="AV950" s="533"/>
      <c r="AW950" s="612"/>
      <c r="AX950" s="612"/>
      <c r="AY950" s="612"/>
      <c r="AZ950" s="612"/>
      <c r="BA950" s="612"/>
      <c r="BB950" s="612"/>
      <c r="BC950" s="612"/>
      <c r="BD950" s="612"/>
      <c r="BE950" s="612"/>
      <c r="BF950" s="612"/>
      <c r="BG950" s="612"/>
      <c r="BH950" s="612">
        <f t="shared" si="710"/>
        <v>0</v>
      </c>
      <c r="BI950" s="612">
        <f t="shared" si="723"/>
        <v>11700</v>
      </c>
      <c r="BJ950" s="201">
        <f t="shared" ref="BJ950:BJ968" si="727">AQ957-BI950</f>
        <v>0</v>
      </c>
    </row>
    <row r="951" spans="1:62" ht="12" customHeight="1">
      <c r="A951" s="282" t="s">
        <v>356</v>
      </c>
      <c r="B951" s="283"/>
      <c r="C951" s="283"/>
      <c r="D951" s="283"/>
      <c r="E951" s="283"/>
      <c r="F951" s="283"/>
      <c r="G951" s="283"/>
      <c r="H951" s="284"/>
      <c r="I951" s="13" t="s">
        <v>752</v>
      </c>
      <c r="J951" s="370"/>
      <c r="K951" s="226"/>
      <c r="L951" s="111">
        <f t="shared" ref="L951:S951" si="728">L953</f>
        <v>125000</v>
      </c>
      <c r="M951" s="111">
        <f t="shared" si="728"/>
        <v>16590.351051828256</v>
      </c>
      <c r="N951" s="112">
        <f t="shared" si="728"/>
        <v>130000</v>
      </c>
      <c r="O951" s="112">
        <f t="shared" si="728"/>
        <v>17253.965093901385</v>
      </c>
      <c r="P951" s="113">
        <f t="shared" si="728"/>
        <v>17920</v>
      </c>
      <c r="Q951" s="113">
        <f t="shared" si="728"/>
        <v>17920</v>
      </c>
      <c r="R951" s="87">
        <f t="shared" si="728"/>
        <v>16800</v>
      </c>
      <c r="S951" s="89" t="e">
        <f t="shared" ca="1" si="728"/>
        <v>#NAME?</v>
      </c>
      <c r="T951" s="89"/>
      <c r="U951" s="89"/>
      <c r="V951" s="532">
        <f>V953</f>
        <v>20500</v>
      </c>
      <c r="W951" s="532">
        <f>W953</f>
        <v>28500</v>
      </c>
      <c r="X951" s="506">
        <f>X953</f>
        <v>24200</v>
      </c>
      <c r="Y951" s="507">
        <f>Y953</f>
        <v>27000</v>
      </c>
      <c r="Z951" s="507">
        <f>Z953</f>
        <v>0</v>
      </c>
      <c r="AA951" s="562" t="e">
        <f t="shared" ca="1" si="709"/>
        <v>#NAME?</v>
      </c>
      <c r="AB951" s="507"/>
      <c r="AC951" s="508">
        <f>AC953</f>
        <v>19000</v>
      </c>
      <c r="AD951" s="508">
        <f>AD953</f>
        <v>19000</v>
      </c>
      <c r="AE951" s="529">
        <f>O951/M951*100</f>
        <v>103.99999999999999</v>
      </c>
      <c r="AF951" s="529">
        <f>P951/O951*100</f>
        <v>103.86018461538463</v>
      </c>
      <c r="AG951" s="529">
        <f>Q951/P951*100</f>
        <v>100</v>
      </c>
      <c r="AH951" s="529">
        <f>AC951/Q951*100</f>
        <v>106.02678571428572</v>
      </c>
      <c r="AI951" s="507"/>
      <c r="AJ951" s="507">
        <v>27000</v>
      </c>
      <c r="AK951" s="507">
        <f t="shared" si="712"/>
        <v>169.64285714285714</v>
      </c>
      <c r="AL951" s="507">
        <f t="shared" si="713"/>
        <v>84.912280701754383</v>
      </c>
      <c r="AM951" s="507">
        <f t="shared" si="713"/>
        <v>111.5702479338843</v>
      </c>
      <c r="AN951" s="509"/>
      <c r="AO951" s="510"/>
      <c r="AP951" s="510" t="e">
        <f t="shared" ca="1" si="708"/>
        <v>#NAME?</v>
      </c>
      <c r="AQ951" s="532">
        <f>AQ953</f>
        <v>28500</v>
      </c>
      <c r="AR951" s="533">
        <f>V951/R951*100</f>
        <v>122.02380952380953</v>
      </c>
      <c r="AS951" s="533">
        <f t="shared" si="714"/>
        <v>139.02439024390242</v>
      </c>
      <c r="AT951" s="533">
        <f>W951/R951*100</f>
        <v>169.64285714285714</v>
      </c>
      <c r="AU951" s="533">
        <f>AQ951/W951*100</f>
        <v>100</v>
      </c>
      <c r="AV951" s="533">
        <f>AQ951/R951*100</f>
        <v>169.64285714285714</v>
      </c>
      <c r="AW951" s="612"/>
      <c r="AX951" s="612"/>
      <c r="AY951" s="612"/>
      <c r="AZ951" s="612"/>
      <c r="BA951" s="612"/>
      <c r="BB951" s="612"/>
      <c r="BC951" s="612"/>
      <c r="BD951" s="612"/>
      <c r="BE951" s="612"/>
      <c r="BF951" s="612"/>
      <c r="BG951" s="612"/>
      <c r="BH951" s="612">
        <f t="shared" si="710"/>
        <v>0</v>
      </c>
      <c r="BI951" s="612">
        <f t="shared" si="723"/>
        <v>0</v>
      </c>
      <c r="BJ951" s="201">
        <f t="shared" si="727"/>
        <v>0</v>
      </c>
    </row>
    <row r="952" spans="1:62" ht="12" customHeight="1">
      <c r="A952" s="68"/>
      <c r="B952" s="68"/>
      <c r="C952" s="68"/>
      <c r="D952" s="68"/>
      <c r="E952" s="68"/>
      <c r="F952" s="68"/>
      <c r="G952" s="68"/>
      <c r="H952" s="319"/>
      <c r="I952" s="4"/>
      <c r="J952" s="8"/>
      <c r="K952" s="8"/>
      <c r="L952" s="84"/>
      <c r="M952" s="84"/>
      <c r="N952" s="85"/>
      <c r="O952" s="85"/>
      <c r="P952" s="86"/>
      <c r="Q952" s="86"/>
      <c r="R952" s="154"/>
      <c r="S952" s="158" t="e">
        <f ca="1">__xlfn.XLOOKUP(H952,[1]Izvršenje_proračuna_po_pozicija!$B$2:$B$153,[1]Izvršenje_proračuna_po_pozicija!$E$2:$E$153,0)</f>
        <v>#NAME?</v>
      </c>
      <c r="T952" s="158"/>
      <c r="U952" s="158"/>
      <c r="V952" s="532"/>
      <c r="W952" s="532"/>
      <c r="X952" s="568"/>
      <c r="Y952" s="569"/>
      <c r="Z952" s="569"/>
      <c r="AA952" s="562" t="e">
        <f t="shared" ca="1" si="709"/>
        <v>#NAME?</v>
      </c>
      <c r="AB952" s="537"/>
      <c r="AC952" s="538"/>
      <c r="AD952" s="538"/>
      <c r="AE952" s="529"/>
      <c r="AF952" s="529"/>
      <c r="AG952" s="529"/>
      <c r="AH952" s="529"/>
      <c r="AI952" s="537"/>
      <c r="AJ952" s="569"/>
      <c r="AK952" s="507"/>
      <c r="AL952" s="507"/>
      <c r="AM952" s="507"/>
      <c r="AN952" s="557"/>
      <c r="AO952" s="510"/>
      <c r="AP952" s="510" t="e">
        <f t="shared" ca="1" si="708"/>
        <v>#NAME?</v>
      </c>
      <c r="AQ952" s="532"/>
      <c r="AR952" s="533"/>
      <c r="AS952" s="533"/>
      <c r="AT952" s="533"/>
      <c r="AU952" s="533"/>
      <c r="AV952" s="533"/>
      <c r="AW952" s="612"/>
      <c r="AX952" s="612"/>
      <c r="AY952" s="612"/>
      <c r="AZ952" s="612"/>
      <c r="BA952" s="612"/>
      <c r="BB952" s="612"/>
      <c r="BC952" s="612"/>
      <c r="BD952" s="612"/>
      <c r="BE952" s="612"/>
      <c r="BF952" s="612"/>
      <c r="BG952" s="612"/>
      <c r="BH952" s="612">
        <f t="shared" si="710"/>
        <v>0</v>
      </c>
      <c r="BI952" s="612">
        <f t="shared" si="723"/>
        <v>0</v>
      </c>
      <c r="BJ952" s="201">
        <f t="shared" si="727"/>
        <v>0</v>
      </c>
    </row>
    <row r="953" spans="1:62" ht="12" customHeight="1">
      <c r="A953" s="25"/>
      <c r="B953" s="25"/>
      <c r="C953" s="25"/>
      <c r="D953" s="25"/>
      <c r="E953" s="25"/>
      <c r="F953" s="25"/>
      <c r="G953" s="25"/>
      <c r="H953" s="285"/>
      <c r="I953" s="9"/>
      <c r="J953" s="211">
        <v>3</v>
      </c>
      <c r="K953" s="3" t="s">
        <v>220</v>
      </c>
      <c r="L953" s="111">
        <f t="shared" ref="L953:AD955" si="729">L954</f>
        <v>125000</v>
      </c>
      <c r="M953" s="111">
        <f t="shared" si="729"/>
        <v>16590.351051828256</v>
      </c>
      <c r="N953" s="112">
        <f t="shared" si="729"/>
        <v>130000</v>
      </c>
      <c r="O953" s="112">
        <f t="shared" si="729"/>
        <v>17253.965093901385</v>
      </c>
      <c r="P953" s="113">
        <f t="shared" si="729"/>
        <v>17920</v>
      </c>
      <c r="Q953" s="113">
        <f t="shared" si="729"/>
        <v>17920</v>
      </c>
      <c r="R953" s="87">
        <f t="shared" si="729"/>
        <v>16800</v>
      </c>
      <c r="S953" s="89" t="e">
        <f t="shared" ca="1" si="729"/>
        <v>#NAME?</v>
      </c>
      <c r="T953" s="89"/>
      <c r="U953" s="89"/>
      <c r="V953" s="532">
        <f>V954</f>
        <v>20500</v>
      </c>
      <c r="W953" s="532">
        <f t="shared" si="729"/>
        <v>28500</v>
      </c>
      <c r="X953" s="506">
        <f t="shared" si="729"/>
        <v>24200</v>
      </c>
      <c r="Y953" s="507">
        <f t="shared" si="729"/>
        <v>27000</v>
      </c>
      <c r="Z953" s="507">
        <f t="shared" si="729"/>
        <v>0</v>
      </c>
      <c r="AA953" s="562" t="e">
        <f t="shared" ca="1" si="709"/>
        <v>#NAME?</v>
      </c>
      <c r="AB953" s="507"/>
      <c r="AC953" s="508">
        <f t="shared" si="729"/>
        <v>19000</v>
      </c>
      <c r="AD953" s="508">
        <f t="shared" si="729"/>
        <v>19000</v>
      </c>
      <c r="AE953" s="529">
        <f>O953/M953*100</f>
        <v>103.99999999999999</v>
      </c>
      <c r="AF953" s="529">
        <f t="shared" ref="AF953:AG957" si="730">P953/O953*100</f>
        <v>103.86018461538463</v>
      </c>
      <c r="AG953" s="529">
        <f t="shared" si="730"/>
        <v>100</v>
      </c>
      <c r="AH953" s="529">
        <f>AC953/Q953*100</f>
        <v>106.02678571428572</v>
      </c>
      <c r="AI953" s="507"/>
      <c r="AJ953" s="507">
        <v>27000</v>
      </c>
      <c r="AK953" s="507">
        <f t="shared" si="712"/>
        <v>169.64285714285714</v>
      </c>
      <c r="AL953" s="507">
        <f t="shared" si="713"/>
        <v>84.912280701754383</v>
      </c>
      <c r="AM953" s="507">
        <f t="shared" si="713"/>
        <v>111.5702479338843</v>
      </c>
      <c r="AN953" s="509"/>
      <c r="AO953" s="510"/>
      <c r="AP953" s="510" t="e">
        <f t="shared" ca="1" si="708"/>
        <v>#NAME?</v>
      </c>
      <c r="AQ953" s="532">
        <f>AQ954</f>
        <v>28500</v>
      </c>
      <c r="AR953" s="533">
        <f>V953/R953*100</f>
        <v>122.02380952380953</v>
      </c>
      <c r="AS953" s="533">
        <f t="shared" si="714"/>
        <v>139.02439024390242</v>
      </c>
      <c r="AT953" s="533">
        <f>W953/R953*100</f>
        <v>169.64285714285714</v>
      </c>
      <c r="AU953" s="533">
        <f>AQ953/W953*100</f>
        <v>100</v>
      </c>
      <c r="AV953" s="533">
        <f>AQ953/R953*100</f>
        <v>169.64285714285714</v>
      </c>
      <c r="AW953" s="612"/>
      <c r="AX953" s="612"/>
      <c r="AY953" s="612"/>
      <c r="AZ953" s="612"/>
      <c r="BA953" s="612"/>
      <c r="BB953" s="612"/>
      <c r="BC953" s="612"/>
      <c r="BD953" s="612"/>
      <c r="BE953" s="612"/>
      <c r="BF953" s="612"/>
      <c r="BG953" s="612"/>
      <c r="BH953" s="612">
        <f t="shared" si="710"/>
        <v>0</v>
      </c>
      <c r="BI953" s="612">
        <f t="shared" si="723"/>
        <v>0</v>
      </c>
      <c r="BJ953" s="201">
        <f t="shared" si="727"/>
        <v>0</v>
      </c>
    </row>
    <row r="954" spans="1:62" ht="12" customHeight="1">
      <c r="A954" s="227"/>
      <c r="B954" s="227"/>
      <c r="C954" s="227"/>
      <c r="D954" s="227"/>
      <c r="E954" s="227"/>
      <c r="F954" s="227"/>
      <c r="G954" s="227"/>
      <c r="H954" s="234"/>
      <c r="I954" s="10"/>
      <c r="J954" s="228">
        <v>38</v>
      </c>
      <c r="K954" s="258" t="s">
        <v>281</v>
      </c>
      <c r="L954" s="111">
        <f t="shared" si="729"/>
        <v>125000</v>
      </c>
      <c r="M954" s="111">
        <f t="shared" si="729"/>
        <v>16590.351051828256</v>
      </c>
      <c r="N954" s="112">
        <f t="shared" si="729"/>
        <v>130000</v>
      </c>
      <c r="O954" s="112">
        <f t="shared" si="729"/>
        <v>17253.965093901385</v>
      </c>
      <c r="P954" s="113">
        <f t="shared" si="729"/>
        <v>17920</v>
      </c>
      <c r="Q954" s="113">
        <f t="shared" si="729"/>
        <v>17920</v>
      </c>
      <c r="R954" s="87">
        <f t="shared" si="729"/>
        <v>16800</v>
      </c>
      <c r="S954" s="89" t="e">
        <f t="shared" ca="1" si="729"/>
        <v>#NAME?</v>
      </c>
      <c r="T954" s="89"/>
      <c r="U954" s="89"/>
      <c r="V954" s="532">
        <f>V955</f>
        <v>20500</v>
      </c>
      <c r="W954" s="532">
        <f t="shared" si="729"/>
        <v>28500</v>
      </c>
      <c r="X954" s="506">
        <f t="shared" si="729"/>
        <v>24200</v>
      </c>
      <c r="Y954" s="507">
        <f t="shared" si="729"/>
        <v>27000</v>
      </c>
      <c r="Z954" s="507">
        <f t="shared" si="729"/>
        <v>0</v>
      </c>
      <c r="AA954" s="562" t="e">
        <f t="shared" ca="1" si="709"/>
        <v>#NAME?</v>
      </c>
      <c r="AB954" s="507"/>
      <c r="AC954" s="508">
        <f t="shared" si="729"/>
        <v>19000</v>
      </c>
      <c r="AD954" s="508">
        <f t="shared" si="729"/>
        <v>19000</v>
      </c>
      <c r="AE954" s="529">
        <f>O954/M954*100</f>
        <v>103.99999999999999</v>
      </c>
      <c r="AF954" s="529">
        <f t="shared" si="730"/>
        <v>103.86018461538463</v>
      </c>
      <c r="AG954" s="529">
        <f t="shared" si="730"/>
        <v>100</v>
      </c>
      <c r="AH954" s="529">
        <f>AC954/Q954*100</f>
        <v>106.02678571428572</v>
      </c>
      <c r="AI954" s="507"/>
      <c r="AJ954" s="507">
        <v>27000</v>
      </c>
      <c r="AK954" s="507">
        <f t="shared" si="712"/>
        <v>169.64285714285714</v>
      </c>
      <c r="AL954" s="507">
        <f t="shared" si="713"/>
        <v>84.912280701754383</v>
      </c>
      <c r="AM954" s="507">
        <f t="shared" si="713"/>
        <v>111.5702479338843</v>
      </c>
      <c r="AN954" s="509"/>
      <c r="AO954" s="510"/>
      <c r="AP954" s="510" t="e">
        <f t="shared" ca="1" si="708"/>
        <v>#NAME?</v>
      </c>
      <c r="AQ954" s="532">
        <f>AQ955</f>
        <v>28500</v>
      </c>
      <c r="AR954" s="533">
        <f>V954/R954*100</f>
        <v>122.02380952380953</v>
      </c>
      <c r="AS954" s="533">
        <f t="shared" si="714"/>
        <v>139.02439024390242</v>
      </c>
      <c r="AT954" s="533">
        <f>W954/R954*100</f>
        <v>169.64285714285714</v>
      </c>
      <c r="AU954" s="533">
        <f>AQ954/W954*100</f>
        <v>100</v>
      </c>
      <c r="AV954" s="533">
        <f>AQ954/R954*100</f>
        <v>169.64285714285714</v>
      </c>
      <c r="AW954" s="612"/>
      <c r="AX954" s="612"/>
      <c r="AY954" s="612"/>
      <c r="AZ954" s="612"/>
      <c r="BA954" s="612"/>
      <c r="BB954" s="612"/>
      <c r="BC954" s="612"/>
      <c r="BD954" s="612"/>
      <c r="BE954" s="612"/>
      <c r="BF954" s="612"/>
      <c r="BG954" s="612"/>
      <c r="BH954" s="612">
        <f t="shared" si="710"/>
        <v>0</v>
      </c>
      <c r="BI954" s="612">
        <f t="shared" si="723"/>
        <v>0</v>
      </c>
      <c r="BJ954" s="201">
        <f t="shared" si="727"/>
        <v>0</v>
      </c>
    </row>
    <row r="955" spans="1:62" ht="12" customHeight="1">
      <c r="A955" s="61"/>
      <c r="B955" s="61"/>
      <c r="C955" s="61"/>
      <c r="D955" s="61"/>
      <c r="E955" s="61"/>
      <c r="F955" s="61"/>
      <c r="G955" s="61"/>
      <c r="H955" s="230"/>
      <c r="I955" s="11"/>
      <c r="J955" s="229">
        <v>381</v>
      </c>
      <c r="K955" s="20" t="s">
        <v>397</v>
      </c>
      <c r="L955" s="111">
        <f t="shared" si="729"/>
        <v>125000</v>
      </c>
      <c r="M955" s="111">
        <f t="shared" si="729"/>
        <v>16590.351051828256</v>
      </c>
      <c r="N955" s="112">
        <f t="shared" si="729"/>
        <v>130000</v>
      </c>
      <c r="O955" s="112">
        <f t="shared" si="729"/>
        <v>17253.965093901385</v>
      </c>
      <c r="P955" s="113">
        <f t="shared" si="729"/>
        <v>17920</v>
      </c>
      <c r="Q955" s="113">
        <f t="shared" si="729"/>
        <v>17920</v>
      </c>
      <c r="R955" s="87">
        <f t="shared" si="729"/>
        <v>16800</v>
      </c>
      <c r="S955" s="89" t="e">
        <f t="shared" ca="1" si="729"/>
        <v>#NAME?</v>
      </c>
      <c r="T955" s="89"/>
      <c r="U955" s="89"/>
      <c r="V955" s="532">
        <f>V956</f>
        <v>20500</v>
      </c>
      <c r="W955" s="532">
        <f t="shared" si="729"/>
        <v>28500</v>
      </c>
      <c r="X955" s="506">
        <f t="shared" si="729"/>
        <v>24200</v>
      </c>
      <c r="Y955" s="507">
        <f t="shared" si="729"/>
        <v>27000</v>
      </c>
      <c r="Z955" s="507">
        <f t="shared" si="729"/>
        <v>0</v>
      </c>
      <c r="AA955" s="562" t="e">
        <f t="shared" ca="1" si="709"/>
        <v>#NAME?</v>
      </c>
      <c r="AB955" s="507"/>
      <c r="AC955" s="508">
        <f t="shared" si="729"/>
        <v>19000</v>
      </c>
      <c r="AD955" s="508">
        <f t="shared" si="729"/>
        <v>19000</v>
      </c>
      <c r="AE955" s="529">
        <f>O955/M955*100</f>
        <v>103.99999999999999</v>
      </c>
      <c r="AF955" s="529">
        <f t="shared" si="730"/>
        <v>103.86018461538463</v>
      </c>
      <c r="AG955" s="529">
        <f t="shared" si="730"/>
        <v>100</v>
      </c>
      <c r="AH955" s="529">
        <f>AC955/Q955*100</f>
        <v>106.02678571428572</v>
      </c>
      <c r="AI955" s="507"/>
      <c r="AJ955" s="507">
        <v>27000</v>
      </c>
      <c r="AK955" s="507">
        <f t="shared" si="712"/>
        <v>169.64285714285714</v>
      </c>
      <c r="AL955" s="507">
        <f t="shared" si="713"/>
        <v>84.912280701754383</v>
      </c>
      <c r="AM955" s="507">
        <f t="shared" si="713"/>
        <v>111.5702479338843</v>
      </c>
      <c r="AN955" s="509"/>
      <c r="AO955" s="510"/>
      <c r="AP955" s="510" t="e">
        <f t="shared" ca="1" si="708"/>
        <v>#NAME?</v>
      </c>
      <c r="AQ955" s="532">
        <f>AQ956</f>
        <v>28500</v>
      </c>
      <c r="AR955" s="533">
        <f>V955/R955*100</f>
        <v>122.02380952380953</v>
      </c>
      <c r="AS955" s="533">
        <f t="shared" si="714"/>
        <v>139.02439024390242</v>
      </c>
      <c r="AT955" s="533">
        <f>W955/R955*100</f>
        <v>169.64285714285714</v>
      </c>
      <c r="AU955" s="533">
        <f>AQ955/W955*100</f>
        <v>100</v>
      </c>
      <c r="AV955" s="533">
        <f>AQ955/R955*100</f>
        <v>169.64285714285714</v>
      </c>
      <c r="AW955" s="612">
        <f t="shared" ref="AW955:BG955" si="731">AW956</f>
        <v>28500</v>
      </c>
      <c r="AX955" s="612">
        <f t="shared" si="731"/>
        <v>0</v>
      </c>
      <c r="AY955" s="612">
        <f t="shared" si="731"/>
        <v>0</v>
      </c>
      <c r="AZ955" s="612">
        <f t="shared" si="731"/>
        <v>0</v>
      </c>
      <c r="BA955" s="612">
        <f t="shared" si="731"/>
        <v>0</v>
      </c>
      <c r="BB955" s="612">
        <f t="shared" si="731"/>
        <v>0</v>
      </c>
      <c r="BC955" s="612">
        <f t="shared" si="731"/>
        <v>0</v>
      </c>
      <c r="BD955" s="612">
        <f t="shared" si="731"/>
        <v>0</v>
      </c>
      <c r="BE955" s="612">
        <f t="shared" si="731"/>
        <v>0</v>
      </c>
      <c r="BF955" s="612">
        <f t="shared" si="731"/>
        <v>0</v>
      </c>
      <c r="BG955" s="612">
        <f t="shared" si="731"/>
        <v>0</v>
      </c>
      <c r="BH955" s="612">
        <f>SUM(AW955:BG955)</f>
        <v>28500</v>
      </c>
      <c r="BI955" s="612">
        <f t="shared" si="723"/>
        <v>0</v>
      </c>
      <c r="BJ955" s="201">
        <f t="shared" si="727"/>
        <v>0</v>
      </c>
    </row>
    <row r="956" spans="1:62" ht="12" customHeight="1">
      <c r="A956" s="52"/>
      <c r="B956" s="52"/>
      <c r="C956" s="52"/>
      <c r="D956" s="52"/>
      <c r="E956" s="52"/>
      <c r="F956" s="52"/>
      <c r="G956" s="52"/>
      <c r="H956" s="2"/>
      <c r="I956" s="7"/>
      <c r="J956" s="185">
        <v>3811</v>
      </c>
      <c r="K956" s="19" t="s">
        <v>282</v>
      </c>
      <c r="L956" s="111">
        <v>125000</v>
      </c>
      <c r="M956" s="111">
        <f>125000/7.5345</f>
        <v>16590.351051828256</v>
      </c>
      <c r="N956" s="112">
        <v>130000</v>
      </c>
      <c r="O956" s="112">
        <f>N956/7.5345</f>
        <v>17253.965093901385</v>
      </c>
      <c r="P956" s="113">
        <v>17920</v>
      </c>
      <c r="Q956" s="113">
        <v>17920</v>
      </c>
      <c r="R956" s="87">
        <f t="shared" ref="R956:Z956" si="732">R957+R958+R959+R960+R961+R962+R964+R965</f>
        <v>16800</v>
      </c>
      <c r="S956" s="89" t="e">
        <f t="shared" ca="1" si="732"/>
        <v>#NAME?</v>
      </c>
      <c r="T956" s="89"/>
      <c r="U956" s="89"/>
      <c r="V956" s="532">
        <f t="shared" si="732"/>
        <v>20500</v>
      </c>
      <c r="W956" s="532">
        <f t="shared" si="732"/>
        <v>28500</v>
      </c>
      <c r="X956" s="506">
        <f t="shared" si="732"/>
        <v>24200</v>
      </c>
      <c r="Y956" s="507">
        <f t="shared" si="732"/>
        <v>27000</v>
      </c>
      <c r="Z956" s="507">
        <f t="shared" si="732"/>
        <v>0</v>
      </c>
      <c r="AA956" s="562" t="e">
        <f t="shared" ca="1" si="709"/>
        <v>#NAME?</v>
      </c>
      <c r="AB956" s="507"/>
      <c r="AC956" s="508">
        <v>19000</v>
      </c>
      <c r="AD956" s="508">
        <v>19000</v>
      </c>
      <c r="AE956" s="529">
        <f>O956/M956*100</f>
        <v>103.99999999999999</v>
      </c>
      <c r="AF956" s="529">
        <f t="shared" si="730"/>
        <v>103.86018461538463</v>
      </c>
      <c r="AG956" s="529">
        <f t="shared" si="730"/>
        <v>100</v>
      </c>
      <c r="AH956" s="529">
        <f>AC956/Q956*100</f>
        <v>106.02678571428572</v>
      </c>
      <c r="AI956" s="507"/>
      <c r="AJ956" s="507">
        <v>27000</v>
      </c>
      <c r="AK956" s="507">
        <f t="shared" si="712"/>
        <v>169.64285714285714</v>
      </c>
      <c r="AL956" s="507">
        <f t="shared" si="713"/>
        <v>84.912280701754383</v>
      </c>
      <c r="AM956" s="507">
        <f t="shared" si="713"/>
        <v>111.5702479338843</v>
      </c>
      <c r="AN956" s="509"/>
      <c r="AO956" s="510"/>
      <c r="AP956" s="510" t="e">
        <f t="shared" ca="1" si="708"/>
        <v>#NAME?</v>
      </c>
      <c r="AQ956" s="532">
        <f>AQ957+AQ958+AQ959+AQ960+AQ961+AQ962+AQ964+AQ965</f>
        <v>28500</v>
      </c>
      <c r="AR956" s="533">
        <f>V956/R956*100</f>
        <v>122.02380952380953</v>
      </c>
      <c r="AS956" s="533">
        <f t="shared" si="714"/>
        <v>139.02439024390242</v>
      </c>
      <c r="AT956" s="533">
        <f>W956/R956*100</f>
        <v>169.64285714285714</v>
      </c>
      <c r="AU956" s="533">
        <f>AQ956/W956*100</f>
        <v>100</v>
      </c>
      <c r="AV956" s="533">
        <f>AQ956/R956*100</f>
        <v>169.64285714285714</v>
      </c>
      <c r="AW956" s="612">
        <f t="shared" ref="AW956:BG956" si="733">AW957+AW958+AW959+AW960+AW961+AW962+AW964+AW965</f>
        <v>28500</v>
      </c>
      <c r="AX956" s="612">
        <f t="shared" si="733"/>
        <v>0</v>
      </c>
      <c r="AY956" s="612">
        <f t="shared" si="733"/>
        <v>0</v>
      </c>
      <c r="AZ956" s="612">
        <f t="shared" si="733"/>
        <v>0</v>
      </c>
      <c r="BA956" s="612">
        <f t="shared" si="733"/>
        <v>0</v>
      </c>
      <c r="BB956" s="612">
        <f t="shared" si="733"/>
        <v>0</v>
      </c>
      <c r="BC956" s="612">
        <f t="shared" si="733"/>
        <v>0</v>
      </c>
      <c r="BD956" s="612">
        <f t="shared" si="733"/>
        <v>0</v>
      </c>
      <c r="BE956" s="612">
        <f t="shared" si="733"/>
        <v>0</v>
      </c>
      <c r="BF956" s="612">
        <f t="shared" si="733"/>
        <v>0</v>
      </c>
      <c r="BG956" s="612">
        <f t="shared" si="733"/>
        <v>0</v>
      </c>
      <c r="BH956" s="612">
        <f t="shared" si="710"/>
        <v>28500</v>
      </c>
      <c r="BI956" s="612">
        <f t="shared" si="723"/>
        <v>0</v>
      </c>
      <c r="BJ956" s="201">
        <f t="shared" si="727"/>
        <v>0</v>
      </c>
    </row>
    <row r="957" spans="1:62" ht="12" customHeight="1">
      <c r="A957" s="52"/>
      <c r="B957" s="52"/>
      <c r="C957" s="52"/>
      <c r="D957" s="52"/>
      <c r="E957" s="52"/>
      <c r="F957" s="52"/>
      <c r="G957" s="52"/>
      <c r="H957" s="2">
        <v>165</v>
      </c>
      <c r="I957" s="7">
        <v>1090</v>
      </c>
      <c r="J957" s="185">
        <v>3811</v>
      </c>
      <c r="K957" s="19" t="s">
        <v>753</v>
      </c>
      <c r="L957" s="129">
        <v>70000</v>
      </c>
      <c r="M957" s="129">
        <f>70000/7.5345</f>
        <v>9290.596589023824</v>
      </c>
      <c r="N957" s="130">
        <v>75000</v>
      </c>
      <c r="O957" s="130">
        <f>75000/7.5345</f>
        <v>9954.2106310969539</v>
      </c>
      <c r="P957" s="131">
        <v>10620</v>
      </c>
      <c r="Q957" s="131">
        <v>10000</v>
      </c>
      <c r="R957" s="153">
        <v>10000</v>
      </c>
      <c r="S957" s="158" t="e">
        <f ca="1">__xlfn.XLOOKUP(H957,[1]Izvršenje_proračuna_po_pozicija!$B$2:$B$153,[1]Izvršenje_proračuna_po_pozicija!$E$2:$E$153,0)</f>
        <v>#NAME?</v>
      </c>
      <c r="T957" s="158"/>
      <c r="U957" s="158"/>
      <c r="V957" s="532">
        <v>11700</v>
      </c>
      <c r="W957" s="532">
        <v>11700</v>
      </c>
      <c r="X957" s="560">
        <v>14000</v>
      </c>
      <c r="Y957" s="561">
        <v>15000</v>
      </c>
      <c r="Z957" s="561"/>
      <c r="AA957" s="562" t="e">
        <f t="shared" ca="1" si="709"/>
        <v>#NAME?</v>
      </c>
      <c r="AB957" s="535"/>
      <c r="AC957" s="529">
        <v>10620</v>
      </c>
      <c r="AD957" s="529">
        <v>10620</v>
      </c>
      <c r="AE957" s="529">
        <f>O957/M957*100</f>
        <v>107.14285714285714</v>
      </c>
      <c r="AF957" s="529">
        <f t="shared" si="730"/>
        <v>106.68852</v>
      </c>
      <c r="AG957" s="529">
        <f t="shared" si="730"/>
        <v>94.161958568738228</v>
      </c>
      <c r="AH957" s="529">
        <f>AC957/Q957*100</f>
        <v>106.2</v>
      </c>
      <c r="AI957" s="535"/>
      <c r="AJ957" s="561">
        <v>15000</v>
      </c>
      <c r="AK957" s="507">
        <f t="shared" si="712"/>
        <v>117</v>
      </c>
      <c r="AL957" s="507">
        <f t="shared" si="713"/>
        <v>119.65811965811966</v>
      </c>
      <c r="AM957" s="507">
        <f t="shared" si="713"/>
        <v>107.14285714285714</v>
      </c>
      <c r="AN957" s="556"/>
      <c r="AO957" s="510"/>
      <c r="AP957" s="510" t="e">
        <f t="shared" ca="1" si="708"/>
        <v>#NAME?</v>
      </c>
      <c r="AQ957" s="532">
        <v>11700</v>
      </c>
      <c r="AR957" s="533">
        <f>V957/R957*100</f>
        <v>117</v>
      </c>
      <c r="AS957" s="533">
        <f t="shared" si="714"/>
        <v>100</v>
      </c>
      <c r="AT957" s="533">
        <f>W957/R957*100</f>
        <v>117</v>
      </c>
      <c r="AU957" s="533">
        <f>AQ957/W957*100</f>
        <v>100</v>
      </c>
      <c r="AV957" s="533">
        <f>AQ957/R957*100</f>
        <v>117</v>
      </c>
      <c r="AW957" s="612">
        <v>11700</v>
      </c>
      <c r="AX957" s="612"/>
      <c r="AY957" s="612"/>
      <c r="AZ957" s="612"/>
      <c r="BA957" s="612"/>
      <c r="BB957" s="612"/>
      <c r="BC957" s="612"/>
      <c r="BD957" s="612"/>
      <c r="BE957" s="612"/>
      <c r="BF957" s="612"/>
      <c r="BG957" s="612"/>
      <c r="BH957" s="612">
        <f t="shared" si="710"/>
        <v>11700</v>
      </c>
      <c r="BI957" s="612">
        <f t="shared" si="723"/>
        <v>16800</v>
      </c>
      <c r="BJ957" s="201">
        <f t="shared" si="727"/>
        <v>0</v>
      </c>
    </row>
    <row r="958" spans="1:62" ht="12" customHeight="1">
      <c r="A958" s="52"/>
      <c r="B958" s="52"/>
      <c r="C958" s="52"/>
      <c r="D958" s="52"/>
      <c r="E958" s="52"/>
      <c r="F958" s="52"/>
      <c r="G958" s="52"/>
      <c r="H958" s="2" t="s">
        <v>754</v>
      </c>
      <c r="I958" s="7">
        <v>1090</v>
      </c>
      <c r="J958" s="185">
        <v>3811</v>
      </c>
      <c r="K958" s="19" t="s">
        <v>755</v>
      </c>
      <c r="L958" s="129"/>
      <c r="M958" s="129"/>
      <c r="N958" s="130"/>
      <c r="O958" s="130"/>
      <c r="P958" s="131"/>
      <c r="Q958" s="131"/>
      <c r="R958" s="153"/>
      <c r="S958" s="158" t="e">
        <f ca="1">__xlfn.XLOOKUP(H958,[1]Izvršenje_proračuna_po_pozicija!$B$2:$B$153,[1]Izvršenje_proračuna_po_pozicija!$E$2:$E$153,0)</f>
        <v>#NAME?</v>
      </c>
      <c r="T958" s="158"/>
      <c r="U958" s="158"/>
      <c r="V958" s="532"/>
      <c r="W958" s="532"/>
      <c r="X958" s="560"/>
      <c r="Y958" s="561"/>
      <c r="Z958" s="561"/>
      <c r="AA958" s="562" t="e">
        <f t="shared" ca="1" si="709"/>
        <v>#NAME?</v>
      </c>
      <c r="AB958" s="535"/>
      <c r="AC958" s="529"/>
      <c r="AD958" s="529"/>
      <c r="AE958" s="529"/>
      <c r="AF958" s="529"/>
      <c r="AG958" s="529"/>
      <c r="AH958" s="529"/>
      <c r="AI958" s="535"/>
      <c r="AJ958" s="561"/>
      <c r="AK958" s="507"/>
      <c r="AL958" s="507"/>
      <c r="AM958" s="507"/>
      <c r="AN958" s="556"/>
      <c r="AO958" s="510"/>
      <c r="AP958" s="510" t="e">
        <f t="shared" ca="1" si="708"/>
        <v>#NAME?</v>
      </c>
      <c r="AQ958" s="532"/>
      <c r="AR958" s="533"/>
      <c r="AS958" s="533"/>
      <c r="AT958" s="533"/>
      <c r="AU958" s="533"/>
      <c r="AV958" s="533"/>
      <c r="AW958" s="612"/>
      <c r="AX958" s="612"/>
      <c r="AY958" s="612"/>
      <c r="AZ958" s="612"/>
      <c r="BA958" s="612"/>
      <c r="BB958" s="612"/>
      <c r="BC958" s="612"/>
      <c r="BD958" s="612"/>
      <c r="BE958" s="612"/>
      <c r="BF958" s="612"/>
      <c r="BG958" s="612"/>
      <c r="BH958" s="612">
        <f t="shared" si="710"/>
        <v>0</v>
      </c>
      <c r="BI958" s="612">
        <f t="shared" si="723"/>
        <v>0</v>
      </c>
      <c r="BJ958" s="201">
        <f t="shared" si="727"/>
        <v>0</v>
      </c>
    </row>
    <row r="959" spans="1:62" s="26" customFormat="1" ht="12" customHeight="1">
      <c r="A959" s="52"/>
      <c r="B959" s="52"/>
      <c r="C959" s="52"/>
      <c r="D959" s="52"/>
      <c r="E959" s="52"/>
      <c r="F959" s="52"/>
      <c r="G959" s="52"/>
      <c r="H959" s="2" t="s">
        <v>756</v>
      </c>
      <c r="I959" s="7">
        <v>1090</v>
      </c>
      <c r="J959" s="185">
        <v>3811</v>
      </c>
      <c r="K959" s="19" t="s">
        <v>757</v>
      </c>
      <c r="L959" s="129"/>
      <c r="M959" s="129"/>
      <c r="N959" s="130"/>
      <c r="O959" s="130"/>
      <c r="P959" s="131"/>
      <c r="Q959" s="131"/>
      <c r="R959" s="153"/>
      <c r="S959" s="158" t="e">
        <f ca="1">__xlfn.XLOOKUP(H959,[1]Izvršenje_proračuna_po_pozicija!$B$2:$B$153,[1]Izvršenje_proračuna_po_pozicija!$E$2:$E$153,0)</f>
        <v>#NAME?</v>
      </c>
      <c r="T959" s="158"/>
      <c r="U959" s="158"/>
      <c r="V959" s="532"/>
      <c r="W959" s="532"/>
      <c r="X959" s="560"/>
      <c r="Y959" s="561"/>
      <c r="Z959" s="561"/>
      <c r="AA959" s="562" t="e">
        <f t="shared" ca="1" si="709"/>
        <v>#NAME?</v>
      </c>
      <c r="AB959" s="535"/>
      <c r="AC959" s="529"/>
      <c r="AD959" s="529"/>
      <c r="AE959" s="529"/>
      <c r="AF959" s="529"/>
      <c r="AG959" s="529"/>
      <c r="AH959" s="529"/>
      <c r="AI959" s="535"/>
      <c r="AJ959" s="561"/>
      <c r="AK959" s="507"/>
      <c r="AL959" s="507"/>
      <c r="AM959" s="507"/>
      <c r="AN959" s="556"/>
      <c r="AO959" s="510"/>
      <c r="AP959" s="510" t="e">
        <f t="shared" ca="1" si="708"/>
        <v>#NAME?</v>
      </c>
      <c r="AQ959" s="532"/>
      <c r="AR959" s="533"/>
      <c r="AS959" s="533"/>
      <c r="AT959" s="533"/>
      <c r="AU959" s="533"/>
      <c r="AV959" s="533"/>
      <c r="AW959" s="612"/>
      <c r="AX959" s="612"/>
      <c r="AY959" s="612"/>
      <c r="AZ959" s="612"/>
      <c r="BA959" s="612"/>
      <c r="BB959" s="612"/>
      <c r="BC959" s="612"/>
      <c r="BD959" s="612"/>
      <c r="BE959" s="612"/>
      <c r="BF959" s="612"/>
      <c r="BG959" s="612"/>
      <c r="BH959" s="612">
        <f t="shared" si="710"/>
        <v>0</v>
      </c>
      <c r="BI959" s="612">
        <f t="shared" si="723"/>
        <v>0</v>
      </c>
      <c r="BJ959" s="201">
        <f t="shared" si="727"/>
        <v>0</v>
      </c>
    </row>
    <row r="960" spans="1:62" ht="12" customHeight="1">
      <c r="A960" s="52"/>
      <c r="B960" s="52"/>
      <c r="C960" s="52"/>
      <c r="D960" s="52"/>
      <c r="E960" s="52"/>
      <c r="F960" s="52"/>
      <c r="G960" s="52"/>
      <c r="H960" s="390" t="s">
        <v>758</v>
      </c>
      <c r="I960" s="16">
        <v>1090</v>
      </c>
      <c r="J960" s="393">
        <v>3811</v>
      </c>
      <c r="K960" s="394" t="s">
        <v>759</v>
      </c>
      <c r="L960" s="381"/>
      <c r="M960" s="381"/>
      <c r="N960" s="382"/>
      <c r="O960" s="382"/>
      <c r="P960" s="383"/>
      <c r="Q960" s="383"/>
      <c r="R960" s="385">
        <v>0</v>
      </c>
      <c r="S960" s="158" t="e">
        <f ca="1">__xlfn.XLOOKUP(H960,[1]Izvršenje_proračuna_po_pozicija!$B$2:$B$153,[1]Izvršenje_proračuna_po_pozicija!$E$2:$E$153,0)</f>
        <v>#NAME?</v>
      </c>
      <c r="T960" s="386"/>
      <c r="U960" s="386"/>
      <c r="V960" s="532"/>
      <c r="W960" s="532"/>
      <c r="X960" s="591"/>
      <c r="Y960" s="592"/>
      <c r="Z960" s="592"/>
      <c r="AA960" s="562" t="e">
        <f t="shared" ca="1" si="709"/>
        <v>#NAME?</v>
      </c>
      <c r="AB960" s="593"/>
      <c r="AC960" s="594"/>
      <c r="AD960" s="594"/>
      <c r="AE960" s="529"/>
      <c r="AF960" s="529"/>
      <c r="AG960" s="529"/>
      <c r="AH960" s="529"/>
      <c r="AI960" s="593"/>
      <c r="AJ960" s="592"/>
      <c r="AK960" s="507"/>
      <c r="AL960" s="507"/>
      <c r="AM960" s="507"/>
      <c r="AN960" s="595"/>
      <c r="AO960" s="510"/>
      <c r="AP960" s="510" t="e">
        <f t="shared" ca="1" si="708"/>
        <v>#NAME?</v>
      </c>
      <c r="AQ960" s="532"/>
      <c r="AR960" s="533"/>
      <c r="AS960" s="533"/>
      <c r="AT960" s="533"/>
      <c r="AU960" s="533"/>
      <c r="AV960" s="533"/>
      <c r="AW960" s="612"/>
      <c r="AX960" s="612"/>
      <c r="AY960" s="612"/>
      <c r="AZ960" s="612"/>
      <c r="BA960" s="612"/>
      <c r="BB960" s="612"/>
      <c r="BC960" s="612"/>
      <c r="BD960" s="612"/>
      <c r="BE960" s="612"/>
      <c r="BF960" s="612"/>
      <c r="BG960" s="612"/>
      <c r="BH960" s="612">
        <f t="shared" si="710"/>
        <v>0</v>
      </c>
      <c r="BI960" s="612">
        <f t="shared" si="723"/>
        <v>0</v>
      </c>
      <c r="BJ960" s="201">
        <f t="shared" si="727"/>
        <v>0</v>
      </c>
    </row>
    <row r="961" spans="1:62" ht="12" customHeight="1">
      <c r="A961" s="167"/>
      <c r="B961" s="167"/>
      <c r="C961" s="167"/>
      <c r="D961" s="167"/>
      <c r="E961" s="167"/>
      <c r="F961" s="167"/>
      <c r="G961" s="167"/>
      <c r="H961" s="391" t="s">
        <v>760</v>
      </c>
      <c r="I961" s="395">
        <v>1090</v>
      </c>
      <c r="J961" s="267">
        <v>3811</v>
      </c>
      <c r="K961" s="268" t="s">
        <v>761</v>
      </c>
      <c r="L961" s="269">
        <v>10000</v>
      </c>
      <c r="M961" s="269">
        <f>10000/7.5345</f>
        <v>1327.2280841462605</v>
      </c>
      <c r="N961" s="270"/>
      <c r="O961" s="270"/>
      <c r="P961" s="271"/>
      <c r="Q961" s="271"/>
      <c r="R961" s="275">
        <v>800</v>
      </c>
      <c r="S961" s="158" t="e">
        <f ca="1">__xlfn.XLOOKUP(H961,[1]Izvršenje_proračuna_po_pozicija!$B$2:$B$153,[1]Izvršenje_proračuna_po_pozicija!$E$2:$E$153,0)</f>
        <v>#NAME?</v>
      </c>
      <c r="T961" s="276"/>
      <c r="U961" s="276"/>
      <c r="V961" s="532"/>
      <c r="W961" s="532"/>
      <c r="X961" s="576"/>
      <c r="Y961" s="577"/>
      <c r="Z961" s="577"/>
      <c r="AA961" s="562" t="e">
        <f t="shared" ca="1" si="709"/>
        <v>#NAME?</v>
      </c>
      <c r="AB961" s="543"/>
      <c r="AC961" s="544"/>
      <c r="AD961" s="544"/>
      <c r="AE961" s="529">
        <f>O961/M961*100</f>
        <v>0</v>
      </c>
      <c r="AF961" s="529"/>
      <c r="AG961" s="529"/>
      <c r="AH961" s="529"/>
      <c r="AI961" s="543"/>
      <c r="AJ961" s="577"/>
      <c r="AK961" s="507">
        <f t="shared" si="712"/>
        <v>0</v>
      </c>
      <c r="AL961" s="507"/>
      <c r="AM961" s="507"/>
      <c r="AN961" s="578"/>
      <c r="AO961" s="510"/>
      <c r="AP961" s="510" t="e">
        <f t="shared" ca="1" si="708"/>
        <v>#NAME?</v>
      </c>
      <c r="AQ961" s="532"/>
      <c r="AR961" s="533">
        <f>V961/R961*100</f>
        <v>0</v>
      </c>
      <c r="AS961" s="533"/>
      <c r="AT961" s="533">
        <f>W961/R961*100</f>
        <v>0</v>
      </c>
      <c r="AU961" s="533"/>
      <c r="AV961" s="533">
        <f>AQ961/R961*100</f>
        <v>0</v>
      </c>
      <c r="AW961" s="612"/>
      <c r="AX961" s="612"/>
      <c r="AY961" s="612"/>
      <c r="AZ961" s="612"/>
      <c r="BA961" s="612"/>
      <c r="BB961" s="612"/>
      <c r="BC961" s="612"/>
      <c r="BD961" s="612"/>
      <c r="BE961" s="612"/>
      <c r="BF961" s="612"/>
      <c r="BG961" s="612"/>
      <c r="BH961" s="612">
        <f t="shared" si="710"/>
        <v>0</v>
      </c>
      <c r="BI961" s="612">
        <f t="shared" si="723"/>
        <v>0</v>
      </c>
      <c r="BJ961" s="201">
        <f t="shared" si="727"/>
        <v>0</v>
      </c>
    </row>
    <row r="962" spans="1:62" ht="12" customHeight="1">
      <c r="A962" s="167"/>
      <c r="B962" s="167"/>
      <c r="C962" s="167"/>
      <c r="D962" s="167"/>
      <c r="E962" s="167"/>
      <c r="F962" s="167"/>
      <c r="G962" s="167"/>
      <c r="H962" s="22" t="s">
        <v>762</v>
      </c>
      <c r="I962" s="7">
        <v>1090</v>
      </c>
      <c r="J962" s="185">
        <v>3811</v>
      </c>
      <c r="K962" s="19" t="s">
        <v>763</v>
      </c>
      <c r="L962" s="129">
        <v>40000</v>
      </c>
      <c r="M962" s="129">
        <f>40000/7.5345</f>
        <v>5308.9123365850419</v>
      </c>
      <c r="N962" s="130"/>
      <c r="O962" s="130"/>
      <c r="P962" s="131"/>
      <c r="Q962" s="131"/>
      <c r="R962" s="153">
        <v>6000</v>
      </c>
      <c r="S962" s="158" t="e">
        <f ca="1">__xlfn.XLOOKUP(H962,[1]Izvršenje_proračuna_po_pozicija!$B$2:$B$153,[1]Izvršenje_proračuna_po_pozicija!$E$2:$E$153,0)</f>
        <v>#NAME?</v>
      </c>
      <c r="T962" s="158"/>
      <c r="U962" s="158"/>
      <c r="V962" s="532"/>
      <c r="W962" s="532"/>
      <c r="X962" s="560"/>
      <c r="Y962" s="561"/>
      <c r="Z962" s="561"/>
      <c r="AA962" s="562" t="e">
        <f t="shared" ca="1" si="709"/>
        <v>#NAME?</v>
      </c>
      <c r="AB962" s="535"/>
      <c r="AC962" s="529"/>
      <c r="AD962" s="529"/>
      <c r="AE962" s="529">
        <f>O962/M962*100</f>
        <v>0</v>
      </c>
      <c r="AF962" s="529"/>
      <c r="AG962" s="529"/>
      <c r="AH962" s="529"/>
      <c r="AI962" s="535"/>
      <c r="AJ962" s="561"/>
      <c r="AK962" s="507">
        <f t="shared" si="712"/>
        <v>0</v>
      </c>
      <c r="AL962" s="507"/>
      <c r="AM962" s="507"/>
      <c r="AN962" s="556"/>
      <c r="AO962" s="510"/>
      <c r="AP962" s="510" t="e">
        <f t="shared" ca="1" si="708"/>
        <v>#NAME?</v>
      </c>
      <c r="AQ962" s="532"/>
      <c r="AR962" s="533">
        <f>V962/R962*100</f>
        <v>0</v>
      </c>
      <c r="AS962" s="533"/>
      <c r="AT962" s="533">
        <f>W962/R962*100</f>
        <v>0</v>
      </c>
      <c r="AU962" s="533"/>
      <c r="AV962" s="533">
        <f>AQ962/R962*100</f>
        <v>0</v>
      </c>
      <c r="AW962" s="612"/>
      <c r="AX962" s="612"/>
      <c r="AY962" s="612"/>
      <c r="AZ962" s="612"/>
      <c r="BA962" s="612"/>
      <c r="BB962" s="612"/>
      <c r="BC962" s="612"/>
      <c r="BD962" s="612"/>
      <c r="BE962" s="612"/>
      <c r="BF962" s="612"/>
      <c r="BG962" s="612"/>
      <c r="BH962" s="612">
        <f t="shared" si="710"/>
        <v>0</v>
      </c>
      <c r="BI962" s="612">
        <f t="shared" si="723"/>
        <v>0</v>
      </c>
      <c r="BJ962" s="201">
        <f t="shared" si="727"/>
        <v>0</v>
      </c>
    </row>
    <row r="963" spans="1:62" ht="12" customHeight="1">
      <c r="A963" s="41"/>
      <c r="B963" s="41"/>
      <c r="C963" s="41"/>
      <c r="D963" s="41"/>
      <c r="E963" s="41"/>
      <c r="F963" s="41"/>
      <c r="G963" s="41"/>
      <c r="H963" s="235"/>
      <c r="I963" s="15"/>
      <c r="J963" s="3"/>
      <c r="K963" s="83"/>
      <c r="L963" s="84">
        <v>1</v>
      </c>
      <c r="M963" s="84">
        <v>2</v>
      </c>
      <c r="N963" s="85">
        <v>3</v>
      </c>
      <c r="O963" s="85">
        <v>4</v>
      </c>
      <c r="P963" s="86">
        <v>5</v>
      </c>
      <c r="Q963" s="86">
        <v>6</v>
      </c>
      <c r="R963" s="154"/>
      <c r="S963" s="158" t="e">
        <f ca="1">__xlfn.XLOOKUP(H963,[1]Izvršenje_proračuna_po_pozicija!$B$2:$B$153,[1]Izvršenje_proračuna_po_pozicija!$E$2:$E$153,0)</f>
        <v>#NAME?</v>
      </c>
      <c r="T963" s="158"/>
      <c r="U963" s="158"/>
      <c r="V963" s="532"/>
      <c r="W963" s="532"/>
      <c r="X963" s="568"/>
      <c r="Y963" s="569"/>
      <c r="Z963" s="569"/>
      <c r="AA963" s="562" t="e">
        <f t="shared" ca="1" si="709"/>
        <v>#NAME?</v>
      </c>
      <c r="AB963" s="537"/>
      <c r="AC963" s="538">
        <v>7</v>
      </c>
      <c r="AD963" s="538">
        <v>8</v>
      </c>
      <c r="AE963" s="538">
        <v>9</v>
      </c>
      <c r="AF963" s="538">
        <v>10</v>
      </c>
      <c r="AG963" s="538">
        <v>11</v>
      </c>
      <c r="AH963" s="538">
        <v>12</v>
      </c>
      <c r="AI963" s="537"/>
      <c r="AJ963" s="569"/>
      <c r="AK963" s="507"/>
      <c r="AL963" s="507"/>
      <c r="AM963" s="507"/>
      <c r="AN963" s="557"/>
      <c r="AO963" s="510"/>
      <c r="AP963" s="510" t="e">
        <f t="shared" ca="1" si="708"/>
        <v>#NAME?</v>
      </c>
      <c r="AQ963" s="532"/>
      <c r="AR963" s="533"/>
      <c r="AS963" s="533"/>
      <c r="AT963" s="533"/>
      <c r="AU963" s="533"/>
      <c r="AV963" s="533"/>
      <c r="AW963" s="612"/>
      <c r="AX963" s="612"/>
      <c r="AY963" s="612"/>
      <c r="AZ963" s="612"/>
      <c r="BA963" s="612"/>
      <c r="BB963" s="612"/>
      <c r="BC963" s="612"/>
      <c r="BD963" s="612"/>
      <c r="BE963" s="612"/>
      <c r="BF963" s="612"/>
      <c r="BG963" s="612"/>
      <c r="BH963" s="612">
        <f t="shared" si="710"/>
        <v>0</v>
      </c>
      <c r="BI963" s="612">
        <f t="shared" si="723"/>
        <v>0</v>
      </c>
      <c r="BJ963" s="201">
        <f t="shared" si="727"/>
        <v>0</v>
      </c>
    </row>
    <row r="964" spans="1:62" ht="12" customHeight="1">
      <c r="A964" s="167"/>
      <c r="B964" s="167"/>
      <c r="C964" s="167"/>
      <c r="D964" s="167"/>
      <c r="E964" s="167"/>
      <c r="F964" s="167"/>
      <c r="G964" s="167"/>
      <c r="H964" s="22" t="s">
        <v>764</v>
      </c>
      <c r="I964" s="7">
        <v>1090</v>
      </c>
      <c r="J964" s="185">
        <v>3811</v>
      </c>
      <c r="K964" s="19" t="s">
        <v>765</v>
      </c>
      <c r="L964" s="129">
        <v>5000</v>
      </c>
      <c r="M964" s="129">
        <f>5000/7.5345</f>
        <v>663.61404207313024</v>
      </c>
      <c r="N964" s="130"/>
      <c r="O964" s="130"/>
      <c r="P964" s="131"/>
      <c r="Q964" s="131"/>
      <c r="R964" s="153"/>
      <c r="S964" s="158" t="e">
        <f ca="1">__xlfn.XLOOKUP(#REF!,[1]Izvršenje_proračuna_po_pozicija!$B$2:$B$153,[1]Izvršenje_proračuna_po_pozicija!$E$2:$E$153,0)</f>
        <v>#NAME?</v>
      </c>
      <c r="T964" s="158"/>
      <c r="U964" s="158"/>
      <c r="V964" s="532">
        <v>8800</v>
      </c>
      <c r="W964" s="532">
        <v>16800</v>
      </c>
      <c r="X964" s="560">
        <v>10200</v>
      </c>
      <c r="Y964" s="561">
        <v>12000</v>
      </c>
      <c r="Z964" s="561"/>
      <c r="AA964" s="562" t="e">
        <f t="shared" ca="1" si="709"/>
        <v>#NAME?</v>
      </c>
      <c r="AB964" s="535"/>
      <c r="AC964" s="529"/>
      <c r="AD964" s="529"/>
      <c r="AE964" s="529">
        <f>O964/M964*100</f>
        <v>0</v>
      </c>
      <c r="AF964" s="529"/>
      <c r="AG964" s="529"/>
      <c r="AH964" s="529"/>
      <c r="AI964" s="535"/>
      <c r="AJ964" s="561">
        <v>12000</v>
      </c>
      <c r="AK964" s="507"/>
      <c r="AL964" s="507">
        <f t="shared" si="713"/>
        <v>60.714285714285708</v>
      </c>
      <c r="AM964" s="507">
        <f t="shared" si="713"/>
        <v>117.64705882352942</v>
      </c>
      <c r="AN964" s="556"/>
      <c r="AO964" s="510"/>
      <c r="AP964" s="510" t="e">
        <f t="shared" ca="1" si="708"/>
        <v>#NAME?</v>
      </c>
      <c r="AQ964" s="532">
        <v>16800</v>
      </c>
      <c r="AR964" s="533"/>
      <c r="AS964" s="533">
        <f t="shared" si="714"/>
        <v>190.90909090909091</v>
      </c>
      <c r="AT964" s="533"/>
      <c r="AU964" s="533">
        <f>AQ964/W964*100</f>
        <v>100</v>
      </c>
      <c r="AV964" s="533"/>
      <c r="AW964" s="612">
        <v>16800</v>
      </c>
      <c r="AX964" s="612"/>
      <c r="AY964" s="612"/>
      <c r="AZ964" s="612"/>
      <c r="BA964" s="612"/>
      <c r="BB964" s="612"/>
      <c r="BC964" s="612"/>
      <c r="BD964" s="612"/>
      <c r="BE964" s="612"/>
      <c r="BF964" s="612"/>
      <c r="BG964" s="612"/>
      <c r="BH964" s="612">
        <f t="shared" si="710"/>
        <v>16800</v>
      </c>
      <c r="BI964" s="612">
        <f t="shared" si="723"/>
        <v>0</v>
      </c>
      <c r="BJ964" s="201">
        <f t="shared" si="727"/>
        <v>0</v>
      </c>
    </row>
    <row r="965" spans="1:62" ht="12" customHeight="1">
      <c r="A965" s="167"/>
      <c r="B965" s="167"/>
      <c r="C965" s="167"/>
      <c r="D965" s="167"/>
      <c r="E965" s="167"/>
      <c r="F965" s="167"/>
      <c r="G965" s="167"/>
      <c r="H965" s="22" t="s">
        <v>766</v>
      </c>
      <c r="I965" s="7">
        <v>1090</v>
      </c>
      <c r="J965" s="185">
        <v>3811</v>
      </c>
      <c r="K965" s="209" t="s">
        <v>701</v>
      </c>
      <c r="L965" s="129"/>
      <c r="M965" s="129"/>
      <c r="N965" s="130"/>
      <c r="O965" s="130"/>
      <c r="P965" s="131"/>
      <c r="Q965" s="131"/>
      <c r="R965" s="153"/>
      <c r="S965" s="158" t="e">
        <f ca="1">__xlfn.XLOOKUP(H965,[1]Izvršenje_proračuna_po_pozicija!$B$2:$B$153,[1]Izvršenje_proračuna_po_pozicija!$E$2:$E$153,0)</f>
        <v>#NAME?</v>
      </c>
      <c r="T965" s="158"/>
      <c r="U965" s="158"/>
      <c r="V965" s="532"/>
      <c r="W965" s="532"/>
      <c r="X965" s="560"/>
      <c r="Y965" s="561"/>
      <c r="Z965" s="561"/>
      <c r="AA965" s="562" t="e">
        <f t="shared" ca="1" si="709"/>
        <v>#NAME?</v>
      </c>
      <c r="AB965" s="535"/>
      <c r="AC965" s="529"/>
      <c r="AD965" s="529"/>
      <c r="AE965" s="529"/>
      <c r="AF965" s="529"/>
      <c r="AG965" s="529"/>
      <c r="AH965" s="529"/>
      <c r="AI965" s="535"/>
      <c r="AJ965" s="561"/>
      <c r="AK965" s="507"/>
      <c r="AL965" s="507"/>
      <c r="AM965" s="507"/>
      <c r="AN965" s="556"/>
      <c r="AO965" s="510"/>
      <c r="AP965" s="510" t="e">
        <f t="shared" ca="1" si="708"/>
        <v>#NAME?</v>
      </c>
      <c r="AQ965" s="532"/>
      <c r="AR965" s="533"/>
      <c r="AS965" s="533"/>
      <c r="AT965" s="533"/>
      <c r="AU965" s="533"/>
      <c r="AV965" s="533"/>
      <c r="AW965" s="612"/>
      <c r="AX965" s="612"/>
      <c r="AY965" s="612"/>
      <c r="AZ965" s="612"/>
      <c r="BA965" s="612"/>
      <c r="BB965" s="612"/>
      <c r="BC965" s="612"/>
      <c r="BD965" s="612"/>
      <c r="BE965" s="612"/>
      <c r="BF965" s="612"/>
      <c r="BG965" s="612"/>
      <c r="BH965" s="612">
        <f t="shared" si="710"/>
        <v>0</v>
      </c>
      <c r="BI965" s="612">
        <f t="shared" si="723"/>
        <v>0</v>
      </c>
      <c r="BJ965" s="201">
        <f t="shared" si="727"/>
        <v>0</v>
      </c>
    </row>
    <row r="966" spans="1:62" ht="12" customHeight="1">
      <c r="A966" s="41"/>
      <c r="B966" s="41"/>
      <c r="C966" s="41"/>
      <c r="D966" s="41"/>
      <c r="E966" s="41"/>
      <c r="F966" s="41"/>
      <c r="G966" s="41"/>
      <c r="H966" s="26"/>
      <c r="I966" s="395"/>
      <c r="J966" s="267"/>
      <c r="K966" s="83"/>
      <c r="L966" s="84"/>
      <c r="M966" s="84"/>
      <c r="N966" s="85"/>
      <c r="O966" s="85"/>
      <c r="P966" s="86"/>
      <c r="Q966" s="86"/>
      <c r="R966" s="154"/>
      <c r="S966" s="158" t="e">
        <f ca="1">__xlfn.XLOOKUP(H964,[1]Izvršenje_proračuna_po_pozicija!$B$2:$B$153,[1]Izvršenje_proračuna_po_pozicija!$E$2:$E$153,0)</f>
        <v>#NAME?</v>
      </c>
      <c r="T966" s="158"/>
      <c r="U966" s="158"/>
      <c r="V966" s="532"/>
      <c r="W966" s="532"/>
      <c r="X966" s="568"/>
      <c r="Y966" s="569"/>
      <c r="Z966" s="569"/>
      <c r="AA966" s="562" t="e">
        <f t="shared" ca="1" si="709"/>
        <v>#NAME?</v>
      </c>
      <c r="AB966" s="537"/>
      <c r="AC966" s="538"/>
      <c r="AD966" s="538"/>
      <c r="AE966" s="529"/>
      <c r="AF966" s="529"/>
      <c r="AG966" s="529"/>
      <c r="AH966" s="529"/>
      <c r="AI966" s="537"/>
      <c r="AJ966" s="569"/>
      <c r="AK966" s="507"/>
      <c r="AL966" s="507"/>
      <c r="AM966" s="507"/>
      <c r="AN966" s="557"/>
      <c r="AO966" s="598"/>
      <c r="AP966" s="510" t="e">
        <f t="shared" ca="1" si="708"/>
        <v>#NAME?</v>
      </c>
      <c r="AQ966" s="532"/>
      <c r="AR966" s="533"/>
      <c r="AS966" s="533"/>
      <c r="AT966" s="533"/>
      <c r="AU966" s="533"/>
      <c r="AV966" s="533"/>
      <c r="AW966" s="612"/>
      <c r="AX966" s="612"/>
      <c r="AY966" s="612"/>
      <c r="AZ966" s="612"/>
      <c r="BA966" s="612"/>
      <c r="BB966" s="612"/>
      <c r="BC966" s="612"/>
      <c r="BD966" s="612"/>
      <c r="BE966" s="612"/>
      <c r="BF966" s="612"/>
      <c r="BG966" s="612"/>
      <c r="BH966" s="612">
        <f t="shared" si="710"/>
        <v>0</v>
      </c>
      <c r="BI966" s="612">
        <f t="shared" si="723"/>
        <v>0</v>
      </c>
      <c r="BJ966" s="201">
        <f t="shared" si="727"/>
        <v>0</v>
      </c>
    </row>
    <row r="967" spans="1:62" ht="12" customHeight="1">
      <c r="A967" s="396" t="s">
        <v>405</v>
      </c>
      <c r="B967" s="396"/>
      <c r="C967" s="396"/>
      <c r="D967" s="396"/>
      <c r="E967" s="396"/>
      <c r="F967" s="396"/>
      <c r="G967" s="396"/>
      <c r="H967" s="397"/>
      <c r="I967" s="369" t="s">
        <v>767</v>
      </c>
      <c r="J967" s="338"/>
      <c r="K967" s="123"/>
      <c r="L967" s="111">
        <f t="shared" ref="L967:S967" si="734">L970+L986</f>
        <v>0</v>
      </c>
      <c r="M967" s="111">
        <f t="shared" si="734"/>
        <v>0</v>
      </c>
      <c r="N967" s="112">
        <f t="shared" si="734"/>
        <v>0</v>
      </c>
      <c r="O967" s="112">
        <f t="shared" si="734"/>
        <v>0</v>
      </c>
      <c r="P967" s="113">
        <f t="shared" si="734"/>
        <v>0</v>
      </c>
      <c r="Q967" s="113">
        <f t="shared" si="734"/>
        <v>0</v>
      </c>
      <c r="R967" s="87">
        <f t="shared" si="734"/>
        <v>0</v>
      </c>
      <c r="S967" s="89" t="e">
        <f t="shared" ca="1" si="734"/>
        <v>#NAME?</v>
      </c>
      <c r="T967" s="89"/>
      <c r="U967" s="89"/>
      <c r="V967" s="532">
        <f>V970+V986</f>
        <v>0</v>
      </c>
      <c r="W967" s="532">
        <f>W970+W986</f>
        <v>0</v>
      </c>
      <c r="X967" s="506">
        <f>X970+X986</f>
        <v>0</v>
      </c>
      <c r="Y967" s="507">
        <f>Y970+Y986</f>
        <v>0</v>
      </c>
      <c r="Z967" s="507">
        <f>Z970+Z986</f>
        <v>0</v>
      </c>
      <c r="AA967" s="562" t="e">
        <f t="shared" ca="1" si="709"/>
        <v>#NAME?</v>
      </c>
      <c r="AB967" s="507"/>
      <c r="AC967" s="508">
        <f>AC970+AC986</f>
        <v>0</v>
      </c>
      <c r="AD967" s="508">
        <f>AD970+AD986</f>
        <v>0</v>
      </c>
      <c r="AE967" s="529"/>
      <c r="AF967" s="529"/>
      <c r="AG967" s="529"/>
      <c r="AH967" s="529"/>
      <c r="AI967" s="507"/>
      <c r="AJ967" s="507">
        <v>0</v>
      </c>
      <c r="AK967" s="507"/>
      <c r="AL967" s="507"/>
      <c r="AM967" s="507"/>
      <c r="AN967" s="509"/>
      <c r="AO967" s="510"/>
      <c r="AP967" s="510" t="e">
        <f t="shared" ca="1" si="708"/>
        <v>#NAME?</v>
      </c>
      <c r="AQ967" s="532">
        <f>AQ970+AQ986</f>
        <v>0</v>
      </c>
      <c r="AR967" s="533"/>
      <c r="AS967" s="533"/>
      <c r="AT967" s="533"/>
      <c r="AU967" s="533"/>
      <c r="AV967" s="533"/>
      <c r="AW967" s="612"/>
      <c r="AX967" s="612"/>
      <c r="AY967" s="612"/>
      <c r="AZ967" s="612"/>
      <c r="BA967" s="612"/>
      <c r="BB967" s="612"/>
      <c r="BC967" s="612"/>
      <c r="BD967" s="612"/>
      <c r="BE967" s="612"/>
      <c r="BF967" s="612"/>
      <c r="BG967" s="612"/>
      <c r="BH967" s="612">
        <f t="shared" si="710"/>
        <v>0</v>
      </c>
      <c r="BI967" s="612">
        <f t="shared" si="723"/>
        <v>0</v>
      </c>
      <c r="BJ967" s="201">
        <f t="shared" si="727"/>
        <v>0</v>
      </c>
    </row>
    <row r="968" spans="1:62" ht="12" customHeight="1">
      <c r="A968" s="167"/>
      <c r="B968" s="167"/>
      <c r="C968" s="167"/>
      <c r="D968" s="167"/>
      <c r="E968" s="167"/>
      <c r="F968" s="167"/>
      <c r="G968" s="167"/>
      <c r="H968" s="22"/>
      <c r="I968" s="349"/>
      <c r="J968" s="185"/>
      <c r="K968" s="19"/>
      <c r="L968" s="111"/>
      <c r="M968" s="111"/>
      <c r="N968" s="112"/>
      <c r="O968" s="112"/>
      <c r="P968" s="113"/>
      <c r="Q968" s="113"/>
      <c r="R968" s="87"/>
      <c r="S968" s="158" t="e">
        <f ca="1">__xlfn.XLOOKUP(H968,[1]Izvršenje_proračuna_po_pozicija!$B$2:$B$153,[1]Izvršenje_proračuna_po_pozicija!$E$2:$E$153,0)</f>
        <v>#NAME?</v>
      </c>
      <c r="T968" s="158"/>
      <c r="U968" s="158"/>
      <c r="V968" s="532"/>
      <c r="W968" s="532"/>
      <c r="X968" s="563"/>
      <c r="Y968" s="562"/>
      <c r="Z968" s="562"/>
      <c r="AA968" s="562" t="e">
        <f t="shared" ca="1" si="709"/>
        <v>#NAME?</v>
      </c>
      <c r="AB968" s="507"/>
      <c r="AC968" s="508"/>
      <c r="AD968" s="508"/>
      <c r="AE968" s="529"/>
      <c r="AF968" s="529"/>
      <c r="AG968" s="529"/>
      <c r="AH968" s="529"/>
      <c r="AI968" s="507"/>
      <c r="AJ968" s="562"/>
      <c r="AK968" s="507"/>
      <c r="AL968" s="507"/>
      <c r="AM968" s="507"/>
      <c r="AN968" s="509"/>
      <c r="AO968" s="510"/>
      <c r="AP968" s="510" t="e">
        <f t="shared" ca="1" si="708"/>
        <v>#NAME?</v>
      </c>
      <c r="AQ968" s="532"/>
      <c r="AR968" s="533"/>
      <c r="AS968" s="533"/>
      <c r="AT968" s="533"/>
      <c r="AU968" s="533"/>
      <c r="AV968" s="533"/>
      <c r="AW968" s="612"/>
      <c r="AX968" s="612"/>
      <c r="AY968" s="612"/>
      <c r="AZ968" s="612"/>
      <c r="BA968" s="612"/>
      <c r="BB968" s="612"/>
      <c r="BC968" s="612"/>
      <c r="BD968" s="612"/>
      <c r="BE968" s="612"/>
      <c r="BF968" s="612"/>
      <c r="BG968" s="612"/>
      <c r="BH968" s="612">
        <f t="shared" si="710"/>
        <v>0</v>
      </c>
      <c r="BI968" s="612">
        <f t="shared" si="723"/>
        <v>0</v>
      </c>
      <c r="BJ968" s="201">
        <f t="shared" si="727"/>
        <v>0</v>
      </c>
    </row>
    <row r="969" spans="1:62" ht="12" customHeight="1">
      <c r="A969" s="41"/>
      <c r="B969" s="41"/>
      <c r="C969" s="41"/>
      <c r="D969" s="41"/>
      <c r="E969" s="41"/>
      <c r="F969" s="41"/>
      <c r="G969" s="41"/>
      <c r="H969" s="359"/>
      <c r="I969" s="349"/>
      <c r="J969" s="211">
        <v>4</v>
      </c>
      <c r="K969" s="3" t="s">
        <v>768</v>
      </c>
      <c r="L969" s="111">
        <f t="shared" ref="L969:Z969" si="735">L970</f>
        <v>0</v>
      </c>
      <c r="M969" s="111">
        <f t="shared" si="735"/>
        <v>0</v>
      </c>
      <c r="N969" s="112">
        <f t="shared" si="735"/>
        <v>0</v>
      </c>
      <c r="O969" s="112">
        <f t="shared" si="735"/>
        <v>0</v>
      </c>
      <c r="P969" s="113">
        <f t="shared" si="735"/>
        <v>0</v>
      </c>
      <c r="Q969" s="113">
        <f t="shared" si="735"/>
        <v>0</v>
      </c>
      <c r="R969" s="87">
        <f t="shared" si="735"/>
        <v>0</v>
      </c>
      <c r="S969" s="89" t="e">
        <f t="shared" ca="1" si="735"/>
        <v>#NAME?</v>
      </c>
      <c r="T969" s="89"/>
      <c r="U969" s="89"/>
      <c r="V969" s="532">
        <f>V970</f>
        <v>0</v>
      </c>
      <c r="W969" s="532">
        <f t="shared" si="735"/>
        <v>0</v>
      </c>
      <c r="X969" s="506">
        <f t="shared" si="735"/>
        <v>0</v>
      </c>
      <c r="Y969" s="507">
        <f t="shared" si="735"/>
        <v>0</v>
      </c>
      <c r="Z969" s="507">
        <f t="shared" si="735"/>
        <v>0</v>
      </c>
      <c r="AA969" s="562" t="e">
        <f t="shared" ca="1" si="709"/>
        <v>#NAME?</v>
      </c>
      <c r="AB969" s="507"/>
      <c r="AC969" s="508">
        <f>AC970</f>
        <v>0</v>
      </c>
      <c r="AD969" s="508">
        <f>AD970</f>
        <v>0</v>
      </c>
      <c r="AE969" s="529"/>
      <c r="AF969" s="529"/>
      <c r="AG969" s="529"/>
      <c r="AH969" s="529"/>
      <c r="AI969" s="507"/>
      <c r="AJ969" s="507">
        <v>0</v>
      </c>
      <c r="AK969" s="507"/>
      <c r="AL969" s="507"/>
      <c r="AM969" s="507"/>
      <c r="AN969" s="509"/>
      <c r="AO969" s="510"/>
      <c r="AP969" s="510" t="e">
        <f t="shared" ca="1" si="708"/>
        <v>#NAME?</v>
      </c>
      <c r="AQ969" s="532">
        <f>AQ970</f>
        <v>0</v>
      </c>
      <c r="AR969" s="533"/>
      <c r="AS969" s="533"/>
      <c r="AT969" s="533"/>
      <c r="AU969" s="533"/>
      <c r="AV969" s="533"/>
      <c r="AW969" s="612"/>
      <c r="AX969" s="612"/>
      <c r="AY969" s="612"/>
      <c r="AZ969" s="612"/>
      <c r="BA969" s="612"/>
      <c r="BB969" s="612"/>
      <c r="BC969" s="612"/>
      <c r="BD969" s="612"/>
      <c r="BE969" s="612"/>
      <c r="BF969" s="612"/>
      <c r="BG969" s="612"/>
      <c r="BH969" s="612">
        <f t="shared" si="710"/>
        <v>0</v>
      </c>
      <c r="BI969" s="612">
        <f t="shared" si="723"/>
        <v>0</v>
      </c>
      <c r="BJ969" s="201"/>
    </row>
    <row r="970" spans="1:62" ht="12" customHeight="1">
      <c r="A970" s="360"/>
      <c r="B970" s="360"/>
      <c r="C970" s="360"/>
      <c r="D970" s="360"/>
      <c r="E970" s="360"/>
      <c r="F970" s="360"/>
      <c r="G970" s="360"/>
      <c r="H970" s="23"/>
      <c r="I970" s="265"/>
      <c r="J970" s="228">
        <v>42</v>
      </c>
      <c r="K970" s="258" t="s">
        <v>602</v>
      </c>
      <c r="L970" s="111">
        <f t="shared" ref="L970:S970" si="736">L972</f>
        <v>0</v>
      </c>
      <c r="M970" s="111">
        <f t="shared" si="736"/>
        <v>0</v>
      </c>
      <c r="N970" s="112">
        <f t="shared" si="736"/>
        <v>0</v>
      </c>
      <c r="O970" s="112">
        <f t="shared" si="736"/>
        <v>0</v>
      </c>
      <c r="P970" s="113">
        <f t="shared" si="736"/>
        <v>0</v>
      </c>
      <c r="Q970" s="113">
        <f t="shared" si="736"/>
        <v>0</v>
      </c>
      <c r="R970" s="87">
        <f t="shared" si="736"/>
        <v>0</v>
      </c>
      <c r="S970" s="89" t="e">
        <f t="shared" ca="1" si="736"/>
        <v>#NAME?</v>
      </c>
      <c r="T970" s="89"/>
      <c r="U970" s="89"/>
      <c r="V970" s="532">
        <f>V972</f>
        <v>0</v>
      </c>
      <c r="W970" s="532">
        <f>W972</f>
        <v>0</v>
      </c>
      <c r="X970" s="506">
        <f>X972</f>
        <v>0</v>
      </c>
      <c r="Y970" s="507">
        <f>Y972</f>
        <v>0</v>
      </c>
      <c r="Z970" s="507">
        <f>Z972</f>
        <v>0</v>
      </c>
      <c r="AA970" s="562" t="e">
        <f t="shared" ca="1" si="709"/>
        <v>#NAME?</v>
      </c>
      <c r="AB970" s="507"/>
      <c r="AC970" s="508">
        <f>AC972</f>
        <v>0</v>
      </c>
      <c r="AD970" s="508">
        <f>AD972</f>
        <v>0</v>
      </c>
      <c r="AE970" s="529"/>
      <c r="AF970" s="529"/>
      <c r="AG970" s="529"/>
      <c r="AH970" s="529"/>
      <c r="AI970" s="507"/>
      <c r="AJ970" s="507">
        <v>0</v>
      </c>
      <c r="AK970" s="507"/>
      <c r="AL970" s="507"/>
      <c r="AM970" s="507"/>
      <c r="AN970" s="509"/>
      <c r="AO970" s="510"/>
      <c r="AP970" s="510" t="e">
        <f t="shared" ca="1" si="708"/>
        <v>#NAME?</v>
      </c>
      <c r="AQ970" s="532">
        <f>AQ972</f>
        <v>0</v>
      </c>
      <c r="AR970" s="533"/>
      <c r="AS970" s="533"/>
      <c r="AT970" s="533"/>
      <c r="AU970" s="533"/>
      <c r="AV970" s="533"/>
      <c r="AW970" s="612"/>
      <c r="AX970" s="612"/>
      <c r="AY970" s="612"/>
      <c r="AZ970" s="612"/>
      <c r="BA970" s="612"/>
      <c r="BB970" s="612"/>
      <c r="BC970" s="612"/>
      <c r="BD970" s="612"/>
      <c r="BE970" s="612"/>
      <c r="BF970" s="612"/>
      <c r="BG970" s="612"/>
      <c r="BH970" s="612">
        <f t="shared" si="710"/>
        <v>0</v>
      </c>
      <c r="BI970" s="612">
        <f t="shared" si="723"/>
        <v>0</v>
      </c>
      <c r="BJ970" s="201"/>
    </row>
    <row r="971" spans="1:62" ht="12" customHeight="1">
      <c r="A971" s="41"/>
      <c r="B971" s="41"/>
      <c r="C971" s="41"/>
      <c r="D971" s="41"/>
      <c r="E971" s="41"/>
      <c r="F971" s="41"/>
      <c r="G971" s="41"/>
      <c r="H971" s="235"/>
      <c r="I971" s="15"/>
      <c r="J971" s="3"/>
      <c r="K971" s="83"/>
      <c r="L971" s="84"/>
      <c r="M971" s="84"/>
      <c r="N971" s="85"/>
      <c r="O971" s="85"/>
      <c r="P971" s="86"/>
      <c r="Q971" s="86"/>
      <c r="R971" s="154"/>
      <c r="S971" s="158" t="e">
        <f ca="1">__xlfn.XLOOKUP(H971,[1]Izvršenje_proračuna_po_pozicija!$B$2:$B$153,[1]Izvršenje_proračuna_po_pozicija!$E$2:$E$153,0)</f>
        <v>#NAME?</v>
      </c>
      <c r="T971" s="158"/>
      <c r="U971" s="158"/>
      <c r="V971" s="532"/>
      <c r="W971" s="532"/>
      <c r="X971" s="568"/>
      <c r="Y971" s="569"/>
      <c r="Z971" s="569"/>
      <c r="AA971" s="562" t="e">
        <f t="shared" ca="1" si="709"/>
        <v>#NAME?</v>
      </c>
      <c r="AB971" s="537"/>
      <c r="AC971" s="538"/>
      <c r="AD971" s="538"/>
      <c r="AE971" s="529"/>
      <c r="AF971" s="529"/>
      <c r="AG971" s="529"/>
      <c r="AH971" s="529"/>
      <c r="AI971" s="537"/>
      <c r="AJ971" s="569"/>
      <c r="AK971" s="507"/>
      <c r="AL971" s="507"/>
      <c r="AM971" s="507"/>
      <c r="AN971" s="557"/>
      <c r="AO971" s="510"/>
      <c r="AP971" s="510" t="e">
        <f t="shared" ca="1" si="708"/>
        <v>#NAME?</v>
      </c>
      <c r="AQ971" s="532"/>
      <c r="AR971" s="533"/>
      <c r="AS971" s="533"/>
      <c r="AT971" s="533"/>
      <c r="AU971" s="533"/>
      <c r="AV971" s="533"/>
      <c r="AW971" s="612"/>
      <c r="AX971" s="612"/>
      <c r="AY971" s="612"/>
      <c r="AZ971" s="612"/>
      <c r="BA971" s="612"/>
      <c r="BB971" s="612"/>
      <c r="BC971" s="612"/>
      <c r="BD971" s="612"/>
      <c r="BE971" s="612"/>
      <c r="BF971" s="612"/>
      <c r="BG971" s="612"/>
      <c r="BH971" s="612">
        <f t="shared" si="710"/>
        <v>0</v>
      </c>
      <c r="BI971" s="612">
        <f t="shared" si="723"/>
        <v>0</v>
      </c>
      <c r="BJ971" s="201"/>
    </row>
    <row r="972" spans="1:62" ht="12" customHeight="1">
      <c r="A972" s="357"/>
      <c r="B972" s="357"/>
      <c r="C972" s="357"/>
      <c r="D972" s="357"/>
      <c r="E972" s="357"/>
      <c r="F972" s="357"/>
      <c r="G972" s="357"/>
      <c r="H972" s="358"/>
      <c r="I972" s="348"/>
      <c r="J972" s="229">
        <v>421</v>
      </c>
      <c r="K972" s="20" t="s">
        <v>455</v>
      </c>
      <c r="L972" s="111">
        <f t="shared" ref="L972:S972" si="737">L973+L974</f>
        <v>0</v>
      </c>
      <c r="M972" s="111">
        <f t="shared" si="737"/>
        <v>0</v>
      </c>
      <c r="N972" s="112">
        <f t="shared" si="737"/>
        <v>0</v>
      </c>
      <c r="O972" s="112">
        <f t="shared" si="737"/>
        <v>0</v>
      </c>
      <c r="P972" s="113">
        <f t="shared" si="737"/>
        <v>0</v>
      </c>
      <c r="Q972" s="113">
        <f t="shared" si="737"/>
        <v>0</v>
      </c>
      <c r="R972" s="87">
        <f t="shared" si="737"/>
        <v>0</v>
      </c>
      <c r="S972" s="89" t="e">
        <f t="shared" ca="1" si="737"/>
        <v>#NAME?</v>
      </c>
      <c r="T972" s="89"/>
      <c r="U972" s="89"/>
      <c r="V972" s="532">
        <f>V973+V974</f>
        <v>0</v>
      </c>
      <c r="W972" s="532">
        <f>W973+W974</f>
        <v>0</v>
      </c>
      <c r="X972" s="506">
        <f>X973+X974</f>
        <v>0</v>
      </c>
      <c r="Y972" s="507">
        <f>Y973+Y974</f>
        <v>0</v>
      </c>
      <c r="Z972" s="507">
        <f>Z973+Z974</f>
        <v>0</v>
      </c>
      <c r="AA972" s="562" t="e">
        <f t="shared" ca="1" si="709"/>
        <v>#NAME?</v>
      </c>
      <c r="AB972" s="507"/>
      <c r="AC972" s="508">
        <f>AC973+AC974</f>
        <v>0</v>
      </c>
      <c r="AD972" s="508">
        <f>AD973+AD974</f>
        <v>0</v>
      </c>
      <c r="AE972" s="529"/>
      <c r="AF972" s="529"/>
      <c r="AG972" s="529"/>
      <c r="AH972" s="529"/>
      <c r="AI972" s="507"/>
      <c r="AJ972" s="507">
        <v>0</v>
      </c>
      <c r="AK972" s="507"/>
      <c r="AL972" s="507"/>
      <c r="AM972" s="507"/>
      <c r="AN972" s="509"/>
      <c r="AO972" s="510"/>
      <c r="AP972" s="510" t="e">
        <f t="shared" ca="1" si="708"/>
        <v>#NAME?</v>
      </c>
      <c r="AQ972" s="532">
        <f>AQ973+AQ974</f>
        <v>0</v>
      </c>
      <c r="AR972" s="533"/>
      <c r="AS972" s="533"/>
      <c r="AT972" s="533"/>
      <c r="AU972" s="533"/>
      <c r="AV972" s="533"/>
      <c r="AW972" s="612"/>
      <c r="AX972" s="612"/>
      <c r="AY972" s="612"/>
      <c r="AZ972" s="612"/>
      <c r="BA972" s="612"/>
      <c r="BB972" s="612"/>
      <c r="BC972" s="612"/>
      <c r="BD972" s="612"/>
      <c r="BE972" s="612"/>
      <c r="BF972" s="612"/>
      <c r="BG972" s="612"/>
      <c r="BH972" s="612">
        <f t="shared" si="710"/>
        <v>0</v>
      </c>
      <c r="BI972" s="612">
        <f t="shared" si="723"/>
        <v>0</v>
      </c>
      <c r="BJ972" s="201"/>
    </row>
    <row r="973" spans="1:62" ht="12" customHeight="1">
      <c r="A973" s="167"/>
      <c r="B973" s="167"/>
      <c r="C973" s="167"/>
      <c r="D973" s="167"/>
      <c r="E973" s="167"/>
      <c r="F973" s="167"/>
      <c r="G973" s="167"/>
      <c r="H973" s="22" t="s">
        <v>769</v>
      </c>
      <c r="I973" s="7">
        <v>1020</v>
      </c>
      <c r="J973" s="185">
        <v>4212</v>
      </c>
      <c r="K973" s="19" t="s">
        <v>770</v>
      </c>
      <c r="L973" s="129">
        <v>0</v>
      </c>
      <c r="M973" s="129">
        <v>0</v>
      </c>
      <c r="N973" s="130">
        <v>0</v>
      </c>
      <c r="O973" s="130">
        <v>0</v>
      </c>
      <c r="P973" s="131">
        <v>0</v>
      </c>
      <c r="Q973" s="131">
        <v>0</v>
      </c>
      <c r="R973" s="153">
        <v>0</v>
      </c>
      <c r="S973" s="158" t="e">
        <f ca="1">__xlfn.XLOOKUP(H973,[1]Izvršenje_proračuna_po_pozicija!$B$2:$B$153,[1]Izvršenje_proračuna_po_pozicija!$E$2:$E$153,0)</f>
        <v>#NAME?</v>
      </c>
      <c r="T973" s="158"/>
      <c r="U973" s="158"/>
      <c r="V973" s="532"/>
      <c r="W973" s="532"/>
      <c r="X973" s="560"/>
      <c r="Y973" s="561"/>
      <c r="Z973" s="561"/>
      <c r="AA973" s="562" t="e">
        <f t="shared" ca="1" si="709"/>
        <v>#NAME?</v>
      </c>
      <c r="AB973" s="535"/>
      <c r="AC973" s="529">
        <v>0</v>
      </c>
      <c r="AD973" s="529">
        <v>0</v>
      </c>
      <c r="AE973" s="529"/>
      <c r="AF973" s="529"/>
      <c r="AG973" s="529"/>
      <c r="AH973" s="529"/>
      <c r="AI973" s="535"/>
      <c r="AJ973" s="561"/>
      <c r="AK973" s="507"/>
      <c r="AL973" s="507"/>
      <c r="AM973" s="507"/>
      <c r="AN973" s="556"/>
      <c r="AO973" s="510"/>
      <c r="AP973" s="510" t="e">
        <f t="shared" ca="1" si="708"/>
        <v>#NAME?</v>
      </c>
      <c r="AQ973" s="532"/>
      <c r="AR973" s="533"/>
      <c r="AS973" s="533"/>
      <c r="AT973" s="533"/>
      <c r="AU973" s="533"/>
      <c r="AV973" s="533"/>
      <c r="AW973" s="612"/>
      <c r="AX973" s="612"/>
      <c r="AY973" s="612"/>
      <c r="AZ973" s="612"/>
      <c r="BA973" s="612"/>
      <c r="BB973" s="612"/>
      <c r="BC973" s="612"/>
      <c r="BD973" s="612"/>
      <c r="BE973" s="612"/>
      <c r="BF973" s="612"/>
      <c r="BG973" s="612"/>
      <c r="BH973" s="612">
        <f t="shared" si="710"/>
        <v>0</v>
      </c>
      <c r="BI973" s="612">
        <f t="shared" si="723"/>
        <v>0</v>
      </c>
      <c r="BJ973" s="201"/>
    </row>
    <row r="974" spans="1:62" ht="12" customHeight="1">
      <c r="A974" s="167"/>
      <c r="B974" s="167"/>
      <c r="C974" s="167"/>
      <c r="D974" s="167"/>
      <c r="E974" s="167"/>
      <c r="F974" s="167"/>
      <c r="G974" s="167"/>
      <c r="H974" s="22" t="s">
        <v>771</v>
      </c>
      <c r="I974" s="7">
        <v>1020</v>
      </c>
      <c r="J974" s="185">
        <v>4212</v>
      </c>
      <c r="K974" s="19" t="s">
        <v>772</v>
      </c>
      <c r="L974" s="129">
        <v>0</v>
      </c>
      <c r="M974" s="129">
        <v>0</v>
      </c>
      <c r="N974" s="130">
        <v>0</v>
      </c>
      <c r="O974" s="130">
        <v>0</v>
      </c>
      <c r="P974" s="131">
        <v>0</v>
      </c>
      <c r="Q974" s="131">
        <v>0</v>
      </c>
      <c r="R974" s="153">
        <v>0</v>
      </c>
      <c r="S974" s="158" t="e">
        <f ca="1">__xlfn.XLOOKUP(H974,[1]Izvršenje_proračuna_po_pozicija!$B$2:$B$153,[1]Izvršenje_proračuna_po_pozicija!$E$2:$E$153,0)</f>
        <v>#NAME?</v>
      </c>
      <c r="T974" s="158"/>
      <c r="U974" s="158"/>
      <c r="V974" s="532"/>
      <c r="W974" s="532"/>
      <c r="X974" s="560"/>
      <c r="Y974" s="561"/>
      <c r="Z974" s="561"/>
      <c r="AA974" s="562" t="e">
        <f t="shared" ca="1" si="709"/>
        <v>#NAME?</v>
      </c>
      <c r="AB974" s="535"/>
      <c r="AC974" s="529">
        <v>0</v>
      </c>
      <c r="AD974" s="529">
        <v>0</v>
      </c>
      <c r="AE974" s="529"/>
      <c r="AF974" s="529"/>
      <c r="AG974" s="529"/>
      <c r="AH974" s="529"/>
      <c r="AI974" s="535"/>
      <c r="AJ974" s="561"/>
      <c r="AK974" s="507"/>
      <c r="AL974" s="507"/>
      <c r="AM974" s="507"/>
      <c r="AN974" s="556"/>
      <c r="AO974" s="510"/>
      <c r="AP974" s="510" t="e">
        <f t="shared" ca="1" si="708"/>
        <v>#NAME?</v>
      </c>
      <c r="AQ974" s="532"/>
      <c r="AR974" s="533"/>
      <c r="AS974" s="533"/>
      <c r="AT974" s="533"/>
      <c r="AU974" s="533"/>
      <c r="AV974" s="533"/>
      <c r="AW974" s="612"/>
      <c r="AX974" s="612"/>
      <c r="AY974" s="612"/>
      <c r="AZ974" s="612"/>
      <c r="BA974" s="612"/>
      <c r="BB974" s="612"/>
      <c r="BC974" s="612"/>
      <c r="BD974" s="612"/>
      <c r="BE974" s="612"/>
      <c r="BF974" s="612"/>
      <c r="BG974" s="612"/>
      <c r="BH974" s="612">
        <f t="shared" si="710"/>
        <v>0</v>
      </c>
      <c r="BI974" s="612">
        <f t="shared" si="723"/>
        <v>0</v>
      </c>
      <c r="BJ974" s="201"/>
    </row>
    <row r="975" spans="1:62" ht="12" customHeight="1">
      <c r="A975" s="41"/>
      <c r="B975" s="41"/>
      <c r="C975" s="41"/>
      <c r="D975" s="41"/>
      <c r="E975" s="41"/>
      <c r="F975" s="41"/>
      <c r="G975" s="41"/>
      <c r="H975" s="235"/>
      <c r="I975" s="15"/>
      <c r="J975" s="3"/>
      <c r="K975" s="211"/>
      <c r="L975" s="84"/>
      <c r="M975" s="84"/>
      <c r="N975" s="85"/>
      <c r="O975" s="85"/>
      <c r="P975" s="86"/>
      <c r="Q975" s="86"/>
      <c r="R975" s="154"/>
      <c r="S975" s="158" t="e">
        <f ca="1">__xlfn.XLOOKUP(H975,[1]Izvršenje_proračuna_po_pozicija!$B$2:$B$153,[1]Izvršenje_proračuna_po_pozicija!$E$2:$E$153,0)</f>
        <v>#NAME?</v>
      </c>
      <c r="T975" s="158"/>
      <c r="U975" s="158"/>
      <c r="V975" s="532"/>
      <c r="W975" s="532"/>
      <c r="X975" s="568"/>
      <c r="Y975" s="569"/>
      <c r="Z975" s="569"/>
      <c r="AA975" s="562" t="e">
        <f t="shared" ca="1" si="709"/>
        <v>#NAME?</v>
      </c>
      <c r="AB975" s="537"/>
      <c r="AC975" s="538"/>
      <c r="AD975" s="538"/>
      <c r="AE975" s="529"/>
      <c r="AF975" s="529"/>
      <c r="AG975" s="529"/>
      <c r="AH975" s="529"/>
      <c r="AI975" s="537"/>
      <c r="AJ975" s="569"/>
      <c r="AK975" s="507"/>
      <c r="AL975" s="507"/>
      <c r="AM975" s="507"/>
      <c r="AN975" s="557"/>
      <c r="AO975" s="510"/>
      <c r="AP975" s="510" t="e">
        <f t="shared" ca="1" si="708"/>
        <v>#NAME?</v>
      </c>
      <c r="AQ975" s="532"/>
      <c r="AR975" s="533"/>
      <c r="AS975" s="533"/>
      <c r="AT975" s="533"/>
      <c r="AU975" s="533"/>
      <c r="AV975" s="533"/>
      <c r="AW975" s="612"/>
      <c r="AX975" s="612"/>
      <c r="AY975" s="612"/>
      <c r="AZ975" s="612"/>
      <c r="BA975" s="612"/>
      <c r="BB975" s="612"/>
      <c r="BC975" s="612"/>
      <c r="BD975" s="612"/>
      <c r="BE975" s="612"/>
      <c r="BF975" s="612"/>
      <c r="BG975" s="612"/>
      <c r="BH975" s="612">
        <f t="shared" si="710"/>
        <v>0</v>
      </c>
      <c r="BI975" s="612">
        <f t="shared" si="723"/>
        <v>25437.5</v>
      </c>
      <c r="BJ975" s="201">
        <f>AQ982-BI975</f>
        <v>0</v>
      </c>
    </row>
    <row r="976" spans="1:62" ht="12" customHeight="1">
      <c r="A976" s="221"/>
      <c r="B976" s="222"/>
      <c r="C976" s="222"/>
      <c r="D976" s="222"/>
      <c r="E976" s="222"/>
      <c r="F976" s="222"/>
      <c r="G976" s="398"/>
      <c r="H976" s="399"/>
      <c r="I976" s="413" t="s">
        <v>773</v>
      </c>
      <c r="J976" s="374"/>
      <c r="K976" s="223"/>
      <c r="L976" s="111">
        <f t="shared" ref="L976:Z976" si="738">L977</f>
        <v>296739</v>
      </c>
      <c r="M976" s="111">
        <f t="shared" si="738"/>
        <v>39384.033446147718</v>
      </c>
      <c r="N976" s="112">
        <f t="shared" si="738"/>
        <v>438368</v>
      </c>
      <c r="O976" s="112">
        <f t="shared" si="738"/>
        <v>58181.432079102793</v>
      </c>
      <c r="P976" s="113">
        <f t="shared" si="738"/>
        <v>358300</v>
      </c>
      <c r="Q976" s="113">
        <f t="shared" si="738"/>
        <v>6600</v>
      </c>
      <c r="R976" s="87">
        <f t="shared" si="738"/>
        <v>6600</v>
      </c>
      <c r="S976" s="89" t="e">
        <f t="shared" ca="1" si="738"/>
        <v>#NAME?</v>
      </c>
      <c r="T976" s="89"/>
      <c r="U976" s="89"/>
      <c r="V976" s="532">
        <f>V977</f>
        <v>50000</v>
      </c>
      <c r="W976" s="532">
        <f t="shared" si="738"/>
        <v>50000</v>
      </c>
      <c r="X976" s="506">
        <f t="shared" si="738"/>
        <v>550000</v>
      </c>
      <c r="Y976" s="507">
        <f t="shared" si="738"/>
        <v>150000</v>
      </c>
      <c r="Z976" s="507">
        <f t="shared" si="738"/>
        <v>0</v>
      </c>
      <c r="AA976" s="562" t="e">
        <f t="shared" ca="1" si="709"/>
        <v>#NAME?</v>
      </c>
      <c r="AB976" s="507"/>
      <c r="AC976" s="508">
        <f>AC977</f>
        <v>172600</v>
      </c>
      <c r="AD976" s="508">
        <f>AD977</f>
        <v>172600</v>
      </c>
      <c r="AE976" s="529">
        <f>O976/M976*100</f>
        <v>147.72847519200377</v>
      </c>
      <c r="AF976" s="529"/>
      <c r="AG976" s="529"/>
      <c r="AH976" s="529"/>
      <c r="AI976" s="507"/>
      <c r="AJ976" s="507">
        <v>150000</v>
      </c>
      <c r="AK976" s="507">
        <f t="shared" si="712"/>
        <v>757.57575757575762</v>
      </c>
      <c r="AL976" s="507">
        <f t="shared" si="713"/>
        <v>1100</v>
      </c>
      <c r="AM976" s="507">
        <f t="shared" si="713"/>
        <v>27.27272727272727</v>
      </c>
      <c r="AN976" s="509"/>
      <c r="AO976" s="510"/>
      <c r="AP976" s="510" t="e">
        <f t="shared" ca="1" si="708"/>
        <v>#NAME?</v>
      </c>
      <c r="AQ976" s="532">
        <f>AQ977</f>
        <v>25437.5</v>
      </c>
      <c r="AR976" s="533">
        <f>V976/R976*100</f>
        <v>757.57575757575762</v>
      </c>
      <c r="AS976" s="533">
        <f t="shared" si="714"/>
        <v>100</v>
      </c>
      <c r="AT976" s="533">
        <f>W976/R976*100</f>
        <v>757.57575757575762</v>
      </c>
      <c r="AU976" s="533">
        <f>AQ976/W976*100</f>
        <v>50.875</v>
      </c>
      <c r="AV976" s="533">
        <f>AQ976/R976*100</f>
        <v>385.41666666666663</v>
      </c>
      <c r="AW976" s="612"/>
      <c r="AX976" s="612"/>
      <c r="AY976" s="612"/>
      <c r="AZ976" s="612"/>
      <c r="BA976" s="612"/>
      <c r="BB976" s="612"/>
      <c r="BC976" s="612"/>
      <c r="BD976" s="612"/>
      <c r="BE976" s="612"/>
      <c r="BF976" s="612"/>
      <c r="BG976" s="612"/>
      <c r="BH976" s="612">
        <f t="shared" si="710"/>
        <v>0</v>
      </c>
      <c r="BI976" s="612">
        <f t="shared" si="723"/>
        <v>0</v>
      </c>
      <c r="BJ976" s="201">
        <f>AQ983-BI976</f>
        <v>0</v>
      </c>
    </row>
    <row r="977" spans="1:64" ht="12" customHeight="1">
      <c r="A977" s="400" t="s">
        <v>774</v>
      </c>
      <c r="B977" s="401"/>
      <c r="C977" s="401"/>
      <c r="D977" s="401"/>
      <c r="E977" s="401"/>
      <c r="F977" s="401"/>
      <c r="G977" s="401"/>
      <c r="H977" s="402"/>
      <c r="I977" s="13" t="s">
        <v>775</v>
      </c>
      <c r="J977" s="370"/>
      <c r="K977" s="226"/>
      <c r="L977" s="111">
        <f t="shared" ref="L977:S977" si="739">L979</f>
        <v>296739</v>
      </c>
      <c r="M977" s="111">
        <f t="shared" si="739"/>
        <v>39384.033446147718</v>
      </c>
      <c r="N977" s="112">
        <f t="shared" si="739"/>
        <v>438368</v>
      </c>
      <c r="O977" s="112">
        <f t="shared" si="739"/>
        <v>58181.432079102793</v>
      </c>
      <c r="P977" s="113">
        <f t="shared" si="739"/>
        <v>358300</v>
      </c>
      <c r="Q977" s="113">
        <f t="shared" si="739"/>
        <v>6600</v>
      </c>
      <c r="R977" s="87">
        <f t="shared" si="739"/>
        <v>6600</v>
      </c>
      <c r="S977" s="89" t="e">
        <f t="shared" ca="1" si="739"/>
        <v>#NAME?</v>
      </c>
      <c r="T977" s="89"/>
      <c r="U977" s="89"/>
      <c r="V977" s="532">
        <f>V979</f>
        <v>50000</v>
      </c>
      <c r="W977" s="532">
        <f>W979</f>
        <v>50000</v>
      </c>
      <c r="X977" s="506">
        <f>X979</f>
        <v>550000</v>
      </c>
      <c r="Y977" s="507">
        <f>Y979</f>
        <v>150000</v>
      </c>
      <c r="Z977" s="507">
        <f>Z979</f>
        <v>0</v>
      </c>
      <c r="AA977" s="562" t="e">
        <f t="shared" ca="1" si="709"/>
        <v>#NAME?</v>
      </c>
      <c r="AB977" s="507"/>
      <c r="AC977" s="508">
        <f>AC979</f>
        <v>172600</v>
      </c>
      <c r="AD977" s="508">
        <f>AD979</f>
        <v>172600</v>
      </c>
      <c r="AE977" s="529">
        <f>O977/M977*100</f>
        <v>147.72847519200377</v>
      </c>
      <c r="AF977" s="529"/>
      <c r="AG977" s="529"/>
      <c r="AH977" s="529"/>
      <c r="AI977" s="507"/>
      <c r="AJ977" s="507">
        <v>150000</v>
      </c>
      <c r="AK977" s="507">
        <f t="shared" si="712"/>
        <v>757.57575757575762</v>
      </c>
      <c r="AL977" s="507">
        <f t="shared" si="713"/>
        <v>1100</v>
      </c>
      <c r="AM977" s="507">
        <f t="shared" si="713"/>
        <v>27.27272727272727</v>
      </c>
      <c r="AN977" s="509"/>
      <c r="AO977" s="510"/>
      <c r="AP977" s="510" t="e">
        <f t="shared" ca="1" si="708"/>
        <v>#NAME?</v>
      </c>
      <c r="AQ977" s="532">
        <f>AQ979</f>
        <v>25437.5</v>
      </c>
      <c r="AR977" s="533">
        <f>V977/R977*100</f>
        <v>757.57575757575762</v>
      </c>
      <c r="AS977" s="533">
        <f t="shared" si="714"/>
        <v>100</v>
      </c>
      <c r="AT977" s="533">
        <f>W977/R977*100</f>
        <v>757.57575757575762</v>
      </c>
      <c r="AU977" s="533">
        <f>AQ977/W977*100</f>
        <v>50.875</v>
      </c>
      <c r="AV977" s="533">
        <f>AQ977/R977*100</f>
        <v>385.41666666666663</v>
      </c>
      <c r="AW977" s="612"/>
      <c r="AX977" s="612"/>
      <c r="AY977" s="612"/>
      <c r="AZ977" s="612"/>
      <c r="BA977" s="612"/>
      <c r="BB977" s="612"/>
      <c r="BC977" s="612"/>
      <c r="BD977" s="612"/>
      <c r="BE977" s="612"/>
      <c r="BF977" s="612"/>
      <c r="BG977" s="612"/>
      <c r="BH977" s="612">
        <f t="shared" si="710"/>
        <v>0</v>
      </c>
      <c r="BI977" s="612">
        <f t="shared" si="723"/>
        <v>0</v>
      </c>
      <c r="BJ977" s="201">
        <f>AQ984-BI977</f>
        <v>0</v>
      </c>
    </row>
    <row r="978" spans="1:64" ht="12" customHeight="1">
      <c r="A978" s="167"/>
      <c r="B978" s="167"/>
      <c r="C978" s="167"/>
      <c r="D978" s="167"/>
      <c r="E978" s="167"/>
      <c r="F978" s="167"/>
      <c r="G978" s="167"/>
      <c r="H978" s="22"/>
      <c r="I978" s="7"/>
      <c r="J978" s="185"/>
      <c r="K978" s="19"/>
      <c r="L978" s="350"/>
      <c r="M978" s="350"/>
      <c r="N978" s="351"/>
      <c r="O978" s="351"/>
      <c r="P978" s="352"/>
      <c r="Q978" s="352"/>
      <c r="R978" s="212"/>
      <c r="S978" s="158" t="e">
        <f ca="1">__xlfn.XLOOKUP(H978,[1]Izvršenje_proračuna_po_pozicija!$B$2:$B$153,[1]Izvršenje_proračuna_po_pozicija!$E$2:$E$153,0)</f>
        <v>#NAME?</v>
      </c>
      <c r="T978" s="158"/>
      <c r="U978" s="158"/>
      <c r="V978" s="532"/>
      <c r="W978" s="532"/>
      <c r="X978" s="563"/>
      <c r="Y978" s="562"/>
      <c r="Z978" s="562"/>
      <c r="AA978" s="562" t="e">
        <f t="shared" ca="1" si="709"/>
        <v>#NAME?</v>
      </c>
      <c r="AB978" s="507"/>
      <c r="AC978" s="508"/>
      <c r="AD978" s="508"/>
      <c r="AE978" s="529"/>
      <c r="AF978" s="529"/>
      <c r="AG978" s="529"/>
      <c r="AH978" s="529"/>
      <c r="AI978" s="507"/>
      <c r="AJ978" s="562"/>
      <c r="AK978" s="507"/>
      <c r="AL978" s="507"/>
      <c r="AM978" s="507"/>
      <c r="AN978" s="509"/>
      <c r="AO978" s="510"/>
      <c r="AP978" s="510" t="e">
        <f t="shared" ca="1" si="708"/>
        <v>#NAME?</v>
      </c>
      <c r="AQ978" s="532"/>
      <c r="AR978" s="533"/>
      <c r="AS978" s="533"/>
      <c r="AT978" s="533"/>
      <c r="AU978" s="533"/>
      <c r="AV978" s="533"/>
      <c r="AW978" s="612"/>
      <c r="AX978" s="612"/>
      <c r="AY978" s="612"/>
      <c r="AZ978" s="612"/>
      <c r="BA978" s="612"/>
      <c r="BB978" s="612"/>
      <c r="BC978" s="612"/>
      <c r="BD978" s="612"/>
      <c r="BE978" s="612"/>
      <c r="BF978" s="612"/>
      <c r="BG978" s="612"/>
      <c r="BH978" s="612">
        <f t="shared" si="710"/>
        <v>0</v>
      </c>
      <c r="BI978" s="612"/>
      <c r="BJ978" s="162">
        <f>SUM(BI356:BI977)</f>
        <v>5997179.0999999987</v>
      </c>
    </row>
    <row r="979" spans="1:64" ht="12" customHeight="1">
      <c r="A979" s="41"/>
      <c r="B979" s="41"/>
      <c r="C979" s="41"/>
      <c r="D979" s="41"/>
      <c r="E979" s="41"/>
      <c r="F979" s="41"/>
      <c r="G979" s="41"/>
      <c r="H979" s="359"/>
      <c r="I979" s="9"/>
      <c r="J979" s="211">
        <v>4</v>
      </c>
      <c r="K979" s="3" t="s">
        <v>580</v>
      </c>
      <c r="L979" s="111">
        <f t="shared" ref="L979:AD980" si="740">L980</f>
        <v>296739</v>
      </c>
      <c r="M979" s="111">
        <f t="shared" si="740"/>
        <v>39384.033446147718</v>
      </c>
      <c r="N979" s="112">
        <f t="shared" si="740"/>
        <v>438368</v>
      </c>
      <c r="O979" s="112">
        <f t="shared" si="740"/>
        <v>58181.432079102793</v>
      </c>
      <c r="P979" s="113">
        <f t="shared" si="740"/>
        <v>358300</v>
      </c>
      <c r="Q979" s="113">
        <f t="shared" si="740"/>
        <v>6600</v>
      </c>
      <c r="R979" s="87">
        <f t="shared" si="740"/>
        <v>6600</v>
      </c>
      <c r="S979" s="89" t="e">
        <f t="shared" ca="1" si="740"/>
        <v>#NAME?</v>
      </c>
      <c r="T979" s="89"/>
      <c r="U979" s="89"/>
      <c r="V979" s="532">
        <f>V980</f>
        <v>50000</v>
      </c>
      <c r="W979" s="532">
        <f t="shared" si="740"/>
        <v>50000</v>
      </c>
      <c r="X979" s="506">
        <f t="shared" si="740"/>
        <v>550000</v>
      </c>
      <c r="Y979" s="507">
        <f t="shared" si="740"/>
        <v>150000</v>
      </c>
      <c r="Z979" s="507">
        <f t="shared" si="740"/>
        <v>0</v>
      </c>
      <c r="AA979" s="562" t="e">
        <f t="shared" ca="1" si="709"/>
        <v>#NAME?</v>
      </c>
      <c r="AB979" s="507"/>
      <c r="AC979" s="508">
        <f t="shared" si="740"/>
        <v>172600</v>
      </c>
      <c r="AD979" s="508">
        <f t="shared" si="740"/>
        <v>172600</v>
      </c>
      <c r="AE979" s="529">
        <f>O979/M979*100</f>
        <v>147.72847519200377</v>
      </c>
      <c r="AF979" s="529"/>
      <c r="AG979" s="529"/>
      <c r="AH979" s="529"/>
      <c r="AI979" s="507"/>
      <c r="AJ979" s="507">
        <v>150000</v>
      </c>
      <c r="AK979" s="507">
        <f t="shared" si="712"/>
        <v>757.57575757575762</v>
      </c>
      <c r="AL979" s="507">
        <f t="shared" si="713"/>
        <v>1100</v>
      </c>
      <c r="AM979" s="507">
        <f t="shared" si="713"/>
        <v>27.27272727272727</v>
      </c>
      <c r="AN979" s="509"/>
      <c r="AO979" s="510"/>
      <c r="AP979" s="510" t="e">
        <f t="shared" ca="1" si="708"/>
        <v>#NAME?</v>
      </c>
      <c r="AQ979" s="532">
        <f>AQ980</f>
        <v>25437.5</v>
      </c>
      <c r="AR979" s="533">
        <f>V979/R979*100</f>
        <v>757.57575757575762</v>
      </c>
      <c r="AS979" s="533">
        <f t="shared" si="714"/>
        <v>100</v>
      </c>
      <c r="AT979" s="533">
        <f>W979/R979*100</f>
        <v>757.57575757575762</v>
      </c>
      <c r="AU979" s="533">
        <f>AQ979/W979*100</f>
        <v>50.875</v>
      </c>
      <c r="AV979" s="533">
        <f>AQ979/R979*100</f>
        <v>385.41666666666663</v>
      </c>
      <c r="AW979" s="612"/>
      <c r="AX979" s="612"/>
      <c r="AY979" s="612"/>
      <c r="AZ979" s="612"/>
      <c r="BA979" s="612"/>
      <c r="BB979" s="612"/>
      <c r="BC979" s="612"/>
      <c r="BD979" s="612"/>
      <c r="BE979" s="612"/>
      <c r="BF979" s="612"/>
      <c r="BG979" s="612"/>
      <c r="BH979" s="612">
        <f t="shared" si="710"/>
        <v>0</v>
      </c>
      <c r="BI979" s="612">
        <f t="shared" ref="BI979:BI984" si="741">SUM(AW986:BG986)</f>
        <v>0</v>
      </c>
      <c r="BJ979" s="201"/>
    </row>
    <row r="980" spans="1:64" ht="12" customHeight="1">
      <c r="A980" s="360"/>
      <c r="B980" s="360"/>
      <c r="C980" s="360"/>
      <c r="D980" s="360"/>
      <c r="E980" s="360"/>
      <c r="F980" s="360"/>
      <c r="G980" s="360"/>
      <c r="H980" s="23"/>
      <c r="I980" s="10"/>
      <c r="J980" s="228">
        <v>42</v>
      </c>
      <c r="K980" s="258" t="s">
        <v>776</v>
      </c>
      <c r="L980" s="111">
        <f t="shared" si="740"/>
        <v>296739</v>
      </c>
      <c r="M980" s="111">
        <f t="shared" si="740"/>
        <v>39384.033446147718</v>
      </c>
      <c r="N980" s="112">
        <f t="shared" si="740"/>
        <v>438368</v>
      </c>
      <c r="O980" s="112">
        <f t="shared" si="740"/>
        <v>58181.432079102793</v>
      </c>
      <c r="P980" s="113">
        <f t="shared" si="740"/>
        <v>358300</v>
      </c>
      <c r="Q980" s="113">
        <f t="shared" si="740"/>
        <v>6600</v>
      </c>
      <c r="R980" s="87">
        <f t="shared" si="740"/>
        <v>6600</v>
      </c>
      <c r="S980" s="89" t="e">
        <f t="shared" ca="1" si="740"/>
        <v>#NAME?</v>
      </c>
      <c r="T980" s="89"/>
      <c r="U980" s="89"/>
      <c r="V980" s="532">
        <f>V981</f>
        <v>50000</v>
      </c>
      <c r="W980" s="532">
        <f t="shared" si="740"/>
        <v>50000</v>
      </c>
      <c r="X980" s="506">
        <f t="shared" si="740"/>
        <v>550000</v>
      </c>
      <c r="Y980" s="507">
        <f t="shared" si="740"/>
        <v>150000</v>
      </c>
      <c r="Z980" s="507">
        <f t="shared" si="740"/>
        <v>0</v>
      </c>
      <c r="AA980" s="562" t="e">
        <f t="shared" ca="1" si="709"/>
        <v>#NAME?</v>
      </c>
      <c r="AB980" s="507"/>
      <c r="AC980" s="508">
        <f t="shared" si="740"/>
        <v>172600</v>
      </c>
      <c r="AD980" s="508">
        <f t="shared" si="740"/>
        <v>172600</v>
      </c>
      <c r="AE980" s="529">
        <f>O980/M980*100</f>
        <v>147.72847519200377</v>
      </c>
      <c r="AF980" s="529"/>
      <c r="AG980" s="529"/>
      <c r="AH980" s="529"/>
      <c r="AI980" s="507"/>
      <c r="AJ980" s="507">
        <v>150000</v>
      </c>
      <c r="AK980" s="507">
        <f t="shared" si="712"/>
        <v>757.57575757575762</v>
      </c>
      <c r="AL980" s="507">
        <f t="shared" si="713"/>
        <v>1100</v>
      </c>
      <c r="AM980" s="507">
        <f t="shared" si="713"/>
        <v>27.27272727272727</v>
      </c>
      <c r="AN980" s="509"/>
      <c r="AO980" s="510"/>
      <c r="AP980" s="510" t="e">
        <f t="shared" ca="1" si="708"/>
        <v>#NAME?</v>
      </c>
      <c r="AQ980" s="532">
        <f>AQ981</f>
        <v>25437.5</v>
      </c>
      <c r="AR980" s="533">
        <f>V980/R980*100</f>
        <v>757.57575757575762</v>
      </c>
      <c r="AS980" s="533">
        <f t="shared" si="714"/>
        <v>100</v>
      </c>
      <c r="AT980" s="533">
        <f>W980/R980*100</f>
        <v>757.57575757575762</v>
      </c>
      <c r="AU980" s="533">
        <f>AQ980/W980*100</f>
        <v>50.875</v>
      </c>
      <c r="AV980" s="533">
        <f>AQ980/R980*100</f>
        <v>385.41666666666663</v>
      </c>
      <c r="AW980" s="612"/>
      <c r="AX980" s="612"/>
      <c r="AY980" s="612"/>
      <c r="AZ980" s="612"/>
      <c r="BA980" s="612"/>
      <c r="BB980" s="612"/>
      <c r="BC980" s="612"/>
      <c r="BD980" s="612"/>
      <c r="BE980" s="612"/>
      <c r="BF980" s="612"/>
      <c r="BG980" s="612"/>
      <c r="BH980" s="612">
        <f t="shared" si="710"/>
        <v>0</v>
      </c>
      <c r="BI980" s="612">
        <f t="shared" si="741"/>
        <v>0</v>
      </c>
      <c r="BJ980" s="201">
        <f>AQ987-BI980</f>
        <v>693529.97</v>
      </c>
    </row>
    <row r="981" spans="1:64" ht="12" customHeight="1">
      <c r="A981" s="357"/>
      <c r="B981" s="357"/>
      <c r="C981" s="357"/>
      <c r="D981" s="357"/>
      <c r="E981" s="357"/>
      <c r="F981" s="357"/>
      <c r="G981" s="357"/>
      <c r="H981" s="403"/>
      <c r="I981" s="414"/>
      <c r="J981" s="415">
        <v>421</v>
      </c>
      <c r="K981" s="237" t="s">
        <v>455</v>
      </c>
      <c r="L981" s="238">
        <f t="shared" ref="L981:S981" si="742">L982+L983</f>
        <v>296739</v>
      </c>
      <c r="M981" s="238">
        <f t="shared" si="742"/>
        <v>39384.033446147718</v>
      </c>
      <c r="N981" s="239">
        <f t="shared" si="742"/>
        <v>438368</v>
      </c>
      <c r="O981" s="239">
        <f t="shared" si="742"/>
        <v>58181.432079102793</v>
      </c>
      <c r="P981" s="240">
        <f t="shared" si="742"/>
        <v>358300</v>
      </c>
      <c r="Q981" s="240">
        <f t="shared" si="742"/>
        <v>6600</v>
      </c>
      <c r="R981" s="95">
        <f t="shared" si="742"/>
        <v>6600</v>
      </c>
      <c r="S981" s="97" t="e">
        <f t="shared" ca="1" si="742"/>
        <v>#NAME?</v>
      </c>
      <c r="T981" s="97"/>
      <c r="U981" s="97"/>
      <c r="V981" s="532">
        <f>V982+V983</f>
        <v>50000</v>
      </c>
      <c r="W981" s="532">
        <f>W982+W983</f>
        <v>50000</v>
      </c>
      <c r="X981" s="513">
        <f>X982+X983</f>
        <v>550000</v>
      </c>
      <c r="Y981" s="514">
        <f>Y982+Y983</f>
        <v>150000</v>
      </c>
      <c r="Z981" s="514">
        <f>Z982+Z983</f>
        <v>0</v>
      </c>
      <c r="AA981" s="562" t="e">
        <f t="shared" ca="1" si="709"/>
        <v>#NAME?</v>
      </c>
      <c r="AB981" s="514"/>
      <c r="AC981" s="515">
        <f>AC982+AC983</f>
        <v>172600</v>
      </c>
      <c r="AD981" s="515">
        <f>AD982+AD983</f>
        <v>172600</v>
      </c>
      <c r="AE981" s="529">
        <f>O981/M981*100</f>
        <v>147.72847519200377</v>
      </c>
      <c r="AF981" s="529"/>
      <c r="AG981" s="529"/>
      <c r="AH981" s="529"/>
      <c r="AI981" s="514"/>
      <c r="AJ981" s="514">
        <v>150000</v>
      </c>
      <c r="AK981" s="507">
        <f t="shared" si="712"/>
        <v>757.57575757575762</v>
      </c>
      <c r="AL981" s="507">
        <f t="shared" si="713"/>
        <v>1100</v>
      </c>
      <c r="AM981" s="507">
        <f t="shared" si="713"/>
        <v>27.27272727272727</v>
      </c>
      <c r="AN981" s="516"/>
      <c r="AO981" s="510"/>
      <c r="AP981" s="510" t="e">
        <f t="shared" ca="1" si="708"/>
        <v>#NAME?</v>
      </c>
      <c r="AQ981" s="532">
        <f>AQ982+AQ983</f>
        <v>25437.5</v>
      </c>
      <c r="AR981" s="533">
        <f>V981/R981*100</f>
        <v>757.57575757575762</v>
      </c>
      <c r="AS981" s="533">
        <f t="shared" si="714"/>
        <v>100</v>
      </c>
      <c r="AT981" s="533">
        <f>W981/R981*100</f>
        <v>757.57575757575762</v>
      </c>
      <c r="AU981" s="533">
        <f>AQ981/W981*100</f>
        <v>50.875</v>
      </c>
      <c r="AV981" s="533">
        <f>AQ981/R981*100</f>
        <v>385.41666666666663</v>
      </c>
      <c r="AW981" s="612"/>
      <c r="AX981" s="612"/>
      <c r="AY981" s="612"/>
      <c r="AZ981" s="612"/>
      <c r="BA981" s="612"/>
      <c r="BB981" s="612"/>
      <c r="BC981" s="612"/>
      <c r="BD981" s="612"/>
      <c r="BE981" s="612"/>
      <c r="BF981" s="612"/>
      <c r="BG981" s="612"/>
      <c r="BH981" s="612">
        <f t="shared" si="710"/>
        <v>0</v>
      </c>
      <c r="BI981" s="612">
        <f t="shared" si="741"/>
        <v>0</v>
      </c>
      <c r="BJ981" s="201"/>
      <c r="BL981" s="1">
        <f>AW987-SUM(AW994:AW1065)</f>
        <v>-616941.4299999997</v>
      </c>
    </row>
    <row r="982" spans="1:64" ht="12" customHeight="1">
      <c r="A982" s="52"/>
      <c r="B982" s="52"/>
      <c r="C982" s="52"/>
      <c r="D982" s="52"/>
      <c r="E982" s="52"/>
      <c r="F982" s="52"/>
      <c r="G982" s="52"/>
      <c r="H982" s="2" t="s">
        <v>777</v>
      </c>
      <c r="I982" s="289">
        <v>911</v>
      </c>
      <c r="J982" s="185">
        <v>4212</v>
      </c>
      <c r="K982" s="19" t="s">
        <v>778</v>
      </c>
      <c r="L982" s="129">
        <v>296739</v>
      </c>
      <c r="M982" s="129">
        <f>296739/7.5345</f>
        <v>39384.033446147718</v>
      </c>
      <c r="N982" s="130">
        <v>438368</v>
      </c>
      <c r="O982" s="130">
        <f>N982/7.5345</f>
        <v>58181.432079102793</v>
      </c>
      <c r="P982" s="131">
        <v>358300</v>
      </c>
      <c r="Q982" s="156">
        <v>6600</v>
      </c>
      <c r="R982" s="153">
        <v>6600</v>
      </c>
      <c r="S982" s="158" t="e">
        <f ca="1">__xlfn.XLOOKUP(H982,[1]Izvršenje_proračuna_po_pozicija!$B$2:$B$153,[1]Izvršenje_proračuna_po_pozicija!$E$2:$E$153,0)</f>
        <v>#NAME?</v>
      </c>
      <c r="T982" s="158"/>
      <c r="U982" s="158"/>
      <c r="V982" s="532">
        <v>50000</v>
      </c>
      <c r="W982" s="532">
        <v>50000</v>
      </c>
      <c r="X982" s="560">
        <v>550000</v>
      </c>
      <c r="Y982" s="561">
        <v>150000</v>
      </c>
      <c r="Z982" s="561"/>
      <c r="AA982" s="562" t="e">
        <f t="shared" ca="1" si="709"/>
        <v>#NAME?</v>
      </c>
      <c r="AB982" s="535"/>
      <c r="AC982" s="529">
        <v>172600</v>
      </c>
      <c r="AD982" s="529">
        <v>172600</v>
      </c>
      <c r="AE982" s="529">
        <f>O982/M982*100</f>
        <v>147.72847519200377</v>
      </c>
      <c r="AF982" s="529"/>
      <c r="AG982" s="529"/>
      <c r="AH982" s="529"/>
      <c r="AI982" s="535"/>
      <c r="AJ982" s="561">
        <v>150000</v>
      </c>
      <c r="AK982" s="507">
        <f t="shared" si="712"/>
        <v>757.57575757575762</v>
      </c>
      <c r="AL982" s="507">
        <f t="shared" si="713"/>
        <v>1100</v>
      </c>
      <c r="AM982" s="507">
        <f t="shared" si="713"/>
        <v>27.27272727272727</v>
      </c>
      <c r="AN982" s="556"/>
      <c r="AO982" s="510"/>
      <c r="AP982" s="510" t="e">
        <f t="shared" ca="1" si="708"/>
        <v>#NAME?</v>
      </c>
      <c r="AQ982" s="532">
        <v>25437.5</v>
      </c>
      <c r="AR982" s="533">
        <f>V982/R982*100</f>
        <v>757.57575757575762</v>
      </c>
      <c r="AS982" s="533">
        <f t="shared" si="714"/>
        <v>100</v>
      </c>
      <c r="AT982" s="533">
        <f>W982/R982*100</f>
        <v>757.57575757575762</v>
      </c>
      <c r="AU982" s="533">
        <f>AQ982/W982*100</f>
        <v>50.875</v>
      </c>
      <c r="AV982" s="533">
        <f>AQ982/R982*100</f>
        <v>385.41666666666663</v>
      </c>
      <c r="AW982" s="612"/>
      <c r="AX982" s="612"/>
      <c r="AY982" s="612"/>
      <c r="AZ982" s="612"/>
      <c r="BA982" s="612"/>
      <c r="BB982" s="612"/>
      <c r="BC982" s="612"/>
      <c r="BD982" s="612"/>
      <c r="BE982" s="612">
        <v>25437.5</v>
      </c>
      <c r="BF982" s="612"/>
      <c r="BG982" s="612"/>
      <c r="BH982" s="612">
        <f t="shared" si="710"/>
        <v>25437.5</v>
      </c>
      <c r="BI982" s="612">
        <f t="shared" si="741"/>
        <v>0</v>
      </c>
      <c r="BJ982" s="201"/>
    </row>
    <row r="983" spans="1:64" ht="12" customHeight="1">
      <c r="A983" s="52"/>
      <c r="B983" s="52"/>
      <c r="C983" s="52"/>
      <c r="D983" s="52"/>
      <c r="E983" s="52"/>
      <c r="F983" s="52"/>
      <c r="G983" s="52"/>
      <c r="H983" s="17" t="s">
        <v>779</v>
      </c>
      <c r="I983" s="365">
        <v>911</v>
      </c>
      <c r="J983" s="299">
        <v>4212</v>
      </c>
      <c r="K983" s="304" t="s">
        <v>780</v>
      </c>
      <c r="L983" s="305"/>
      <c r="M983" s="305"/>
      <c r="N983" s="306"/>
      <c r="O983" s="306"/>
      <c r="P983" s="307"/>
      <c r="Q983" s="307"/>
      <c r="R983" s="312"/>
      <c r="S983" s="158" t="e">
        <f ca="1">__xlfn.XLOOKUP(H983,[1]Izvršenje_proračuna_po_pozicija!$B$2:$B$153,[1]Izvršenje_proračuna_po_pozicija!$E$2:$E$153,0)</f>
        <v>#NAME?</v>
      </c>
      <c r="T983" s="311"/>
      <c r="U983" s="311"/>
      <c r="V983" s="532"/>
      <c r="W983" s="532"/>
      <c r="X983" s="584"/>
      <c r="Y983" s="585"/>
      <c r="Z983" s="585"/>
      <c r="AA983" s="562" t="e">
        <f t="shared" ca="1" si="709"/>
        <v>#NAME?</v>
      </c>
      <c r="AB983" s="586"/>
      <c r="AC983" s="587"/>
      <c r="AD983" s="587"/>
      <c r="AE983" s="529"/>
      <c r="AF983" s="529"/>
      <c r="AG983" s="529"/>
      <c r="AH983" s="529"/>
      <c r="AI983" s="586"/>
      <c r="AJ983" s="585"/>
      <c r="AK983" s="507"/>
      <c r="AL983" s="507"/>
      <c r="AM983" s="507"/>
      <c r="AN983" s="588"/>
      <c r="AO983" s="510"/>
      <c r="AP983" s="510" t="e">
        <f t="shared" ca="1" si="708"/>
        <v>#NAME?</v>
      </c>
      <c r="AQ983" s="532"/>
      <c r="AR983" s="533"/>
      <c r="AS983" s="533"/>
      <c r="AT983" s="533"/>
      <c r="AU983" s="533"/>
      <c r="AV983" s="533"/>
      <c r="AW983" s="612"/>
      <c r="AX983" s="612"/>
      <c r="AY983" s="612"/>
      <c r="AZ983" s="612"/>
      <c r="BA983" s="612"/>
      <c r="BB983" s="612"/>
      <c r="BC983" s="612"/>
      <c r="BD983" s="612"/>
      <c r="BE983" s="612"/>
      <c r="BF983" s="612"/>
      <c r="BG983" s="612"/>
      <c r="BH983" s="612">
        <f t="shared" si="710"/>
        <v>0</v>
      </c>
      <c r="BI983" s="612">
        <f t="shared" si="741"/>
        <v>0</v>
      </c>
      <c r="BJ983" s="201"/>
    </row>
    <row r="984" spans="1:64" ht="12" customHeight="1">
      <c r="A984" s="52"/>
      <c r="B984" s="52"/>
      <c r="C984" s="52"/>
      <c r="D984" s="52"/>
      <c r="E984" s="52"/>
      <c r="F984" s="52"/>
      <c r="G984" s="52"/>
      <c r="H984" s="2"/>
      <c r="I984" s="289"/>
      <c r="J984" s="185"/>
      <c r="K984" s="19"/>
      <c r="L984" s="305"/>
      <c r="M984" s="305"/>
      <c r="N984" s="306"/>
      <c r="O984" s="306"/>
      <c r="P984" s="307"/>
      <c r="Q984" s="307"/>
      <c r="R984" s="312"/>
      <c r="S984" s="311"/>
      <c r="T984" s="311"/>
      <c r="U984" s="311"/>
      <c r="V984" s="532"/>
      <c r="W984" s="532"/>
      <c r="X984" s="584"/>
      <c r="Y984" s="585"/>
      <c r="Z984" s="585"/>
      <c r="AA984" s="562" t="e">
        <f t="shared" ca="1" si="709"/>
        <v>#NAME?</v>
      </c>
      <c r="AB984" s="586"/>
      <c r="AC984" s="587"/>
      <c r="AD984" s="587"/>
      <c r="AE984" s="529"/>
      <c r="AF984" s="529"/>
      <c r="AG984" s="529"/>
      <c r="AH984" s="529"/>
      <c r="AI984" s="586"/>
      <c r="AJ984" s="585"/>
      <c r="AK984" s="507"/>
      <c r="AL984" s="507"/>
      <c r="AM984" s="507"/>
      <c r="AN984" s="588"/>
      <c r="AO984" s="510"/>
      <c r="AP984" s="510" t="e">
        <f t="shared" ca="1" si="708"/>
        <v>#NAME?</v>
      </c>
      <c r="AQ984" s="532"/>
      <c r="AR984" s="533"/>
      <c r="AS984" s="533"/>
      <c r="AT984" s="533"/>
      <c r="AU984" s="533"/>
      <c r="AV984" s="533"/>
      <c r="AW984" s="612"/>
      <c r="AX984" s="612"/>
      <c r="AY984" s="612"/>
      <c r="AZ984" s="612"/>
      <c r="BA984" s="612"/>
      <c r="BB984" s="612"/>
      <c r="BC984" s="612"/>
      <c r="BD984" s="612"/>
      <c r="BE984" s="612"/>
      <c r="BF984" s="612"/>
      <c r="BG984" s="612"/>
      <c r="BH984" s="612">
        <f t="shared" si="710"/>
        <v>0</v>
      </c>
      <c r="BI984" s="612">
        <f t="shared" si="741"/>
        <v>0</v>
      </c>
      <c r="BJ984" s="201"/>
    </row>
    <row r="985" spans="1:64" ht="12" customHeight="1">
      <c r="A985" s="404"/>
      <c r="B985" s="405"/>
      <c r="C985" s="405"/>
      <c r="D985" s="405"/>
      <c r="E985" s="405"/>
      <c r="F985" s="405"/>
      <c r="G985" s="406"/>
      <c r="H985" s="407" t="s">
        <v>315</v>
      </c>
      <c r="I985" s="416"/>
      <c r="J985" s="417" t="s">
        <v>781</v>
      </c>
      <c r="K985" s="418"/>
      <c r="L985" s="250">
        <f t="shared" ref="L985:S985" si="743">L987</f>
        <v>3218040</v>
      </c>
      <c r="M985" s="250">
        <f t="shared" si="743"/>
        <v>427107.30639060313</v>
      </c>
      <c r="N985" s="251">
        <f t="shared" si="743"/>
        <v>3652627</v>
      </c>
      <c r="O985" s="251">
        <f t="shared" si="743"/>
        <v>484786.91353109037</v>
      </c>
      <c r="P985" s="252">
        <f t="shared" si="743"/>
        <v>623600</v>
      </c>
      <c r="Q985" s="252">
        <f t="shared" si="743"/>
        <v>550900</v>
      </c>
      <c r="R985" s="272">
        <f t="shared" si="743"/>
        <v>533980</v>
      </c>
      <c r="S985" s="273">
        <f t="shared" si="743"/>
        <v>0</v>
      </c>
      <c r="T985" s="273"/>
      <c r="U985" s="273"/>
      <c r="V985" s="532">
        <f>V987</f>
        <v>750069.92999999993</v>
      </c>
      <c r="W985" s="532">
        <f>W987</f>
        <v>750069.92999999993</v>
      </c>
      <c r="X985" s="564">
        <f>X987</f>
        <v>889240</v>
      </c>
      <c r="Y985" s="565">
        <f>Y987</f>
        <v>902352.3</v>
      </c>
      <c r="Z985" s="565">
        <f>Z987</f>
        <v>0</v>
      </c>
      <c r="AA985" s="562" t="e">
        <f t="shared" ca="1" si="709"/>
        <v>#NAME?</v>
      </c>
      <c r="AB985" s="565"/>
      <c r="AC985" s="566">
        <f>AC987</f>
        <v>626400</v>
      </c>
      <c r="AD985" s="566">
        <f>AD987</f>
        <v>626400</v>
      </c>
      <c r="AE985" s="529">
        <f>O985/M985*100</f>
        <v>113.50471094206415</v>
      </c>
      <c r="AF985" s="529">
        <f>P985/O985*100</f>
        <v>128.63383531907309</v>
      </c>
      <c r="AG985" s="529">
        <f>Q985/P985*100</f>
        <v>88.341885824246319</v>
      </c>
      <c r="AH985" s="529">
        <f>AC985/Q985*100</f>
        <v>113.70484661463061</v>
      </c>
      <c r="AI985" s="565"/>
      <c r="AJ985" s="565">
        <v>902352.3</v>
      </c>
      <c r="AK985" s="507">
        <f t="shared" ref="AK985:AK1048" si="744">W985/R985*100</f>
        <v>140.46779467395783</v>
      </c>
      <c r="AL985" s="507">
        <f t="shared" ref="AL985:AM1048" si="745">X985/W985*100</f>
        <v>118.55427933232841</v>
      </c>
      <c r="AM985" s="507">
        <f t="shared" si="745"/>
        <v>101.47455130223561</v>
      </c>
      <c r="AN985" s="567"/>
      <c r="AO985" s="510"/>
      <c r="AP985" s="510" t="e">
        <f t="shared" ca="1" si="708"/>
        <v>#NAME?</v>
      </c>
      <c r="AQ985" s="532">
        <f>AQ987</f>
        <v>693529.97</v>
      </c>
      <c r="AR985" s="533">
        <f>V985/R985*100</f>
        <v>140.46779467395783</v>
      </c>
      <c r="AS985" s="533">
        <f t="shared" si="714"/>
        <v>100</v>
      </c>
      <c r="AT985" s="533">
        <f>W985/R985*100</f>
        <v>140.46779467395783</v>
      </c>
      <c r="AU985" s="533">
        <f>AQ985/W985*100</f>
        <v>92.462041505916659</v>
      </c>
      <c r="AV985" s="533">
        <f>AQ985/R985*100</f>
        <v>129.87939061388067</v>
      </c>
      <c r="AW985" s="612"/>
      <c r="AX985" s="612"/>
      <c r="AY985" s="612"/>
      <c r="AZ985" s="612"/>
      <c r="BA985" s="612"/>
      <c r="BB985" s="612"/>
      <c r="BC985" s="612"/>
      <c r="BD985" s="612"/>
      <c r="BE985" s="612"/>
      <c r="BF985" s="612"/>
      <c r="BG985" s="612"/>
      <c r="BH985" s="612">
        <f t="shared" si="710"/>
        <v>0</v>
      </c>
      <c r="BI985" s="612">
        <f t="shared" ref="BI985:BI1048" si="746">SUM(AW992:BG992)</f>
        <v>0</v>
      </c>
      <c r="BJ985" s="201"/>
    </row>
    <row r="986" spans="1:64" ht="12" customHeight="1">
      <c r="A986" s="408"/>
      <c r="B986" s="409"/>
      <c r="C986" s="409"/>
      <c r="D986" s="409"/>
      <c r="E986" s="409"/>
      <c r="F986" s="409"/>
      <c r="G986" s="410"/>
      <c r="H986" s="18" t="s">
        <v>782</v>
      </c>
      <c r="I986" s="419"/>
      <c r="J986" s="420"/>
      <c r="K986" s="421">
        <v>30435</v>
      </c>
      <c r="L986" s="350"/>
      <c r="M986" s="350"/>
      <c r="N986" s="351"/>
      <c r="O986" s="351"/>
      <c r="P986" s="352"/>
      <c r="Q986" s="352"/>
      <c r="R986" s="212"/>
      <c r="S986" s="180"/>
      <c r="T986" s="180"/>
      <c r="U986" s="180"/>
      <c r="V986" s="532"/>
      <c r="W986" s="532"/>
      <c r="X986" s="563"/>
      <c r="Y986" s="562"/>
      <c r="Z986" s="562"/>
      <c r="AA986" s="562" t="e">
        <f t="shared" ca="1" si="709"/>
        <v>#NAME?</v>
      </c>
      <c r="AB986" s="507"/>
      <c r="AC986" s="508"/>
      <c r="AD986" s="508"/>
      <c r="AE986" s="529"/>
      <c r="AF986" s="529"/>
      <c r="AG986" s="529"/>
      <c r="AH986" s="529"/>
      <c r="AI986" s="507"/>
      <c r="AJ986" s="562"/>
      <c r="AK986" s="507"/>
      <c r="AL986" s="507"/>
      <c r="AM986" s="507"/>
      <c r="AN986" s="509"/>
      <c r="AO986" s="510"/>
      <c r="AP986" s="510" t="e">
        <f t="shared" ca="1" si="708"/>
        <v>#NAME?</v>
      </c>
      <c r="AQ986" s="532"/>
      <c r="AR986" s="533"/>
      <c r="AS986" s="533"/>
      <c r="AT986" s="533"/>
      <c r="AU986" s="533"/>
      <c r="AV986" s="533"/>
      <c r="AW986" s="612"/>
      <c r="AX986" s="612"/>
      <c r="AY986" s="612"/>
      <c r="AZ986" s="612"/>
      <c r="BA986" s="612"/>
      <c r="BB986" s="612"/>
      <c r="BC986" s="612"/>
      <c r="BD986" s="612"/>
      <c r="BE986" s="612"/>
      <c r="BF986" s="612"/>
      <c r="BG986" s="612"/>
      <c r="BH986" s="612">
        <f t="shared" si="710"/>
        <v>0</v>
      </c>
      <c r="BI986" s="612">
        <f t="shared" si="746"/>
        <v>0</v>
      </c>
      <c r="BJ986" s="201"/>
    </row>
    <row r="987" spans="1:64" ht="12" customHeight="1">
      <c r="A987" s="221" t="s">
        <v>783</v>
      </c>
      <c r="B987" s="222"/>
      <c r="C987" s="222"/>
      <c r="D987" s="222"/>
      <c r="E987" s="222"/>
      <c r="F987" s="222"/>
      <c r="G987" s="398"/>
      <c r="H987" s="399"/>
      <c r="I987" s="413" t="s">
        <v>784</v>
      </c>
      <c r="J987" s="374"/>
      <c r="K987" s="223"/>
      <c r="L987" s="111">
        <f t="shared" ref="L987:S987" si="747">L988+L1011+L1050+L1058</f>
        <v>3218040</v>
      </c>
      <c r="M987" s="111">
        <f t="shared" si="747"/>
        <v>427107.30639060313</v>
      </c>
      <c r="N987" s="112">
        <f t="shared" si="747"/>
        <v>3652627</v>
      </c>
      <c r="O987" s="112">
        <f t="shared" si="747"/>
        <v>484786.91353109037</v>
      </c>
      <c r="P987" s="113">
        <f t="shared" si="747"/>
        <v>623600</v>
      </c>
      <c r="Q987" s="113">
        <f t="shared" si="747"/>
        <v>550900</v>
      </c>
      <c r="R987" s="87">
        <f t="shared" si="747"/>
        <v>533980</v>
      </c>
      <c r="S987" s="89">
        <f t="shared" si="747"/>
        <v>0</v>
      </c>
      <c r="T987" s="89"/>
      <c r="U987" s="89"/>
      <c r="V987" s="532">
        <f>V988+V1011+V1050+V1058</f>
        <v>750069.92999999993</v>
      </c>
      <c r="W987" s="532">
        <f>W988+W1011+W1050+W1058</f>
        <v>750069.92999999993</v>
      </c>
      <c r="X987" s="506">
        <f>X988+X1011+X1050+X1058</f>
        <v>889240</v>
      </c>
      <c r="Y987" s="507">
        <f>Y988+Y1011+Y1050+Y1058</f>
        <v>902352.3</v>
      </c>
      <c r="Z987" s="507">
        <f>Z988+Z1011+Z1050+Z1058</f>
        <v>0</v>
      </c>
      <c r="AA987" s="562" t="e">
        <f t="shared" ca="1" si="709"/>
        <v>#NAME?</v>
      </c>
      <c r="AB987" s="507"/>
      <c r="AC987" s="508">
        <f>AC988+AC1011+AC1050+AC1058</f>
        <v>626400</v>
      </c>
      <c r="AD987" s="508">
        <f>AD988+AD1011+AD1050+AD1058</f>
        <v>626400</v>
      </c>
      <c r="AE987" s="529">
        <f>O987/M987*100</f>
        <v>113.50471094206415</v>
      </c>
      <c r="AF987" s="529">
        <f>P987/O987*100</f>
        <v>128.63383531907309</v>
      </c>
      <c r="AG987" s="529">
        <f>Q987/P987*100</f>
        <v>88.341885824246319</v>
      </c>
      <c r="AH987" s="529">
        <f>AC987/Q987*100</f>
        <v>113.70484661463061</v>
      </c>
      <c r="AI987" s="507"/>
      <c r="AJ987" s="507">
        <v>902352.3</v>
      </c>
      <c r="AK987" s="507">
        <f t="shared" si="744"/>
        <v>140.46779467395783</v>
      </c>
      <c r="AL987" s="507">
        <f t="shared" si="745"/>
        <v>118.55427933232841</v>
      </c>
      <c r="AM987" s="507">
        <f t="shared" si="745"/>
        <v>101.47455130223561</v>
      </c>
      <c r="AN987" s="509"/>
      <c r="AO987" s="510"/>
      <c r="AP987" s="510" t="e">
        <f t="shared" ca="1" si="708"/>
        <v>#NAME?</v>
      </c>
      <c r="AQ987" s="532">
        <f>AQ988+AQ1011+AQ1050+AQ1058</f>
        <v>693529.97</v>
      </c>
      <c r="AR987" s="533">
        <f>V987/R987*100</f>
        <v>140.46779467395783</v>
      </c>
      <c r="AS987" s="533">
        <f t="shared" si="714"/>
        <v>100</v>
      </c>
      <c r="AT987" s="533">
        <f>W987/R987*100</f>
        <v>140.46779467395783</v>
      </c>
      <c r="AU987" s="533">
        <f>AQ987/W987*100</f>
        <v>92.462041505916659</v>
      </c>
      <c r="AV987" s="533">
        <f>AQ987/R987*100</f>
        <v>129.87939061388067</v>
      </c>
      <c r="AW987" s="612"/>
      <c r="AX987" s="612"/>
      <c r="AY987" s="612"/>
      <c r="AZ987" s="612"/>
      <c r="BA987" s="612"/>
      <c r="BB987" s="612"/>
      <c r="BC987" s="612"/>
      <c r="BD987" s="612"/>
      <c r="BE987" s="612"/>
      <c r="BF987" s="612"/>
      <c r="BG987" s="612"/>
      <c r="BH987" s="612"/>
      <c r="BI987" s="612">
        <f t="shared" si="746"/>
        <v>418981.35</v>
      </c>
      <c r="BJ987" s="201"/>
    </row>
    <row r="988" spans="1:64" ht="12" customHeight="1">
      <c r="A988" s="400" t="s">
        <v>321</v>
      </c>
      <c r="B988" s="401"/>
      <c r="C988" s="401"/>
      <c r="D988" s="401"/>
      <c r="E988" s="401"/>
      <c r="F988" s="401"/>
      <c r="G988" s="401"/>
      <c r="H988" s="402"/>
      <c r="I988" s="13" t="s">
        <v>785</v>
      </c>
      <c r="J988" s="370"/>
      <c r="K988" s="226"/>
      <c r="L988" s="111">
        <f t="shared" ref="L988:S988" si="748">L990</f>
        <v>2562776</v>
      </c>
      <c r="M988" s="111">
        <f t="shared" si="748"/>
        <v>340138.8280576017</v>
      </c>
      <c r="N988" s="112">
        <f t="shared" si="748"/>
        <v>2734630</v>
      </c>
      <c r="O988" s="112">
        <f t="shared" si="748"/>
        <v>362947.77357488888</v>
      </c>
      <c r="P988" s="113">
        <f t="shared" si="748"/>
        <v>497600</v>
      </c>
      <c r="Q988" s="113">
        <f t="shared" si="748"/>
        <v>429600</v>
      </c>
      <c r="R988" s="87">
        <f t="shared" si="748"/>
        <v>404073</v>
      </c>
      <c r="S988" s="89">
        <f t="shared" si="748"/>
        <v>0</v>
      </c>
      <c r="T988" s="89"/>
      <c r="U988" s="89"/>
      <c r="V988" s="532">
        <f>V990</f>
        <v>594050</v>
      </c>
      <c r="W988" s="532">
        <f>W990</f>
        <v>594050</v>
      </c>
      <c r="X988" s="506">
        <f>X990</f>
        <v>737500</v>
      </c>
      <c r="Y988" s="507">
        <f>Y990</f>
        <v>742500.6</v>
      </c>
      <c r="Z988" s="507">
        <f>Z990</f>
        <v>0</v>
      </c>
      <c r="AA988" s="562" t="e">
        <f t="shared" ca="1" si="709"/>
        <v>#NAME?</v>
      </c>
      <c r="AB988" s="507"/>
      <c r="AC988" s="508">
        <f>AC990</f>
        <v>498300</v>
      </c>
      <c r="AD988" s="508">
        <f>AD990</f>
        <v>498300</v>
      </c>
      <c r="AE988" s="529">
        <f>O988/M988*100</f>
        <v>106.70577529990916</v>
      </c>
      <c r="AF988" s="529">
        <f>P988/O988*100</f>
        <v>137.09961493876682</v>
      </c>
      <c r="AG988" s="529">
        <f>Q988/P988*100</f>
        <v>86.334405144694543</v>
      </c>
      <c r="AH988" s="529">
        <f>AC988/Q988*100</f>
        <v>115.99162011173185</v>
      </c>
      <c r="AI988" s="507"/>
      <c r="AJ988" s="507">
        <v>742500.6</v>
      </c>
      <c r="AK988" s="507">
        <f t="shared" si="744"/>
        <v>147.01551452336582</v>
      </c>
      <c r="AL988" s="507">
        <f t="shared" si="745"/>
        <v>124.14779900681761</v>
      </c>
      <c r="AM988" s="507">
        <f t="shared" si="745"/>
        <v>100.67804745762712</v>
      </c>
      <c r="AN988" s="509"/>
      <c r="AO988" s="510"/>
      <c r="AP988" s="510" t="e">
        <f t="shared" ca="1" si="708"/>
        <v>#NAME?</v>
      </c>
      <c r="AQ988" s="532">
        <f>AQ990</f>
        <v>529932.23</v>
      </c>
      <c r="AR988" s="533">
        <f>V988/R988*100</f>
        <v>147.01551452336582</v>
      </c>
      <c r="AS988" s="533">
        <f t="shared" si="714"/>
        <v>100</v>
      </c>
      <c r="AT988" s="533">
        <f>W988/R988*100</f>
        <v>147.01551452336582</v>
      </c>
      <c r="AU988" s="533">
        <f>AQ988/W988*100</f>
        <v>89.206671155626623</v>
      </c>
      <c r="AV988" s="533">
        <f>AQ988/R988*100</f>
        <v>131.14764658861148</v>
      </c>
      <c r="AW988" s="612"/>
      <c r="AX988" s="612"/>
      <c r="AY988" s="612"/>
      <c r="AZ988" s="612"/>
      <c r="BA988" s="612"/>
      <c r="BB988" s="612"/>
      <c r="BC988" s="612"/>
      <c r="BD988" s="612"/>
      <c r="BE988" s="612"/>
      <c r="BF988" s="612"/>
      <c r="BG988" s="612"/>
      <c r="BH988" s="612">
        <f t="shared" si="710"/>
        <v>0</v>
      </c>
      <c r="BI988" s="612">
        <f t="shared" si="746"/>
        <v>0</v>
      </c>
      <c r="BJ988" s="201"/>
    </row>
    <row r="989" spans="1:64" ht="12" customHeight="1">
      <c r="A989" s="68"/>
      <c r="B989" s="68"/>
      <c r="C989" s="68"/>
      <c r="D989" s="68"/>
      <c r="E989" s="68"/>
      <c r="F989" s="68"/>
      <c r="G989" s="68"/>
      <c r="H989" s="319"/>
      <c r="I989" s="4"/>
      <c r="J989" s="8"/>
      <c r="K989" s="8"/>
      <c r="L989" s="84"/>
      <c r="M989" s="84"/>
      <c r="N989" s="85"/>
      <c r="O989" s="85"/>
      <c r="P989" s="86"/>
      <c r="Q989" s="86"/>
      <c r="R989" s="154"/>
      <c r="S989" s="155"/>
      <c r="T989" s="155"/>
      <c r="U989" s="155"/>
      <c r="V989" s="532"/>
      <c r="W989" s="532"/>
      <c r="X989" s="568"/>
      <c r="Y989" s="569"/>
      <c r="Z989" s="569"/>
      <c r="AA989" s="562" t="e">
        <f t="shared" ca="1" si="709"/>
        <v>#NAME?</v>
      </c>
      <c r="AB989" s="537"/>
      <c r="AC989" s="538"/>
      <c r="AD989" s="538"/>
      <c r="AE989" s="529"/>
      <c r="AF989" s="529"/>
      <c r="AG989" s="529"/>
      <c r="AH989" s="529"/>
      <c r="AI989" s="537"/>
      <c r="AJ989" s="569"/>
      <c r="AK989" s="507"/>
      <c r="AL989" s="507"/>
      <c r="AM989" s="507"/>
      <c r="AN989" s="557"/>
      <c r="AO989" s="510"/>
      <c r="AP989" s="510" t="e">
        <f t="shared" ca="1" si="708"/>
        <v>#NAME?</v>
      </c>
      <c r="AQ989" s="532"/>
      <c r="AR989" s="533"/>
      <c r="AS989" s="533"/>
      <c r="AT989" s="533"/>
      <c r="AU989" s="533"/>
      <c r="AV989" s="533"/>
      <c r="AW989" s="612"/>
      <c r="AX989" s="612"/>
      <c r="AY989" s="612"/>
      <c r="AZ989" s="612"/>
      <c r="BA989" s="612"/>
      <c r="BB989" s="612"/>
      <c r="BC989" s="612"/>
      <c r="BD989" s="612"/>
      <c r="BE989" s="612"/>
      <c r="BF989" s="612"/>
      <c r="BG989" s="612"/>
      <c r="BH989" s="612">
        <f t="shared" si="710"/>
        <v>0</v>
      </c>
      <c r="BI989" s="612">
        <f t="shared" si="746"/>
        <v>0</v>
      </c>
      <c r="BJ989" s="201"/>
    </row>
    <row r="990" spans="1:64" ht="12" customHeight="1">
      <c r="A990" s="41"/>
      <c r="B990" s="41"/>
      <c r="C990" s="41"/>
      <c r="D990" s="41"/>
      <c r="E990" s="41"/>
      <c r="F990" s="41"/>
      <c r="G990" s="41"/>
      <c r="H990" s="359"/>
      <c r="I990" s="9"/>
      <c r="J990" s="211">
        <v>3</v>
      </c>
      <c r="K990" s="3" t="s">
        <v>220</v>
      </c>
      <c r="L990" s="111">
        <f t="shared" ref="L990:S990" si="749">L991+L1004</f>
        <v>2562776</v>
      </c>
      <c r="M990" s="111">
        <f t="shared" si="749"/>
        <v>340138.8280576017</v>
      </c>
      <c r="N990" s="112">
        <f t="shared" si="749"/>
        <v>2734630</v>
      </c>
      <c r="O990" s="112">
        <f t="shared" si="749"/>
        <v>362947.77357488888</v>
      </c>
      <c r="P990" s="113">
        <f t="shared" si="749"/>
        <v>497600</v>
      </c>
      <c r="Q990" s="113">
        <f t="shared" si="749"/>
        <v>429600</v>
      </c>
      <c r="R990" s="87">
        <f t="shared" si="749"/>
        <v>404073</v>
      </c>
      <c r="S990" s="89">
        <f t="shared" si="749"/>
        <v>0</v>
      </c>
      <c r="T990" s="89"/>
      <c r="U990" s="89"/>
      <c r="V990" s="532">
        <f>V991+V1004</f>
        <v>594050</v>
      </c>
      <c r="W990" s="532">
        <f>W991+W1004</f>
        <v>594050</v>
      </c>
      <c r="X990" s="506">
        <f>X991+X1004</f>
        <v>737500</v>
      </c>
      <c r="Y990" s="507">
        <f>Y991+Y1004</f>
        <v>742500.6</v>
      </c>
      <c r="Z990" s="507">
        <f>Z991+Z1004</f>
        <v>0</v>
      </c>
      <c r="AA990" s="562" t="e">
        <f t="shared" ca="1" si="709"/>
        <v>#NAME?</v>
      </c>
      <c r="AB990" s="507"/>
      <c r="AC990" s="508">
        <f>AC991+AC1004</f>
        <v>498300</v>
      </c>
      <c r="AD990" s="508">
        <f>AD991+AD1004</f>
        <v>498300</v>
      </c>
      <c r="AE990" s="529">
        <f>O990/M990*100</f>
        <v>106.70577529990916</v>
      </c>
      <c r="AF990" s="529">
        <f>P990/O990*100</f>
        <v>137.09961493876682</v>
      </c>
      <c r="AG990" s="529">
        <f>Q990/P990*100</f>
        <v>86.334405144694543</v>
      </c>
      <c r="AH990" s="529">
        <f>AC990/Q990*100</f>
        <v>115.99162011173185</v>
      </c>
      <c r="AI990" s="507"/>
      <c r="AJ990" s="507">
        <v>742500.6</v>
      </c>
      <c r="AK990" s="507">
        <f t="shared" si="744"/>
        <v>147.01551452336582</v>
      </c>
      <c r="AL990" s="507">
        <f t="shared" si="745"/>
        <v>124.14779900681761</v>
      </c>
      <c r="AM990" s="507">
        <f t="shared" si="745"/>
        <v>100.67804745762712</v>
      </c>
      <c r="AN990" s="509"/>
      <c r="AO990" s="510"/>
      <c r="AP990" s="510" t="e">
        <f t="shared" ca="1" si="708"/>
        <v>#NAME?</v>
      </c>
      <c r="AQ990" s="532">
        <f>AQ991+AQ1004</f>
        <v>529932.23</v>
      </c>
      <c r="AR990" s="533">
        <f>V990/R990*100</f>
        <v>147.01551452336582</v>
      </c>
      <c r="AS990" s="533">
        <f t="shared" si="714"/>
        <v>100</v>
      </c>
      <c r="AT990" s="533">
        <f>W990/R990*100</f>
        <v>147.01551452336582</v>
      </c>
      <c r="AU990" s="533">
        <f>AQ990/W990*100</f>
        <v>89.206671155626623</v>
      </c>
      <c r="AV990" s="533">
        <f>AQ990/R990*100</f>
        <v>131.14764658861148</v>
      </c>
      <c r="AW990" s="612"/>
      <c r="AX990" s="612"/>
      <c r="AY990" s="612"/>
      <c r="AZ990" s="612"/>
      <c r="BA990" s="612"/>
      <c r="BB990" s="612"/>
      <c r="BC990" s="612"/>
      <c r="BD990" s="612"/>
      <c r="BE990" s="612"/>
      <c r="BF990" s="612"/>
      <c r="BG990" s="612"/>
      <c r="BH990" s="612">
        <f t="shared" si="710"/>
        <v>0</v>
      </c>
      <c r="BI990" s="612">
        <f t="shared" si="746"/>
        <v>7347.98</v>
      </c>
      <c r="BJ990" s="201"/>
    </row>
    <row r="991" spans="1:64" ht="12" customHeight="1">
      <c r="A991" s="360"/>
      <c r="B991" s="360"/>
      <c r="C991" s="360"/>
      <c r="D991" s="360"/>
      <c r="E991" s="360"/>
      <c r="F991" s="360"/>
      <c r="G991" s="360"/>
      <c r="H991" s="23"/>
      <c r="I991" s="10"/>
      <c r="J991" s="228">
        <v>31</v>
      </c>
      <c r="K991" s="258" t="s">
        <v>221</v>
      </c>
      <c r="L991" s="111">
        <f t="shared" ref="L991:S991" si="750">L993+L996+L999</f>
        <v>2433988</v>
      </c>
      <c r="M991" s="111">
        <f t="shared" si="750"/>
        <v>323045.72300749883</v>
      </c>
      <c r="N991" s="112">
        <f t="shared" si="750"/>
        <v>2554890</v>
      </c>
      <c r="O991" s="112">
        <f t="shared" si="750"/>
        <v>339092.17599044397</v>
      </c>
      <c r="P991" s="113">
        <f t="shared" si="750"/>
        <v>467700</v>
      </c>
      <c r="Q991" s="113">
        <f t="shared" si="750"/>
        <v>396300</v>
      </c>
      <c r="R991" s="87">
        <f t="shared" si="750"/>
        <v>372990</v>
      </c>
      <c r="S991" s="89">
        <f t="shared" si="750"/>
        <v>0</v>
      </c>
      <c r="T991" s="89"/>
      <c r="U991" s="89"/>
      <c r="V991" s="532">
        <f>V993+V996+V999</f>
        <v>558150</v>
      </c>
      <c r="W991" s="532">
        <f>W993+W996+W999</f>
        <v>558150</v>
      </c>
      <c r="X991" s="506">
        <f>X993+X996+X999</f>
        <v>689100</v>
      </c>
      <c r="Y991" s="507">
        <f>Y993+Y996+Y999</f>
        <v>692600.1</v>
      </c>
      <c r="Z991" s="507">
        <f>Z993+Z996+Z999</f>
        <v>0</v>
      </c>
      <c r="AA991" s="562" t="e">
        <f t="shared" ca="1" si="709"/>
        <v>#NAME?</v>
      </c>
      <c r="AB991" s="507"/>
      <c r="AC991" s="508">
        <f>AC993+AC996+AC999</f>
        <v>468300</v>
      </c>
      <c r="AD991" s="508">
        <f>AD993+AD996+AD999</f>
        <v>468300</v>
      </c>
      <c r="AE991" s="529">
        <f>O991/M991*100</f>
        <v>104.96723895105482</v>
      </c>
      <c r="AF991" s="529">
        <f>P991/O991*100</f>
        <v>137.92709862264127</v>
      </c>
      <c r="AG991" s="529">
        <f>Q991/P991*100</f>
        <v>84.73380372033354</v>
      </c>
      <c r="AH991" s="529">
        <f>AC991/Q991*100</f>
        <v>118.16805450416352</v>
      </c>
      <c r="AI991" s="507"/>
      <c r="AJ991" s="507">
        <v>692600.1</v>
      </c>
      <c r="AK991" s="507">
        <f t="shared" si="744"/>
        <v>149.6420815571463</v>
      </c>
      <c r="AL991" s="507">
        <f t="shared" si="745"/>
        <v>123.46143509809191</v>
      </c>
      <c r="AM991" s="507">
        <f t="shared" si="745"/>
        <v>100.50792337831955</v>
      </c>
      <c r="AN991" s="509"/>
      <c r="AO991" s="510"/>
      <c r="AP991" s="510" t="e">
        <f t="shared" ca="1" si="708"/>
        <v>#NAME?</v>
      </c>
      <c r="AQ991" s="532">
        <f>AQ993+AQ996+AQ999</f>
        <v>497454.86</v>
      </c>
      <c r="AR991" s="533">
        <f>V991/R991*100</f>
        <v>149.6420815571463</v>
      </c>
      <c r="AS991" s="533">
        <f t="shared" si="714"/>
        <v>100</v>
      </c>
      <c r="AT991" s="533">
        <f>W991/R991*100</f>
        <v>149.6420815571463</v>
      </c>
      <c r="AU991" s="533">
        <f>AQ991/W991*100</f>
        <v>89.125657977246249</v>
      </c>
      <c r="AV991" s="533">
        <f>AQ991/R991*100</f>
        <v>133.36948979865412</v>
      </c>
      <c r="AW991" s="612"/>
      <c r="AX991" s="612"/>
      <c r="AY991" s="612"/>
      <c r="AZ991" s="612"/>
      <c r="BA991" s="612"/>
      <c r="BB991" s="612"/>
      <c r="BC991" s="612"/>
      <c r="BD991" s="612"/>
      <c r="BE991" s="612"/>
      <c r="BF991" s="612"/>
      <c r="BG991" s="612"/>
      <c r="BH991" s="612">
        <f t="shared" si="710"/>
        <v>0</v>
      </c>
      <c r="BI991" s="612">
        <f t="shared" si="746"/>
        <v>0</v>
      </c>
      <c r="BJ991" s="201"/>
    </row>
    <row r="992" spans="1:64" ht="12" customHeight="1">
      <c r="A992" s="68"/>
      <c r="B992" s="68"/>
      <c r="C992" s="68"/>
      <c r="D992" s="68"/>
      <c r="E992" s="68"/>
      <c r="F992" s="68"/>
      <c r="G992" s="68"/>
      <c r="H992" s="281"/>
      <c r="I992" s="333"/>
      <c r="J992" s="8"/>
      <c r="K992" s="69"/>
      <c r="L992" s="175"/>
      <c r="M992" s="175"/>
      <c r="N992" s="176"/>
      <c r="O992" s="176"/>
      <c r="P992" s="177"/>
      <c r="Q992" s="177"/>
      <c r="R992" s="212"/>
      <c r="S992" s="180"/>
      <c r="T992" s="180"/>
      <c r="U992" s="180"/>
      <c r="V992" s="532"/>
      <c r="W992" s="532"/>
      <c r="X992" s="563"/>
      <c r="Y992" s="562"/>
      <c r="Z992" s="562"/>
      <c r="AA992" s="562" t="e">
        <f t="shared" ca="1" si="709"/>
        <v>#NAME?</v>
      </c>
      <c r="AB992" s="507"/>
      <c r="AC992" s="508"/>
      <c r="AD992" s="508"/>
      <c r="AE992" s="529"/>
      <c r="AF992" s="529"/>
      <c r="AG992" s="529"/>
      <c r="AH992" s="529"/>
      <c r="AI992" s="507"/>
      <c r="AJ992" s="562"/>
      <c r="AK992" s="507"/>
      <c r="AL992" s="507"/>
      <c r="AM992" s="507"/>
      <c r="AN992" s="509"/>
      <c r="AO992" s="510"/>
      <c r="AP992" s="510" t="e">
        <f t="shared" ca="1" si="708"/>
        <v>#NAME?</v>
      </c>
      <c r="AQ992" s="532"/>
      <c r="AR992" s="533"/>
      <c r="AS992" s="533"/>
      <c r="AT992" s="533"/>
      <c r="AU992" s="533"/>
      <c r="AV992" s="533"/>
      <c r="AW992" s="612"/>
      <c r="AX992" s="612"/>
      <c r="AY992" s="612"/>
      <c r="AZ992" s="612"/>
      <c r="BA992" s="612"/>
      <c r="BB992" s="612"/>
      <c r="BC992" s="612"/>
      <c r="BD992" s="612"/>
      <c r="BE992" s="612"/>
      <c r="BF992" s="612"/>
      <c r="BG992" s="612"/>
      <c r="BH992" s="612">
        <f t="shared" si="710"/>
        <v>0</v>
      </c>
      <c r="BI992" s="612">
        <f t="shared" si="746"/>
        <v>0</v>
      </c>
      <c r="BJ992" s="201"/>
    </row>
    <row r="993" spans="1:62" ht="12" customHeight="1">
      <c r="A993" s="357"/>
      <c r="B993" s="357"/>
      <c r="C993" s="357"/>
      <c r="D993" s="357"/>
      <c r="E993" s="357"/>
      <c r="F993" s="357"/>
      <c r="G993" s="357"/>
      <c r="H993" s="403"/>
      <c r="I993" s="414"/>
      <c r="J993" s="415">
        <v>311</v>
      </c>
      <c r="K993" s="237" t="s">
        <v>323</v>
      </c>
      <c r="L993" s="238">
        <f t="shared" ref="L993:Z993" si="751">L994</f>
        <v>2042317</v>
      </c>
      <c r="M993" s="238">
        <f t="shared" si="751"/>
        <v>271062.04791293381</v>
      </c>
      <c r="N993" s="239">
        <f t="shared" si="751"/>
        <v>2128913</v>
      </c>
      <c r="O993" s="239">
        <f t="shared" si="751"/>
        <v>282555.31223040679</v>
      </c>
      <c r="P993" s="240">
        <f t="shared" si="751"/>
        <v>409400</v>
      </c>
      <c r="Q993" s="240">
        <f t="shared" si="751"/>
        <v>323300</v>
      </c>
      <c r="R993" s="95">
        <f t="shared" si="751"/>
        <v>313632</v>
      </c>
      <c r="S993" s="97">
        <f t="shared" si="751"/>
        <v>0</v>
      </c>
      <c r="T993" s="97"/>
      <c r="U993" s="97"/>
      <c r="V993" s="532">
        <f>V994</f>
        <v>470000</v>
      </c>
      <c r="W993" s="532">
        <f t="shared" si="751"/>
        <v>470000</v>
      </c>
      <c r="X993" s="513">
        <f t="shared" si="751"/>
        <v>582000</v>
      </c>
      <c r="Y993" s="514">
        <f t="shared" si="751"/>
        <v>585000</v>
      </c>
      <c r="Z993" s="514">
        <f t="shared" si="751"/>
        <v>0</v>
      </c>
      <c r="AA993" s="562" t="e">
        <f t="shared" ca="1" si="709"/>
        <v>#NAME?</v>
      </c>
      <c r="AB993" s="514"/>
      <c r="AC993" s="515">
        <f>AC994</f>
        <v>410000</v>
      </c>
      <c r="AD993" s="515">
        <f>AD994</f>
        <v>410000</v>
      </c>
      <c r="AE993" s="529">
        <f>O993/M993*100</f>
        <v>104.24008613746057</v>
      </c>
      <c r="AF993" s="529">
        <f>P993/O993*100</f>
        <v>144.89198478284459</v>
      </c>
      <c r="AG993" s="529">
        <f>Q993/P993*100</f>
        <v>78.96922325354177</v>
      </c>
      <c r="AH993" s="529">
        <f>AC993/Q993*100</f>
        <v>126.8171976492422</v>
      </c>
      <c r="AI993" s="514"/>
      <c r="AJ993" s="514">
        <v>585000</v>
      </c>
      <c r="AK993" s="507">
        <f t="shared" si="744"/>
        <v>149.85715743291502</v>
      </c>
      <c r="AL993" s="507">
        <f t="shared" si="745"/>
        <v>123.82978723404254</v>
      </c>
      <c r="AM993" s="507">
        <f t="shared" si="745"/>
        <v>100.51546391752578</v>
      </c>
      <c r="AN993" s="516"/>
      <c r="AO993" s="510"/>
      <c r="AP993" s="510" t="e">
        <f t="shared" ca="1" si="708"/>
        <v>#NAME?</v>
      </c>
      <c r="AQ993" s="532">
        <f>AQ994</f>
        <v>418981.35</v>
      </c>
      <c r="AR993" s="533">
        <f>V993/R993*100</f>
        <v>149.85715743291502</v>
      </c>
      <c r="AS993" s="533">
        <f t="shared" si="714"/>
        <v>100</v>
      </c>
      <c r="AT993" s="533">
        <f>W993/R993*100</f>
        <v>149.85715743291502</v>
      </c>
      <c r="AU993" s="533">
        <f>AQ993/W993*100</f>
        <v>89.144968085106385</v>
      </c>
      <c r="AV993" s="533">
        <f>AQ993/R993*100</f>
        <v>133.59011516681971</v>
      </c>
      <c r="AW993" s="612"/>
      <c r="AX993" s="612"/>
      <c r="AY993" s="612"/>
      <c r="AZ993" s="612"/>
      <c r="BA993" s="612"/>
      <c r="BB993" s="612"/>
      <c r="BC993" s="612"/>
      <c r="BD993" s="612"/>
      <c r="BE993" s="612"/>
      <c r="BF993" s="612"/>
      <c r="BG993" s="612"/>
      <c r="BH993" s="612">
        <f t="shared" si="710"/>
        <v>0</v>
      </c>
      <c r="BI993" s="612">
        <f t="shared" si="746"/>
        <v>0</v>
      </c>
      <c r="BJ993" s="201"/>
    </row>
    <row r="994" spans="1:62" ht="12" customHeight="1">
      <c r="A994" s="52"/>
      <c r="B994" s="52"/>
      <c r="C994" s="52"/>
      <c r="D994" s="52"/>
      <c r="E994" s="52"/>
      <c r="F994" s="52"/>
      <c r="G994" s="52"/>
      <c r="H994" s="2">
        <v>32</v>
      </c>
      <c r="I994" s="289">
        <v>911</v>
      </c>
      <c r="J994" s="185">
        <v>3111</v>
      </c>
      <c r="K994" s="19" t="s">
        <v>223</v>
      </c>
      <c r="L994" s="129">
        <v>2042317</v>
      </c>
      <c r="M994" s="129">
        <f>2042317/7.5345</f>
        <v>271062.04791293381</v>
      </c>
      <c r="N994" s="130">
        <v>2128913</v>
      </c>
      <c r="O994" s="130">
        <f>N994/7.5345</f>
        <v>282555.31223040679</v>
      </c>
      <c r="P994" s="131">
        <v>409400</v>
      </c>
      <c r="Q994" s="156">
        <v>323300</v>
      </c>
      <c r="R994" s="153">
        <v>313632</v>
      </c>
      <c r="S994" s="158"/>
      <c r="T994" s="158"/>
      <c r="U994" s="158"/>
      <c r="V994" s="532">
        <v>470000</v>
      </c>
      <c r="W994" s="532">
        <v>470000</v>
      </c>
      <c r="X994" s="560">
        <v>582000</v>
      </c>
      <c r="Y994" s="561">
        <v>585000</v>
      </c>
      <c r="Z994" s="561"/>
      <c r="AA994" s="562" t="e">
        <f t="shared" ca="1" si="709"/>
        <v>#NAME?</v>
      </c>
      <c r="AB994" s="535"/>
      <c r="AC994" s="529">
        <v>410000</v>
      </c>
      <c r="AD994" s="529">
        <v>410000</v>
      </c>
      <c r="AE994" s="529">
        <f>O994/M994*100</f>
        <v>104.24008613746057</v>
      </c>
      <c r="AF994" s="529">
        <f>P994/O994*100</f>
        <v>144.89198478284459</v>
      </c>
      <c r="AG994" s="529">
        <f>Q994/P994*100</f>
        <v>78.96922325354177</v>
      </c>
      <c r="AH994" s="529">
        <f>AC994/Q994*100</f>
        <v>126.8171976492422</v>
      </c>
      <c r="AI994" s="535"/>
      <c r="AJ994" s="561">
        <v>585000</v>
      </c>
      <c r="AK994" s="507">
        <f t="shared" si="744"/>
        <v>149.85715743291502</v>
      </c>
      <c r="AL994" s="507">
        <f t="shared" si="745"/>
        <v>123.82978723404254</v>
      </c>
      <c r="AM994" s="507">
        <f t="shared" si="745"/>
        <v>100.51546391752578</v>
      </c>
      <c r="AN994" s="556"/>
      <c r="AO994" s="510"/>
      <c r="AP994" s="510" t="e">
        <f t="shared" ca="1" si="708"/>
        <v>#NAME?</v>
      </c>
      <c r="AQ994" s="532">
        <v>418981.35</v>
      </c>
      <c r="AR994" s="533">
        <f>V994/R994*100</f>
        <v>149.85715743291502</v>
      </c>
      <c r="AS994" s="533">
        <f t="shared" si="714"/>
        <v>100</v>
      </c>
      <c r="AT994" s="533">
        <f>W994/R994*100</f>
        <v>149.85715743291502</v>
      </c>
      <c r="AU994" s="533">
        <f>AQ994/W994*100</f>
        <v>89.144968085106385</v>
      </c>
      <c r="AV994" s="533">
        <f>AQ994/R994*100</f>
        <v>133.59011516681971</v>
      </c>
      <c r="AW994" s="612">
        <f>AQ994-AX994</f>
        <v>320559.87</v>
      </c>
      <c r="AX994" s="612">
        <v>98421.48</v>
      </c>
      <c r="AY994" s="612"/>
      <c r="AZ994" s="612"/>
      <c r="BA994" s="612"/>
      <c r="BB994" s="612"/>
      <c r="BC994" s="612"/>
      <c r="BD994" s="612"/>
      <c r="BE994" s="612"/>
      <c r="BF994" s="612"/>
      <c r="BG994" s="612"/>
      <c r="BH994" s="612">
        <f t="shared" si="710"/>
        <v>418981.35</v>
      </c>
      <c r="BI994" s="612">
        <f t="shared" si="746"/>
        <v>69137.53</v>
      </c>
      <c r="BJ994" s="201"/>
    </row>
    <row r="995" spans="1:62" ht="12" customHeight="1">
      <c r="A995" s="68"/>
      <c r="B995" s="68"/>
      <c r="C995" s="68"/>
      <c r="D995" s="68"/>
      <c r="E995" s="68"/>
      <c r="F995" s="68"/>
      <c r="G995" s="68"/>
      <c r="H995" s="319"/>
      <c r="I995" s="256"/>
      <c r="J995" s="211"/>
      <c r="K995" s="69"/>
      <c r="L995" s="175"/>
      <c r="M995" s="175"/>
      <c r="N995" s="176"/>
      <c r="O995" s="176"/>
      <c r="P995" s="177"/>
      <c r="Q995" s="177"/>
      <c r="R995" s="212"/>
      <c r="S995" s="180"/>
      <c r="T995" s="180"/>
      <c r="U995" s="180"/>
      <c r="V995" s="532"/>
      <c r="W995" s="532"/>
      <c r="X995" s="563"/>
      <c r="Y995" s="562"/>
      <c r="Z995" s="562"/>
      <c r="AA995" s="562" t="e">
        <f t="shared" ca="1" si="709"/>
        <v>#NAME?</v>
      </c>
      <c r="AB995" s="507"/>
      <c r="AC995" s="508"/>
      <c r="AD995" s="508"/>
      <c r="AE995" s="529"/>
      <c r="AF995" s="529"/>
      <c r="AG995" s="529"/>
      <c r="AH995" s="529"/>
      <c r="AI995" s="507"/>
      <c r="AJ995" s="562"/>
      <c r="AK995" s="507"/>
      <c r="AL995" s="507"/>
      <c r="AM995" s="507"/>
      <c r="AN995" s="509"/>
      <c r="AO995" s="510"/>
      <c r="AP995" s="510" t="e">
        <f t="shared" ref="AP995:AP1058" ca="1" si="752">__xlfn.ISFORMULA(X995)</f>
        <v>#NAME?</v>
      </c>
      <c r="AQ995" s="532"/>
      <c r="AR995" s="533"/>
      <c r="AS995" s="533"/>
      <c r="AT995" s="533"/>
      <c r="AU995" s="533"/>
      <c r="AV995" s="533"/>
      <c r="AW995" s="612"/>
      <c r="AX995" s="612"/>
      <c r="AY995" s="612"/>
      <c r="AZ995" s="612"/>
      <c r="BA995" s="612"/>
      <c r="BB995" s="612"/>
      <c r="BC995" s="612"/>
      <c r="BD995" s="612"/>
      <c r="BE995" s="612"/>
      <c r="BF995" s="612"/>
      <c r="BG995" s="612"/>
      <c r="BH995" s="612">
        <f t="shared" si="710"/>
        <v>0</v>
      </c>
      <c r="BI995" s="612">
        <f t="shared" si="746"/>
        <v>1988</v>
      </c>
      <c r="BJ995" s="201"/>
    </row>
    <row r="996" spans="1:62" ht="12" customHeight="1">
      <c r="A996" s="61"/>
      <c r="B996" s="61"/>
      <c r="C996" s="61"/>
      <c r="D996" s="61"/>
      <c r="E996" s="61"/>
      <c r="F996" s="61"/>
      <c r="G996" s="61"/>
      <c r="H996" s="280"/>
      <c r="I996" s="422"/>
      <c r="J996" s="291">
        <v>312</v>
      </c>
      <c r="K996" s="292" t="s">
        <v>327</v>
      </c>
      <c r="L996" s="250">
        <f t="shared" ref="L996:Z996" si="753">L997</f>
        <v>39500</v>
      </c>
      <c r="M996" s="250">
        <f t="shared" si="753"/>
        <v>5242.5509323777287</v>
      </c>
      <c r="N996" s="251">
        <f t="shared" si="753"/>
        <v>94000</v>
      </c>
      <c r="O996" s="251">
        <f t="shared" si="753"/>
        <v>12475.943990974849</v>
      </c>
      <c r="P996" s="252">
        <f t="shared" si="753"/>
        <v>8000</v>
      </c>
      <c r="Q996" s="252">
        <f t="shared" si="753"/>
        <v>18000</v>
      </c>
      <c r="R996" s="272">
        <f t="shared" si="753"/>
        <v>11755</v>
      </c>
      <c r="S996" s="273">
        <f t="shared" si="753"/>
        <v>0</v>
      </c>
      <c r="T996" s="273"/>
      <c r="U996" s="273"/>
      <c r="V996" s="532">
        <f>V997</f>
        <v>7600</v>
      </c>
      <c r="W996" s="532">
        <f t="shared" si="753"/>
        <v>7600</v>
      </c>
      <c r="X996" s="564">
        <f t="shared" si="753"/>
        <v>9000</v>
      </c>
      <c r="Y996" s="565">
        <f t="shared" si="753"/>
        <v>9500.1</v>
      </c>
      <c r="Z996" s="565">
        <f t="shared" si="753"/>
        <v>0</v>
      </c>
      <c r="AA996" s="562" t="e">
        <f t="shared" ca="1" si="709"/>
        <v>#NAME?</v>
      </c>
      <c r="AB996" s="565"/>
      <c r="AC996" s="566">
        <f>AC997</f>
        <v>8000</v>
      </c>
      <c r="AD996" s="566">
        <f>AD997</f>
        <v>8000</v>
      </c>
      <c r="AE996" s="529">
        <f>O996/M996*100</f>
        <v>237.97468354430382</v>
      </c>
      <c r="AF996" s="529">
        <f>P996/O996*100</f>
        <v>64.123404255319144</v>
      </c>
      <c r="AG996" s="529">
        <f>Q996/P996*100</f>
        <v>225</v>
      </c>
      <c r="AH996" s="529">
        <f>AC996/Q996*100</f>
        <v>44.444444444444443</v>
      </c>
      <c r="AI996" s="565"/>
      <c r="AJ996" s="565">
        <v>9500.1</v>
      </c>
      <c r="AK996" s="507">
        <f t="shared" si="744"/>
        <v>64.653339004678855</v>
      </c>
      <c r="AL996" s="507">
        <f t="shared" si="745"/>
        <v>118.42105263157893</v>
      </c>
      <c r="AM996" s="507">
        <f t="shared" si="745"/>
        <v>105.55666666666667</v>
      </c>
      <c r="AN996" s="567"/>
      <c r="AO996" s="510"/>
      <c r="AP996" s="510" t="e">
        <f t="shared" ca="1" si="752"/>
        <v>#NAME?</v>
      </c>
      <c r="AQ996" s="532">
        <f>AQ997</f>
        <v>7347.98</v>
      </c>
      <c r="AR996" s="533">
        <f>V996/R996*100</f>
        <v>64.653339004678855</v>
      </c>
      <c r="AS996" s="533">
        <f t="shared" si="714"/>
        <v>100</v>
      </c>
      <c r="AT996" s="533">
        <f>W996/R996*100</f>
        <v>64.653339004678855</v>
      </c>
      <c r="AU996" s="533">
        <f>AQ996/W996*100</f>
        <v>96.683947368421045</v>
      </c>
      <c r="AV996" s="533">
        <f>AQ996/R996*100</f>
        <v>62.509400255210544</v>
      </c>
      <c r="AW996" s="612"/>
      <c r="AX996" s="612"/>
      <c r="AY996" s="612"/>
      <c r="AZ996" s="612"/>
      <c r="BA996" s="612"/>
      <c r="BB996" s="612"/>
      <c r="BC996" s="612"/>
      <c r="BD996" s="612"/>
      <c r="BE996" s="612"/>
      <c r="BF996" s="612"/>
      <c r="BG996" s="612"/>
      <c r="BH996" s="612">
        <f t="shared" si="710"/>
        <v>0</v>
      </c>
      <c r="BI996" s="612">
        <f t="shared" si="746"/>
        <v>0</v>
      </c>
      <c r="BJ996" s="201"/>
    </row>
    <row r="997" spans="1:62" ht="12" customHeight="1">
      <c r="A997" s="52"/>
      <c r="B997" s="52"/>
      <c r="C997" s="52"/>
      <c r="D997" s="52"/>
      <c r="E997" s="52"/>
      <c r="F997" s="52"/>
      <c r="G997" s="52"/>
      <c r="H997" s="2">
        <v>33</v>
      </c>
      <c r="I997" s="289">
        <v>911</v>
      </c>
      <c r="J997" s="185">
        <v>3121</v>
      </c>
      <c r="K997" s="19" t="s">
        <v>225</v>
      </c>
      <c r="L997" s="129">
        <v>39500</v>
      </c>
      <c r="M997" s="129">
        <f>39500/7.5345</f>
        <v>5242.5509323777287</v>
      </c>
      <c r="N997" s="130">
        <v>94000</v>
      </c>
      <c r="O997" s="130">
        <f>N997/7.5345</f>
        <v>12475.943990974849</v>
      </c>
      <c r="P997" s="131">
        <v>8000</v>
      </c>
      <c r="Q997" s="156">
        <v>18000</v>
      </c>
      <c r="R997" s="153">
        <v>11755</v>
      </c>
      <c r="S997" s="158"/>
      <c r="T997" s="158"/>
      <c r="U997" s="158"/>
      <c r="V997" s="532">
        <v>7600</v>
      </c>
      <c r="W997" s="532">
        <v>7600</v>
      </c>
      <c r="X997" s="560">
        <v>9000</v>
      </c>
      <c r="Y997" s="561">
        <v>9500.1</v>
      </c>
      <c r="Z997" s="561"/>
      <c r="AA997" s="562" t="e">
        <f t="shared" ref="AA997:AA1060" ca="1" si="754">__xlfn.ISFORMULA(R997)</f>
        <v>#NAME?</v>
      </c>
      <c r="AB997" s="535"/>
      <c r="AC997" s="529">
        <v>8000</v>
      </c>
      <c r="AD997" s="529">
        <v>8000</v>
      </c>
      <c r="AE997" s="529">
        <f>O997/M997*100</f>
        <v>237.97468354430382</v>
      </c>
      <c r="AF997" s="529">
        <f>P997/O997*100</f>
        <v>64.123404255319144</v>
      </c>
      <c r="AG997" s="529">
        <f>Q997/P997*100</f>
        <v>225</v>
      </c>
      <c r="AH997" s="529">
        <f>AC997/Q997*100</f>
        <v>44.444444444444443</v>
      </c>
      <c r="AI997" s="535"/>
      <c r="AJ997" s="561">
        <v>9500.1</v>
      </c>
      <c r="AK997" s="507">
        <f t="shared" si="744"/>
        <v>64.653339004678855</v>
      </c>
      <c r="AL997" s="507">
        <f t="shared" si="745"/>
        <v>118.42105263157893</v>
      </c>
      <c r="AM997" s="507">
        <f t="shared" si="745"/>
        <v>105.55666666666667</v>
      </c>
      <c r="AN997" s="556"/>
      <c r="AO997" s="510"/>
      <c r="AP997" s="510" t="e">
        <f t="shared" ca="1" si="752"/>
        <v>#NAME?</v>
      </c>
      <c r="AQ997" s="532">
        <v>7347.98</v>
      </c>
      <c r="AR997" s="533">
        <f>V997/R997*100</f>
        <v>64.653339004678855</v>
      </c>
      <c r="AS997" s="533">
        <f t="shared" si="714"/>
        <v>100</v>
      </c>
      <c r="AT997" s="533">
        <f>W997/R997*100</f>
        <v>64.653339004678855</v>
      </c>
      <c r="AU997" s="533">
        <f>AQ997/W997*100</f>
        <v>96.683947368421045</v>
      </c>
      <c r="AV997" s="533">
        <f>AQ997/R997*100</f>
        <v>62.509400255210544</v>
      </c>
      <c r="AW997" s="612">
        <f>AQ997</f>
        <v>7347.98</v>
      </c>
      <c r="AX997" s="612"/>
      <c r="AY997" s="612"/>
      <c r="AZ997" s="612"/>
      <c r="BA997" s="612"/>
      <c r="BB997" s="612"/>
      <c r="BC997" s="612"/>
      <c r="BD997" s="612"/>
      <c r="BE997" s="612"/>
      <c r="BF997" s="612"/>
      <c r="BG997" s="612"/>
      <c r="BH997" s="612">
        <f t="shared" ref="BH997:BH1060" si="755">SUM(AW997:BG997)</f>
        <v>7347.98</v>
      </c>
      <c r="BI997" s="612">
        <f t="shared" si="746"/>
        <v>0</v>
      </c>
      <c r="BJ997" s="201"/>
    </row>
    <row r="998" spans="1:62" ht="12" customHeight="1">
      <c r="A998" s="68"/>
      <c r="B998" s="68"/>
      <c r="C998" s="68"/>
      <c r="D998" s="68"/>
      <c r="E998" s="68"/>
      <c r="F998" s="68"/>
      <c r="G998" s="68"/>
      <c r="H998" s="319"/>
      <c r="I998" s="4"/>
      <c r="J998" s="8"/>
      <c r="K998" s="8"/>
      <c r="L998" s="84"/>
      <c r="M998" s="84"/>
      <c r="N998" s="85"/>
      <c r="O998" s="85"/>
      <c r="P998" s="86"/>
      <c r="Q998" s="86"/>
      <c r="R998" s="154"/>
      <c r="S998" s="155"/>
      <c r="T998" s="155"/>
      <c r="U998" s="155"/>
      <c r="V998" s="532"/>
      <c r="W998" s="532"/>
      <c r="X998" s="568"/>
      <c r="Y998" s="569"/>
      <c r="Z998" s="569"/>
      <c r="AA998" s="562" t="e">
        <f t="shared" ca="1" si="754"/>
        <v>#NAME?</v>
      </c>
      <c r="AB998" s="537"/>
      <c r="AC998" s="538"/>
      <c r="AD998" s="538"/>
      <c r="AE998" s="529"/>
      <c r="AF998" s="529"/>
      <c r="AG998" s="529"/>
      <c r="AH998" s="529"/>
      <c r="AI998" s="537"/>
      <c r="AJ998" s="569"/>
      <c r="AK998" s="507"/>
      <c r="AL998" s="507"/>
      <c r="AM998" s="507"/>
      <c r="AN998" s="557"/>
      <c r="AO998" s="510"/>
      <c r="AP998" s="510" t="e">
        <f t="shared" ca="1" si="752"/>
        <v>#NAME?</v>
      </c>
      <c r="AQ998" s="532"/>
      <c r="AR998" s="533"/>
      <c r="AS998" s="533"/>
      <c r="AT998" s="533"/>
      <c r="AU998" s="533"/>
      <c r="AV998" s="533"/>
      <c r="AW998" s="612"/>
      <c r="AX998" s="612"/>
      <c r="AY998" s="612"/>
      <c r="AZ998" s="612"/>
      <c r="BA998" s="612"/>
      <c r="BB998" s="612"/>
      <c r="BC998" s="612"/>
      <c r="BD998" s="612"/>
      <c r="BE998" s="612"/>
      <c r="BF998" s="612"/>
      <c r="BG998" s="612"/>
      <c r="BH998" s="612">
        <f t="shared" si="755"/>
        <v>0</v>
      </c>
      <c r="BI998" s="612">
        <f t="shared" si="746"/>
        <v>0</v>
      </c>
      <c r="BJ998" s="201"/>
    </row>
    <row r="999" spans="1:62" ht="12" customHeight="1">
      <c r="A999" s="61"/>
      <c r="B999" s="61"/>
      <c r="C999" s="61"/>
      <c r="D999" s="61"/>
      <c r="E999" s="61"/>
      <c r="F999" s="61"/>
      <c r="G999" s="61"/>
      <c r="H999" s="230"/>
      <c r="I999" s="348"/>
      <c r="J999" s="229">
        <v>313</v>
      </c>
      <c r="K999" s="20" t="s">
        <v>330</v>
      </c>
      <c r="L999" s="111">
        <f t="shared" ref="L999:S999" si="756">L1001+L1002</f>
        <v>352171</v>
      </c>
      <c r="M999" s="111">
        <f t="shared" si="756"/>
        <v>46741.124162187269</v>
      </c>
      <c r="N999" s="112">
        <f t="shared" si="756"/>
        <v>331977</v>
      </c>
      <c r="O999" s="112">
        <f t="shared" si="756"/>
        <v>44060.919769062311</v>
      </c>
      <c r="P999" s="113">
        <f t="shared" si="756"/>
        <v>50300</v>
      </c>
      <c r="Q999" s="113">
        <f t="shared" si="756"/>
        <v>55000</v>
      </c>
      <c r="R999" s="87">
        <f t="shared" si="756"/>
        <v>47603</v>
      </c>
      <c r="S999" s="89">
        <f t="shared" si="756"/>
        <v>0</v>
      </c>
      <c r="T999" s="89"/>
      <c r="U999" s="89"/>
      <c r="V999" s="532">
        <f>V1001+V1002</f>
        <v>80550</v>
      </c>
      <c r="W999" s="532">
        <f>W1001+W1002</f>
        <v>80550</v>
      </c>
      <c r="X999" s="506">
        <f>X1001+X1002</f>
        <v>98100</v>
      </c>
      <c r="Y999" s="507">
        <f>Y1001+Y1002</f>
        <v>98100</v>
      </c>
      <c r="Z999" s="507">
        <f>Z1001+Z1002</f>
        <v>0</v>
      </c>
      <c r="AA999" s="562" t="e">
        <f t="shared" ca="1" si="754"/>
        <v>#NAME?</v>
      </c>
      <c r="AB999" s="507"/>
      <c r="AC999" s="508">
        <f>AC1001+AC1002</f>
        <v>50300</v>
      </c>
      <c r="AD999" s="508">
        <f>AD1001+AD1002</f>
        <v>50300</v>
      </c>
      <c r="AE999" s="529">
        <f>O999/M999*100</f>
        <v>94.265853803975901</v>
      </c>
      <c r="AF999" s="529">
        <f>P999/O999*100</f>
        <v>114.16012253860961</v>
      </c>
      <c r="AG999" s="529">
        <f>Q999/P999*100</f>
        <v>109.34393638170974</v>
      </c>
      <c r="AH999" s="529">
        <f>AC999/Q999*100</f>
        <v>91.454545454545453</v>
      </c>
      <c r="AI999" s="507"/>
      <c r="AJ999" s="507">
        <v>98100</v>
      </c>
      <c r="AK999" s="507">
        <f t="shared" si="744"/>
        <v>169.2120244522404</v>
      </c>
      <c r="AL999" s="507">
        <f t="shared" si="745"/>
        <v>121.78770949720669</v>
      </c>
      <c r="AM999" s="507">
        <f t="shared" si="745"/>
        <v>100</v>
      </c>
      <c r="AN999" s="509"/>
      <c r="AO999" s="510"/>
      <c r="AP999" s="510" t="e">
        <f t="shared" ca="1" si="752"/>
        <v>#NAME?</v>
      </c>
      <c r="AQ999" s="532">
        <f>AQ1001+AQ1002</f>
        <v>71125.53</v>
      </c>
      <c r="AR999" s="533">
        <f t="shared" ref="AR999:AR1062" si="757">V999/R999*100</f>
        <v>169.2120244522404</v>
      </c>
      <c r="AS999" s="533">
        <f t="shared" ref="AS999:AS1062" si="758">W999/V999*100</f>
        <v>100</v>
      </c>
      <c r="AT999" s="533">
        <f t="shared" ref="AT999:AT1062" si="759">W999/R999*100</f>
        <v>169.2120244522404</v>
      </c>
      <c r="AU999" s="533">
        <f>AQ999/W999*100</f>
        <v>88.299851024208564</v>
      </c>
      <c r="AV999" s="533">
        <f>AQ999/R999*100</f>
        <v>149.41396550637563</v>
      </c>
      <c r="AW999" s="612"/>
      <c r="AX999" s="612"/>
      <c r="AY999" s="612"/>
      <c r="AZ999" s="612"/>
      <c r="BA999" s="612"/>
      <c r="BB999" s="612"/>
      <c r="BC999" s="612"/>
      <c r="BD999" s="612"/>
      <c r="BE999" s="612"/>
      <c r="BF999" s="612"/>
      <c r="BG999" s="612"/>
      <c r="BH999" s="612">
        <f t="shared" si="755"/>
        <v>0</v>
      </c>
      <c r="BI999" s="612">
        <f t="shared" si="746"/>
        <v>2532.94</v>
      </c>
      <c r="BJ999" s="201"/>
    </row>
    <row r="1000" spans="1:62" ht="12" customHeight="1">
      <c r="A1000" s="41"/>
      <c r="B1000" s="41"/>
      <c r="C1000" s="41"/>
      <c r="D1000" s="41"/>
      <c r="E1000" s="41"/>
      <c r="F1000" s="41"/>
      <c r="G1000" s="41"/>
      <c r="H1000" s="235"/>
      <c r="I1000" s="15"/>
      <c r="J1000" s="3"/>
      <c r="K1000" s="83"/>
      <c r="L1000" s="84">
        <v>1</v>
      </c>
      <c r="M1000" s="84">
        <v>2</v>
      </c>
      <c r="N1000" s="85">
        <v>3</v>
      </c>
      <c r="O1000" s="85">
        <v>4</v>
      </c>
      <c r="P1000" s="86">
        <v>5</v>
      </c>
      <c r="Q1000" s="86">
        <v>6</v>
      </c>
      <c r="R1000" s="154"/>
      <c r="S1000" s="155"/>
      <c r="T1000" s="155"/>
      <c r="U1000" s="155"/>
      <c r="V1000" s="532"/>
      <c r="W1000" s="532"/>
      <c r="X1000" s="568"/>
      <c r="Y1000" s="569"/>
      <c r="Z1000" s="569"/>
      <c r="AA1000" s="562" t="e">
        <f t="shared" ca="1" si="754"/>
        <v>#NAME?</v>
      </c>
      <c r="AB1000" s="537"/>
      <c r="AC1000" s="538">
        <v>7</v>
      </c>
      <c r="AD1000" s="538">
        <v>8</v>
      </c>
      <c r="AE1000" s="538">
        <v>9</v>
      </c>
      <c r="AF1000" s="538">
        <v>10</v>
      </c>
      <c r="AG1000" s="538">
        <v>11</v>
      </c>
      <c r="AH1000" s="538">
        <v>12</v>
      </c>
      <c r="AI1000" s="537"/>
      <c r="AJ1000" s="569"/>
      <c r="AK1000" s="507"/>
      <c r="AL1000" s="507"/>
      <c r="AM1000" s="507"/>
      <c r="AN1000" s="557"/>
      <c r="AO1000" s="510"/>
      <c r="AP1000" s="510" t="e">
        <f t="shared" ca="1" si="752"/>
        <v>#NAME?</v>
      </c>
      <c r="AQ1000" s="532"/>
      <c r="AR1000" s="533"/>
      <c r="AS1000" s="533"/>
      <c r="AT1000" s="533"/>
      <c r="AU1000" s="533"/>
      <c r="AV1000" s="533"/>
      <c r="AW1000" s="612"/>
      <c r="AX1000" s="612"/>
      <c r="AY1000" s="612"/>
      <c r="AZ1000" s="612"/>
      <c r="BA1000" s="612"/>
      <c r="BB1000" s="612"/>
      <c r="BC1000" s="612"/>
      <c r="BD1000" s="612"/>
      <c r="BE1000" s="612"/>
      <c r="BF1000" s="612"/>
      <c r="BG1000" s="612"/>
      <c r="BH1000" s="612">
        <f t="shared" si="755"/>
        <v>0</v>
      </c>
      <c r="BI1000" s="612">
        <f t="shared" si="746"/>
        <v>25181.93</v>
      </c>
      <c r="BJ1000" s="201"/>
    </row>
    <row r="1001" spans="1:62" ht="12" customHeight="1">
      <c r="A1001" s="52"/>
      <c r="B1001" s="52"/>
      <c r="C1001" s="52"/>
      <c r="D1001" s="52"/>
      <c r="E1001" s="52"/>
      <c r="F1001" s="52"/>
      <c r="G1001" s="52"/>
      <c r="H1001" s="2">
        <v>35</v>
      </c>
      <c r="I1001" s="289">
        <v>911</v>
      </c>
      <c r="J1001" s="185">
        <v>3132</v>
      </c>
      <c r="K1001" s="19" t="s">
        <v>786</v>
      </c>
      <c r="L1001" s="129">
        <v>336983</v>
      </c>
      <c r="M1001" s="129">
        <f>336983/7.5345</f>
        <v>44725.330147985929</v>
      </c>
      <c r="N1001" s="130">
        <v>317915</v>
      </c>
      <c r="O1001" s="130">
        <f>N1001/7.5345</f>
        <v>42194.571637135843</v>
      </c>
      <c r="P1001" s="131">
        <v>48200</v>
      </c>
      <c r="Q1001" s="156">
        <v>53400</v>
      </c>
      <c r="R1001" s="153">
        <v>46156</v>
      </c>
      <c r="S1001" s="158"/>
      <c r="T1001" s="158"/>
      <c r="U1001" s="158"/>
      <c r="V1001" s="532">
        <v>77550</v>
      </c>
      <c r="W1001" s="532">
        <v>77550</v>
      </c>
      <c r="X1001" s="560">
        <v>96000</v>
      </c>
      <c r="Y1001" s="561">
        <v>96000</v>
      </c>
      <c r="Z1001" s="561"/>
      <c r="AA1001" s="562" t="e">
        <f t="shared" ca="1" si="754"/>
        <v>#NAME?</v>
      </c>
      <c r="AB1001" s="535"/>
      <c r="AC1001" s="529">
        <v>48200</v>
      </c>
      <c r="AD1001" s="529">
        <v>48200</v>
      </c>
      <c r="AE1001" s="529">
        <f>O1001/M1001*100</f>
        <v>94.341554321731365</v>
      </c>
      <c r="AF1001" s="529">
        <f>P1001/O1001*100</f>
        <v>114.23270371011118</v>
      </c>
      <c r="AG1001" s="529">
        <f>Q1001/P1001*100</f>
        <v>110.78838174273859</v>
      </c>
      <c r="AH1001" s="529">
        <f>AC1001/Q1001*100</f>
        <v>90.262172284644194</v>
      </c>
      <c r="AI1001" s="535"/>
      <c r="AJ1001" s="561">
        <v>96000</v>
      </c>
      <c r="AK1001" s="507">
        <f t="shared" si="744"/>
        <v>168.01715919923737</v>
      </c>
      <c r="AL1001" s="507">
        <f t="shared" si="745"/>
        <v>123.79110251450678</v>
      </c>
      <c r="AM1001" s="507">
        <f t="shared" si="745"/>
        <v>100</v>
      </c>
      <c r="AN1001" s="556"/>
      <c r="AO1001" s="510"/>
      <c r="AP1001" s="510" t="e">
        <f t="shared" ca="1" si="752"/>
        <v>#NAME?</v>
      </c>
      <c r="AQ1001" s="532">
        <v>69137.53</v>
      </c>
      <c r="AR1001" s="533">
        <f t="shared" si="757"/>
        <v>168.01715919923737</v>
      </c>
      <c r="AS1001" s="533">
        <f t="shared" si="758"/>
        <v>100</v>
      </c>
      <c r="AT1001" s="533">
        <f t="shared" si="759"/>
        <v>168.01715919923737</v>
      </c>
      <c r="AU1001" s="533">
        <f>AQ1001/W1001*100</f>
        <v>89.152198581560285</v>
      </c>
      <c r="AV1001" s="533">
        <f>AQ1001/R1001*100</f>
        <v>149.79099142040039</v>
      </c>
      <c r="AW1001" s="612">
        <f>AQ1001</f>
        <v>69137.53</v>
      </c>
      <c r="AX1001" s="612"/>
      <c r="AY1001" s="612"/>
      <c r="AZ1001" s="612"/>
      <c r="BA1001" s="612"/>
      <c r="BB1001" s="612"/>
      <c r="BC1001" s="612"/>
      <c r="BD1001" s="612"/>
      <c r="BE1001" s="612"/>
      <c r="BF1001" s="612"/>
      <c r="BG1001" s="612"/>
      <c r="BH1001" s="612">
        <f t="shared" si="755"/>
        <v>69137.53</v>
      </c>
      <c r="BI1001" s="612">
        <f t="shared" si="746"/>
        <v>3985</v>
      </c>
      <c r="BJ1001" s="201"/>
    </row>
    <row r="1002" spans="1:62" ht="12" customHeight="1">
      <c r="A1002" s="52"/>
      <c r="B1002" s="52"/>
      <c r="C1002" s="52"/>
      <c r="D1002" s="52"/>
      <c r="E1002" s="52"/>
      <c r="F1002" s="52"/>
      <c r="G1002" s="52"/>
      <c r="H1002" s="2">
        <v>36</v>
      </c>
      <c r="I1002" s="289">
        <v>911</v>
      </c>
      <c r="J1002" s="185">
        <v>3133</v>
      </c>
      <c r="K1002" s="19" t="s">
        <v>787</v>
      </c>
      <c r="L1002" s="129">
        <v>15188</v>
      </c>
      <c r="M1002" s="129">
        <f>15188/7.5345</f>
        <v>2015.7940142013404</v>
      </c>
      <c r="N1002" s="130">
        <v>14062</v>
      </c>
      <c r="O1002" s="130">
        <f>N1002/7.5345</f>
        <v>1866.3481319264715</v>
      </c>
      <c r="P1002" s="131">
        <v>2100</v>
      </c>
      <c r="Q1002" s="156">
        <v>1600</v>
      </c>
      <c r="R1002" s="153">
        <v>1447</v>
      </c>
      <c r="S1002" s="158"/>
      <c r="T1002" s="158"/>
      <c r="U1002" s="158"/>
      <c r="V1002" s="532">
        <v>3000</v>
      </c>
      <c r="W1002" s="532">
        <v>3000</v>
      </c>
      <c r="X1002" s="560">
        <v>2100</v>
      </c>
      <c r="Y1002" s="561">
        <v>2100</v>
      </c>
      <c r="Z1002" s="561"/>
      <c r="AA1002" s="562" t="e">
        <f t="shared" ca="1" si="754"/>
        <v>#NAME?</v>
      </c>
      <c r="AB1002" s="535"/>
      <c r="AC1002" s="529">
        <v>2100</v>
      </c>
      <c r="AD1002" s="529">
        <v>2100</v>
      </c>
      <c r="AE1002" s="529">
        <f>O1002/M1002*100</f>
        <v>92.586252304450895</v>
      </c>
      <c r="AF1002" s="529">
        <f>P1002/O1002*100</f>
        <v>112.51920068269095</v>
      </c>
      <c r="AG1002" s="529">
        <f>Q1002/P1002*100</f>
        <v>76.19047619047619</v>
      </c>
      <c r="AH1002" s="529">
        <f>AC1002/Q1002*100</f>
        <v>131.25</v>
      </c>
      <c r="AI1002" s="535"/>
      <c r="AJ1002" s="561">
        <v>2100</v>
      </c>
      <c r="AK1002" s="507">
        <f t="shared" si="744"/>
        <v>207.32550103662751</v>
      </c>
      <c r="AL1002" s="507">
        <f t="shared" si="745"/>
        <v>70</v>
      </c>
      <c r="AM1002" s="507">
        <f t="shared" si="745"/>
        <v>100</v>
      </c>
      <c r="AN1002" s="556"/>
      <c r="AO1002" s="510"/>
      <c r="AP1002" s="510" t="e">
        <f t="shared" ca="1" si="752"/>
        <v>#NAME?</v>
      </c>
      <c r="AQ1002" s="532">
        <v>1988</v>
      </c>
      <c r="AR1002" s="533">
        <f t="shared" si="757"/>
        <v>207.32550103662751</v>
      </c>
      <c r="AS1002" s="533">
        <f t="shared" si="758"/>
        <v>100</v>
      </c>
      <c r="AT1002" s="533">
        <f t="shared" si="759"/>
        <v>207.32550103662751</v>
      </c>
      <c r="AU1002" s="533">
        <f>AQ1002/W1002*100</f>
        <v>66.266666666666666</v>
      </c>
      <c r="AV1002" s="533">
        <f>AQ1002/R1002*100</f>
        <v>137.38769868693851</v>
      </c>
      <c r="AW1002" s="612">
        <f>AQ1002</f>
        <v>1988</v>
      </c>
      <c r="AX1002" s="612"/>
      <c r="AY1002" s="612"/>
      <c r="AZ1002" s="612"/>
      <c r="BA1002" s="612"/>
      <c r="BB1002" s="612"/>
      <c r="BC1002" s="612"/>
      <c r="BD1002" s="612"/>
      <c r="BE1002" s="612"/>
      <c r="BF1002" s="612"/>
      <c r="BG1002" s="612"/>
      <c r="BH1002" s="612">
        <f t="shared" si="755"/>
        <v>1988</v>
      </c>
      <c r="BI1002" s="612">
        <f t="shared" si="746"/>
        <v>777.5</v>
      </c>
      <c r="BJ1002" s="201"/>
    </row>
    <row r="1003" spans="1:62" ht="12" customHeight="1">
      <c r="A1003" s="41"/>
      <c r="B1003" s="41"/>
      <c r="C1003" s="41"/>
      <c r="D1003" s="41"/>
      <c r="E1003" s="41"/>
      <c r="F1003" s="41"/>
      <c r="G1003" s="41"/>
      <c r="H1003" s="235"/>
      <c r="I1003" s="15"/>
      <c r="J1003" s="3"/>
      <c r="K1003" s="211"/>
      <c r="L1003" s="84"/>
      <c r="M1003" s="84"/>
      <c r="N1003" s="85"/>
      <c r="O1003" s="85"/>
      <c r="P1003" s="86"/>
      <c r="Q1003" s="86"/>
      <c r="R1003" s="154"/>
      <c r="S1003" s="155"/>
      <c r="T1003" s="155"/>
      <c r="U1003" s="155"/>
      <c r="V1003" s="532"/>
      <c r="W1003" s="532"/>
      <c r="X1003" s="568"/>
      <c r="Y1003" s="569"/>
      <c r="Z1003" s="569"/>
      <c r="AA1003" s="562" t="e">
        <f t="shared" ca="1" si="754"/>
        <v>#NAME?</v>
      </c>
      <c r="AB1003" s="537"/>
      <c r="AC1003" s="538"/>
      <c r="AD1003" s="538"/>
      <c r="AE1003" s="529"/>
      <c r="AF1003" s="529"/>
      <c r="AG1003" s="529"/>
      <c r="AH1003" s="529"/>
      <c r="AI1003" s="537"/>
      <c r="AJ1003" s="569"/>
      <c r="AK1003" s="507"/>
      <c r="AL1003" s="507"/>
      <c r="AM1003" s="507"/>
      <c r="AN1003" s="557"/>
      <c r="AO1003" s="510"/>
      <c r="AP1003" s="510" t="e">
        <f t="shared" ca="1" si="752"/>
        <v>#NAME?</v>
      </c>
      <c r="AQ1003" s="532"/>
      <c r="AR1003" s="533"/>
      <c r="AS1003" s="533"/>
      <c r="AT1003" s="533"/>
      <c r="AU1003" s="533"/>
      <c r="AV1003" s="533"/>
      <c r="AW1003" s="612"/>
      <c r="AX1003" s="612"/>
      <c r="AY1003" s="612"/>
      <c r="AZ1003" s="612"/>
      <c r="BA1003" s="612"/>
      <c r="BB1003" s="612"/>
      <c r="BC1003" s="612"/>
      <c r="BD1003" s="612"/>
      <c r="BE1003" s="612"/>
      <c r="BF1003" s="612"/>
      <c r="BG1003" s="612"/>
      <c r="BH1003" s="612">
        <f t="shared" si="755"/>
        <v>0</v>
      </c>
      <c r="BI1003" s="612">
        <f t="shared" si="746"/>
        <v>0</v>
      </c>
      <c r="BJ1003" s="201"/>
    </row>
    <row r="1004" spans="1:62" ht="12" customHeight="1">
      <c r="A1004" s="227"/>
      <c r="B1004" s="227"/>
      <c r="C1004" s="227"/>
      <c r="D1004" s="227"/>
      <c r="E1004" s="227"/>
      <c r="F1004" s="227"/>
      <c r="G1004" s="227"/>
      <c r="H1004" s="234"/>
      <c r="I1004" s="265"/>
      <c r="J1004" s="228">
        <v>32</v>
      </c>
      <c r="K1004" s="258" t="s">
        <v>229</v>
      </c>
      <c r="L1004" s="111">
        <f t="shared" ref="L1004:Z1004" si="760">L1005</f>
        <v>128788</v>
      </c>
      <c r="M1004" s="111">
        <f t="shared" si="760"/>
        <v>17093.105050102859</v>
      </c>
      <c r="N1004" s="112">
        <f t="shared" si="760"/>
        <v>179740</v>
      </c>
      <c r="O1004" s="112">
        <f t="shared" si="760"/>
        <v>23855.597584444888</v>
      </c>
      <c r="P1004" s="113">
        <f t="shared" si="760"/>
        <v>29900</v>
      </c>
      <c r="Q1004" s="113">
        <f t="shared" si="760"/>
        <v>33300</v>
      </c>
      <c r="R1004" s="87">
        <f t="shared" si="760"/>
        <v>31083</v>
      </c>
      <c r="S1004" s="89">
        <f t="shared" si="760"/>
        <v>0</v>
      </c>
      <c r="T1004" s="89"/>
      <c r="U1004" s="89"/>
      <c r="V1004" s="532">
        <f>V1005</f>
        <v>35900</v>
      </c>
      <c r="W1004" s="532">
        <f t="shared" si="760"/>
        <v>35900</v>
      </c>
      <c r="X1004" s="506">
        <f t="shared" si="760"/>
        <v>48400</v>
      </c>
      <c r="Y1004" s="507">
        <f t="shared" si="760"/>
        <v>49900.5</v>
      </c>
      <c r="Z1004" s="507">
        <f t="shared" si="760"/>
        <v>0</v>
      </c>
      <c r="AA1004" s="562" t="e">
        <f t="shared" ca="1" si="754"/>
        <v>#NAME?</v>
      </c>
      <c r="AB1004" s="507"/>
      <c r="AC1004" s="508">
        <f>AC1005</f>
        <v>30000</v>
      </c>
      <c r="AD1004" s="508">
        <f>AD1005</f>
        <v>30000</v>
      </c>
      <c r="AE1004" s="529">
        <f>O1004/M1004*100</f>
        <v>139.56269217628974</v>
      </c>
      <c r="AF1004" s="529">
        <f t="shared" ref="AF1004:AG1008" si="761">P1004/O1004*100</f>
        <v>125.33745966395904</v>
      </c>
      <c r="AG1004" s="529">
        <f t="shared" si="761"/>
        <v>111.37123745819397</v>
      </c>
      <c r="AH1004" s="529">
        <f>AC1004/Q1004*100</f>
        <v>90.090090090090087</v>
      </c>
      <c r="AI1004" s="507"/>
      <c r="AJ1004" s="507">
        <v>49900.5</v>
      </c>
      <c r="AK1004" s="507">
        <f t="shared" si="744"/>
        <v>115.4972171283338</v>
      </c>
      <c r="AL1004" s="507">
        <f t="shared" si="745"/>
        <v>134.81894150417827</v>
      </c>
      <c r="AM1004" s="507">
        <f t="shared" si="745"/>
        <v>103.10020661157024</v>
      </c>
      <c r="AN1004" s="509"/>
      <c r="AO1004" s="510"/>
      <c r="AP1004" s="510" t="e">
        <f t="shared" ca="1" si="752"/>
        <v>#NAME?</v>
      </c>
      <c r="AQ1004" s="532">
        <f>AQ1005</f>
        <v>32477.37</v>
      </c>
      <c r="AR1004" s="533">
        <f t="shared" si="757"/>
        <v>115.4972171283338</v>
      </c>
      <c r="AS1004" s="533">
        <f t="shared" si="758"/>
        <v>100</v>
      </c>
      <c r="AT1004" s="533">
        <f t="shared" si="759"/>
        <v>115.4972171283338</v>
      </c>
      <c r="AU1004" s="533">
        <f>AQ1004/W1004*100</f>
        <v>90.466211699164347</v>
      </c>
      <c r="AV1004" s="533">
        <f t="shared" ref="AV1004:AV1009" si="762">AQ1004/R1004*100</f>
        <v>104.48595695396196</v>
      </c>
      <c r="AW1004" s="612"/>
      <c r="AX1004" s="612"/>
      <c r="AY1004" s="612"/>
      <c r="AZ1004" s="612"/>
      <c r="BA1004" s="612"/>
      <c r="BB1004" s="612"/>
      <c r="BC1004" s="612"/>
      <c r="BD1004" s="612"/>
      <c r="BE1004" s="612"/>
      <c r="BF1004" s="612"/>
      <c r="BG1004" s="612"/>
      <c r="BH1004" s="612">
        <f t="shared" si="755"/>
        <v>0</v>
      </c>
      <c r="BI1004" s="612">
        <f t="shared" si="746"/>
        <v>0</v>
      </c>
      <c r="BJ1004" s="201"/>
    </row>
    <row r="1005" spans="1:62" ht="12" customHeight="1">
      <c r="A1005" s="61"/>
      <c r="B1005" s="61"/>
      <c r="C1005" s="61"/>
      <c r="D1005" s="61"/>
      <c r="E1005" s="61"/>
      <c r="F1005" s="61"/>
      <c r="G1005" s="61"/>
      <c r="H1005" s="230"/>
      <c r="I1005" s="348"/>
      <c r="J1005" s="229">
        <v>321</v>
      </c>
      <c r="K1005" s="20" t="s">
        <v>788</v>
      </c>
      <c r="L1005" s="111">
        <f t="shared" ref="L1005:S1005" si="763">L1006+L1007+L1008+L1009</f>
        <v>128788</v>
      </c>
      <c r="M1005" s="111">
        <f t="shared" si="763"/>
        <v>17093.105050102859</v>
      </c>
      <c r="N1005" s="112">
        <f t="shared" si="763"/>
        <v>179740</v>
      </c>
      <c r="O1005" s="112">
        <f t="shared" si="763"/>
        <v>23855.597584444888</v>
      </c>
      <c r="P1005" s="113">
        <f t="shared" si="763"/>
        <v>29900</v>
      </c>
      <c r="Q1005" s="113">
        <f t="shared" si="763"/>
        <v>33300</v>
      </c>
      <c r="R1005" s="87">
        <f t="shared" si="763"/>
        <v>31083</v>
      </c>
      <c r="S1005" s="89">
        <f t="shared" si="763"/>
        <v>0</v>
      </c>
      <c r="T1005" s="89"/>
      <c r="U1005" s="89"/>
      <c r="V1005" s="532">
        <f>V1006+V1007+V1008+V1009</f>
        <v>35900</v>
      </c>
      <c r="W1005" s="532">
        <f>W1006+W1007+W1008+W1009</f>
        <v>35900</v>
      </c>
      <c r="X1005" s="506">
        <f>X1006+X1007+X1008+X1009</f>
        <v>48400</v>
      </c>
      <c r="Y1005" s="507">
        <f>Y1006+Y1007+Y1008+Y1009</f>
        <v>49900.5</v>
      </c>
      <c r="Z1005" s="507">
        <f>Z1006+Z1007+Z1008+Z1009</f>
        <v>0</v>
      </c>
      <c r="AA1005" s="562" t="e">
        <f t="shared" ca="1" si="754"/>
        <v>#NAME?</v>
      </c>
      <c r="AB1005" s="507"/>
      <c r="AC1005" s="508">
        <f>AC1006+AC1007+AC1008+AC1009</f>
        <v>30000</v>
      </c>
      <c r="AD1005" s="508">
        <f>AD1006+AD1007+AD1008+AD1009</f>
        <v>30000</v>
      </c>
      <c r="AE1005" s="529">
        <f>O1005/M1005*100</f>
        <v>139.56269217628974</v>
      </c>
      <c r="AF1005" s="529">
        <f t="shared" si="761"/>
        <v>125.33745966395904</v>
      </c>
      <c r="AG1005" s="529">
        <f t="shared" si="761"/>
        <v>111.37123745819397</v>
      </c>
      <c r="AH1005" s="529">
        <f>AC1005/Q1005*100</f>
        <v>90.090090090090087</v>
      </c>
      <c r="AI1005" s="507"/>
      <c r="AJ1005" s="507">
        <v>49900.5</v>
      </c>
      <c r="AK1005" s="507">
        <f t="shared" si="744"/>
        <v>115.4972171283338</v>
      </c>
      <c r="AL1005" s="507">
        <f t="shared" si="745"/>
        <v>134.81894150417827</v>
      </c>
      <c r="AM1005" s="507">
        <f t="shared" si="745"/>
        <v>103.10020661157024</v>
      </c>
      <c r="AN1005" s="509"/>
      <c r="AO1005" s="510"/>
      <c r="AP1005" s="510" t="e">
        <f t="shared" ca="1" si="752"/>
        <v>#NAME?</v>
      </c>
      <c r="AQ1005" s="532">
        <f>AQ1006+AQ1007+AQ1008+AQ1009</f>
        <v>32477.37</v>
      </c>
      <c r="AR1005" s="533">
        <f t="shared" si="757"/>
        <v>115.4972171283338</v>
      </c>
      <c r="AS1005" s="533">
        <f t="shared" si="758"/>
        <v>100</v>
      </c>
      <c r="AT1005" s="533">
        <f t="shared" si="759"/>
        <v>115.4972171283338</v>
      </c>
      <c r="AU1005" s="533">
        <f>AQ1005/W1005*100</f>
        <v>90.466211699164347</v>
      </c>
      <c r="AV1005" s="533">
        <f t="shared" si="762"/>
        <v>104.48595695396196</v>
      </c>
      <c r="AW1005" s="612"/>
      <c r="AX1005" s="612"/>
      <c r="AY1005" s="612"/>
      <c r="AZ1005" s="612"/>
      <c r="BA1005" s="612"/>
      <c r="BB1005" s="612"/>
      <c r="BC1005" s="612"/>
      <c r="BD1005" s="612"/>
      <c r="BE1005" s="612"/>
      <c r="BF1005" s="612"/>
      <c r="BG1005" s="612"/>
      <c r="BH1005" s="612">
        <f t="shared" si="755"/>
        <v>0</v>
      </c>
      <c r="BI1005" s="612">
        <f t="shared" si="746"/>
        <v>0</v>
      </c>
      <c r="BJ1005" s="201"/>
    </row>
    <row r="1006" spans="1:62" ht="12" customHeight="1">
      <c r="A1006" s="167"/>
      <c r="B1006" s="167"/>
      <c r="C1006" s="167"/>
      <c r="D1006" s="167"/>
      <c r="E1006" s="167"/>
      <c r="F1006" s="167"/>
      <c r="G1006" s="167"/>
      <c r="H1006" s="411"/>
      <c r="I1006" s="289">
        <v>911</v>
      </c>
      <c r="J1006" s="185">
        <v>3211</v>
      </c>
      <c r="K1006" s="208" t="s">
        <v>231</v>
      </c>
      <c r="L1006" s="136">
        <v>1480</v>
      </c>
      <c r="M1006" s="136">
        <f>1480/7.5345</f>
        <v>196.42975645364655</v>
      </c>
      <c r="N1006" s="137">
        <v>4310</v>
      </c>
      <c r="O1006" s="137">
        <f>N1006/7.5345</f>
        <v>572.03530426703821</v>
      </c>
      <c r="P1006" s="138">
        <v>3300</v>
      </c>
      <c r="Q1006" s="138">
        <v>3300</v>
      </c>
      <c r="R1006" s="136">
        <v>2547</v>
      </c>
      <c r="S1006" s="138"/>
      <c r="T1006" s="138"/>
      <c r="U1006" s="138"/>
      <c r="V1006" s="532">
        <v>3500</v>
      </c>
      <c r="W1006" s="532">
        <v>3500</v>
      </c>
      <c r="X1006" s="574">
        <v>5000</v>
      </c>
      <c r="Y1006" s="575">
        <v>5000</v>
      </c>
      <c r="Z1006" s="575"/>
      <c r="AA1006" s="562" t="e">
        <f t="shared" ca="1" si="754"/>
        <v>#NAME?</v>
      </c>
      <c r="AB1006" s="540"/>
      <c r="AC1006" s="541">
        <v>3300</v>
      </c>
      <c r="AD1006" s="541">
        <v>3300</v>
      </c>
      <c r="AE1006" s="529"/>
      <c r="AF1006" s="529">
        <f t="shared" si="761"/>
        <v>576.88747099767988</v>
      </c>
      <c r="AG1006" s="529">
        <f t="shared" si="761"/>
        <v>100</v>
      </c>
      <c r="AH1006" s="529">
        <f>AC1006/Q1006*100</f>
        <v>100</v>
      </c>
      <c r="AI1006" s="540"/>
      <c r="AJ1006" s="575">
        <v>5000</v>
      </c>
      <c r="AK1006" s="507">
        <f t="shared" si="744"/>
        <v>137.41656851197487</v>
      </c>
      <c r="AL1006" s="507">
        <f t="shared" si="745"/>
        <v>142.85714285714286</v>
      </c>
      <c r="AM1006" s="507">
        <f t="shared" si="745"/>
        <v>100</v>
      </c>
      <c r="AN1006" s="558"/>
      <c r="AO1006" s="510"/>
      <c r="AP1006" s="510" t="e">
        <f t="shared" ca="1" si="752"/>
        <v>#NAME?</v>
      </c>
      <c r="AQ1006" s="532">
        <v>2532.94</v>
      </c>
      <c r="AR1006" s="533">
        <f t="shared" si="757"/>
        <v>137.41656851197487</v>
      </c>
      <c r="AS1006" s="533">
        <f t="shared" si="758"/>
        <v>100</v>
      </c>
      <c r="AT1006" s="533">
        <f t="shared" si="759"/>
        <v>137.41656851197487</v>
      </c>
      <c r="AU1006" s="533">
        <f>AQ1006/W1006*100</f>
        <v>72.369714285714295</v>
      </c>
      <c r="AV1006" s="533">
        <f t="shared" si="762"/>
        <v>99.447978013349029</v>
      </c>
      <c r="AW1006" s="612">
        <f>AQ1006</f>
        <v>2532.94</v>
      </c>
      <c r="AX1006" s="612"/>
      <c r="AY1006" s="612"/>
      <c r="AZ1006" s="612"/>
      <c r="BA1006" s="612"/>
      <c r="BB1006" s="612"/>
      <c r="BC1006" s="612"/>
      <c r="BD1006" s="612"/>
      <c r="BE1006" s="612"/>
      <c r="BF1006" s="612"/>
      <c r="BG1006" s="612"/>
      <c r="BH1006" s="612">
        <f t="shared" si="755"/>
        <v>2532.94</v>
      </c>
      <c r="BI1006" s="612">
        <f t="shared" si="746"/>
        <v>0</v>
      </c>
      <c r="BJ1006" s="201"/>
    </row>
    <row r="1007" spans="1:62" ht="12" customHeight="1">
      <c r="A1007" s="52"/>
      <c r="B1007" s="52"/>
      <c r="C1007" s="52"/>
      <c r="D1007" s="52"/>
      <c r="E1007" s="52"/>
      <c r="F1007" s="52"/>
      <c r="G1007" s="52"/>
      <c r="H1007" s="2">
        <v>37</v>
      </c>
      <c r="I1007" s="289">
        <v>911</v>
      </c>
      <c r="J1007" s="185">
        <v>3212</v>
      </c>
      <c r="K1007" s="19" t="s">
        <v>337</v>
      </c>
      <c r="L1007" s="129">
        <v>120944</v>
      </c>
      <c r="M1007" s="129">
        <f>120944/7.5345</f>
        <v>16052.027340898532</v>
      </c>
      <c r="N1007" s="130">
        <v>163101</v>
      </c>
      <c r="O1007" s="137">
        <f>N1007/7.5345</f>
        <v>21647.222775233924</v>
      </c>
      <c r="P1007" s="131">
        <v>23900</v>
      </c>
      <c r="Q1007" s="156">
        <v>26600</v>
      </c>
      <c r="R1007" s="153">
        <v>25400</v>
      </c>
      <c r="S1007" s="158"/>
      <c r="T1007" s="158"/>
      <c r="U1007" s="158"/>
      <c r="V1007" s="532">
        <v>27900</v>
      </c>
      <c r="W1007" s="532">
        <v>27900</v>
      </c>
      <c r="X1007" s="560">
        <v>37900</v>
      </c>
      <c r="Y1007" s="561">
        <v>39000.199999999997</v>
      </c>
      <c r="Z1007" s="561"/>
      <c r="AA1007" s="562" t="e">
        <f t="shared" ca="1" si="754"/>
        <v>#NAME?</v>
      </c>
      <c r="AB1007" s="535"/>
      <c r="AC1007" s="529">
        <v>24000</v>
      </c>
      <c r="AD1007" s="529">
        <v>24000</v>
      </c>
      <c r="AE1007" s="529">
        <f>O1007/M1007*100</f>
        <v>134.85662786082818</v>
      </c>
      <c r="AF1007" s="529">
        <f t="shared" si="761"/>
        <v>110.40677249066529</v>
      </c>
      <c r="AG1007" s="529">
        <f t="shared" si="761"/>
        <v>111.29707112970711</v>
      </c>
      <c r="AH1007" s="529">
        <f>AC1007/Q1007*100</f>
        <v>90.225563909774436</v>
      </c>
      <c r="AI1007" s="535"/>
      <c r="AJ1007" s="561">
        <v>39000.199999999997</v>
      </c>
      <c r="AK1007" s="507">
        <f t="shared" si="744"/>
        <v>109.84251968503938</v>
      </c>
      <c r="AL1007" s="507">
        <f t="shared" si="745"/>
        <v>135.84229390681003</v>
      </c>
      <c r="AM1007" s="507">
        <f t="shared" si="745"/>
        <v>102.90290237467016</v>
      </c>
      <c r="AN1007" s="556"/>
      <c r="AO1007" s="510"/>
      <c r="AP1007" s="510" t="e">
        <f t="shared" ca="1" si="752"/>
        <v>#NAME?</v>
      </c>
      <c r="AQ1007" s="532">
        <v>25181.93</v>
      </c>
      <c r="AR1007" s="533">
        <f t="shared" si="757"/>
        <v>109.84251968503938</v>
      </c>
      <c r="AS1007" s="533">
        <f t="shared" si="758"/>
        <v>100</v>
      </c>
      <c r="AT1007" s="533">
        <f t="shared" si="759"/>
        <v>109.84251968503938</v>
      </c>
      <c r="AU1007" s="533">
        <f>AQ1007/W1007*100</f>
        <v>90.257813620071687</v>
      </c>
      <c r="AV1007" s="533">
        <f t="shared" si="762"/>
        <v>99.141456692913394</v>
      </c>
      <c r="AW1007" s="612">
        <f>AQ1007</f>
        <v>25181.93</v>
      </c>
      <c r="AX1007" s="612"/>
      <c r="AY1007" s="612"/>
      <c r="AZ1007" s="612"/>
      <c r="BA1007" s="612"/>
      <c r="BB1007" s="612"/>
      <c r="BC1007" s="612"/>
      <c r="BD1007" s="612"/>
      <c r="BE1007" s="612"/>
      <c r="BF1007" s="612"/>
      <c r="BG1007" s="612"/>
      <c r="BH1007" s="612">
        <f t="shared" si="755"/>
        <v>25181.93</v>
      </c>
      <c r="BI1007" s="612">
        <f t="shared" si="746"/>
        <v>0</v>
      </c>
      <c r="BJ1007" s="201"/>
    </row>
    <row r="1008" spans="1:62" ht="12" customHeight="1">
      <c r="A1008" s="52"/>
      <c r="B1008" s="52"/>
      <c r="C1008" s="52"/>
      <c r="D1008" s="52"/>
      <c r="E1008" s="52"/>
      <c r="F1008" s="52"/>
      <c r="G1008" s="52"/>
      <c r="H1008" s="2" t="s">
        <v>789</v>
      </c>
      <c r="I1008" s="289">
        <v>911</v>
      </c>
      <c r="J1008" s="185">
        <v>3213</v>
      </c>
      <c r="K1008" s="19" t="s">
        <v>233</v>
      </c>
      <c r="L1008" s="129">
        <v>6364</v>
      </c>
      <c r="M1008" s="129">
        <f>6364/7.5345</f>
        <v>844.64795275068013</v>
      </c>
      <c r="N1008" s="130">
        <v>11775</v>
      </c>
      <c r="O1008" s="137">
        <f>N1008/7.5345</f>
        <v>1562.8110690822216</v>
      </c>
      <c r="P1008" s="131">
        <v>2700</v>
      </c>
      <c r="Q1008" s="156">
        <v>3400</v>
      </c>
      <c r="R1008" s="153">
        <v>2848</v>
      </c>
      <c r="S1008" s="158"/>
      <c r="T1008" s="158"/>
      <c r="U1008" s="158"/>
      <c r="V1008" s="532">
        <v>4500</v>
      </c>
      <c r="W1008" s="532">
        <v>4500</v>
      </c>
      <c r="X1008" s="560">
        <v>5500</v>
      </c>
      <c r="Y1008" s="561">
        <v>5900.3</v>
      </c>
      <c r="Z1008" s="561"/>
      <c r="AA1008" s="562" t="e">
        <f t="shared" ca="1" si="754"/>
        <v>#NAME?</v>
      </c>
      <c r="AB1008" s="535"/>
      <c r="AC1008" s="529">
        <v>2700</v>
      </c>
      <c r="AD1008" s="529">
        <v>2700</v>
      </c>
      <c r="AE1008" s="529">
        <f>O1008/M1008*100</f>
        <v>185.02514142049026</v>
      </c>
      <c r="AF1008" s="529">
        <f t="shared" si="761"/>
        <v>172.76560509554142</v>
      </c>
      <c r="AG1008" s="529">
        <f t="shared" si="761"/>
        <v>125.92592592592592</v>
      </c>
      <c r="AH1008" s="529">
        <f>AC1008/Q1008*100</f>
        <v>79.411764705882348</v>
      </c>
      <c r="AI1008" s="535"/>
      <c r="AJ1008" s="561">
        <v>5900.3</v>
      </c>
      <c r="AK1008" s="507">
        <f t="shared" si="744"/>
        <v>158.00561797752809</v>
      </c>
      <c r="AL1008" s="507">
        <f t="shared" si="745"/>
        <v>122.22222222222223</v>
      </c>
      <c r="AM1008" s="507">
        <f t="shared" si="745"/>
        <v>107.27818181818182</v>
      </c>
      <c r="AN1008" s="556"/>
      <c r="AO1008" s="510"/>
      <c r="AP1008" s="510" t="e">
        <f t="shared" ca="1" si="752"/>
        <v>#NAME?</v>
      </c>
      <c r="AQ1008" s="532">
        <v>3985</v>
      </c>
      <c r="AR1008" s="533">
        <f t="shared" si="757"/>
        <v>158.00561797752809</v>
      </c>
      <c r="AS1008" s="533">
        <f t="shared" si="758"/>
        <v>100</v>
      </c>
      <c r="AT1008" s="533">
        <f t="shared" si="759"/>
        <v>158.00561797752809</v>
      </c>
      <c r="AU1008" s="533">
        <f>AQ1008/W1008*100</f>
        <v>88.555555555555557</v>
      </c>
      <c r="AV1008" s="533">
        <f t="shared" si="762"/>
        <v>139.92275280898875</v>
      </c>
      <c r="AW1008" s="612">
        <f>AQ1008</f>
        <v>3985</v>
      </c>
      <c r="AX1008" s="612"/>
      <c r="AY1008" s="612"/>
      <c r="AZ1008" s="612"/>
      <c r="BA1008" s="612"/>
      <c r="BB1008" s="612"/>
      <c r="BC1008" s="612"/>
      <c r="BD1008" s="612"/>
      <c r="BE1008" s="612"/>
      <c r="BF1008" s="612"/>
      <c r="BG1008" s="612"/>
      <c r="BH1008" s="612">
        <f t="shared" si="755"/>
        <v>3985</v>
      </c>
      <c r="BI1008" s="612">
        <f t="shared" si="746"/>
        <v>0</v>
      </c>
      <c r="BJ1008" s="201"/>
    </row>
    <row r="1009" spans="1:62" ht="12" customHeight="1">
      <c r="A1009" s="52"/>
      <c r="B1009" s="52"/>
      <c r="C1009" s="52"/>
      <c r="D1009" s="52"/>
      <c r="E1009" s="52"/>
      <c r="F1009" s="52"/>
      <c r="G1009" s="52"/>
      <c r="H1009" s="2"/>
      <c r="I1009" s="289"/>
      <c r="J1009" s="185">
        <v>3214</v>
      </c>
      <c r="K1009" s="19" t="s">
        <v>234</v>
      </c>
      <c r="L1009" s="129"/>
      <c r="M1009" s="129"/>
      <c r="N1009" s="130">
        <v>554</v>
      </c>
      <c r="O1009" s="137">
        <f>N1009/7.5345</f>
        <v>73.528435861702832</v>
      </c>
      <c r="P1009" s="131"/>
      <c r="Q1009" s="131"/>
      <c r="R1009" s="153">
        <v>288</v>
      </c>
      <c r="S1009" s="158"/>
      <c r="T1009" s="158"/>
      <c r="U1009" s="158"/>
      <c r="V1009" s="532"/>
      <c r="W1009" s="532"/>
      <c r="X1009" s="560"/>
      <c r="Y1009" s="561"/>
      <c r="Z1009" s="561"/>
      <c r="AA1009" s="562" t="e">
        <f t="shared" ca="1" si="754"/>
        <v>#NAME?</v>
      </c>
      <c r="AB1009" s="535"/>
      <c r="AC1009" s="529"/>
      <c r="AD1009" s="529"/>
      <c r="AE1009" s="529"/>
      <c r="AF1009" s="529"/>
      <c r="AG1009" s="529"/>
      <c r="AH1009" s="529"/>
      <c r="AI1009" s="535"/>
      <c r="AJ1009" s="561"/>
      <c r="AK1009" s="507">
        <f t="shared" si="744"/>
        <v>0</v>
      </c>
      <c r="AL1009" s="507"/>
      <c r="AM1009" s="507"/>
      <c r="AN1009" s="556"/>
      <c r="AO1009" s="510"/>
      <c r="AP1009" s="510" t="e">
        <f t="shared" ca="1" si="752"/>
        <v>#NAME?</v>
      </c>
      <c r="AQ1009" s="532">
        <v>777.5</v>
      </c>
      <c r="AR1009" s="533">
        <f t="shared" si="757"/>
        <v>0</v>
      </c>
      <c r="AS1009" s="533"/>
      <c r="AT1009" s="533">
        <f t="shared" si="759"/>
        <v>0</v>
      </c>
      <c r="AU1009" s="533"/>
      <c r="AV1009" s="533">
        <f t="shared" si="762"/>
        <v>269.96527777777777</v>
      </c>
      <c r="AW1009" s="612">
        <f>AQ1009</f>
        <v>777.5</v>
      </c>
      <c r="AX1009" s="612"/>
      <c r="AY1009" s="612"/>
      <c r="AZ1009" s="612"/>
      <c r="BA1009" s="612"/>
      <c r="BB1009" s="612"/>
      <c r="BC1009" s="612"/>
      <c r="BD1009" s="612"/>
      <c r="BE1009" s="612"/>
      <c r="BF1009" s="612"/>
      <c r="BG1009" s="612"/>
      <c r="BH1009" s="612">
        <f t="shared" si="755"/>
        <v>777.5</v>
      </c>
      <c r="BI1009" s="612">
        <f t="shared" si="746"/>
        <v>0</v>
      </c>
      <c r="BJ1009" s="201"/>
    </row>
    <row r="1010" spans="1:62" ht="12" customHeight="1">
      <c r="A1010" s="52"/>
      <c r="B1010" s="52"/>
      <c r="C1010" s="52"/>
      <c r="D1010" s="52"/>
      <c r="E1010" s="52"/>
      <c r="F1010" s="52"/>
      <c r="G1010" s="52"/>
      <c r="H1010" s="2"/>
      <c r="I1010" s="289"/>
      <c r="J1010" s="185"/>
      <c r="K1010" s="19"/>
      <c r="L1010" s="129"/>
      <c r="M1010" s="129"/>
      <c r="N1010" s="130"/>
      <c r="O1010" s="130"/>
      <c r="P1010" s="131"/>
      <c r="Q1010" s="131"/>
      <c r="R1010" s="153"/>
      <c r="S1010" s="158"/>
      <c r="T1010" s="158"/>
      <c r="U1010" s="158"/>
      <c r="V1010" s="532"/>
      <c r="W1010" s="532"/>
      <c r="X1010" s="560"/>
      <c r="Y1010" s="561"/>
      <c r="Z1010" s="561"/>
      <c r="AA1010" s="562" t="e">
        <f t="shared" ca="1" si="754"/>
        <v>#NAME?</v>
      </c>
      <c r="AB1010" s="535"/>
      <c r="AC1010" s="529"/>
      <c r="AD1010" s="529"/>
      <c r="AE1010" s="529"/>
      <c r="AF1010" s="529"/>
      <c r="AG1010" s="529"/>
      <c r="AH1010" s="529"/>
      <c r="AI1010" s="535"/>
      <c r="AJ1010" s="561"/>
      <c r="AK1010" s="507"/>
      <c r="AL1010" s="507"/>
      <c r="AM1010" s="507"/>
      <c r="AN1010" s="556"/>
      <c r="AO1010" s="510"/>
      <c r="AP1010" s="510" t="e">
        <f t="shared" ca="1" si="752"/>
        <v>#NAME?</v>
      </c>
      <c r="AQ1010" s="532"/>
      <c r="AR1010" s="533"/>
      <c r="AS1010" s="533"/>
      <c r="AT1010" s="533"/>
      <c r="AU1010" s="533"/>
      <c r="AV1010" s="533"/>
      <c r="AW1010" s="612"/>
      <c r="AX1010" s="612"/>
      <c r="AY1010" s="612"/>
      <c r="AZ1010" s="612"/>
      <c r="BA1010" s="612"/>
      <c r="BB1010" s="612"/>
      <c r="BC1010" s="612"/>
      <c r="BD1010" s="612"/>
      <c r="BE1010" s="612"/>
      <c r="BF1010" s="612"/>
      <c r="BG1010" s="612"/>
      <c r="BH1010" s="612">
        <f t="shared" si="755"/>
        <v>0</v>
      </c>
      <c r="BI1010" s="612">
        <f t="shared" si="746"/>
        <v>12964.23</v>
      </c>
      <c r="BJ1010" s="201"/>
    </row>
    <row r="1011" spans="1:62" ht="12" customHeight="1">
      <c r="A1011" s="282" t="s">
        <v>356</v>
      </c>
      <c r="B1011" s="283"/>
      <c r="C1011" s="283"/>
      <c r="D1011" s="283"/>
      <c r="E1011" s="283"/>
      <c r="F1011" s="283"/>
      <c r="G1011" s="283"/>
      <c r="H1011" s="284"/>
      <c r="I1011" s="369" t="s">
        <v>790</v>
      </c>
      <c r="J1011" s="370"/>
      <c r="K1011" s="226"/>
      <c r="L1011" s="111">
        <f t="shared" ref="L1011:S1011" si="764">L1013</f>
        <v>583334</v>
      </c>
      <c r="M1011" s="111">
        <f t="shared" si="764"/>
        <v>77421.726723737462</v>
      </c>
      <c r="N1011" s="112">
        <f t="shared" si="764"/>
        <v>798518</v>
      </c>
      <c r="O1011" s="112">
        <f t="shared" si="764"/>
        <v>105981.55152963036</v>
      </c>
      <c r="P1011" s="113">
        <f t="shared" si="764"/>
        <v>111500</v>
      </c>
      <c r="Q1011" s="113">
        <f t="shared" si="764"/>
        <v>102600</v>
      </c>
      <c r="R1011" s="87">
        <f t="shared" si="764"/>
        <v>100837</v>
      </c>
      <c r="S1011" s="89">
        <f t="shared" si="764"/>
        <v>0</v>
      </c>
      <c r="T1011" s="89"/>
      <c r="U1011" s="89"/>
      <c r="V1011" s="532">
        <f>V1013</f>
        <v>130639.93</v>
      </c>
      <c r="W1011" s="532">
        <f>W1013</f>
        <v>130639.93</v>
      </c>
      <c r="X1011" s="506">
        <f>X1013</f>
        <v>127840</v>
      </c>
      <c r="Y1011" s="507">
        <f>Y1013</f>
        <v>132851.4</v>
      </c>
      <c r="Z1011" s="507">
        <f>Z1013</f>
        <v>0</v>
      </c>
      <c r="AA1011" s="562" t="e">
        <f t="shared" ca="1" si="754"/>
        <v>#NAME?</v>
      </c>
      <c r="AB1011" s="507"/>
      <c r="AC1011" s="508">
        <f>AC1013</f>
        <v>113600</v>
      </c>
      <c r="AD1011" s="508">
        <f>AD1013</f>
        <v>113600</v>
      </c>
      <c r="AE1011" s="529">
        <f>O1011/M1011*100</f>
        <v>136.88864355583596</v>
      </c>
      <c r="AF1011" s="529">
        <f>P1011/O1011*100</f>
        <v>105.20698969841631</v>
      </c>
      <c r="AG1011" s="529">
        <f>Q1011/P1011*100</f>
        <v>92.017937219730939</v>
      </c>
      <c r="AH1011" s="529">
        <f>AC1011/Q1011*100</f>
        <v>110.72124756335282</v>
      </c>
      <c r="AI1011" s="507"/>
      <c r="AJ1011" s="507">
        <v>132851.4</v>
      </c>
      <c r="AK1011" s="507">
        <f t="shared" si="744"/>
        <v>129.55555004611401</v>
      </c>
      <c r="AL1011" s="507">
        <f t="shared" si="745"/>
        <v>97.856757884055824</v>
      </c>
      <c r="AM1011" s="507">
        <f t="shared" si="745"/>
        <v>103.92005632040049</v>
      </c>
      <c r="AN1011" s="509"/>
      <c r="AO1011" s="510"/>
      <c r="AP1011" s="510" t="e">
        <f t="shared" ca="1" si="752"/>
        <v>#NAME?</v>
      </c>
      <c r="AQ1011" s="532">
        <f>AQ1013</f>
        <v>128379.92000000001</v>
      </c>
      <c r="AR1011" s="533">
        <f t="shared" si="757"/>
        <v>129.55555004611401</v>
      </c>
      <c r="AS1011" s="533">
        <f t="shared" si="758"/>
        <v>100</v>
      </c>
      <c r="AT1011" s="533">
        <f t="shared" si="759"/>
        <v>129.55555004611401</v>
      </c>
      <c r="AU1011" s="533">
        <f>AQ1011/W1011*100</f>
        <v>98.270046531715096</v>
      </c>
      <c r="AV1011" s="533">
        <f>AQ1011/R1011*100</f>
        <v>127.31429931473568</v>
      </c>
      <c r="AW1011" s="612"/>
      <c r="AX1011" s="612"/>
      <c r="AY1011" s="612"/>
      <c r="AZ1011" s="612"/>
      <c r="BA1011" s="612"/>
      <c r="BB1011" s="612"/>
      <c r="BC1011" s="612"/>
      <c r="BD1011" s="612"/>
      <c r="BE1011" s="612"/>
      <c r="BF1011" s="612"/>
      <c r="BG1011" s="612"/>
      <c r="BH1011" s="612">
        <f t="shared" si="755"/>
        <v>0</v>
      </c>
      <c r="BI1011" s="612">
        <f t="shared" si="746"/>
        <v>51210.44</v>
      </c>
      <c r="BJ1011" s="201"/>
    </row>
    <row r="1012" spans="1:62" ht="12" customHeight="1">
      <c r="A1012" s="52"/>
      <c r="B1012" s="52"/>
      <c r="C1012" s="52"/>
      <c r="D1012" s="52"/>
      <c r="E1012" s="52"/>
      <c r="F1012" s="52"/>
      <c r="G1012" s="52"/>
      <c r="H1012" s="2"/>
      <c r="I1012" s="289"/>
      <c r="J1012" s="185"/>
      <c r="K1012" s="19"/>
      <c r="L1012" s="350"/>
      <c r="M1012" s="350"/>
      <c r="N1012" s="351"/>
      <c r="O1012" s="351"/>
      <c r="P1012" s="352"/>
      <c r="Q1012" s="352"/>
      <c r="R1012" s="212"/>
      <c r="S1012" s="180"/>
      <c r="T1012" s="180"/>
      <c r="U1012" s="180"/>
      <c r="V1012" s="532"/>
      <c r="W1012" s="532"/>
      <c r="X1012" s="563"/>
      <c r="Y1012" s="562"/>
      <c r="Z1012" s="562"/>
      <c r="AA1012" s="562" t="e">
        <f t="shared" ca="1" si="754"/>
        <v>#NAME?</v>
      </c>
      <c r="AB1012" s="507"/>
      <c r="AC1012" s="508"/>
      <c r="AD1012" s="508"/>
      <c r="AE1012" s="529"/>
      <c r="AF1012" s="529"/>
      <c r="AG1012" s="529"/>
      <c r="AH1012" s="529"/>
      <c r="AI1012" s="507"/>
      <c r="AJ1012" s="562"/>
      <c r="AK1012" s="507"/>
      <c r="AL1012" s="507"/>
      <c r="AM1012" s="507"/>
      <c r="AN1012" s="509"/>
      <c r="AO1012" s="510"/>
      <c r="AP1012" s="510" t="e">
        <f t="shared" ca="1" si="752"/>
        <v>#NAME?</v>
      </c>
      <c r="AQ1012" s="532"/>
      <c r="AR1012" s="533"/>
      <c r="AS1012" s="533"/>
      <c r="AT1012" s="533"/>
      <c r="AU1012" s="533"/>
      <c r="AV1012" s="533"/>
      <c r="AW1012" s="612"/>
      <c r="AX1012" s="612"/>
      <c r="AY1012" s="612"/>
      <c r="AZ1012" s="612"/>
      <c r="BA1012" s="612"/>
      <c r="BB1012" s="612"/>
      <c r="BC1012" s="612"/>
      <c r="BD1012" s="612"/>
      <c r="BE1012" s="612"/>
      <c r="BF1012" s="612"/>
      <c r="BG1012" s="612"/>
      <c r="BH1012" s="612">
        <f t="shared" si="755"/>
        <v>0</v>
      </c>
      <c r="BI1012" s="612">
        <f t="shared" si="746"/>
        <v>5468.05</v>
      </c>
      <c r="BJ1012" s="201"/>
    </row>
    <row r="1013" spans="1:62" ht="12" customHeight="1">
      <c r="A1013" s="25"/>
      <c r="B1013" s="25"/>
      <c r="C1013" s="25"/>
      <c r="D1013" s="25"/>
      <c r="E1013" s="25"/>
      <c r="F1013" s="25"/>
      <c r="G1013" s="25"/>
      <c r="H1013" s="285"/>
      <c r="I1013" s="349"/>
      <c r="J1013" s="211">
        <v>3</v>
      </c>
      <c r="K1013" s="3" t="s">
        <v>220</v>
      </c>
      <c r="L1013" s="111">
        <f t="shared" ref="L1013:S1013" si="765">L1014+L1046</f>
        <v>583334</v>
      </c>
      <c r="M1013" s="111">
        <f t="shared" si="765"/>
        <v>77421.726723737462</v>
      </c>
      <c r="N1013" s="112">
        <f t="shared" si="765"/>
        <v>798518</v>
      </c>
      <c r="O1013" s="112">
        <f t="shared" si="765"/>
        <v>105981.55152963036</v>
      </c>
      <c r="P1013" s="113">
        <f t="shared" si="765"/>
        <v>111500</v>
      </c>
      <c r="Q1013" s="113">
        <f t="shared" si="765"/>
        <v>102600</v>
      </c>
      <c r="R1013" s="87">
        <f t="shared" si="765"/>
        <v>100837</v>
      </c>
      <c r="S1013" s="89">
        <f t="shared" si="765"/>
        <v>0</v>
      </c>
      <c r="T1013" s="89"/>
      <c r="U1013" s="89"/>
      <c r="V1013" s="532">
        <f>V1014+V1046</f>
        <v>130639.93</v>
      </c>
      <c r="W1013" s="532">
        <f>W1014+W1046</f>
        <v>130639.93</v>
      </c>
      <c r="X1013" s="506">
        <f>X1014+X1046</f>
        <v>127840</v>
      </c>
      <c r="Y1013" s="507">
        <f>Y1014+Y1046</f>
        <v>132851.4</v>
      </c>
      <c r="Z1013" s="507">
        <f>Z1014+Z1046</f>
        <v>0</v>
      </c>
      <c r="AA1013" s="562" t="e">
        <f t="shared" ca="1" si="754"/>
        <v>#NAME?</v>
      </c>
      <c r="AB1013" s="507"/>
      <c r="AC1013" s="508">
        <f>AC1014+AC1046</f>
        <v>113600</v>
      </c>
      <c r="AD1013" s="508">
        <f>AD1014+AD1046</f>
        <v>113600</v>
      </c>
      <c r="AE1013" s="529">
        <f>O1013/M1013*100</f>
        <v>136.88864355583596</v>
      </c>
      <c r="AF1013" s="529">
        <f>P1013/O1013*100</f>
        <v>105.20698969841631</v>
      </c>
      <c r="AG1013" s="529">
        <f>Q1013/P1013*100</f>
        <v>92.017937219730939</v>
      </c>
      <c r="AH1013" s="529">
        <f>AC1013/Q1013*100</f>
        <v>110.72124756335282</v>
      </c>
      <c r="AI1013" s="507"/>
      <c r="AJ1013" s="507">
        <v>132851.4</v>
      </c>
      <c r="AK1013" s="507">
        <f t="shared" si="744"/>
        <v>129.55555004611401</v>
      </c>
      <c r="AL1013" s="507">
        <f t="shared" si="745"/>
        <v>97.856757884055824</v>
      </c>
      <c r="AM1013" s="507">
        <f t="shared" si="745"/>
        <v>103.92005632040049</v>
      </c>
      <c r="AN1013" s="509"/>
      <c r="AO1013" s="510"/>
      <c r="AP1013" s="510" t="e">
        <f t="shared" ca="1" si="752"/>
        <v>#NAME?</v>
      </c>
      <c r="AQ1013" s="532">
        <f>AQ1014+AQ1046</f>
        <v>128379.92000000001</v>
      </c>
      <c r="AR1013" s="533">
        <f t="shared" si="757"/>
        <v>129.55555004611401</v>
      </c>
      <c r="AS1013" s="533">
        <f t="shared" si="758"/>
        <v>100</v>
      </c>
      <c r="AT1013" s="533">
        <f t="shared" si="759"/>
        <v>129.55555004611401</v>
      </c>
      <c r="AU1013" s="533">
        <f>AQ1013/W1013*100</f>
        <v>98.270046531715096</v>
      </c>
      <c r="AV1013" s="533">
        <f>AQ1013/R1013*100</f>
        <v>127.31429931473568</v>
      </c>
      <c r="AW1013" s="612"/>
      <c r="AX1013" s="612"/>
      <c r="AY1013" s="612"/>
      <c r="AZ1013" s="612"/>
      <c r="BA1013" s="612"/>
      <c r="BB1013" s="612"/>
      <c r="BC1013" s="612"/>
      <c r="BD1013" s="612"/>
      <c r="BE1013" s="612"/>
      <c r="BF1013" s="612"/>
      <c r="BG1013" s="612"/>
      <c r="BH1013" s="612">
        <f t="shared" si="755"/>
        <v>0</v>
      </c>
      <c r="BI1013" s="612">
        <f t="shared" si="746"/>
        <v>4007.6</v>
      </c>
      <c r="BJ1013" s="201"/>
    </row>
    <row r="1014" spans="1:62" ht="12" customHeight="1">
      <c r="A1014" s="227"/>
      <c r="B1014" s="227"/>
      <c r="C1014" s="227"/>
      <c r="D1014" s="227"/>
      <c r="E1014" s="227"/>
      <c r="F1014" s="227"/>
      <c r="G1014" s="227"/>
      <c r="H1014" s="234"/>
      <c r="I1014" s="265"/>
      <c r="J1014" s="228">
        <v>32</v>
      </c>
      <c r="K1014" s="258" t="s">
        <v>229</v>
      </c>
      <c r="L1014" s="111">
        <f t="shared" ref="L1014:S1014" si="766">L1016+L1024+L1039</f>
        <v>579031</v>
      </c>
      <c r="M1014" s="111">
        <f t="shared" si="766"/>
        <v>76850.620479129328</v>
      </c>
      <c r="N1014" s="112">
        <f t="shared" si="766"/>
        <v>794027</v>
      </c>
      <c r="O1014" s="112">
        <f t="shared" si="766"/>
        <v>105385.49339704028</v>
      </c>
      <c r="P1014" s="113">
        <f t="shared" si="766"/>
        <v>110400</v>
      </c>
      <c r="Q1014" s="113">
        <f t="shared" si="766"/>
        <v>101400</v>
      </c>
      <c r="R1014" s="87">
        <f t="shared" si="766"/>
        <v>100138</v>
      </c>
      <c r="S1014" s="89">
        <f t="shared" si="766"/>
        <v>0</v>
      </c>
      <c r="T1014" s="89"/>
      <c r="U1014" s="89"/>
      <c r="V1014" s="532">
        <f>V1016+V1024+V1039</f>
        <v>128709.93</v>
      </c>
      <c r="W1014" s="532">
        <f>W1016+W1024+W1039</f>
        <v>128709.93</v>
      </c>
      <c r="X1014" s="506">
        <f>X1016+X1024+X1039</f>
        <v>126640</v>
      </c>
      <c r="Y1014" s="507">
        <f>Y1016+Y1024+Y1039</f>
        <v>131451.4</v>
      </c>
      <c r="Z1014" s="507">
        <f>Z1016+Z1024+Z1039</f>
        <v>0</v>
      </c>
      <c r="AA1014" s="562" t="e">
        <f t="shared" ca="1" si="754"/>
        <v>#NAME?</v>
      </c>
      <c r="AB1014" s="507"/>
      <c r="AC1014" s="508">
        <f>AC1016+AC1024+AC1039</f>
        <v>112400</v>
      </c>
      <c r="AD1014" s="508">
        <f>AD1016+AD1024+AD1039</f>
        <v>112400</v>
      </c>
      <c r="AE1014" s="529">
        <f>O1014/M1014*100</f>
        <v>137.13030908535123</v>
      </c>
      <c r="AF1014" s="529">
        <f>P1014/O1014*100</f>
        <v>104.75825129372176</v>
      </c>
      <c r="AG1014" s="529">
        <f>Q1014/P1014*100</f>
        <v>91.847826086956516</v>
      </c>
      <c r="AH1014" s="529">
        <f>AC1014/Q1014*100</f>
        <v>110.84812623274163</v>
      </c>
      <c r="AI1014" s="507"/>
      <c r="AJ1014" s="507">
        <v>131451.4</v>
      </c>
      <c r="AK1014" s="507">
        <f t="shared" si="744"/>
        <v>128.53255507399788</v>
      </c>
      <c r="AL1014" s="507">
        <f t="shared" si="745"/>
        <v>98.39178686524032</v>
      </c>
      <c r="AM1014" s="507">
        <f t="shared" si="745"/>
        <v>103.79927353126975</v>
      </c>
      <c r="AN1014" s="509"/>
      <c r="AO1014" s="510"/>
      <c r="AP1014" s="510" t="e">
        <f t="shared" ca="1" si="752"/>
        <v>#NAME?</v>
      </c>
      <c r="AQ1014" s="532">
        <f>AQ1016+AQ1024+AQ1039</f>
        <v>127647.58000000002</v>
      </c>
      <c r="AR1014" s="533">
        <f t="shared" si="757"/>
        <v>128.53255507399788</v>
      </c>
      <c r="AS1014" s="533">
        <f t="shared" si="758"/>
        <v>100</v>
      </c>
      <c r="AT1014" s="533">
        <f t="shared" si="759"/>
        <v>128.53255507399788</v>
      </c>
      <c r="AU1014" s="533">
        <f>AQ1014/W1014*100</f>
        <v>99.174616907957315</v>
      </c>
      <c r="AV1014" s="533">
        <f>AQ1014/R1014*100</f>
        <v>127.47166909664665</v>
      </c>
      <c r="AW1014" s="612"/>
      <c r="AX1014" s="612"/>
      <c r="AY1014" s="612"/>
      <c r="AZ1014" s="612"/>
      <c r="BA1014" s="612"/>
      <c r="BB1014" s="612"/>
      <c r="BC1014" s="612"/>
      <c r="BD1014" s="612"/>
      <c r="BE1014" s="612"/>
      <c r="BF1014" s="612"/>
      <c r="BG1014" s="612"/>
      <c r="BH1014" s="612">
        <f t="shared" si="755"/>
        <v>0</v>
      </c>
      <c r="BI1014" s="612">
        <f t="shared" si="746"/>
        <v>0</v>
      </c>
      <c r="BJ1014" s="201"/>
    </row>
    <row r="1015" spans="1:62" ht="12" customHeight="1">
      <c r="A1015" s="25"/>
      <c r="B1015" s="25"/>
      <c r="C1015" s="25"/>
      <c r="D1015" s="25"/>
      <c r="E1015" s="25"/>
      <c r="F1015" s="25"/>
      <c r="G1015" s="25"/>
      <c r="H1015" s="285"/>
      <c r="I1015" s="349"/>
      <c r="J1015" s="211"/>
      <c r="K1015" s="3"/>
      <c r="L1015" s="84"/>
      <c r="M1015" s="84"/>
      <c r="N1015" s="85"/>
      <c r="O1015" s="85"/>
      <c r="P1015" s="86"/>
      <c r="Q1015" s="86"/>
      <c r="R1015" s="154"/>
      <c r="S1015" s="155"/>
      <c r="T1015" s="155"/>
      <c r="U1015" s="155"/>
      <c r="V1015" s="532"/>
      <c r="W1015" s="532"/>
      <c r="X1015" s="568"/>
      <c r="Y1015" s="569"/>
      <c r="Z1015" s="569"/>
      <c r="AA1015" s="562" t="e">
        <f t="shared" ca="1" si="754"/>
        <v>#NAME?</v>
      </c>
      <c r="AB1015" s="537"/>
      <c r="AC1015" s="538"/>
      <c r="AD1015" s="538"/>
      <c r="AE1015" s="529"/>
      <c r="AF1015" s="529"/>
      <c r="AG1015" s="529"/>
      <c r="AH1015" s="529"/>
      <c r="AI1015" s="537"/>
      <c r="AJ1015" s="569"/>
      <c r="AK1015" s="507"/>
      <c r="AL1015" s="507"/>
      <c r="AM1015" s="507"/>
      <c r="AN1015" s="557"/>
      <c r="AO1015" s="510"/>
      <c r="AP1015" s="510" t="e">
        <f t="shared" ca="1" si="752"/>
        <v>#NAME?</v>
      </c>
      <c r="AQ1015" s="532"/>
      <c r="AR1015" s="533"/>
      <c r="AS1015" s="533"/>
      <c r="AT1015" s="533"/>
      <c r="AU1015" s="533"/>
      <c r="AV1015" s="533"/>
      <c r="AW1015" s="612"/>
      <c r="AX1015" s="612"/>
      <c r="AY1015" s="612"/>
      <c r="AZ1015" s="612"/>
      <c r="BA1015" s="612"/>
      <c r="BB1015" s="612"/>
      <c r="BC1015" s="612"/>
      <c r="BD1015" s="612"/>
      <c r="BE1015" s="612"/>
      <c r="BF1015" s="612"/>
      <c r="BG1015" s="612"/>
      <c r="BH1015" s="612">
        <f t="shared" si="755"/>
        <v>0</v>
      </c>
      <c r="BI1015" s="612">
        <f t="shared" si="746"/>
        <v>13746</v>
      </c>
      <c r="BJ1015" s="201"/>
    </row>
    <row r="1016" spans="1:62" ht="12" customHeight="1">
      <c r="A1016" s="61"/>
      <c r="B1016" s="202"/>
      <c r="C1016" s="202"/>
      <c r="D1016" s="202"/>
      <c r="E1016" s="202"/>
      <c r="F1016" s="202"/>
      <c r="G1016" s="202"/>
      <c r="H1016" s="288"/>
      <c r="I1016" s="377"/>
      <c r="J1016" s="229">
        <v>322</v>
      </c>
      <c r="K1016" s="20" t="s">
        <v>791</v>
      </c>
      <c r="L1016" s="111">
        <f t="shared" ref="L1016:S1016" si="767">L1017+L1018+L1019+L1020+L1021+L1022</f>
        <v>400497</v>
      </c>
      <c r="M1016" s="111">
        <f t="shared" si="767"/>
        <v>53155.08660163248</v>
      </c>
      <c r="N1016" s="112">
        <f t="shared" si="767"/>
        <v>479540</v>
      </c>
      <c r="O1016" s="112">
        <f t="shared" si="767"/>
        <v>63645.895547149768</v>
      </c>
      <c r="P1016" s="113">
        <f t="shared" si="767"/>
        <v>76800</v>
      </c>
      <c r="Q1016" s="113">
        <f t="shared" si="767"/>
        <v>72700</v>
      </c>
      <c r="R1016" s="87">
        <f t="shared" si="767"/>
        <v>72215</v>
      </c>
      <c r="S1016" s="89">
        <f t="shared" si="767"/>
        <v>0</v>
      </c>
      <c r="T1016" s="89"/>
      <c r="U1016" s="89"/>
      <c r="V1016" s="532">
        <f>V1017+V1018+V1019+V1020+V1021+V1022</f>
        <v>89519.76</v>
      </c>
      <c r="W1016" s="532">
        <f>W1017+W1018+W1019+W1020+W1021+W1022</f>
        <v>89519.76</v>
      </c>
      <c r="X1016" s="506">
        <f>X1017+X1018+X1019+X1020+X1021+X1022</f>
        <v>84000</v>
      </c>
      <c r="Y1016" s="507">
        <f>Y1017+Y1018+Y1019+Y1020+Y1021+Y1022</f>
        <v>86200.3</v>
      </c>
      <c r="Z1016" s="507">
        <f>Z1017+Z1018+Z1019+Z1020+Z1021+Z1022</f>
        <v>0</v>
      </c>
      <c r="AA1016" s="562" t="e">
        <f t="shared" ca="1" si="754"/>
        <v>#NAME?</v>
      </c>
      <c r="AB1016" s="507"/>
      <c r="AC1016" s="508">
        <f>AC1017+AC1018+AC1019+AC1020+AC1021+AC1022</f>
        <v>78000</v>
      </c>
      <c r="AD1016" s="508">
        <f>AD1017+AD1018+AD1019+AD1020+AD1021+AD1022</f>
        <v>78000</v>
      </c>
      <c r="AE1016" s="529">
        <f>O1016/M1016*100</f>
        <v>119.73622773703674</v>
      </c>
      <c r="AF1016" s="529">
        <f t="shared" ref="AF1016:AG1020" si="768">P1016/O1016*100</f>
        <v>120.66763982149563</v>
      </c>
      <c r="AG1016" s="529">
        <f t="shared" si="768"/>
        <v>94.661458333333343</v>
      </c>
      <c r="AH1016" s="529">
        <f>AC1016/Q1016*100</f>
        <v>107.29023383768914</v>
      </c>
      <c r="AI1016" s="507"/>
      <c r="AJ1016" s="507">
        <v>86200.3</v>
      </c>
      <c r="AK1016" s="507">
        <f t="shared" si="744"/>
        <v>123.96283320639756</v>
      </c>
      <c r="AL1016" s="507">
        <f t="shared" si="745"/>
        <v>93.83403172662662</v>
      </c>
      <c r="AM1016" s="507">
        <f t="shared" si="745"/>
        <v>102.61940476190476</v>
      </c>
      <c r="AN1016" s="509"/>
      <c r="AO1016" s="510"/>
      <c r="AP1016" s="510" t="e">
        <f t="shared" ca="1" si="752"/>
        <v>#NAME?</v>
      </c>
      <c r="AQ1016" s="532">
        <f>AQ1017+AQ1018+AQ1019+AQ1020+AQ1021+AQ1022</f>
        <v>87396.32</v>
      </c>
      <c r="AR1016" s="533">
        <f t="shared" si="757"/>
        <v>123.96283320639756</v>
      </c>
      <c r="AS1016" s="533">
        <f t="shared" si="758"/>
        <v>100</v>
      </c>
      <c r="AT1016" s="533">
        <f t="shared" si="759"/>
        <v>123.96283320639756</v>
      </c>
      <c r="AU1016" s="533">
        <f>AQ1016/W1016*100</f>
        <v>97.627965043695397</v>
      </c>
      <c r="AV1016" s="533">
        <f>AQ1016/R1016*100</f>
        <v>121.02239146991623</v>
      </c>
      <c r="AW1016" s="612"/>
      <c r="AX1016" s="612"/>
      <c r="AY1016" s="612"/>
      <c r="AZ1016" s="612"/>
      <c r="BA1016" s="612"/>
      <c r="BB1016" s="612"/>
      <c r="BC1016" s="612"/>
      <c r="BD1016" s="612"/>
      <c r="BE1016" s="612"/>
      <c r="BF1016" s="612"/>
      <c r="BG1016" s="612"/>
      <c r="BH1016" s="612">
        <f t="shared" si="755"/>
        <v>0</v>
      </c>
      <c r="BI1016" s="612">
        <f t="shared" si="746"/>
        <v>0</v>
      </c>
      <c r="BJ1016" s="201"/>
    </row>
    <row r="1017" spans="1:62" ht="12" customHeight="1">
      <c r="A1017" s="52"/>
      <c r="B1017" s="52"/>
      <c r="C1017" s="52"/>
      <c r="D1017" s="52"/>
      <c r="E1017" s="52"/>
      <c r="F1017" s="52"/>
      <c r="G1017" s="52"/>
      <c r="H1017" s="2"/>
      <c r="I1017" s="289">
        <v>911</v>
      </c>
      <c r="J1017" s="185">
        <v>3221</v>
      </c>
      <c r="K1017" s="19" t="s">
        <v>792</v>
      </c>
      <c r="L1017" s="129">
        <v>92336</v>
      </c>
      <c r="M1017" s="129">
        <f>92336/7.5345</f>
        <v>12255.093237772911</v>
      </c>
      <c r="N1017" s="130">
        <v>88937</v>
      </c>
      <c r="O1017" s="130">
        <f t="shared" ref="O1017:O1022" si="769">N1017/7.5345</f>
        <v>11803.968411971597</v>
      </c>
      <c r="P1017" s="131">
        <v>11300</v>
      </c>
      <c r="Q1017" s="131">
        <v>11300</v>
      </c>
      <c r="R1017" s="153">
        <v>10486</v>
      </c>
      <c r="S1017" s="158"/>
      <c r="T1017" s="158"/>
      <c r="U1017" s="158"/>
      <c r="V1017" s="532">
        <v>12999.5</v>
      </c>
      <c r="W1017" s="532">
        <v>12999.5</v>
      </c>
      <c r="X1017" s="560">
        <v>13000</v>
      </c>
      <c r="Y1017" s="561">
        <v>13200</v>
      </c>
      <c r="Z1017" s="561"/>
      <c r="AA1017" s="562" t="e">
        <f t="shared" ca="1" si="754"/>
        <v>#NAME?</v>
      </c>
      <c r="AB1017" s="535"/>
      <c r="AC1017" s="529">
        <v>11500</v>
      </c>
      <c r="AD1017" s="529">
        <v>11500</v>
      </c>
      <c r="AE1017" s="529">
        <f>O1017/M1017*100</f>
        <v>96.318878877144328</v>
      </c>
      <c r="AF1017" s="529">
        <f t="shared" si="768"/>
        <v>95.730517107615512</v>
      </c>
      <c r="AG1017" s="529">
        <f t="shared" si="768"/>
        <v>100</v>
      </c>
      <c r="AH1017" s="529">
        <f>AC1017/Q1017*100</f>
        <v>101.76991150442478</v>
      </c>
      <c r="AI1017" s="535"/>
      <c r="AJ1017" s="561">
        <v>13200</v>
      </c>
      <c r="AK1017" s="507">
        <f t="shared" si="744"/>
        <v>123.97005531184438</v>
      </c>
      <c r="AL1017" s="507">
        <f t="shared" si="745"/>
        <v>100.00384630178083</v>
      </c>
      <c r="AM1017" s="507">
        <f t="shared" si="745"/>
        <v>101.53846153846153</v>
      </c>
      <c r="AN1017" s="556"/>
      <c r="AO1017" s="510"/>
      <c r="AP1017" s="510" t="e">
        <f t="shared" ca="1" si="752"/>
        <v>#NAME?</v>
      </c>
      <c r="AQ1017" s="532">
        <v>12964.23</v>
      </c>
      <c r="AR1017" s="533">
        <f t="shared" si="757"/>
        <v>123.97005531184438</v>
      </c>
      <c r="AS1017" s="533">
        <f t="shared" si="758"/>
        <v>100</v>
      </c>
      <c r="AT1017" s="533">
        <f t="shared" si="759"/>
        <v>123.97005531184438</v>
      </c>
      <c r="AU1017" s="533">
        <f>AQ1017/W1017*100</f>
        <v>99.728681872379696</v>
      </c>
      <c r="AV1017" s="533">
        <f>AQ1017/R1017*100</f>
        <v>123.63370207896243</v>
      </c>
      <c r="AW1017" s="612">
        <f t="shared" ref="AW1017:AW1022" si="770">AQ1017</f>
        <v>12964.23</v>
      </c>
      <c r="AX1017" s="612"/>
      <c r="AY1017" s="612"/>
      <c r="AZ1017" s="612"/>
      <c r="BA1017" s="612"/>
      <c r="BB1017" s="612"/>
      <c r="BC1017" s="612"/>
      <c r="BD1017" s="612"/>
      <c r="BE1017" s="612"/>
      <c r="BF1017" s="612"/>
      <c r="BG1017" s="612"/>
      <c r="BH1017" s="612">
        <f t="shared" si="755"/>
        <v>12964.23</v>
      </c>
      <c r="BI1017" s="612">
        <f t="shared" si="746"/>
        <v>0</v>
      </c>
      <c r="BJ1017" s="201"/>
    </row>
    <row r="1018" spans="1:62" ht="12" customHeight="1">
      <c r="A1018" s="52"/>
      <c r="B1018" s="52"/>
      <c r="C1018" s="52"/>
      <c r="D1018" s="52"/>
      <c r="E1018" s="52"/>
      <c r="F1018" s="52"/>
      <c r="G1018" s="52"/>
      <c r="H1018" s="2"/>
      <c r="I1018" s="289">
        <v>911</v>
      </c>
      <c r="J1018" s="185">
        <v>3222</v>
      </c>
      <c r="K1018" s="19" t="s">
        <v>237</v>
      </c>
      <c r="L1018" s="129">
        <v>211207</v>
      </c>
      <c r="M1018" s="129">
        <f>211207/7.5345</f>
        <v>28031.986196827922</v>
      </c>
      <c r="N1018" s="130">
        <v>256784</v>
      </c>
      <c r="O1018" s="130">
        <f t="shared" si="769"/>
        <v>34081.093635941332</v>
      </c>
      <c r="P1018" s="131">
        <v>40500</v>
      </c>
      <c r="Q1018" s="156">
        <v>42200</v>
      </c>
      <c r="R1018" s="153">
        <v>47585</v>
      </c>
      <c r="S1018" s="158"/>
      <c r="T1018" s="158"/>
      <c r="U1018" s="158"/>
      <c r="V1018" s="532">
        <v>48300</v>
      </c>
      <c r="W1018" s="532">
        <v>48300</v>
      </c>
      <c r="X1018" s="560">
        <v>50000</v>
      </c>
      <c r="Y1018" s="561">
        <v>51200</v>
      </c>
      <c r="Z1018" s="561"/>
      <c r="AA1018" s="562" t="e">
        <f t="shared" ca="1" si="754"/>
        <v>#NAME?</v>
      </c>
      <c r="AB1018" s="535"/>
      <c r="AC1018" s="529">
        <v>40500</v>
      </c>
      <c r="AD1018" s="529">
        <v>40500</v>
      </c>
      <c r="AE1018" s="529">
        <f>O1018/M1018*100</f>
        <v>121.5793037162594</v>
      </c>
      <c r="AF1018" s="529">
        <f t="shared" si="768"/>
        <v>118.8342147485825</v>
      </c>
      <c r="AG1018" s="529">
        <f t="shared" si="768"/>
        <v>104.19753086419755</v>
      </c>
      <c r="AH1018" s="529">
        <f>AC1018/Q1018*100</f>
        <v>95.97156398104265</v>
      </c>
      <c r="AI1018" s="535"/>
      <c r="AJ1018" s="561">
        <v>51200</v>
      </c>
      <c r="AK1018" s="507">
        <f t="shared" si="744"/>
        <v>101.50257434065357</v>
      </c>
      <c r="AL1018" s="507">
        <f t="shared" si="745"/>
        <v>103.51966873706004</v>
      </c>
      <c r="AM1018" s="507">
        <f t="shared" si="745"/>
        <v>102.4</v>
      </c>
      <c r="AN1018" s="556"/>
      <c r="AO1018" s="510"/>
      <c r="AP1018" s="510" t="e">
        <f t="shared" ca="1" si="752"/>
        <v>#NAME?</v>
      </c>
      <c r="AQ1018" s="532">
        <v>51210.44</v>
      </c>
      <c r="AR1018" s="533">
        <f t="shared" si="757"/>
        <v>101.50257434065357</v>
      </c>
      <c r="AS1018" s="533">
        <f t="shared" si="758"/>
        <v>100</v>
      </c>
      <c r="AT1018" s="533">
        <f t="shared" si="759"/>
        <v>101.50257434065357</v>
      </c>
      <c r="AU1018" s="533">
        <f>AQ1018/W1018*100</f>
        <v>106.02575569358179</v>
      </c>
      <c r="AV1018" s="533">
        <f>AQ1018/R1018*100</f>
        <v>107.61887149311758</v>
      </c>
      <c r="AW1018" s="612">
        <f t="shared" si="770"/>
        <v>51210.44</v>
      </c>
      <c r="AX1018" s="612"/>
      <c r="AY1018" s="612"/>
      <c r="AZ1018" s="612"/>
      <c r="BA1018" s="612"/>
      <c r="BB1018" s="612"/>
      <c r="BC1018" s="612"/>
      <c r="BD1018" s="612"/>
      <c r="BE1018" s="612"/>
      <c r="BF1018" s="612"/>
      <c r="BG1018" s="612"/>
      <c r="BH1018" s="612">
        <f t="shared" si="755"/>
        <v>51210.44</v>
      </c>
      <c r="BI1018" s="612">
        <f t="shared" si="746"/>
        <v>3149.99</v>
      </c>
      <c r="BJ1018" s="201"/>
    </row>
    <row r="1019" spans="1:62" ht="12" customHeight="1">
      <c r="A1019" s="52"/>
      <c r="B1019" s="52"/>
      <c r="C1019" s="52"/>
      <c r="D1019" s="52"/>
      <c r="E1019" s="52"/>
      <c r="F1019" s="52"/>
      <c r="G1019" s="52"/>
      <c r="H1019" s="2"/>
      <c r="I1019" s="289">
        <v>911</v>
      </c>
      <c r="J1019" s="185">
        <v>3223</v>
      </c>
      <c r="K1019" s="19" t="s">
        <v>238</v>
      </c>
      <c r="L1019" s="129">
        <v>48338</v>
      </c>
      <c r="M1019" s="129">
        <f>48338/7.5345</f>
        <v>6415.5551131461934</v>
      </c>
      <c r="N1019" s="130">
        <v>78461</v>
      </c>
      <c r="O1019" s="130">
        <f t="shared" si="769"/>
        <v>10413.564271019974</v>
      </c>
      <c r="P1019" s="131">
        <v>13100</v>
      </c>
      <c r="Q1019" s="156">
        <v>9200</v>
      </c>
      <c r="R1019" s="153">
        <v>5305</v>
      </c>
      <c r="S1019" s="158"/>
      <c r="T1019" s="158"/>
      <c r="U1019" s="158"/>
      <c r="V1019" s="532">
        <v>12220.26</v>
      </c>
      <c r="W1019" s="532">
        <v>12220.26</v>
      </c>
      <c r="X1019" s="560">
        <v>8000</v>
      </c>
      <c r="Y1019" s="561">
        <v>8500</v>
      </c>
      <c r="Z1019" s="561"/>
      <c r="AA1019" s="562" t="e">
        <f t="shared" ca="1" si="754"/>
        <v>#NAME?</v>
      </c>
      <c r="AB1019" s="535"/>
      <c r="AC1019" s="529">
        <v>14000</v>
      </c>
      <c r="AD1019" s="529">
        <v>14000</v>
      </c>
      <c r="AE1019" s="529">
        <f>O1019/M1019*100</f>
        <v>162.31743142041458</v>
      </c>
      <c r="AF1019" s="529">
        <f t="shared" si="768"/>
        <v>125.79746625712139</v>
      </c>
      <c r="AG1019" s="529">
        <f t="shared" si="768"/>
        <v>70.229007633587784</v>
      </c>
      <c r="AH1019" s="529">
        <f>AC1019/Q1019*100</f>
        <v>152.17391304347828</v>
      </c>
      <c r="AI1019" s="535"/>
      <c r="AJ1019" s="561">
        <v>8500</v>
      </c>
      <c r="AK1019" s="507">
        <f t="shared" si="744"/>
        <v>230.35362865221489</v>
      </c>
      <c r="AL1019" s="507">
        <f t="shared" si="745"/>
        <v>65.465055571649046</v>
      </c>
      <c r="AM1019" s="507">
        <f t="shared" si="745"/>
        <v>106.25</v>
      </c>
      <c r="AN1019" s="556"/>
      <c r="AO1019" s="510"/>
      <c r="AP1019" s="510" t="e">
        <f t="shared" ca="1" si="752"/>
        <v>#NAME?</v>
      </c>
      <c r="AQ1019" s="532">
        <v>5468.05</v>
      </c>
      <c r="AR1019" s="533">
        <f t="shared" si="757"/>
        <v>230.35362865221489</v>
      </c>
      <c r="AS1019" s="533">
        <f t="shared" si="758"/>
        <v>100</v>
      </c>
      <c r="AT1019" s="533">
        <f t="shared" si="759"/>
        <v>230.35362865221489</v>
      </c>
      <c r="AU1019" s="533">
        <f>AQ1019/W1019*100</f>
        <v>44.745774639819444</v>
      </c>
      <c r="AV1019" s="533">
        <f>AQ1019/R1019*100</f>
        <v>103.07351555136664</v>
      </c>
      <c r="AW1019" s="612">
        <f t="shared" si="770"/>
        <v>5468.05</v>
      </c>
      <c r="AX1019" s="612"/>
      <c r="AY1019" s="612"/>
      <c r="AZ1019" s="612"/>
      <c r="BA1019" s="612"/>
      <c r="BB1019" s="612"/>
      <c r="BC1019" s="612"/>
      <c r="BD1019" s="612"/>
      <c r="BE1019" s="612"/>
      <c r="BF1019" s="612"/>
      <c r="BG1019" s="612"/>
      <c r="BH1019" s="612">
        <f t="shared" si="755"/>
        <v>5468.05</v>
      </c>
      <c r="BI1019" s="612">
        <f t="shared" si="746"/>
        <v>6297.5</v>
      </c>
      <c r="BJ1019" s="201"/>
    </row>
    <row r="1020" spans="1:62" ht="12" customHeight="1">
      <c r="A1020" s="52"/>
      <c r="B1020" s="52"/>
      <c r="C1020" s="52"/>
      <c r="D1020" s="52"/>
      <c r="E1020" s="52"/>
      <c r="F1020" s="52"/>
      <c r="G1020" s="52"/>
      <c r="H1020" s="2">
        <v>38</v>
      </c>
      <c r="I1020" s="289">
        <v>911</v>
      </c>
      <c r="J1020" s="185">
        <v>3224</v>
      </c>
      <c r="K1020" s="19" t="s">
        <v>793</v>
      </c>
      <c r="L1020" s="129">
        <v>13501</v>
      </c>
      <c r="M1020" s="129">
        <f>13501/7.5345</f>
        <v>1791.8906364058662</v>
      </c>
      <c r="N1020" s="130">
        <v>47763</v>
      </c>
      <c r="O1020" s="130">
        <f t="shared" si="769"/>
        <v>6339.2394983077838</v>
      </c>
      <c r="P1020" s="131">
        <v>7900</v>
      </c>
      <c r="Q1020" s="156">
        <v>1600</v>
      </c>
      <c r="R1020" s="153">
        <v>679</v>
      </c>
      <c r="S1020" s="158"/>
      <c r="T1020" s="158"/>
      <c r="U1020" s="158"/>
      <c r="V1020" s="532">
        <v>3000</v>
      </c>
      <c r="W1020" s="532">
        <v>3000</v>
      </c>
      <c r="X1020" s="560">
        <v>5500</v>
      </c>
      <c r="Y1020" s="561">
        <v>6500.1</v>
      </c>
      <c r="Z1020" s="561"/>
      <c r="AA1020" s="562" t="e">
        <f t="shared" ca="1" si="754"/>
        <v>#NAME?</v>
      </c>
      <c r="AB1020" s="535"/>
      <c r="AC1020" s="529">
        <v>8000</v>
      </c>
      <c r="AD1020" s="529">
        <v>8000</v>
      </c>
      <c r="AE1020" s="529">
        <f>O1020/M1020*100</f>
        <v>353.77379453373823</v>
      </c>
      <c r="AF1020" s="529">
        <f t="shared" si="768"/>
        <v>124.62062684504743</v>
      </c>
      <c r="AG1020" s="529">
        <f t="shared" si="768"/>
        <v>20.253164556962027</v>
      </c>
      <c r="AH1020" s="529">
        <f>AC1020/Q1020*100</f>
        <v>500</v>
      </c>
      <c r="AI1020" s="535"/>
      <c r="AJ1020" s="561">
        <v>6500.1</v>
      </c>
      <c r="AK1020" s="507">
        <f t="shared" si="744"/>
        <v>441.82621502209133</v>
      </c>
      <c r="AL1020" s="507">
        <f t="shared" si="745"/>
        <v>183.33333333333331</v>
      </c>
      <c r="AM1020" s="507">
        <f t="shared" si="745"/>
        <v>118.18363636363638</v>
      </c>
      <c r="AN1020" s="556"/>
      <c r="AO1020" s="510"/>
      <c r="AP1020" s="510" t="e">
        <f t="shared" ca="1" si="752"/>
        <v>#NAME?</v>
      </c>
      <c r="AQ1020" s="532">
        <v>4007.6</v>
      </c>
      <c r="AR1020" s="533">
        <f t="shared" si="757"/>
        <v>441.82621502209133</v>
      </c>
      <c r="AS1020" s="533">
        <f t="shared" si="758"/>
        <v>100</v>
      </c>
      <c r="AT1020" s="533">
        <f t="shared" si="759"/>
        <v>441.82621502209133</v>
      </c>
      <c r="AU1020" s="533">
        <f>AQ1020/W1020*100</f>
        <v>133.58666666666664</v>
      </c>
      <c r="AV1020" s="533">
        <f>AQ1020/R1020*100</f>
        <v>590.22091310751102</v>
      </c>
      <c r="AW1020" s="612">
        <f t="shared" si="770"/>
        <v>4007.6</v>
      </c>
      <c r="AX1020" s="612"/>
      <c r="AY1020" s="612"/>
      <c r="AZ1020" s="612"/>
      <c r="BA1020" s="612"/>
      <c r="BB1020" s="612"/>
      <c r="BC1020" s="612"/>
      <c r="BD1020" s="612"/>
      <c r="BE1020" s="612"/>
      <c r="BF1020" s="612"/>
      <c r="BG1020" s="612"/>
      <c r="BH1020" s="612">
        <f t="shared" si="755"/>
        <v>4007.6</v>
      </c>
      <c r="BI1020" s="612">
        <f t="shared" si="746"/>
        <v>0</v>
      </c>
      <c r="BJ1020" s="201"/>
    </row>
    <row r="1021" spans="1:62" ht="12" customHeight="1">
      <c r="A1021" s="52"/>
      <c r="B1021" s="52"/>
      <c r="C1021" s="52"/>
      <c r="D1021" s="52"/>
      <c r="E1021" s="52"/>
      <c r="F1021" s="52"/>
      <c r="G1021" s="52"/>
      <c r="H1021" s="236" t="s">
        <v>794</v>
      </c>
      <c r="I1021" s="423">
        <v>911</v>
      </c>
      <c r="J1021" s="267">
        <v>3224</v>
      </c>
      <c r="K1021" s="268" t="s">
        <v>795</v>
      </c>
      <c r="L1021" s="269">
        <v>0</v>
      </c>
      <c r="M1021" s="269">
        <v>0</v>
      </c>
      <c r="N1021" s="270">
        <v>0</v>
      </c>
      <c r="O1021" s="130">
        <f t="shared" si="769"/>
        <v>0</v>
      </c>
      <c r="P1021" s="271">
        <v>0</v>
      </c>
      <c r="Q1021" s="271">
        <v>0</v>
      </c>
      <c r="R1021" s="275">
        <v>0</v>
      </c>
      <c r="S1021" s="276"/>
      <c r="T1021" s="276"/>
      <c r="U1021" s="276"/>
      <c r="V1021" s="532"/>
      <c r="W1021" s="532"/>
      <c r="X1021" s="576"/>
      <c r="Y1021" s="577"/>
      <c r="Z1021" s="577"/>
      <c r="AA1021" s="562" t="e">
        <f t="shared" ca="1" si="754"/>
        <v>#NAME?</v>
      </c>
      <c r="AB1021" s="543"/>
      <c r="AC1021" s="544">
        <v>0</v>
      </c>
      <c r="AD1021" s="544">
        <v>0</v>
      </c>
      <c r="AE1021" s="529"/>
      <c r="AF1021" s="529"/>
      <c r="AG1021" s="529"/>
      <c r="AH1021" s="529"/>
      <c r="AI1021" s="543"/>
      <c r="AJ1021" s="577"/>
      <c r="AK1021" s="507"/>
      <c r="AL1021" s="507"/>
      <c r="AM1021" s="507"/>
      <c r="AN1021" s="578"/>
      <c r="AO1021" s="510"/>
      <c r="AP1021" s="510" t="e">
        <f t="shared" ca="1" si="752"/>
        <v>#NAME?</v>
      </c>
      <c r="AQ1021" s="532"/>
      <c r="AR1021" s="533"/>
      <c r="AS1021" s="533"/>
      <c r="AT1021" s="533"/>
      <c r="AU1021" s="533"/>
      <c r="AV1021" s="533"/>
      <c r="AW1021" s="612">
        <f t="shared" si="770"/>
        <v>0</v>
      </c>
      <c r="AX1021" s="612"/>
      <c r="AY1021" s="612"/>
      <c r="AZ1021" s="612"/>
      <c r="BA1021" s="612"/>
      <c r="BB1021" s="612"/>
      <c r="BC1021" s="612"/>
      <c r="BD1021" s="612"/>
      <c r="BE1021" s="612"/>
      <c r="BF1021" s="612"/>
      <c r="BG1021" s="612"/>
      <c r="BH1021" s="612">
        <f t="shared" si="755"/>
        <v>0</v>
      </c>
      <c r="BI1021" s="612">
        <f t="shared" si="746"/>
        <v>0</v>
      </c>
      <c r="BJ1021" s="201"/>
    </row>
    <row r="1022" spans="1:62" ht="12" customHeight="1">
      <c r="A1022" s="52"/>
      <c r="B1022" s="52"/>
      <c r="C1022" s="52"/>
      <c r="D1022" s="52"/>
      <c r="E1022" s="52"/>
      <c r="F1022" s="52"/>
      <c r="G1022" s="52"/>
      <c r="H1022" s="236" t="s">
        <v>796</v>
      </c>
      <c r="I1022" s="423">
        <v>911</v>
      </c>
      <c r="J1022" s="267">
        <v>3225</v>
      </c>
      <c r="K1022" s="268" t="s">
        <v>343</v>
      </c>
      <c r="L1022" s="269">
        <v>35115</v>
      </c>
      <c r="M1022" s="269">
        <f>35115/7.5345</f>
        <v>4660.5614174795937</v>
      </c>
      <c r="N1022" s="270">
        <v>7595</v>
      </c>
      <c r="O1022" s="130">
        <f t="shared" si="769"/>
        <v>1008.0297299090848</v>
      </c>
      <c r="P1022" s="271">
        <v>4000</v>
      </c>
      <c r="Q1022" s="343">
        <v>8400</v>
      </c>
      <c r="R1022" s="275">
        <v>8160</v>
      </c>
      <c r="S1022" s="276"/>
      <c r="T1022" s="276"/>
      <c r="U1022" s="276"/>
      <c r="V1022" s="532">
        <v>13000</v>
      </c>
      <c r="W1022" s="532">
        <v>13000</v>
      </c>
      <c r="X1022" s="576">
        <v>7500</v>
      </c>
      <c r="Y1022" s="577">
        <v>6800.2</v>
      </c>
      <c r="Z1022" s="577"/>
      <c r="AA1022" s="562" t="e">
        <f t="shared" ca="1" si="754"/>
        <v>#NAME?</v>
      </c>
      <c r="AB1022" s="543"/>
      <c r="AC1022" s="544">
        <v>4000</v>
      </c>
      <c r="AD1022" s="544">
        <v>4000</v>
      </c>
      <c r="AE1022" s="529">
        <f>O1022/M1022*100</f>
        <v>21.628933504200486</v>
      </c>
      <c r="AF1022" s="529">
        <f>P1022/O1022*100</f>
        <v>396.81369321922318</v>
      </c>
      <c r="AG1022" s="529">
        <f>Q1022/P1022*100</f>
        <v>210</v>
      </c>
      <c r="AH1022" s="529">
        <f>AC1022/Q1022*100</f>
        <v>47.619047619047613</v>
      </c>
      <c r="AI1022" s="543"/>
      <c r="AJ1022" s="577">
        <v>6800.2</v>
      </c>
      <c r="AK1022" s="507">
        <f t="shared" si="744"/>
        <v>159.31372549019608</v>
      </c>
      <c r="AL1022" s="507">
        <f t="shared" si="745"/>
        <v>57.692307692307686</v>
      </c>
      <c r="AM1022" s="507">
        <f t="shared" si="745"/>
        <v>90.669333333333341</v>
      </c>
      <c r="AN1022" s="578"/>
      <c r="AO1022" s="510"/>
      <c r="AP1022" s="510" t="e">
        <f t="shared" ca="1" si="752"/>
        <v>#NAME?</v>
      </c>
      <c r="AQ1022" s="532">
        <v>13746</v>
      </c>
      <c r="AR1022" s="533">
        <f t="shared" si="757"/>
        <v>159.31372549019608</v>
      </c>
      <c r="AS1022" s="533">
        <f t="shared" si="758"/>
        <v>100</v>
      </c>
      <c r="AT1022" s="533">
        <f t="shared" si="759"/>
        <v>159.31372549019608</v>
      </c>
      <c r="AU1022" s="533">
        <f>AQ1022/W1022*100</f>
        <v>105.73846153846154</v>
      </c>
      <c r="AV1022" s="533">
        <f>AQ1022/R1022*100</f>
        <v>168.45588235294119</v>
      </c>
      <c r="AW1022" s="612">
        <f t="shared" si="770"/>
        <v>13746</v>
      </c>
      <c r="AX1022" s="612"/>
      <c r="AY1022" s="612"/>
      <c r="AZ1022" s="612"/>
      <c r="BA1022" s="612"/>
      <c r="BB1022" s="612"/>
      <c r="BC1022" s="612"/>
      <c r="BD1022" s="612"/>
      <c r="BE1022" s="612"/>
      <c r="BF1022" s="612"/>
      <c r="BG1022" s="612"/>
      <c r="BH1022" s="612">
        <f t="shared" si="755"/>
        <v>13746</v>
      </c>
      <c r="BI1022" s="612">
        <f t="shared" si="746"/>
        <v>2016.98</v>
      </c>
      <c r="BJ1022" s="201"/>
    </row>
    <row r="1023" spans="1:62" ht="12" customHeight="1">
      <c r="A1023" s="25"/>
      <c r="B1023" s="25"/>
      <c r="C1023" s="25"/>
      <c r="D1023" s="25"/>
      <c r="E1023" s="25"/>
      <c r="F1023" s="25"/>
      <c r="G1023" s="25"/>
      <c r="H1023" s="236"/>
      <c r="I1023" s="424"/>
      <c r="J1023" s="243"/>
      <c r="K1023" s="44"/>
      <c r="L1023" s="238"/>
      <c r="M1023" s="238"/>
      <c r="N1023" s="239"/>
      <c r="O1023" s="239"/>
      <c r="P1023" s="240"/>
      <c r="Q1023" s="240"/>
      <c r="R1023" s="95"/>
      <c r="S1023" s="97"/>
      <c r="T1023" s="97"/>
      <c r="U1023" s="97"/>
      <c r="V1023" s="532"/>
      <c r="W1023" s="532"/>
      <c r="X1023" s="599"/>
      <c r="Y1023" s="600"/>
      <c r="Z1023" s="600"/>
      <c r="AA1023" s="562" t="e">
        <f t="shared" ca="1" si="754"/>
        <v>#NAME?</v>
      </c>
      <c r="AB1023" s="514"/>
      <c r="AC1023" s="515"/>
      <c r="AD1023" s="515"/>
      <c r="AE1023" s="529"/>
      <c r="AF1023" s="529"/>
      <c r="AG1023" s="529"/>
      <c r="AH1023" s="529"/>
      <c r="AI1023" s="514"/>
      <c r="AJ1023" s="600"/>
      <c r="AK1023" s="507"/>
      <c r="AL1023" s="507"/>
      <c r="AM1023" s="507"/>
      <c r="AN1023" s="516"/>
      <c r="AO1023" s="510"/>
      <c r="AP1023" s="510" t="e">
        <f t="shared" ca="1" si="752"/>
        <v>#NAME?</v>
      </c>
      <c r="AQ1023" s="532"/>
      <c r="AR1023" s="533"/>
      <c r="AS1023" s="533"/>
      <c r="AT1023" s="533"/>
      <c r="AU1023" s="533"/>
      <c r="AV1023" s="533"/>
      <c r="AW1023" s="612"/>
      <c r="AX1023" s="612"/>
      <c r="AY1023" s="612"/>
      <c r="AZ1023" s="612"/>
      <c r="BA1023" s="612"/>
      <c r="BB1023" s="612"/>
      <c r="BC1023" s="612"/>
      <c r="BD1023" s="612"/>
      <c r="BE1023" s="612"/>
      <c r="BF1023" s="612"/>
      <c r="BG1023" s="612"/>
      <c r="BH1023" s="612">
        <f t="shared" si="755"/>
        <v>0</v>
      </c>
      <c r="BI1023" s="612">
        <f t="shared" si="746"/>
        <v>6343.05</v>
      </c>
      <c r="BJ1023" s="201"/>
    </row>
    <row r="1024" spans="1:62" ht="12" customHeight="1">
      <c r="A1024" s="61"/>
      <c r="B1024" s="61"/>
      <c r="C1024" s="61"/>
      <c r="D1024" s="61"/>
      <c r="E1024" s="61"/>
      <c r="F1024" s="61"/>
      <c r="G1024" s="61"/>
      <c r="H1024" s="412"/>
      <c r="I1024" s="425"/>
      <c r="J1024" s="415">
        <v>323</v>
      </c>
      <c r="K1024" s="237" t="s">
        <v>346</v>
      </c>
      <c r="L1024" s="238">
        <f t="shared" ref="L1024:S1024" si="771">L1025+L1026+L1027+L1028+L1029+L1030+L1031+L1032+L1033</f>
        <v>167537</v>
      </c>
      <c r="M1024" s="238">
        <f t="shared" si="771"/>
        <v>22235.981153361205</v>
      </c>
      <c r="N1024" s="239">
        <f t="shared" si="771"/>
        <v>300061</v>
      </c>
      <c r="O1024" s="239">
        <f t="shared" si="771"/>
        <v>39824.93861570111</v>
      </c>
      <c r="P1024" s="240">
        <f t="shared" si="771"/>
        <v>29100</v>
      </c>
      <c r="Q1024" s="240">
        <f t="shared" si="771"/>
        <v>22700</v>
      </c>
      <c r="R1024" s="95">
        <f t="shared" si="771"/>
        <v>23667</v>
      </c>
      <c r="S1024" s="97">
        <f t="shared" si="771"/>
        <v>0</v>
      </c>
      <c r="T1024" s="97"/>
      <c r="U1024" s="97"/>
      <c r="V1024" s="532">
        <f>V1025+V1026+V1027+V1028+V1029+V1030+V1031+V1032+V1033</f>
        <v>30419.919999999998</v>
      </c>
      <c r="W1024" s="532">
        <f>W1025+W1026+W1027+W1028+W1029+W1030+W1031+W1032+W1033</f>
        <v>30419.919999999998</v>
      </c>
      <c r="X1024" s="513">
        <f>X1025+X1026+X1027+X1028+X1029+X1030+X1031+X1032+X1033</f>
        <v>33190</v>
      </c>
      <c r="Y1024" s="514">
        <f>Y1025+Y1026+Y1027+Y1028+Y1029+Y1030+Y1031+Y1032+Y1033</f>
        <v>35450.800000000003</v>
      </c>
      <c r="Z1024" s="514">
        <f>Z1025+Z1026+Z1027+Z1028+Z1029+Z1030+Z1031+Z1032+Z1033</f>
        <v>0</v>
      </c>
      <c r="AA1024" s="562" t="e">
        <f t="shared" ca="1" si="754"/>
        <v>#NAME?</v>
      </c>
      <c r="AB1024" s="514"/>
      <c r="AC1024" s="515">
        <f>AC1025+AC1026+AC1027+AC1028+AC1029+AC1030+AC1031+AC1032+AC1033</f>
        <v>29700</v>
      </c>
      <c r="AD1024" s="515">
        <f>AD1025+AD1026+AD1027+AD1028+AD1029+AD1030+AD1031+AD1032+AD1033</f>
        <v>29700</v>
      </c>
      <c r="AE1024" s="529">
        <f>O1024/M1024*100</f>
        <v>179.10133283991001</v>
      </c>
      <c r="AF1024" s="529">
        <f t="shared" ref="AF1024:AG1026" si="772">P1024/O1024*100</f>
        <v>73.069792475529965</v>
      </c>
      <c r="AG1024" s="529">
        <f t="shared" si="772"/>
        <v>78.006872852233684</v>
      </c>
      <c r="AH1024" s="529">
        <f>AC1024/Q1024*100</f>
        <v>130.83700440528634</v>
      </c>
      <c r="AI1024" s="514"/>
      <c r="AJ1024" s="514">
        <v>35450.800000000003</v>
      </c>
      <c r="AK1024" s="507">
        <f t="shared" si="744"/>
        <v>128.53306291460683</v>
      </c>
      <c r="AL1024" s="507">
        <f t="shared" si="745"/>
        <v>109.10613834618894</v>
      </c>
      <c r="AM1024" s="507">
        <f t="shared" si="745"/>
        <v>106.81169026815307</v>
      </c>
      <c r="AN1024" s="516"/>
      <c r="AO1024" s="510"/>
      <c r="AP1024" s="510" t="e">
        <f t="shared" ca="1" si="752"/>
        <v>#NAME?</v>
      </c>
      <c r="AQ1024" s="532">
        <f>AQ1025+AQ1026+AQ1027+AQ1028+AQ1029+AQ1030+AQ1031+AQ1032+AQ1033</f>
        <v>36007.33</v>
      </c>
      <c r="AR1024" s="533">
        <f t="shared" si="757"/>
        <v>128.53306291460683</v>
      </c>
      <c r="AS1024" s="533">
        <f t="shared" si="758"/>
        <v>100</v>
      </c>
      <c r="AT1024" s="533">
        <f t="shared" si="759"/>
        <v>128.53306291460683</v>
      </c>
      <c r="AU1024" s="533">
        <f>AQ1024/W1024*100</f>
        <v>118.36760254464839</v>
      </c>
      <c r="AV1024" s="533">
        <f>AQ1024/R1024*100</f>
        <v>152.14150504922466</v>
      </c>
      <c r="AW1024" s="612"/>
      <c r="AX1024" s="612"/>
      <c r="AY1024" s="612"/>
      <c r="AZ1024" s="612"/>
      <c r="BA1024" s="612"/>
      <c r="BB1024" s="612"/>
      <c r="BC1024" s="612"/>
      <c r="BD1024" s="612"/>
      <c r="BE1024" s="612"/>
      <c r="BF1024" s="612"/>
      <c r="BG1024" s="612"/>
      <c r="BH1024" s="612">
        <f t="shared" si="755"/>
        <v>0</v>
      </c>
      <c r="BI1024" s="612">
        <f t="shared" si="746"/>
        <v>585.82000000000005</v>
      </c>
      <c r="BJ1024" s="201"/>
    </row>
    <row r="1025" spans="1:62" ht="12" customHeight="1">
      <c r="A1025" s="52"/>
      <c r="B1025" s="52"/>
      <c r="C1025" s="52"/>
      <c r="D1025" s="52"/>
      <c r="E1025" s="52"/>
      <c r="F1025" s="52"/>
      <c r="G1025" s="52"/>
      <c r="H1025" s="236"/>
      <c r="I1025" s="423">
        <v>911</v>
      </c>
      <c r="J1025" s="267">
        <v>3231</v>
      </c>
      <c r="K1025" s="268" t="s">
        <v>797</v>
      </c>
      <c r="L1025" s="269">
        <v>13832</v>
      </c>
      <c r="M1025" s="269">
        <f>13832/7.5345</f>
        <v>1835.8218859911074</v>
      </c>
      <c r="N1025" s="270">
        <v>14591</v>
      </c>
      <c r="O1025" s="270">
        <f>N1025/7.5345</f>
        <v>1936.5584975778086</v>
      </c>
      <c r="P1025" s="271">
        <v>3600</v>
      </c>
      <c r="Q1025" s="271">
        <v>3600</v>
      </c>
      <c r="R1025" s="275">
        <v>3471</v>
      </c>
      <c r="S1025" s="276"/>
      <c r="T1025" s="276"/>
      <c r="U1025" s="276"/>
      <c r="V1025" s="532">
        <v>4020</v>
      </c>
      <c r="W1025" s="532">
        <v>4020</v>
      </c>
      <c r="X1025" s="576">
        <v>4500</v>
      </c>
      <c r="Y1025" s="577">
        <v>4600.1000000000004</v>
      </c>
      <c r="Z1025" s="577"/>
      <c r="AA1025" s="562" t="e">
        <f t="shared" ca="1" si="754"/>
        <v>#NAME?</v>
      </c>
      <c r="AB1025" s="543"/>
      <c r="AC1025" s="544">
        <v>3700</v>
      </c>
      <c r="AD1025" s="544">
        <v>3700</v>
      </c>
      <c r="AE1025" s="529">
        <f>O1025/M1025*100</f>
        <v>105.48727588201272</v>
      </c>
      <c r="AF1025" s="529">
        <f t="shared" si="772"/>
        <v>185.89678568980881</v>
      </c>
      <c r="AG1025" s="529">
        <f t="shared" si="772"/>
        <v>100</v>
      </c>
      <c r="AH1025" s="529">
        <f>AC1025/Q1025*100</f>
        <v>102.77777777777777</v>
      </c>
      <c r="AI1025" s="543"/>
      <c r="AJ1025" s="577">
        <v>4600.1000000000004</v>
      </c>
      <c r="AK1025" s="507">
        <f t="shared" si="744"/>
        <v>115.81676750216077</v>
      </c>
      <c r="AL1025" s="507">
        <f t="shared" si="745"/>
        <v>111.94029850746267</v>
      </c>
      <c r="AM1025" s="507">
        <f t="shared" si="745"/>
        <v>102.22444444444446</v>
      </c>
      <c r="AN1025" s="578"/>
      <c r="AO1025" s="510"/>
      <c r="AP1025" s="510" t="e">
        <f t="shared" ca="1" si="752"/>
        <v>#NAME?</v>
      </c>
      <c r="AQ1025" s="532">
        <v>3149.99</v>
      </c>
      <c r="AR1025" s="533">
        <f t="shared" si="757"/>
        <v>115.81676750216077</v>
      </c>
      <c r="AS1025" s="533">
        <f t="shared" si="758"/>
        <v>100</v>
      </c>
      <c r="AT1025" s="533">
        <f t="shared" si="759"/>
        <v>115.81676750216077</v>
      </c>
      <c r="AU1025" s="533">
        <f>AQ1025/W1025*100</f>
        <v>78.357960199004978</v>
      </c>
      <c r="AV1025" s="533">
        <f>AQ1025/R1025*100</f>
        <v>90.751656583117253</v>
      </c>
      <c r="AW1025" s="612">
        <f t="shared" ref="AW1025:AW1033" si="773">AQ1025</f>
        <v>3149.99</v>
      </c>
      <c r="AX1025" s="612"/>
      <c r="AY1025" s="612"/>
      <c r="AZ1025" s="612"/>
      <c r="BA1025" s="612"/>
      <c r="BB1025" s="612"/>
      <c r="BC1025" s="612"/>
      <c r="BD1025" s="612"/>
      <c r="BE1025" s="612"/>
      <c r="BF1025" s="612"/>
      <c r="BG1025" s="612"/>
      <c r="BH1025" s="612">
        <f t="shared" si="755"/>
        <v>3149.99</v>
      </c>
      <c r="BI1025" s="612">
        <f t="shared" si="746"/>
        <v>3922.9</v>
      </c>
      <c r="BJ1025" s="201"/>
    </row>
    <row r="1026" spans="1:62" ht="12" customHeight="1">
      <c r="A1026" s="52"/>
      <c r="B1026" s="52"/>
      <c r="C1026" s="52"/>
      <c r="D1026" s="52"/>
      <c r="E1026" s="52"/>
      <c r="F1026" s="52"/>
      <c r="G1026" s="52"/>
      <c r="H1026" s="2">
        <v>39</v>
      </c>
      <c r="I1026" s="289">
        <v>911</v>
      </c>
      <c r="J1026" s="185">
        <v>3232</v>
      </c>
      <c r="K1026" s="19" t="s">
        <v>798</v>
      </c>
      <c r="L1026" s="129">
        <v>78000</v>
      </c>
      <c r="M1026" s="129">
        <f>78000/7.5345</f>
        <v>10352.379056340831</v>
      </c>
      <c r="N1026" s="130">
        <v>213696</v>
      </c>
      <c r="O1026" s="270">
        <f t="shared" ref="O1026:O1033" si="774">N1026/7.5345</f>
        <v>28362.333266971928</v>
      </c>
      <c r="P1026" s="131">
        <v>12000</v>
      </c>
      <c r="Q1026" s="156">
        <v>4200</v>
      </c>
      <c r="R1026" s="153">
        <v>5158</v>
      </c>
      <c r="S1026" s="158"/>
      <c r="T1026" s="158"/>
      <c r="U1026" s="158"/>
      <c r="V1026" s="532">
        <v>6680</v>
      </c>
      <c r="W1026" s="532">
        <v>6680</v>
      </c>
      <c r="X1026" s="560">
        <v>7800</v>
      </c>
      <c r="Y1026" s="561">
        <v>7900.2</v>
      </c>
      <c r="Z1026" s="561"/>
      <c r="AA1026" s="562" t="e">
        <f t="shared" ca="1" si="754"/>
        <v>#NAME?</v>
      </c>
      <c r="AB1026" s="535"/>
      <c r="AC1026" s="529">
        <v>12000</v>
      </c>
      <c r="AD1026" s="529">
        <v>12000</v>
      </c>
      <c r="AE1026" s="529">
        <f>O1026/M1026*100</f>
        <v>273.96923076923076</v>
      </c>
      <c r="AF1026" s="529">
        <f t="shared" si="772"/>
        <v>42.309636118598384</v>
      </c>
      <c r="AG1026" s="529">
        <f t="shared" si="772"/>
        <v>35</v>
      </c>
      <c r="AH1026" s="529">
        <f>AC1026/Q1026*100</f>
        <v>285.71428571428572</v>
      </c>
      <c r="AI1026" s="535"/>
      <c r="AJ1026" s="561">
        <v>7900.2</v>
      </c>
      <c r="AK1026" s="507">
        <f t="shared" si="744"/>
        <v>129.50756107018225</v>
      </c>
      <c r="AL1026" s="507">
        <f t="shared" si="745"/>
        <v>116.76646706586826</v>
      </c>
      <c r="AM1026" s="507">
        <f t="shared" si="745"/>
        <v>101.28461538461538</v>
      </c>
      <c r="AN1026" s="556"/>
      <c r="AO1026" s="510"/>
      <c r="AP1026" s="510" t="e">
        <f t="shared" ca="1" si="752"/>
        <v>#NAME?</v>
      </c>
      <c r="AQ1026" s="532">
        <v>6297.5</v>
      </c>
      <c r="AR1026" s="533">
        <f t="shared" si="757"/>
        <v>129.50756107018225</v>
      </c>
      <c r="AS1026" s="533">
        <f t="shared" si="758"/>
        <v>100</v>
      </c>
      <c r="AT1026" s="533">
        <f t="shared" si="759"/>
        <v>129.50756107018225</v>
      </c>
      <c r="AU1026" s="533">
        <f>AQ1026/W1026*100</f>
        <v>94.273952095808383</v>
      </c>
      <c r="AV1026" s="533">
        <f>AQ1026/R1026*100</f>
        <v>122.0918960837534</v>
      </c>
      <c r="AW1026" s="612">
        <f t="shared" si="773"/>
        <v>6297.5</v>
      </c>
      <c r="AX1026" s="612"/>
      <c r="AY1026" s="612"/>
      <c r="AZ1026" s="612"/>
      <c r="BA1026" s="612"/>
      <c r="BB1026" s="612"/>
      <c r="BC1026" s="612"/>
      <c r="BD1026" s="612"/>
      <c r="BE1026" s="612"/>
      <c r="BF1026" s="612"/>
      <c r="BG1026" s="612"/>
      <c r="BH1026" s="612">
        <f t="shared" si="755"/>
        <v>6297.5</v>
      </c>
      <c r="BI1026" s="612">
        <f t="shared" si="746"/>
        <v>13691.09</v>
      </c>
      <c r="BJ1026" s="201"/>
    </row>
    <row r="1027" spans="1:62" ht="12" customHeight="1">
      <c r="A1027" s="52"/>
      <c r="B1027" s="52"/>
      <c r="C1027" s="52"/>
      <c r="D1027" s="52"/>
      <c r="E1027" s="52"/>
      <c r="F1027" s="52"/>
      <c r="G1027" s="52"/>
      <c r="H1027" s="2"/>
      <c r="I1027" s="289">
        <v>911</v>
      </c>
      <c r="J1027" s="185">
        <v>3232</v>
      </c>
      <c r="K1027" s="19" t="s">
        <v>799</v>
      </c>
      <c r="L1027" s="129"/>
      <c r="M1027" s="129"/>
      <c r="N1027" s="130">
        <v>0</v>
      </c>
      <c r="O1027" s="270">
        <f t="shared" si="774"/>
        <v>0</v>
      </c>
      <c r="P1027" s="131"/>
      <c r="Q1027" s="131"/>
      <c r="R1027" s="153"/>
      <c r="S1027" s="158"/>
      <c r="T1027" s="158"/>
      <c r="U1027" s="158"/>
      <c r="V1027" s="532"/>
      <c r="W1027" s="532"/>
      <c r="X1027" s="560"/>
      <c r="Y1027" s="561"/>
      <c r="Z1027" s="561"/>
      <c r="AA1027" s="562" t="e">
        <f t="shared" ca="1" si="754"/>
        <v>#NAME?</v>
      </c>
      <c r="AB1027" s="535"/>
      <c r="AC1027" s="529"/>
      <c r="AD1027" s="529"/>
      <c r="AE1027" s="529"/>
      <c r="AF1027" s="529"/>
      <c r="AG1027" s="529"/>
      <c r="AH1027" s="529"/>
      <c r="AI1027" s="535"/>
      <c r="AJ1027" s="561"/>
      <c r="AK1027" s="507"/>
      <c r="AL1027" s="507"/>
      <c r="AM1027" s="507"/>
      <c r="AN1027" s="556"/>
      <c r="AO1027" s="510"/>
      <c r="AP1027" s="510" t="e">
        <f t="shared" ca="1" si="752"/>
        <v>#NAME?</v>
      </c>
      <c r="AQ1027" s="532"/>
      <c r="AR1027" s="533"/>
      <c r="AS1027" s="533"/>
      <c r="AT1027" s="533"/>
      <c r="AU1027" s="533"/>
      <c r="AV1027" s="533"/>
      <c r="AW1027" s="612">
        <f t="shared" si="773"/>
        <v>0</v>
      </c>
      <c r="AX1027" s="612"/>
      <c r="AY1027" s="612"/>
      <c r="AZ1027" s="612"/>
      <c r="BA1027" s="612"/>
      <c r="BB1027" s="612"/>
      <c r="BC1027" s="612"/>
      <c r="BD1027" s="612"/>
      <c r="BE1027" s="612"/>
      <c r="BF1027" s="612"/>
      <c r="BG1027" s="612"/>
      <c r="BH1027" s="612">
        <f t="shared" si="755"/>
        <v>0</v>
      </c>
      <c r="BI1027" s="612">
        <f t="shared" si="746"/>
        <v>0</v>
      </c>
      <c r="BJ1027" s="201"/>
    </row>
    <row r="1028" spans="1:62" ht="12" customHeight="1">
      <c r="A1028" s="52"/>
      <c r="B1028" s="52"/>
      <c r="C1028" s="52"/>
      <c r="D1028" s="52"/>
      <c r="E1028" s="52"/>
      <c r="F1028" s="52"/>
      <c r="G1028" s="52"/>
      <c r="H1028" s="2"/>
      <c r="I1028" s="289">
        <v>911</v>
      </c>
      <c r="J1028" s="185">
        <v>3233</v>
      </c>
      <c r="K1028" s="19" t="s">
        <v>800</v>
      </c>
      <c r="L1028" s="129">
        <v>0</v>
      </c>
      <c r="M1028" s="129">
        <v>0</v>
      </c>
      <c r="N1028" s="130">
        <v>0</v>
      </c>
      <c r="O1028" s="270">
        <f t="shared" si="774"/>
        <v>0</v>
      </c>
      <c r="P1028" s="131">
        <v>900</v>
      </c>
      <c r="Q1028" s="156">
        <v>1000</v>
      </c>
      <c r="R1028" s="153">
        <v>0</v>
      </c>
      <c r="S1028" s="158"/>
      <c r="T1028" s="158"/>
      <c r="U1028" s="158"/>
      <c r="V1028" s="532">
        <v>1230</v>
      </c>
      <c r="W1028" s="532">
        <v>1230</v>
      </c>
      <c r="X1028" s="560">
        <v>1300</v>
      </c>
      <c r="Y1028" s="561">
        <v>1350.2</v>
      </c>
      <c r="Z1028" s="561"/>
      <c r="AA1028" s="562" t="e">
        <f t="shared" ca="1" si="754"/>
        <v>#NAME?</v>
      </c>
      <c r="AB1028" s="535"/>
      <c r="AC1028" s="529">
        <v>1000</v>
      </c>
      <c r="AD1028" s="529">
        <v>1000</v>
      </c>
      <c r="AE1028" s="529"/>
      <c r="AF1028" s="529"/>
      <c r="AG1028" s="529"/>
      <c r="AH1028" s="529"/>
      <c r="AI1028" s="535"/>
      <c r="AJ1028" s="561">
        <v>1350.2</v>
      </c>
      <c r="AK1028" s="507"/>
      <c r="AL1028" s="507">
        <f t="shared" si="745"/>
        <v>105.6910569105691</v>
      </c>
      <c r="AM1028" s="507">
        <f t="shared" si="745"/>
        <v>103.86153846153847</v>
      </c>
      <c r="AN1028" s="556"/>
      <c r="AO1028" s="510"/>
      <c r="AP1028" s="510" t="e">
        <f t="shared" ca="1" si="752"/>
        <v>#NAME?</v>
      </c>
      <c r="AQ1028" s="532"/>
      <c r="AR1028" s="533"/>
      <c r="AS1028" s="533">
        <f t="shared" si="758"/>
        <v>100</v>
      </c>
      <c r="AT1028" s="533"/>
      <c r="AU1028" s="533">
        <f>AQ1028/W1028*100</f>
        <v>0</v>
      </c>
      <c r="AV1028" s="533"/>
      <c r="AW1028" s="612">
        <f t="shared" si="773"/>
        <v>0</v>
      </c>
      <c r="AX1028" s="612"/>
      <c r="AY1028" s="612"/>
      <c r="AZ1028" s="612"/>
      <c r="BA1028" s="612"/>
      <c r="BB1028" s="612"/>
      <c r="BC1028" s="612"/>
      <c r="BD1028" s="612"/>
      <c r="BE1028" s="612"/>
      <c r="BF1028" s="612"/>
      <c r="BG1028" s="612"/>
      <c r="BH1028" s="612">
        <f t="shared" si="755"/>
        <v>0</v>
      </c>
      <c r="BI1028" s="612">
        <f t="shared" si="746"/>
        <v>0</v>
      </c>
      <c r="BJ1028" s="201"/>
    </row>
    <row r="1029" spans="1:62" ht="12" customHeight="1">
      <c r="A1029" s="52"/>
      <c r="B1029" s="52"/>
      <c r="C1029" s="52"/>
      <c r="D1029" s="52"/>
      <c r="E1029" s="52"/>
      <c r="F1029" s="52"/>
      <c r="G1029" s="52"/>
      <c r="H1029" s="2"/>
      <c r="I1029" s="289">
        <v>911</v>
      </c>
      <c r="J1029" s="185">
        <v>3234</v>
      </c>
      <c r="K1029" s="19" t="s">
        <v>246</v>
      </c>
      <c r="L1029" s="129">
        <v>9855</v>
      </c>
      <c r="M1029" s="129">
        <f>9855/7.5345</f>
        <v>1307.9832769261398</v>
      </c>
      <c r="N1029" s="130">
        <v>11660</v>
      </c>
      <c r="O1029" s="270">
        <f t="shared" si="774"/>
        <v>1547.5479461145396</v>
      </c>
      <c r="P1029" s="131">
        <v>2500</v>
      </c>
      <c r="Q1029" s="131">
        <v>2500</v>
      </c>
      <c r="R1029" s="153">
        <v>1688</v>
      </c>
      <c r="S1029" s="158"/>
      <c r="T1029" s="158"/>
      <c r="U1029" s="158"/>
      <c r="V1029" s="532">
        <v>4520</v>
      </c>
      <c r="W1029" s="532">
        <v>4520</v>
      </c>
      <c r="X1029" s="560">
        <v>3500</v>
      </c>
      <c r="Y1029" s="561">
        <v>3600.2</v>
      </c>
      <c r="Z1029" s="561"/>
      <c r="AA1029" s="562" t="e">
        <f t="shared" ca="1" si="754"/>
        <v>#NAME?</v>
      </c>
      <c r="AB1029" s="535"/>
      <c r="AC1029" s="529">
        <v>2500</v>
      </c>
      <c r="AD1029" s="529">
        <v>2500</v>
      </c>
      <c r="AE1029" s="529">
        <f>O1029/M1029*100</f>
        <v>118.31557584982242</v>
      </c>
      <c r="AF1029" s="529">
        <f>P1029/O1029*100</f>
        <v>161.54588336192111</v>
      </c>
      <c r="AG1029" s="529">
        <f>Q1029/P1029*100</f>
        <v>100</v>
      </c>
      <c r="AH1029" s="529">
        <f>AC1029/Q1029*100</f>
        <v>100</v>
      </c>
      <c r="AI1029" s="535"/>
      <c r="AJ1029" s="561">
        <v>3600.2</v>
      </c>
      <c r="AK1029" s="507">
        <f t="shared" si="744"/>
        <v>267.7725118483412</v>
      </c>
      <c r="AL1029" s="507">
        <f t="shared" si="745"/>
        <v>77.43362831858407</v>
      </c>
      <c r="AM1029" s="507">
        <f t="shared" si="745"/>
        <v>102.86285714285714</v>
      </c>
      <c r="AN1029" s="556"/>
      <c r="AO1029" s="510"/>
      <c r="AP1029" s="510" t="e">
        <f t="shared" ca="1" si="752"/>
        <v>#NAME?</v>
      </c>
      <c r="AQ1029" s="532">
        <v>2016.98</v>
      </c>
      <c r="AR1029" s="533">
        <f t="shared" si="757"/>
        <v>267.7725118483412</v>
      </c>
      <c r="AS1029" s="533">
        <f t="shared" si="758"/>
        <v>100</v>
      </c>
      <c r="AT1029" s="533">
        <f t="shared" si="759"/>
        <v>267.7725118483412</v>
      </c>
      <c r="AU1029" s="533">
        <f>AQ1029/W1029*100</f>
        <v>44.623451327433628</v>
      </c>
      <c r="AV1029" s="533">
        <f>AQ1029/R1029*100</f>
        <v>119.489336492891</v>
      </c>
      <c r="AW1029" s="612">
        <f t="shared" si="773"/>
        <v>2016.98</v>
      </c>
      <c r="AX1029" s="612"/>
      <c r="AY1029" s="612"/>
      <c r="AZ1029" s="612"/>
      <c r="BA1029" s="612"/>
      <c r="BB1029" s="612"/>
      <c r="BC1029" s="612"/>
      <c r="BD1029" s="612"/>
      <c r="BE1029" s="612"/>
      <c r="BF1029" s="612"/>
      <c r="BG1029" s="612"/>
      <c r="BH1029" s="612">
        <f t="shared" si="755"/>
        <v>2016.98</v>
      </c>
      <c r="BI1029" s="612">
        <f t="shared" si="746"/>
        <v>0</v>
      </c>
      <c r="BJ1029" s="201"/>
    </row>
    <row r="1030" spans="1:62" ht="12" customHeight="1">
      <c r="A1030" s="167"/>
      <c r="B1030" s="167"/>
      <c r="C1030" s="167"/>
      <c r="D1030" s="167"/>
      <c r="E1030" s="167"/>
      <c r="F1030" s="167"/>
      <c r="G1030" s="167"/>
      <c r="H1030" s="426" t="s">
        <v>801</v>
      </c>
      <c r="I1030" s="289">
        <v>911</v>
      </c>
      <c r="J1030" s="185">
        <v>3236</v>
      </c>
      <c r="K1030" s="185" t="s">
        <v>802</v>
      </c>
      <c r="L1030" s="129">
        <v>36242</v>
      </c>
      <c r="M1030" s="129">
        <f>36242/7.5345</f>
        <v>4810.1400225628768</v>
      </c>
      <c r="N1030" s="130">
        <v>38422</v>
      </c>
      <c r="O1030" s="270">
        <f t="shared" si="774"/>
        <v>5099.475744906762</v>
      </c>
      <c r="P1030" s="131">
        <v>6000</v>
      </c>
      <c r="Q1030" s="131">
        <v>6000</v>
      </c>
      <c r="R1030" s="153">
        <v>6390</v>
      </c>
      <c r="S1030" s="158"/>
      <c r="T1030" s="158"/>
      <c r="U1030" s="158"/>
      <c r="V1030" s="532">
        <v>6900</v>
      </c>
      <c r="W1030" s="532">
        <v>6900</v>
      </c>
      <c r="X1030" s="560">
        <v>8060</v>
      </c>
      <c r="Y1030" s="561">
        <v>8200.1</v>
      </c>
      <c r="Z1030" s="561"/>
      <c r="AA1030" s="562" t="e">
        <f t="shared" ca="1" si="754"/>
        <v>#NAME?</v>
      </c>
      <c r="AB1030" s="535"/>
      <c r="AC1030" s="529">
        <v>6000</v>
      </c>
      <c r="AD1030" s="529">
        <v>6000</v>
      </c>
      <c r="AE1030" s="529">
        <f>O1030/M1030*100</f>
        <v>106.01512057833453</v>
      </c>
      <c r="AF1030" s="529">
        <f>P1030/O1030*100</f>
        <v>117.65915360991099</v>
      </c>
      <c r="AG1030" s="529">
        <f>Q1030/P1030*100</f>
        <v>100</v>
      </c>
      <c r="AH1030" s="529">
        <f>AC1030/Q1030*100</f>
        <v>100</v>
      </c>
      <c r="AI1030" s="535"/>
      <c r="AJ1030" s="561">
        <v>8200.1</v>
      </c>
      <c r="AK1030" s="507">
        <f t="shared" si="744"/>
        <v>107.98122065727699</v>
      </c>
      <c r="AL1030" s="507">
        <f t="shared" si="745"/>
        <v>116.81159420289855</v>
      </c>
      <c r="AM1030" s="507">
        <f t="shared" si="745"/>
        <v>101.73821339950373</v>
      </c>
      <c r="AN1030" s="556"/>
      <c r="AO1030" s="510"/>
      <c r="AP1030" s="510" t="e">
        <f t="shared" ca="1" si="752"/>
        <v>#NAME?</v>
      </c>
      <c r="AQ1030" s="532">
        <v>6343.05</v>
      </c>
      <c r="AR1030" s="533">
        <f t="shared" si="757"/>
        <v>107.98122065727699</v>
      </c>
      <c r="AS1030" s="533">
        <f t="shared" si="758"/>
        <v>100</v>
      </c>
      <c r="AT1030" s="533">
        <f t="shared" si="759"/>
        <v>107.98122065727699</v>
      </c>
      <c r="AU1030" s="533">
        <f>AQ1030/W1030*100</f>
        <v>91.928260869565221</v>
      </c>
      <c r="AV1030" s="533">
        <f>AQ1030/R1030*100</f>
        <v>99.265258215962447</v>
      </c>
      <c r="AW1030" s="612">
        <f t="shared" si="773"/>
        <v>6343.05</v>
      </c>
      <c r="AX1030" s="612"/>
      <c r="AY1030" s="612"/>
      <c r="AZ1030" s="612"/>
      <c r="BA1030" s="612"/>
      <c r="BB1030" s="612"/>
      <c r="BC1030" s="612"/>
      <c r="BD1030" s="612"/>
      <c r="BE1030" s="612"/>
      <c r="BF1030" s="612"/>
      <c r="BG1030" s="612"/>
      <c r="BH1030" s="612">
        <f t="shared" si="755"/>
        <v>6343.05</v>
      </c>
      <c r="BI1030" s="612">
        <f t="shared" si="746"/>
        <v>0</v>
      </c>
      <c r="BJ1030" s="201"/>
    </row>
    <row r="1031" spans="1:62" ht="12" customHeight="1">
      <c r="A1031" s="167"/>
      <c r="B1031" s="167"/>
      <c r="C1031" s="167"/>
      <c r="D1031" s="167"/>
      <c r="E1031" s="167"/>
      <c r="F1031" s="167"/>
      <c r="G1031" s="167"/>
      <c r="H1031" s="426"/>
      <c r="I1031" s="289"/>
      <c r="J1031" s="185">
        <v>3237</v>
      </c>
      <c r="K1031" s="185" t="s">
        <v>249</v>
      </c>
      <c r="L1031" s="305">
        <v>650</v>
      </c>
      <c r="M1031" s="305">
        <f>650/7.5345</f>
        <v>86.269825469506927</v>
      </c>
      <c r="N1031" s="306">
        <v>1125</v>
      </c>
      <c r="O1031" s="270">
        <f t="shared" si="774"/>
        <v>149.31315946645429</v>
      </c>
      <c r="P1031" s="307"/>
      <c r="Q1031" s="307"/>
      <c r="R1031" s="312">
        <v>362</v>
      </c>
      <c r="S1031" s="311"/>
      <c r="T1031" s="311"/>
      <c r="U1031" s="311"/>
      <c r="V1031" s="532"/>
      <c r="W1031" s="532"/>
      <c r="X1031" s="584"/>
      <c r="Y1031" s="585"/>
      <c r="Z1031" s="585"/>
      <c r="AA1031" s="562" t="e">
        <f t="shared" ca="1" si="754"/>
        <v>#NAME?</v>
      </c>
      <c r="AB1031" s="586"/>
      <c r="AC1031" s="587"/>
      <c r="AD1031" s="587"/>
      <c r="AE1031" s="529">
        <f>O1031/M1031*100</f>
        <v>173.07692307692309</v>
      </c>
      <c r="AF1031" s="529"/>
      <c r="AG1031" s="529"/>
      <c r="AH1031" s="529"/>
      <c r="AI1031" s="586"/>
      <c r="AJ1031" s="585"/>
      <c r="AK1031" s="507">
        <f t="shared" si="744"/>
        <v>0</v>
      </c>
      <c r="AL1031" s="507"/>
      <c r="AM1031" s="507"/>
      <c r="AN1031" s="588"/>
      <c r="AO1031" s="510"/>
      <c r="AP1031" s="510" t="e">
        <f t="shared" ca="1" si="752"/>
        <v>#NAME?</v>
      </c>
      <c r="AQ1031" s="532">
        <v>585.82000000000005</v>
      </c>
      <c r="AR1031" s="533">
        <f t="shared" si="757"/>
        <v>0</v>
      </c>
      <c r="AS1031" s="533"/>
      <c r="AT1031" s="533">
        <f t="shared" si="759"/>
        <v>0</v>
      </c>
      <c r="AU1031" s="533"/>
      <c r="AV1031" s="533">
        <f>AQ1031/R1031*100</f>
        <v>161.82872928176798</v>
      </c>
      <c r="AW1031" s="612">
        <f t="shared" si="773"/>
        <v>585.82000000000005</v>
      </c>
      <c r="AX1031" s="612"/>
      <c r="AY1031" s="612"/>
      <c r="AZ1031" s="612"/>
      <c r="BA1031" s="612"/>
      <c r="BB1031" s="612"/>
      <c r="BC1031" s="612"/>
      <c r="BD1031" s="612"/>
      <c r="BE1031" s="612"/>
      <c r="BF1031" s="612"/>
      <c r="BG1031" s="612"/>
      <c r="BH1031" s="612">
        <f t="shared" si="755"/>
        <v>585.82000000000005</v>
      </c>
      <c r="BI1031" s="612">
        <f t="shared" si="746"/>
        <v>0</v>
      </c>
      <c r="BJ1031" s="201"/>
    </row>
    <row r="1032" spans="1:62" ht="12" customHeight="1">
      <c r="A1032" s="167"/>
      <c r="B1032" s="167"/>
      <c r="C1032" s="167"/>
      <c r="D1032" s="167"/>
      <c r="E1032" s="167"/>
      <c r="F1032" s="167"/>
      <c r="G1032" s="167"/>
      <c r="H1032" s="426"/>
      <c r="I1032" s="289">
        <v>911</v>
      </c>
      <c r="J1032" s="185">
        <v>3238</v>
      </c>
      <c r="K1032" s="185" t="s">
        <v>250</v>
      </c>
      <c r="L1032" s="305">
        <v>17499</v>
      </c>
      <c r="M1032" s="305">
        <f>17499/7.5345</f>
        <v>2322.5164244475413</v>
      </c>
      <c r="N1032" s="306">
        <v>11313</v>
      </c>
      <c r="O1032" s="270">
        <f t="shared" si="774"/>
        <v>1501.4931315946644</v>
      </c>
      <c r="P1032" s="307">
        <v>2100</v>
      </c>
      <c r="Q1032" s="384">
        <v>3400</v>
      </c>
      <c r="R1032" s="312">
        <v>3360</v>
      </c>
      <c r="S1032" s="311"/>
      <c r="T1032" s="311"/>
      <c r="U1032" s="311"/>
      <c r="V1032" s="532">
        <v>4529.92</v>
      </c>
      <c r="W1032" s="532">
        <v>4529.92</v>
      </c>
      <c r="X1032" s="584">
        <v>4530</v>
      </c>
      <c r="Y1032" s="585">
        <v>5900</v>
      </c>
      <c r="Z1032" s="585"/>
      <c r="AA1032" s="562" t="e">
        <f t="shared" ca="1" si="754"/>
        <v>#NAME?</v>
      </c>
      <c r="AB1032" s="586"/>
      <c r="AC1032" s="587">
        <v>2200</v>
      </c>
      <c r="AD1032" s="587">
        <v>2200</v>
      </c>
      <c r="AE1032" s="529">
        <f>O1032/M1032*100</f>
        <v>64.64940853763072</v>
      </c>
      <c r="AF1032" s="529">
        <f>P1032/O1032*100</f>
        <v>139.86077963404932</v>
      </c>
      <c r="AG1032" s="529">
        <f>Q1032/P1032*100</f>
        <v>161.9047619047619</v>
      </c>
      <c r="AH1032" s="529">
        <f>AC1032/Q1032*100</f>
        <v>64.705882352941174</v>
      </c>
      <c r="AI1032" s="586"/>
      <c r="AJ1032" s="585">
        <v>5900</v>
      </c>
      <c r="AK1032" s="507">
        <f t="shared" si="744"/>
        <v>134.81904761904761</v>
      </c>
      <c r="AL1032" s="507">
        <f t="shared" si="745"/>
        <v>100.00176603560327</v>
      </c>
      <c r="AM1032" s="507">
        <f t="shared" si="745"/>
        <v>130.24282560706402</v>
      </c>
      <c r="AN1032" s="588"/>
      <c r="AO1032" s="510"/>
      <c r="AP1032" s="510" t="e">
        <f t="shared" ca="1" si="752"/>
        <v>#NAME?</v>
      </c>
      <c r="AQ1032" s="532">
        <v>3922.9</v>
      </c>
      <c r="AR1032" s="533">
        <f t="shared" si="757"/>
        <v>134.81904761904761</v>
      </c>
      <c r="AS1032" s="533">
        <f t="shared" si="758"/>
        <v>100</v>
      </c>
      <c r="AT1032" s="533">
        <f t="shared" si="759"/>
        <v>134.81904761904761</v>
      </c>
      <c r="AU1032" s="533">
        <f>AQ1032/W1032*100</f>
        <v>86.599763351229171</v>
      </c>
      <c r="AV1032" s="533">
        <f>AQ1032/R1032*100</f>
        <v>116.7529761904762</v>
      </c>
      <c r="AW1032" s="612">
        <f t="shared" si="773"/>
        <v>3922.9</v>
      </c>
      <c r="AX1032" s="612"/>
      <c r="AY1032" s="612"/>
      <c r="AZ1032" s="612"/>
      <c r="BA1032" s="612"/>
      <c r="BB1032" s="612"/>
      <c r="BC1032" s="612"/>
      <c r="BD1032" s="612"/>
      <c r="BE1032" s="612"/>
      <c r="BF1032" s="612"/>
      <c r="BG1032" s="612"/>
      <c r="BH1032" s="612">
        <f t="shared" si="755"/>
        <v>3922.9</v>
      </c>
      <c r="BI1032" s="612">
        <f t="shared" si="746"/>
        <v>0</v>
      </c>
      <c r="BJ1032" s="201"/>
    </row>
    <row r="1033" spans="1:62" ht="12" customHeight="1">
      <c r="A1033" s="167"/>
      <c r="B1033" s="167"/>
      <c r="C1033" s="167"/>
      <c r="D1033" s="167"/>
      <c r="E1033" s="167"/>
      <c r="F1033" s="167"/>
      <c r="G1033" s="167"/>
      <c r="H1033" s="426"/>
      <c r="I1033" s="289">
        <v>911</v>
      </c>
      <c r="J1033" s="185">
        <v>3239</v>
      </c>
      <c r="K1033" s="185" t="s">
        <v>251</v>
      </c>
      <c r="L1033" s="305">
        <v>11459</v>
      </c>
      <c r="M1033" s="305">
        <f>11459/7.5345</f>
        <v>1520.8706616231998</v>
      </c>
      <c r="N1033" s="306">
        <v>9254</v>
      </c>
      <c r="O1033" s="270">
        <f t="shared" si="774"/>
        <v>1228.2168690689493</v>
      </c>
      <c r="P1033" s="307">
        <v>2000</v>
      </c>
      <c r="Q1033" s="307">
        <v>2000</v>
      </c>
      <c r="R1033" s="312">
        <v>3238</v>
      </c>
      <c r="S1033" s="311"/>
      <c r="T1033" s="311"/>
      <c r="U1033" s="311"/>
      <c r="V1033" s="532">
        <v>2540</v>
      </c>
      <c r="W1033" s="532">
        <v>2540</v>
      </c>
      <c r="X1033" s="584">
        <v>3500</v>
      </c>
      <c r="Y1033" s="585">
        <v>3900</v>
      </c>
      <c r="Z1033" s="585"/>
      <c r="AA1033" s="562" t="e">
        <f t="shared" ca="1" si="754"/>
        <v>#NAME?</v>
      </c>
      <c r="AB1033" s="586"/>
      <c r="AC1033" s="587">
        <v>2300</v>
      </c>
      <c r="AD1033" s="587">
        <v>2300</v>
      </c>
      <c r="AE1033" s="529">
        <f>O1033/M1033*100</f>
        <v>80.757483200977404</v>
      </c>
      <c r="AF1033" s="529">
        <f>P1033/O1033*100</f>
        <v>162.83769180894748</v>
      </c>
      <c r="AG1033" s="529">
        <f>Q1033/P1033*100</f>
        <v>100</v>
      </c>
      <c r="AH1033" s="529">
        <f>AC1033/Q1033*100</f>
        <v>114.99999999999999</v>
      </c>
      <c r="AI1033" s="586"/>
      <c r="AJ1033" s="585">
        <v>3900</v>
      </c>
      <c r="AK1033" s="507">
        <f t="shared" si="744"/>
        <v>78.44348363187153</v>
      </c>
      <c r="AL1033" s="507">
        <f t="shared" si="745"/>
        <v>137.79527559055117</v>
      </c>
      <c r="AM1033" s="507">
        <f t="shared" si="745"/>
        <v>111.42857142857143</v>
      </c>
      <c r="AN1033" s="588"/>
      <c r="AO1033" s="510"/>
      <c r="AP1033" s="510" t="e">
        <f t="shared" ca="1" si="752"/>
        <v>#NAME?</v>
      </c>
      <c r="AQ1033" s="532">
        <v>13691.09</v>
      </c>
      <c r="AR1033" s="533">
        <f t="shared" si="757"/>
        <v>78.44348363187153</v>
      </c>
      <c r="AS1033" s="533">
        <f t="shared" si="758"/>
        <v>100</v>
      </c>
      <c r="AT1033" s="533">
        <f t="shared" si="759"/>
        <v>78.44348363187153</v>
      </c>
      <c r="AU1033" s="533">
        <f>AQ1033/W1033*100</f>
        <v>539.01929133858266</v>
      </c>
      <c r="AV1033" s="533">
        <f>AQ1033/R1033*100</f>
        <v>422.82550957381096</v>
      </c>
      <c r="AW1033" s="612">
        <f t="shared" si="773"/>
        <v>13691.09</v>
      </c>
      <c r="AX1033" s="612"/>
      <c r="AY1033" s="612"/>
      <c r="AZ1033" s="612"/>
      <c r="BA1033" s="612"/>
      <c r="BB1033" s="612"/>
      <c r="BC1033" s="612"/>
      <c r="BD1033" s="612"/>
      <c r="BE1033" s="612"/>
      <c r="BF1033" s="612"/>
      <c r="BG1033" s="612"/>
      <c r="BH1033" s="612">
        <f t="shared" si="755"/>
        <v>13691.09</v>
      </c>
      <c r="BI1033" s="612">
        <f t="shared" si="746"/>
        <v>2213.86</v>
      </c>
      <c r="BJ1033" s="201"/>
    </row>
    <row r="1034" spans="1:62" ht="12" customHeight="1">
      <c r="A1034" s="167"/>
      <c r="B1034" s="167"/>
      <c r="C1034" s="167"/>
      <c r="D1034" s="167"/>
      <c r="E1034" s="167"/>
      <c r="F1034" s="167"/>
      <c r="G1034" s="167"/>
      <c r="H1034" s="426"/>
      <c r="I1034" s="289"/>
      <c r="J1034" s="19"/>
      <c r="K1034" s="185"/>
      <c r="L1034" s="305"/>
      <c r="M1034" s="305"/>
      <c r="N1034" s="306"/>
      <c r="O1034" s="306"/>
      <c r="P1034" s="307"/>
      <c r="Q1034" s="307"/>
      <c r="R1034" s="312"/>
      <c r="S1034" s="311"/>
      <c r="T1034" s="311"/>
      <c r="U1034" s="311"/>
      <c r="V1034" s="532"/>
      <c r="W1034" s="532"/>
      <c r="X1034" s="584"/>
      <c r="Y1034" s="585"/>
      <c r="Z1034" s="585"/>
      <c r="AA1034" s="562" t="e">
        <f t="shared" ca="1" si="754"/>
        <v>#NAME?</v>
      </c>
      <c r="AB1034" s="586"/>
      <c r="AC1034" s="587"/>
      <c r="AD1034" s="587"/>
      <c r="AE1034" s="529"/>
      <c r="AF1034" s="529"/>
      <c r="AG1034" s="529"/>
      <c r="AH1034" s="529"/>
      <c r="AI1034" s="586"/>
      <c r="AJ1034" s="585"/>
      <c r="AK1034" s="507"/>
      <c r="AL1034" s="507"/>
      <c r="AM1034" s="507"/>
      <c r="AN1034" s="588"/>
      <c r="AO1034" s="510"/>
      <c r="AP1034" s="510" t="e">
        <f t="shared" ca="1" si="752"/>
        <v>#NAME?</v>
      </c>
      <c r="AQ1034" s="532"/>
      <c r="AR1034" s="533"/>
      <c r="AS1034" s="533"/>
      <c r="AT1034" s="533"/>
      <c r="AU1034" s="533"/>
      <c r="AV1034" s="533"/>
      <c r="AW1034" s="612"/>
      <c r="AX1034" s="612"/>
      <c r="AY1034" s="612"/>
      <c r="AZ1034" s="612"/>
      <c r="BA1034" s="612"/>
      <c r="BB1034" s="612"/>
      <c r="BC1034" s="612"/>
      <c r="BD1034" s="612"/>
      <c r="BE1034" s="612"/>
      <c r="BF1034" s="612"/>
      <c r="BG1034" s="612"/>
      <c r="BH1034" s="612">
        <f t="shared" si="755"/>
        <v>0</v>
      </c>
      <c r="BI1034" s="612">
        <f t="shared" si="746"/>
        <v>2030.07</v>
      </c>
      <c r="BJ1034" s="201"/>
    </row>
    <row r="1035" spans="1:62" ht="12" customHeight="1">
      <c r="A1035" s="357"/>
      <c r="B1035" s="357"/>
      <c r="C1035" s="357"/>
      <c r="D1035" s="357"/>
      <c r="E1035" s="357"/>
      <c r="F1035" s="357"/>
      <c r="G1035" s="357"/>
      <c r="H1035" s="427"/>
      <c r="I1035" s="348"/>
      <c r="J1035" s="229">
        <v>324</v>
      </c>
      <c r="K1035" s="229" t="s">
        <v>350</v>
      </c>
      <c r="L1035" s="250">
        <f t="shared" ref="L1035:Z1035" si="775">L1036</f>
        <v>0</v>
      </c>
      <c r="M1035" s="250">
        <f t="shared" si="775"/>
        <v>0</v>
      </c>
      <c r="N1035" s="251">
        <f t="shared" si="775"/>
        <v>0</v>
      </c>
      <c r="O1035" s="251">
        <f t="shared" si="775"/>
        <v>0</v>
      </c>
      <c r="P1035" s="252">
        <f t="shared" si="775"/>
        <v>0</v>
      </c>
      <c r="Q1035" s="252">
        <f t="shared" si="775"/>
        <v>0</v>
      </c>
      <c r="R1035" s="272">
        <f t="shared" si="775"/>
        <v>0</v>
      </c>
      <c r="S1035" s="273">
        <f t="shared" si="775"/>
        <v>0</v>
      </c>
      <c r="T1035" s="273"/>
      <c r="U1035" s="273"/>
      <c r="V1035" s="532">
        <f>V1036</f>
        <v>0</v>
      </c>
      <c r="W1035" s="532">
        <f t="shared" si="775"/>
        <v>0</v>
      </c>
      <c r="X1035" s="564">
        <f t="shared" si="775"/>
        <v>0</v>
      </c>
      <c r="Y1035" s="565">
        <f t="shared" si="775"/>
        <v>0</v>
      </c>
      <c r="Z1035" s="565">
        <f t="shared" si="775"/>
        <v>0</v>
      </c>
      <c r="AA1035" s="562" t="e">
        <f t="shared" ca="1" si="754"/>
        <v>#NAME?</v>
      </c>
      <c r="AB1035" s="565"/>
      <c r="AC1035" s="566">
        <f>AC1036</f>
        <v>0</v>
      </c>
      <c r="AD1035" s="566">
        <f>AD1036</f>
        <v>0</v>
      </c>
      <c r="AE1035" s="529"/>
      <c r="AF1035" s="529"/>
      <c r="AG1035" s="529"/>
      <c r="AH1035" s="529"/>
      <c r="AI1035" s="565"/>
      <c r="AJ1035" s="565">
        <v>0</v>
      </c>
      <c r="AK1035" s="507"/>
      <c r="AL1035" s="507"/>
      <c r="AM1035" s="507"/>
      <c r="AN1035" s="567"/>
      <c r="AO1035" s="510"/>
      <c r="AP1035" s="510" t="e">
        <f t="shared" ca="1" si="752"/>
        <v>#NAME?</v>
      </c>
      <c r="AQ1035" s="532">
        <f>AQ1036</f>
        <v>0</v>
      </c>
      <c r="AR1035" s="533"/>
      <c r="AS1035" s="533"/>
      <c r="AT1035" s="533"/>
      <c r="AU1035" s="533"/>
      <c r="AV1035" s="533"/>
      <c r="AW1035" s="612"/>
      <c r="AX1035" s="612"/>
      <c r="AY1035" s="612"/>
      <c r="AZ1035" s="612"/>
      <c r="BA1035" s="612"/>
      <c r="BB1035" s="612"/>
      <c r="BC1035" s="612"/>
      <c r="BD1035" s="612"/>
      <c r="BE1035" s="612"/>
      <c r="BF1035" s="612"/>
      <c r="BG1035" s="612"/>
      <c r="BH1035" s="612">
        <f t="shared" si="755"/>
        <v>0</v>
      </c>
      <c r="BI1035" s="612">
        <f t="shared" si="746"/>
        <v>0</v>
      </c>
      <c r="BJ1035" s="201"/>
    </row>
    <row r="1036" spans="1:62" ht="12" customHeight="1">
      <c r="A1036" s="167"/>
      <c r="B1036" s="167"/>
      <c r="C1036" s="167"/>
      <c r="D1036" s="167"/>
      <c r="E1036" s="167"/>
      <c r="F1036" s="167"/>
      <c r="G1036" s="167"/>
      <c r="H1036" s="426"/>
      <c r="I1036" s="289"/>
      <c r="J1036" s="185">
        <v>3241</v>
      </c>
      <c r="K1036" s="185" t="s">
        <v>803</v>
      </c>
      <c r="L1036" s="305"/>
      <c r="M1036" s="305"/>
      <c r="N1036" s="306"/>
      <c r="O1036" s="306"/>
      <c r="P1036" s="307"/>
      <c r="Q1036" s="307"/>
      <c r="R1036" s="312"/>
      <c r="S1036" s="311"/>
      <c r="T1036" s="311"/>
      <c r="U1036" s="311"/>
      <c r="V1036" s="532"/>
      <c r="W1036" s="532"/>
      <c r="X1036" s="584"/>
      <c r="Y1036" s="585"/>
      <c r="Z1036" s="585"/>
      <c r="AA1036" s="562" t="e">
        <f t="shared" ca="1" si="754"/>
        <v>#NAME?</v>
      </c>
      <c r="AB1036" s="586"/>
      <c r="AC1036" s="587"/>
      <c r="AD1036" s="587"/>
      <c r="AE1036" s="529"/>
      <c r="AF1036" s="529"/>
      <c r="AG1036" s="529"/>
      <c r="AH1036" s="529"/>
      <c r="AI1036" s="586"/>
      <c r="AJ1036" s="585"/>
      <c r="AK1036" s="507"/>
      <c r="AL1036" s="507"/>
      <c r="AM1036" s="507"/>
      <c r="AN1036" s="588"/>
      <c r="AO1036" s="510"/>
      <c r="AP1036" s="510" t="e">
        <f t="shared" ca="1" si="752"/>
        <v>#NAME?</v>
      </c>
      <c r="AQ1036" s="532"/>
      <c r="AR1036" s="533"/>
      <c r="AS1036" s="533"/>
      <c r="AT1036" s="533"/>
      <c r="AU1036" s="533"/>
      <c r="AV1036" s="533"/>
      <c r="AW1036" s="612"/>
      <c r="AX1036" s="612"/>
      <c r="AY1036" s="612"/>
      <c r="AZ1036" s="612"/>
      <c r="BA1036" s="612"/>
      <c r="BB1036" s="612"/>
      <c r="BC1036" s="612"/>
      <c r="BD1036" s="612"/>
      <c r="BE1036" s="612"/>
      <c r="BF1036" s="612"/>
      <c r="BG1036" s="612"/>
      <c r="BH1036" s="612">
        <f t="shared" si="755"/>
        <v>0</v>
      </c>
      <c r="BI1036" s="612">
        <f t="shared" si="746"/>
        <v>0</v>
      </c>
      <c r="BJ1036" s="201"/>
    </row>
    <row r="1037" spans="1:62" ht="12" customHeight="1">
      <c r="A1037" s="167"/>
      <c r="B1037" s="167"/>
      <c r="C1037" s="167"/>
      <c r="D1037" s="167"/>
      <c r="E1037" s="167"/>
      <c r="F1037" s="167"/>
      <c r="G1037" s="167"/>
      <c r="H1037" s="426"/>
      <c r="I1037" s="289"/>
      <c r="J1037" s="19"/>
      <c r="K1037" s="185"/>
      <c r="L1037" s="305"/>
      <c r="M1037" s="305"/>
      <c r="N1037" s="306"/>
      <c r="O1037" s="306"/>
      <c r="P1037" s="307"/>
      <c r="Q1037" s="307"/>
      <c r="R1037" s="312"/>
      <c r="S1037" s="311"/>
      <c r="T1037" s="311"/>
      <c r="U1037" s="311"/>
      <c r="V1037" s="532"/>
      <c r="W1037" s="532"/>
      <c r="X1037" s="584"/>
      <c r="Y1037" s="585"/>
      <c r="Z1037" s="585"/>
      <c r="AA1037" s="562" t="e">
        <f t="shared" ca="1" si="754"/>
        <v>#NAME?</v>
      </c>
      <c r="AB1037" s="586"/>
      <c r="AC1037" s="587"/>
      <c r="AD1037" s="587"/>
      <c r="AE1037" s="529"/>
      <c r="AF1037" s="529"/>
      <c r="AG1037" s="529"/>
      <c r="AH1037" s="529"/>
      <c r="AI1037" s="586"/>
      <c r="AJ1037" s="585"/>
      <c r="AK1037" s="507"/>
      <c r="AL1037" s="507"/>
      <c r="AM1037" s="507"/>
      <c r="AN1037" s="588"/>
      <c r="AO1037" s="510"/>
      <c r="AP1037" s="510" t="e">
        <f t="shared" ca="1" si="752"/>
        <v>#NAME?</v>
      </c>
      <c r="AQ1037" s="532"/>
      <c r="AR1037" s="533"/>
      <c r="AS1037" s="533"/>
      <c r="AT1037" s="533"/>
      <c r="AU1037" s="533"/>
      <c r="AV1037" s="533"/>
      <c r="AW1037" s="612"/>
      <c r="AX1037" s="612"/>
      <c r="AY1037" s="612"/>
      <c r="AZ1037" s="612"/>
      <c r="BA1037" s="612"/>
      <c r="BB1037" s="612"/>
      <c r="BC1037" s="612"/>
      <c r="BD1037" s="612"/>
      <c r="BE1037" s="612"/>
      <c r="BF1037" s="612"/>
      <c r="BG1037" s="612"/>
      <c r="BH1037" s="612">
        <f t="shared" si="755"/>
        <v>0</v>
      </c>
      <c r="BI1037" s="612">
        <f t="shared" si="746"/>
        <v>0</v>
      </c>
      <c r="BJ1037" s="201"/>
    </row>
    <row r="1038" spans="1:62" ht="12" customHeight="1">
      <c r="A1038" s="41"/>
      <c r="B1038" s="41"/>
      <c r="C1038" s="41"/>
      <c r="D1038" s="41"/>
      <c r="E1038" s="41"/>
      <c r="F1038" s="41"/>
      <c r="G1038" s="41"/>
      <c r="H1038" s="235"/>
      <c r="I1038" s="15"/>
      <c r="J1038" s="3"/>
      <c r="K1038" s="83"/>
      <c r="L1038" s="84">
        <v>1</v>
      </c>
      <c r="M1038" s="84">
        <v>2</v>
      </c>
      <c r="N1038" s="85">
        <v>3</v>
      </c>
      <c r="O1038" s="85">
        <v>4</v>
      </c>
      <c r="P1038" s="86">
        <v>5</v>
      </c>
      <c r="Q1038" s="86">
        <v>6</v>
      </c>
      <c r="R1038" s="154"/>
      <c r="S1038" s="155"/>
      <c r="T1038" s="155"/>
      <c r="U1038" s="155"/>
      <c r="V1038" s="532"/>
      <c r="W1038" s="532"/>
      <c r="X1038" s="568"/>
      <c r="Y1038" s="569"/>
      <c r="Z1038" s="569"/>
      <c r="AA1038" s="562" t="e">
        <f t="shared" ca="1" si="754"/>
        <v>#NAME?</v>
      </c>
      <c r="AB1038" s="537"/>
      <c r="AC1038" s="538">
        <v>7</v>
      </c>
      <c r="AD1038" s="538">
        <v>8</v>
      </c>
      <c r="AE1038" s="538">
        <v>9</v>
      </c>
      <c r="AF1038" s="538">
        <v>10</v>
      </c>
      <c r="AG1038" s="538">
        <v>11</v>
      </c>
      <c r="AH1038" s="538">
        <v>12</v>
      </c>
      <c r="AI1038" s="537"/>
      <c r="AJ1038" s="569"/>
      <c r="AK1038" s="507"/>
      <c r="AL1038" s="507"/>
      <c r="AM1038" s="507"/>
      <c r="AN1038" s="557"/>
      <c r="AO1038" s="510"/>
      <c r="AP1038" s="510" t="e">
        <f t="shared" ca="1" si="752"/>
        <v>#NAME?</v>
      </c>
      <c r="AQ1038" s="532"/>
      <c r="AR1038" s="533"/>
      <c r="AS1038" s="533"/>
      <c r="AT1038" s="533"/>
      <c r="AU1038" s="533"/>
      <c r="AV1038" s="533"/>
      <c r="AW1038" s="612"/>
      <c r="AX1038" s="612"/>
      <c r="AY1038" s="612"/>
      <c r="AZ1038" s="612"/>
      <c r="BA1038" s="612"/>
      <c r="BB1038" s="612"/>
      <c r="BC1038" s="612"/>
      <c r="BD1038" s="612"/>
      <c r="BE1038" s="612"/>
      <c r="BF1038" s="612"/>
      <c r="BG1038" s="612"/>
      <c r="BH1038" s="612">
        <f t="shared" si="755"/>
        <v>0</v>
      </c>
      <c r="BI1038" s="612">
        <f t="shared" si="746"/>
        <v>0</v>
      </c>
      <c r="BJ1038" s="201"/>
    </row>
    <row r="1039" spans="1:62" ht="12" customHeight="1">
      <c r="A1039" s="61"/>
      <c r="B1039" s="61"/>
      <c r="C1039" s="61"/>
      <c r="D1039" s="61"/>
      <c r="E1039" s="61"/>
      <c r="F1039" s="61"/>
      <c r="G1039" s="61"/>
      <c r="H1039" s="412"/>
      <c r="I1039" s="425"/>
      <c r="J1039" s="415">
        <v>329</v>
      </c>
      <c r="K1039" s="237" t="s">
        <v>804</v>
      </c>
      <c r="L1039" s="238">
        <f t="shared" ref="L1039:S1039" si="776">L1040+L1041+L1042+L1043+L1044</f>
        <v>10997</v>
      </c>
      <c r="M1039" s="238">
        <f t="shared" si="776"/>
        <v>1459.5527241356426</v>
      </c>
      <c r="N1039" s="239">
        <f t="shared" si="776"/>
        <v>14426</v>
      </c>
      <c r="O1039" s="239">
        <f t="shared" si="776"/>
        <v>1914.6592341893952</v>
      </c>
      <c r="P1039" s="240">
        <f t="shared" si="776"/>
        <v>4500</v>
      </c>
      <c r="Q1039" s="240">
        <f t="shared" si="776"/>
        <v>6000</v>
      </c>
      <c r="R1039" s="95">
        <f t="shared" si="776"/>
        <v>4256</v>
      </c>
      <c r="S1039" s="97">
        <f t="shared" si="776"/>
        <v>0</v>
      </c>
      <c r="T1039" s="97"/>
      <c r="U1039" s="97"/>
      <c r="V1039" s="532">
        <f>V1040+V1041+V1042+V1043+V1044</f>
        <v>8770.25</v>
      </c>
      <c r="W1039" s="532">
        <f>W1040+W1041+W1042+W1043+W1044</f>
        <v>8770.25</v>
      </c>
      <c r="X1039" s="513">
        <f>X1040+X1041+X1042+X1043+X1044</f>
        <v>9450</v>
      </c>
      <c r="Y1039" s="514">
        <f>Y1040+Y1041+Y1042+Y1043+Y1044</f>
        <v>9800.2999999999993</v>
      </c>
      <c r="Z1039" s="514">
        <f>Z1040+Z1041+Z1042+Z1043+Z1044</f>
        <v>0</v>
      </c>
      <c r="AA1039" s="562" t="e">
        <f t="shared" ca="1" si="754"/>
        <v>#NAME?</v>
      </c>
      <c r="AB1039" s="514"/>
      <c r="AC1039" s="515">
        <f>AC1040+AC1041+AC1042+AC1043+AC1044</f>
        <v>4700</v>
      </c>
      <c r="AD1039" s="515">
        <f>AD1040+AD1041+AD1042+AD1043+AD1044</f>
        <v>4700</v>
      </c>
      <c r="AE1039" s="529">
        <f>O1039/M1039*100</f>
        <v>131.18123124488497</v>
      </c>
      <c r="AF1039" s="529">
        <f t="shared" ref="AF1039:AG1041" si="777">P1039/O1039*100</f>
        <v>235.02876750311938</v>
      </c>
      <c r="AG1039" s="529">
        <f t="shared" si="777"/>
        <v>133.33333333333331</v>
      </c>
      <c r="AH1039" s="529">
        <f>AC1039/Q1039*100</f>
        <v>78.333333333333329</v>
      </c>
      <c r="AI1039" s="514"/>
      <c r="AJ1039" s="514">
        <v>9800.2999999999993</v>
      </c>
      <c r="AK1039" s="507">
        <f t="shared" si="744"/>
        <v>206.06790413533832</v>
      </c>
      <c r="AL1039" s="507">
        <f t="shared" si="745"/>
        <v>107.75063424645819</v>
      </c>
      <c r="AM1039" s="507">
        <f t="shared" si="745"/>
        <v>103.70687830687831</v>
      </c>
      <c r="AN1039" s="516"/>
      <c r="AO1039" s="510"/>
      <c r="AP1039" s="510" t="e">
        <f t="shared" ca="1" si="752"/>
        <v>#NAME?</v>
      </c>
      <c r="AQ1039" s="532">
        <f>AQ1040+AQ1041+AQ1042+AQ1043+AQ1044</f>
        <v>4243.93</v>
      </c>
      <c r="AR1039" s="533">
        <f t="shared" si="757"/>
        <v>206.06790413533832</v>
      </c>
      <c r="AS1039" s="533">
        <f t="shared" si="758"/>
        <v>100</v>
      </c>
      <c r="AT1039" s="533">
        <f t="shared" si="759"/>
        <v>206.06790413533832</v>
      </c>
      <c r="AU1039" s="533">
        <f>AQ1039/W1039*100</f>
        <v>48.390068698155702</v>
      </c>
      <c r="AV1039" s="533">
        <f>AQ1039/R1039*100</f>
        <v>99.716400375939855</v>
      </c>
      <c r="AW1039" s="612"/>
      <c r="AX1039" s="612"/>
      <c r="AY1039" s="612"/>
      <c r="AZ1039" s="612"/>
      <c r="BA1039" s="612"/>
      <c r="BB1039" s="612"/>
      <c r="BC1039" s="612"/>
      <c r="BD1039" s="612"/>
      <c r="BE1039" s="612"/>
      <c r="BF1039" s="612"/>
      <c r="BG1039" s="612"/>
      <c r="BH1039" s="612">
        <f t="shared" si="755"/>
        <v>0</v>
      </c>
      <c r="BI1039" s="612">
        <f t="shared" si="746"/>
        <v>0</v>
      </c>
      <c r="BJ1039" s="201"/>
    </row>
    <row r="1040" spans="1:62" ht="12" customHeight="1">
      <c r="A1040" s="52"/>
      <c r="B1040" s="52"/>
      <c r="C1040" s="52"/>
      <c r="D1040" s="52"/>
      <c r="E1040" s="52"/>
      <c r="F1040" s="52"/>
      <c r="G1040" s="52"/>
      <c r="H1040" s="236"/>
      <c r="I1040" s="423">
        <v>911</v>
      </c>
      <c r="J1040" s="267">
        <v>3292</v>
      </c>
      <c r="K1040" s="268" t="s">
        <v>255</v>
      </c>
      <c r="L1040" s="269">
        <v>9039</v>
      </c>
      <c r="M1040" s="269">
        <f>9039/7.5345</f>
        <v>1199.6814652598048</v>
      </c>
      <c r="N1040" s="270">
        <v>11071</v>
      </c>
      <c r="O1040" s="270">
        <f>N1040/7.5345</f>
        <v>1469.3742119583248</v>
      </c>
      <c r="P1040" s="271">
        <v>2700</v>
      </c>
      <c r="Q1040" s="271">
        <v>2700</v>
      </c>
      <c r="R1040" s="275">
        <v>1450</v>
      </c>
      <c r="S1040" s="276"/>
      <c r="T1040" s="276"/>
      <c r="U1040" s="276"/>
      <c r="V1040" s="532">
        <v>3120</v>
      </c>
      <c r="W1040" s="532">
        <v>3120</v>
      </c>
      <c r="X1040" s="576">
        <v>3100</v>
      </c>
      <c r="Y1040" s="577">
        <v>3200</v>
      </c>
      <c r="Z1040" s="577"/>
      <c r="AA1040" s="562" t="e">
        <f t="shared" ca="1" si="754"/>
        <v>#NAME?</v>
      </c>
      <c r="AB1040" s="543"/>
      <c r="AC1040" s="544">
        <v>2800</v>
      </c>
      <c r="AD1040" s="544">
        <v>2800</v>
      </c>
      <c r="AE1040" s="529">
        <f>O1040/M1040*100</f>
        <v>122.48036287199911</v>
      </c>
      <c r="AF1040" s="529">
        <f t="shared" si="777"/>
        <v>183.75169361394637</v>
      </c>
      <c r="AG1040" s="529">
        <f t="shared" si="777"/>
        <v>100</v>
      </c>
      <c r="AH1040" s="529">
        <f>AC1040/Q1040*100</f>
        <v>103.7037037037037</v>
      </c>
      <c r="AI1040" s="543"/>
      <c r="AJ1040" s="577">
        <v>3200</v>
      </c>
      <c r="AK1040" s="507">
        <f t="shared" si="744"/>
        <v>215.17241379310343</v>
      </c>
      <c r="AL1040" s="507">
        <f t="shared" si="745"/>
        <v>99.358974358974365</v>
      </c>
      <c r="AM1040" s="507">
        <f t="shared" si="745"/>
        <v>103.2258064516129</v>
      </c>
      <c r="AN1040" s="578"/>
      <c r="AO1040" s="510"/>
      <c r="AP1040" s="510" t="e">
        <f t="shared" ca="1" si="752"/>
        <v>#NAME?</v>
      </c>
      <c r="AQ1040" s="532">
        <v>2213.86</v>
      </c>
      <c r="AR1040" s="533">
        <f t="shared" si="757"/>
        <v>215.17241379310343</v>
      </c>
      <c r="AS1040" s="533">
        <f t="shared" si="758"/>
        <v>100</v>
      </c>
      <c r="AT1040" s="533">
        <f t="shared" si="759"/>
        <v>215.17241379310343</v>
      </c>
      <c r="AU1040" s="533">
        <f>AQ1040/W1040*100</f>
        <v>70.957051282051282</v>
      </c>
      <c r="AV1040" s="533">
        <f>AQ1040/R1040*100</f>
        <v>152.68</v>
      </c>
      <c r="AW1040" s="612">
        <f>AQ1040</f>
        <v>2213.86</v>
      </c>
      <c r="AX1040" s="612"/>
      <c r="AY1040" s="612"/>
      <c r="AZ1040" s="612"/>
      <c r="BA1040" s="612"/>
      <c r="BB1040" s="612"/>
      <c r="BC1040" s="612"/>
      <c r="BD1040" s="612"/>
      <c r="BE1040" s="612"/>
      <c r="BF1040" s="612"/>
      <c r="BG1040" s="612"/>
      <c r="BH1040" s="612">
        <f t="shared" si="755"/>
        <v>2213.86</v>
      </c>
      <c r="BI1040" s="612">
        <f t="shared" si="746"/>
        <v>0</v>
      </c>
      <c r="BJ1040" s="201"/>
    </row>
    <row r="1041" spans="1:62" ht="12" customHeight="1">
      <c r="A1041" s="52"/>
      <c r="B1041" s="52"/>
      <c r="C1041" s="52"/>
      <c r="D1041" s="52"/>
      <c r="E1041" s="52"/>
      <c r="F1041" s="52"/>
      <c r="G1041" s="52"/>
      <c r="H1041" s="2"/>
      <c r="I1041" s="289">
        <v>911</v>
      </c>
      <c r="J1041" s="185">
        <v>3293</v>
      </c>
      <c r="K1041" s="19" t="s">
        <v>256</v>
      </c>
      <c r="L1041" s="129">
        <v>1958</v>
      </c>
      <c r="M1041" s="129">
        <f>1958/7.5345</f>
        <v>259.87125887583778</v>
      </c>
      <c r="N1041" s="130">
        <v>1438</v>
      </c>
      <c r="O1041" s="270">
        <f>N1041/7.5345</f>
        <v>190.85539850023224</v>
      </c>
      <c r="P1041" s="131">
        <v>500</v>
      </c>
      <c r="Q1041" s="156">
        <v>2000</v>
      </c>
      <c r="R1041" s="153">
        <v>2680</v>
      </c>
      <c r="S1041" s="158"/>
      <c r="T1041" s="158"/>
      <c r="U1041" s="158"/>
      <c r="V1041" s="532">
        <v>4200</v>
      </c>
      <c r="W1041" s="532">
        <v>4200</v>
      </c>
      <c r="X1041" s="560">
        <v>4900</v>
      </c>
      <c r="Y1041" s="561">
        <v>4900</v>
      </c>
      <c r="Z1041" s="561"/>
      <c r="AA1041" s="562" t="e">
        <f t="shared" ca="1" si="754"/>
        <v>#NAME?</v>
      </c>
      <c r="AB1041" s="535"/>
      <c r="AC1041" s="529">
        <v>500</v>
      </c>
      <c r="AD1041" s="529">
        <v>500</v>
      </c>
      <c r="AE1041" s="529">
        <f>O1041/M1041*100</f>
        <v>73.442288049029628</v>
      </c>
      <c r="AF1041" s="529">
        <f t="shared" si="777"/>
        <v>261.97844228094579</v>
      </c>
      <c r="AG1041" s="529">
        <f t="shared" si="777"/>
        <v>400</v>
      </c>
      <c r="AH1041" s="529">
        <f>AC1041/Q1041*100</f>
        <v>25</v>
      </c>
      <c r="AI1041" s="535"/>
      <c r="AJ1041" s="561">
        <v>4900</v>
      </c>
      <c r="AK1041" s="507">
        <f t="shared" si="744"/>
        <v>156.71641791044777</v>
      </c>
      <c r="AL1041" s="507">
        <f t="shared" si="745"/>
        <v>116.66666666666667</v>
      </c>
      <c r="AM1041" s="507">
        <f t="shared" si="745"/>
        <v>100</v>
      </c>
      <c r="AN1041" s="556"/>
      <c r="AO1041" s="510"/>
      <c r="AP1041" s="510" t="e">
        <f t="shared" ca="1" si="752"/>
        <v>#NAME?</v>
      </c>
      <c r="AQ1041" s="532">
        <v>2030.07</v>
      </c>
      <c r="AR1041" s="533">
        <f t="shared" si="757"/>
        <v>156.71641791044777</v>
      </c>
      <c r="AS1041" s="533">
        <f t="shared" si="758"/>
        <v>100</v>
      </c>
      <c r="AT1041" s="533">
        <f t="shared" si="759"/>
        <v>156.71641791044777</v>
      </c>
      <c r="AU1041" s="533">
        <f>AQ1041/W1041*100</f>
        <v>48.335000000000001</v>
      </c>
      <c r="AV1041" s="533">
        <f>AQ1041/R1041*100</f>
        <v>75.748880597014917</v>
      </c>
      <c r="AW1041" s="612">
        <f>AQ1041</f>
        <v>2030.07</v>
      </c>
      <c r="AX1041" s="612"/>
      <c r="AY1041" s="612"/>
      <c r="AZ1041" s="612"/>
      <c r="BA1041" s="612"/>
      <c r="BB1041" s="612"/>
      <c r="BC1041" s="612"/>
      <c r="BD1041" s="612"/>
      <c r="BE1041" s="612"/>
      <c r="BF1041" s="612"/>
      <c r="BG1041" s="612"/>
      <c r="BH1041" s="612">
        <f t="shared" si="755"/>
        <v>2030.07</v>
      </c>
      <c r="BI1041" s="612">
        <f t="shared" si="746"/>
        <v>732.34</v>
      </c>
      <c r="BJ1041" s="201"/>
    </row>
    <row r="1042" spans="1:62" ht="12" customHeight="1">
      <c r="A1042" s="52"/>
      <c r="B1042" s="52"/>
      <c r="C1042" s="52"/>
      <c r="D1042" s="52"/>
      <c r="E1042" s="52"/>
      <c r="F1042" s="52"/>
      <c r="G1042" s="52"/>
      <c r="H1042" s="2"/>
      <c r="I1042" s="289">
        <v>911</v>
      </c>
      <c r="J1042" s="185">
        <v>3294</v>
      </c>
      <c r="K1042" s="19" t="s">
        <v>257</v>
      </c>
      <c r="L1042" s="129">
        <v>0</v>
      </c>
      <c r="M1042" s="129">
        <v>0</v>
      </c>
      <c r="N1042" s="130">
        <v>0</v>
      </c>
      <c r="O1042" s="270">
        <f>N1042/7.5345</f>
        <v>0</v>
      </c>
      <c r="P1042" s="131">
        <v>200</v>
      </c>
      <c r="Q1042" s="131">
        <v>200</v>
      </c>
      <c r="R1042" s="153">
        <v>0</v>
      </c>
      <c r="S1042" s="158"/>
      <c r="T1042" s="158"/>
      <c r="U1042" s="158"/>
      <c r="V1042" s="532">
        <v>300</v>
      </c>
      <c r="W1042" s="532">
        <v>300</v>
      </c>
      <c r="X1042" s="560">
        <v>300</v>
      </c>
      <c r="Y1042" s="561">
        <v>300</v>
      </c>
      <c r="Z1042" s="561"/>
      <c r="AA1042" s="562" t="e">
        <f t="shared" ca="1" si="754"/>
        <v>#NAME?</v>
      </c>
      <c r="AB1042" s="535"/>
      <c r="AC1042" s="529">
        <v>200</v>
      </c>
      <c r="AD1042" s="529">
        <v>200</v>
      </c>
      <c r="AE1042" s="529"/>
      <c r="AF1042" s="529"/>
      <c r="AG1042" s="529"/>
      <c r="AH1042" s="529"/>
      <c r="AI1042" s="535"/>
      <c r="AJ1042" s="561">
        <v>300</v>
      </c>
      <c r="AK1042" s="507"/>
      <c r="AL1042" s="507">
        <f t="shared" si="745"/>
        <v>100</v>
      </c>
      <c r="AM1042" s="507">
        <f t="shared" si="745"/>
        <v>100</v>
      </c>
      <c r="AN1042" s="556"/>
      <c r="AO1042" s="510"/>
      <c r="AP1042" s="510" t="e">
        <f t="shared" ca="1" si="752"/>
        <v>#NAME?</v>
      </c>
      <c r="AQ1042" s="532"/>
      <c r="AR1042" s="533"/>
      <c r="AS1042" s="533">
        <f t="shared" si="758"/>
        <v>100</v>
      </c>
      <c r="AT1042" s="533"/>
      <c r="AU1042" s="533">
        <f>AQ1042/W1042*100</f>
        <v>0</v>
      </c>
      <c r="AV1042" s="533"/>
      <c r="AW1042" s="612">
        <f>AQ1042</f>
        <v>0</v>
      </c>
      <c r="AX1042" s="612"/>
      <c r="AY1042" s="612"/>
      <c r="AZ1042" s="612"/>
      <c r="BA1042" s="612"/>
      <c r="BB1042" s="612"/>
      <c r="BC1042" s="612"/>
      <c r="BD1042" s="612"/>
      <c r="BE1042" s="612"/>
      <c r="BF1042" s="612"/>
      <c r="BG1042" s="612"/>
      <c r="BH1042" s="612">
        <f t="shared" si="755"/>
        <v>0</v>
      </c>
      <c r="BI1042" s="612">
        <f t="shared" si="746"/>
        <v>0</v>
      </c>
      <c r="BJ1042" s="201"/>
    </row>
    <row r="1043" spans="1:62" ht="12" customHeight="1">
      <c r="A1043" s="52"/>
      <c r="B1043" s="52"/>
      <c r="C1043" s="52"/>
      <c r="D1043" s="52"/>
      <c r="E1043" s="52"/>
      <c r="F1043" s="52"/>
      <c r="G1043" s="52"/>
      <c r="H1043" s="2"/>
      <c r="I1043" s="289"/>
      <c r="J1043" s="185">
        <v>3295</v>
      </c>
      <c r="K1043" s="19" t="s">
        <v>258</v>
      </c>
      <c r="L1043" s="129"/>
      <c r="M1043" s="129"/>
      <c r="N1043" s="130">
        <v>0</v>
      </c>
      <c r="O1043" s="270">
        <f>N1043/7.5345</f>
        <v>0</v>
      </c>
      <c r="P1043" s="131"/>
      <c r="Q1043" s="131"/>
      <c r="R1043" s="153">
        <v>0</v>
      </c>
      <c r="S1043" s="158"/>
      <c r="T1043" s="158"/>
      <c r="U1043" s="158"/>
      <c r="V1043" s="532"/>
      <c r="W1043" s="532"/>
      <c r="X1043" s="560"/>
      <c r="Y1043" s="561"/>
      <c r="Z1043" s="561"/>
      <c r="AA1043" s="562" t="e">
        <f t="shared" ca="1" si="754"/>
        <v>#NAME?</v>
      </c>
      <c r="AB1043" s="535"/>
      <c r="AC1043" s="529"/>
      <c r="AD1043" s="529"/>
      <c r="AE1043" s="529"/>
      <c r="AF1043" s="529"/>
      <c r="AG1043" s="529"/>
      <c r="AH1043" s="529"/>
      <c r="AI1043" s="535"/>
      <c r="AJ1043" s="561"/>
      <c r="AK1043" s="507"/>
      <c r="AL1043" s="507"/>
      <c r="AM1043" s="507"/>
      <c r="AN1043" s="556"/>
      <c r="AO1043" s="510"/>
      <c r="AP1043" s="510" t="e">
        <f t="shared" ca="1" si="752"/>
        <v>#NAME?</v>
      </c>
      <c r="AQ1043" s="532"/>
      <c r="AR1043" s="533"/>
      <c r="AS1043" s="533"/>
      <c r="AT1043" s="533"/>
      <c r="AU1043" s="533"/>
      <c r="AV1043" s="533"/>
      <c r="AW1043" s="612">
        <f>AQ1043</f>
        <v>0</v>
      </c>
      <c r="AX1043" s="612"/>
      <c r="AY1043" s="612"/>
      <c r="AZ1043" s="612"/>
      <c r="BA1043" s="612"/>
      <c r="BB1043" s="612"/>
      <c r="BC1043" s="612"/>
      <c r="BD1043" s="612"/>
      <c r="BE1043" s="612"/>
      <c r="BF1043" s="612"/>
      <c r="BG1043" s="612"/>
      <c r="BH1043" s="612">
        <f t="shared" si="755"/>
        <v>0</v>
      </c>
      <c r="BI1043" s="612">
        <f t="shared" si="746"/>
        <v>0</v>
      </c>
      <c r="BJ1043" s="201"/>
    </row>
    <row r="1044" spans="1:62" ht="12" customHeight="1">
      <c r="A1044" s="52"/>
      <c r="B1044" s="52"/>
      <c r="C1044" s="52"/>
      <c r="D1044" s="52"/>
      <c r="E1044" s="52"/>
      <c r="F1044" s="52"/>
      <c r="G1044" s="52"/>
      <c r="H1044" s="2"/>
      <c r="I1044" s="289">
        <v>911</v>
      </c>
      <c r="J1044" s="185">
        <v>3299</v>
      </c>
      <c r="K1044" s="19" t="s">
        <v>805</v>
      </c>
      <c r="L1044" s="129">
        <v>0</v>
      </c>
      <c r="M1044" s="129">
        <v>0</v>
      </c>
      <c r="N1044" s="130">
        <v>1917</v>
      </c>
      <c r="O1044" s="270">
        <f>N1044/7.5345</f>
        <v>254.42962373083813</v>
      </c>
      <c r="P1044" s="131">
        <v>1100</v>
      </c>
      <c r="Q1044" s="131">
        <v>1100</v>
      </c>
      <c r="R1044" s="153">
        <v>126</v>
      </c>
      <c r="S1044" s="158"/>
      <c r="T1044" s="158"/>
      <c r="U1044" s="158"/>
      <c r="V1044" s="532">
        <v>1150.25</v>
      </c>
      <c r="W1044" s="532">
        <v>1150.25</v>
      </c>
      <c r="X1044" s="560">
        <v>1150</v>
      </c>
      <c r="Y1044" s="561">
        <v>1400.3</v>
      </c>
      <c r="Z1044" s="561"/>
      <c r="AA1044" s="562" t="e">
        <f t="shared" ca="1" si="754"/>
        <v>#NAME?</v>
      </c>
      <c r="AB1044" s="535"/>
      <c r="AC1044" s="529">
        <v>1200</v>
      </c>
      <c r="AD1044" s="529">
        <v>1200</v>
      </c>
      <c r="AE1044" s="529"/>
      <c r="AF1044" s="529"/>
      <c r="AG1044" s="529"/>
      <c r="AH1044" s="529"/>
      <c r="AI1044" s="535"/>
      <c r="AJ1044" s="561">
        <v>1400.3</v>
      </c>
      <c r="AK1044" s="507">
        <f t="shared" si="744"/>
        <v>912.89682539682553</v>
      </c>
      <c r="AL1044" s="507">
        <f t="shared" si="745"/>
        <v>99.978265594435982</v>
      </c>
      <c r="AM1044" s="507">
        <f t="shared" si="745"/>
        <v>121.76521739130435</v>
      </c>
      <c r="AN1044" s="556"/>
      <c r="AO1044" s="510"/>
      <c r="AP1044" s="510" t="e">
        <f t="shared" ca="1" si="752"/>
        <v>#NAME?</v>
      </c>
      <c r="AQ1044" s="532"/>
      <c r="AR1044" s="533">
        <f t="shared" si="757"/>
        <v>912.89682539682553</v>
      </c>
      <c r="AS1044" s="533">
        <f t="shared" si="758"/>
        <v>100</v>
      </c>
      <c r="AT1044" s="533">
        <f t="shared" si="759"/>
        <v>912.89682539682553</v>
      </c>
      <c r="AU1044" s="533">
        <f>AQ1044/W1044*100</f>
        <v>0</v>
      </c>
      <c r="AV1044" s="533">
        <f>AQ1044/R1044*100</f>
        <v>0</v>
      </c>
      <c r="AW1044" s="612">
        <f>AQ1044</f>
        <v>0</v>
      </c>
      <c r="AX1044" s="612"/>
      <c r="AY1044" s="612"/>
      <c r="AZ1044" s="612"/>
      <c r="BA1044" s="612"/>
      <c r="BB1044" s="612"/>
      <c r="BC1044" s="612"/>
      <c r="BD1044" s="612"/>
      <c r="BE1044" s="612"/>
      <c r="BF1044" s="612"/>
      <c r="BG1044" s="612"/>
      <c r="BH1044" s="612">
        <f t="shared" si="755"/>
        <v>0</v>
      </c>
      <c r="BI1044" s="612">
        <f t="shared" si="746"/>
        <v>0</v>
      </c>
      <c r="BJ1044" s="201"/>
    </row>
    <row r="1045" spans="1:62" ht="12" customHeight="1">
      <c r="A1045" s="52"/>
      <c r="B1045" s="52"/>
      <c r="C1045" s="52"/>
      <c r="D1045" s="52"/>
      <c r="E1045" s="52"/>
      <c r="F1045" s="52"/>
      <c r="G1045" s="52"/>
      <c r="H1045" s="2"/>
      <c r="I1045" s="289"/>
      <c r="J1045" s="435"/>
      <c r="K1045" s="19"/>
      <c r="L1045" s="305"/>
      <c r="M1045" s="305"/>
      <c r="N1045" s="306"/>
      <c r="O1045" s="306"/>
      <c r="P1045" s="307"/>
      <c r="Q1045" s="307"/>
      <c r="R1045" s="312"/>
      <c r="S1045" s="311"/>
      <c r="T1045" s="311"/>
      <c r="U1045" s="311"/>
      <c r="V1045" s="532"/>
      <c r="W1045" s="532"/>
      <c r="X1045" s="584"/>
      <c r="Y1045" s="585"/>
      <c r="Z1045" s="585"/>
      <c r="AA1045" s="562" t="e">
        <f t="shared" ca="1" si="754"/>
        <v>#NAME?</v>
      </c>
      <c r="AB1045" s="586"/>
      <c r="AC1045" s="587"/>
      <c r="AD1045" s="587"/>
      <c r="AE1045" s="529"/>
      <c r="AF1045" s="529"/>
      <c r="AG1045" s="529"/>
      <c r="AH1045" s="529"/>
      <c r="AI1045" s="586"/>
      <c r="AJ1045" s="585"/>
      <c r="AK1045" s="507"/>
      <c r="AL1045" s="507"/>
      <c r="AM1045" s="507"/>
      <c r="AN1045" s="588"/>
      <c r="AO1045" s="510"/>
      <c r="AP1045" s="510" t="e">
        <f t="shared" ca="1" si="752"/>
        <v>#NAME?</v>
      </c>
      <c r="AQ1045" s="532"/>
      <c r="AR1045" s="533"/>
      <c r="AS1045" s="533"/>
      <c r="AT1045" s="533"/>
      <c r="AU1045" s="533"/>
      <c r="AV1045" s="533"/>
      <c r="AW1045" s="612"/>
      <c r="AX1045" s="612"/>
      <c r="AY1045" s="612"/>
      <c r="AZ1045" s="612"/>
      <c r="BA1045" s="612"/>
      <c r="BB1045" s="612"/>
      <c r="BC1045" s="612"/>
      <c r="BD1045" s="612"/>
      <c r="BE1045" s="612"/>
      <c r="BF1045" s="612"/>
      <c r="BG1045" s="612"/>
      <c r="BH1045" s="612">
        <f t="shared" si="755"/>
        <v>0</v>
      </c>
      <c r="BI1045" s="612">
        <f t="shared" si="746"/>
        <v>0</v>
      </c>
      <c r="BJ1045" s="201"/>
    </row>
    <row r="1046" spans="1:62" ht="12" customHeight="1">
      <c r="A1046" s="227"/>
      <c r="B1046" s="227"/>
      <c r="C1046" s="227"/>
      <c r="D1046" s="227"/>
      <c r="E1046" s="227"/>
      <c r="F1046" s="227"/>
      <c r="G1046" s="227"/>
      <c r="H1046" s="234"/>
      <c r="I1046" s="265"/>
      <c r="J1046" s="228">
        <v>34</v>
      </c>
      <c r="K1046" s="258" t="s">
        <v>260</v>
      </c>
      <c r="L1046" s="111">
        <f t="shared" ref="L1046:AD1047" si="778">L1047</f>
        <v>4303</v>
      </c>
      <c r="M1046" s="111">
        <f t="shared" si="778"/>
        <v>571.10624460813585</v>
      </c>
      <c r="N1046" s="112">
        <f t="shared" si="778"/>
        <v>4491</v>
      </c>
      <c r="O1046" s="112">
        <f t="shared" si="778"/>
        <v>596.05813259008562</v>
      </c>
      <c r="P1046" s="113">
        <f t="shared" si="778"/>
        <v>1100</v>
      </c>
      <c r="Q1046" s="113">
        <f t="shared" si="778"/>
        <v>1200</v>
      </c>
      <c r="R1046" s="87">
        <f t="shared" si="778"/>
        <v>699</v>
      </c>
      <c r="S1046" s="89">
        <f t="shared" si="778"/>
        <v>0</v>
      </c>
      <c r="T1046" s="89"/>
      <c r="U1046" s="89"/>
      <c r="V1046" s="532">
        <f>V1047</f>
        <v>1930</v>
      </c>
      <c r="W1046" s="532">
        <f t="shared" si="778"/>
        <v>1930</v>
      </c>
      <c r="X1046" s="506">
        <f t="shared" si="778"/>
        <v>1200</v>
      </c>
      <c r="Y1046" s="507">
        <f t="shared" si="778"/>
        <v>1400</v>
      </c>
      <c r="Z1046" s="507">
        <f t="shared" si="778"/>
        <v>0</v>
      </c>
      <c r="AA1046" s="562" t="e">
        <f t="shared" ca="1" si="754"/>
        <v>#NAME?</v>
      </c>
      <c r="AB1046" s="507"/>
      <c r="AC1046" s="508">
        <f t="shared" si="778"/>
        <v>1200</v>
      </c>
      <c r="AD1046" s="508">
        <f t="shared" si="778"/>
        <v>1200</v>
      </c>
      <c r="AE1046" s="529">
        <f>O1046/M1046*100</f>
        <v>104.36904485242854</v>
      </c>
      <c r="AF1046" s="529">
        <f t="shared" ref="AF1046:AG1048" si="779">P1046/O1046*100</f>
        <v>184.54575818303275</v>
      </c>
      <c r="AG1046" s="529">
        <f t="shared" si="779"/>
        <v>109.09090909090908</v>
      </c>
      <c r="AH1046" s="529">
        <f>AC1046/Q1046*100</f>
        <v>100</v>
      </c>
      <c r="AI1046" s="507"/>
      <c r="AJ1046" s="507">
        <v>1400</v>
      </c>
      <c r="AK1046" s="507">
        <f t="shared" si="744"/>
        <v>276.10872675250357</v>
      </c>
      <c r="AL1046" s="507">
        <f t="shared" si="745"/>
        <v>62.176165803108809</v>
      </c>
      <c r="AM1046" s="507">
        <f t="shared" si="745"/>
        <v>116.66666666666667</v>
      </c>
      <c r="AN1046" s="509"/>
      <c r="AO1046" s="510"/>
      <c r="AP1046" s="510" t="e">
        <f t="shared" ca="1" si="752"/>
        <v>#NAME?</v>
      </c>
      <c r="AQ1046" s="532">
        <f>AQ1047</f>
        <v>732.34</v>
      </c>
      <c r="AR1046" s="533">
        <f t="shared" si="757"/>
        <v>276.10872675250357</v>
      </c>
      <c r="AS1046" s="533">
        <f t="shared" si="758"/>
        <v>100</v>
      </c>
      <c r="AT1046" s="533">
        <f t="shared" si="759"/>
        <v>276.10872675250357</v>
      </c>
      <c r="AU1046" s="533">
        <f>AQ1046/W1046*100</f>
        <v>37.945077720207252</v>
      </c>
      <c r="AV1046" s="533">
        <f>AQ1046/R1046*100</f>
        <v>104.76967095851218</v>
      </c>
      <c r="AW1046" s="612"/>
      <c r="AX1046" s="612"/>
      <c r="AY1046" s="612"/>
      <c r="AZ1046" s="612"/>
      <c r="BA1046" s="612"/>
      <c r="BB1046" s="612"/>
      <c r="BC1046" s="612"/>
      <c r="BD1046" s="612"/>
      <c r="BE1046" s="612"/>
      <c r="BF1046" s="612"/>
      <c r="BG1046" s="612"/>
      <c r="BH1046" s="612">
        <f t="shared" si="755"/>
        <v>0</v>
      </c>
      <c r="BI1046" s="612">
        <f t="shared" si="746"/>
        <v>0</v>
      </c>
      <c r="BJ1046" s="201"/>
    </row>
    <row r="1047" spans="1:62" ht="12" customHeight="1">
      <c r="A1047" s="61"/>
      <c r="B1047" s="202"/>
      <c r="C1047" s="202"/>
      <c r="D1047" s="202"/>
      <c r="E1047" s="202"/>
      <c r="F1047" s="202"/>
      <c r="G1047" s="202"/>
      <c r="H1047" s="288"/>
      <c r="I1047" s="377"/>
      <c r="J1047" s="229">
        <v>343</v>
      </c>
      <c r="K1047" s="20" t="s">
        <v>425</v>
      </c>
      <c r="L1047" s="111">
        <f t="shared" si="778"/>
        <v>4303</v>
      </c>
      <c r="M1047" s="111">
        <f t="shared" si="778"/>
        <v>571.10624460813585</v>
      </c>
      <c r="N1047" s="112">
        <f t="shared" si="778"/>
        <v>4491</v>
      </c>
      <c r="O1047" s="112">
        <f t="shared" si="778"/>
        <v>596.05813259008562</v>
      </c>
      <c r="P1047" s="113">
        <f t="shared" si="778"/>
        <v>1100</v>
      </c>
      <c r="Q1047" s="113">
        <f t="shared" si="778"/>
        <v>1200</v>
      </c>
      <c r="R1047" s="87">
        <f t="shared" si="778"/>
        <v>699</v>
      </c>
      <c r="S1047" s="89">
        <f t="shared" si="778"/>
        <v>0</v>
      </c>
      <c r="T1047" s="89"/>
      <c r="U1047" s="89"/>
      <c r="V1047" s="532">
        <f>V1048</f>
        <v>1930</v>
      </c>
      <c r="W1047" s="532">
        <f t="shared" si="778"/>
        <v>1930</v>
      </c>
      <c r="X1047" s="506">
        <f t="shared" si="778"/>
        <v>1200</v>
      </c>
      <c r="Y1047" s="507">
        <f t="shared" si="778"/>
        <v>1400</v>
      </c>
      <c r="Z1047" s="507">
        <f t="shared" si="778"/>
        <v>0</v>
      </c>
      <c r="AA1047" s="562" t="e">
        <f t="shared" ca="1" si="754"/>
        <v>#NAME?</v>
      </c>
      <c r="AB1047" s="507"/>
      <c r="AC1047" s="508">
        <f t="shared" si="778"/>
        <v>1200</v>
      </c>
      <c r="AD1047" s="508">
        <f t="shared" si="778"/>
        <v>1200</v>
      </c>
      <c r="AE1047" s="529">
        <f>O1047/M1047*100</f>
        <v>104.36904485242854</v>
      </c>
      <c r="AF1047" s="529">
        <f t="shared" si="779"/>
        <v>184.54575818303275</v>
      </c>
      <c r="AG1047" s="529">
        <f t="shared" si="779"/>
        <v>109.09090909090908</v>
      </c>
      <c r="AH1047" s="529">
        <f>AC1047/Q1047*100</f>
        <v>100</v>
      </c>
      <c r="AI1047" s="507"/>
      <c r="AJ1047" s="507">
        <v>1400</v>
      </c>
      <c r="AK1047" s="507">
        <f t="shared" si="744"/>
        <v>276.10872675250357</v>
      </c>
      <c r="AL1047" s="507">
        <f t="shared" si="745"/>
        <v>62.176165803108809</v>
      </c>
      <c r="AM1047" s="507">
        <f t="shared" si="745"/>
        <v>116.66666666666667</v>
      </c>
      <c r="AN1047" s="509"/>
      <c r="AO1047" s="510"/>
      <c r="AP1047" s="510" t="e">
        <f t="shared" ca="1" si="752"/>
        <v>#NAME?</v>
      </c>
      <c r="AQ1047" s="532">
        <f>AQ1048</f>
        <v>732.34</v>
      </c>
      <c r="AR1047" s="533">
        <f t="shared" si="757"/>
        <v>276.10872675250357</v>
      </c>
      <c r="AS1047" s="533">
        <f t="shared" si="758"/>
        <v>100</v>
      </c>
      <c r="AT1047" s="533">
        <f t="shared" si="759"/>
        <v>276.10872675250357</v>
      </c>
      <c r="AU1047" s="533">
        <f>AQ1047/W1047*100</f>
        <v>37.945077720207252</v>
      </c>
      <c r="AV1047" s="533">
        <f>AQ1047/R1047*100</f>
        <v>104.76967095851218</v>
      </c>
      <c r="AW1047" s="612"/>
      <c r="AX1047" s="612"/>
      <c r="AY1047" s="612"/>
      <c r="AZ1047" s="612"/>
      <c r="BA1047" s="612"/>
      <c r="BB1047" s="612"/>
      <c r="BC1047" s="612"/>
      <c r="BD1047" s="612"/>
      <c r="BE1047" s="612"/>
      <c r="BF1047" s="612"/>
      <c r="BG1047" s="612"/>
      <c r="BH1047" s="612">
        <f t="shared" si="755"/>
        <v>0</v>
      </c>
      <c r="BI1047" s="612">
        <f t="shared" si="746"/>
        <v>21832.94</v>
      </c>
      <c r="BJ1047" s="201"/>
    </row>
    <row r="1048" spans="1:62" ht="12" customHeight="1">
      <c r="A1048" s="52"/>
      <c r="B1048" s="52"/>
      <c r="C1048" s="52"/>
      <c r="D1048" s="52"/>
      <c r="E1048" s="52"/>
      <c r="F1048" s="52"/>
      <c r="G1048" s="52"/>
      <c r="H1048" s="2"/>
      <c r="I1048" s="289">
        <v>911</v>
      </c>
      <c r="J1048" s="185">
        <v>3431</v>
      </c>
      <c r="K1048" s="19" t="s">
        <v>806</v>
      </c>
      <c r="L1048" s="129">
        <v>4303</v>
      </c>
      <c r="M1048" s="129">
        <f>4303/7.5345</f>
        <v>571.10624460813585</v>
      </c>
      <c r="N1048" s="130">
        <v>4491</v>
      </c>
      <c r="O1048" s="130">
        <f>N1048/7.5345</f>
        <v>596.05813259008562</v>
      </c>
      <c r="P1048" s="131">
        <v>1100</v>
      </c>
      <c r="Q1048" s="156">
        <v>1200</v>
      </c>
      <c r="R1048" s="153">
        <v>699</v>
      </c>
      <c r="S1048" s="158"/>
      <c r="T1048" s="158"/>
      <c r="U1048" s="158"/>
      <c r="V1048" s="532">
        <v>1930</v>
      </c>
      <c r="W1048" s="532">
        <v>1930</v>
      </c>
      <c r="X1048" s="560">
        <v>1200</v>
      </c>
      <c r="Y1048" s="561">
        <v>1400</v>
      </c>
      <c r="Z1048" s="561"/>
      <c r="AA1048" s="562" t="e">
        <f t="shared" ca="1" si="754"/>
        <v>#NAME?</v>
      </c>
      <c r="AB1048" s="535"/>
      <c r="AC1048" s="529">
        <v>1200</v>
      </c>
      <c r="AD1048" s="529">
        <v>1200</v>
      </c>
      <c r="AE1048" s="529">
        <f>O1048/M1048*100</f>
        <v>104.36904485242854</v>
      </c>
      <c r="AF1048" s="529">
        <f t="shared" si="779"/>
        <v>184.54575818303275</v>
      </c>
      <c r="AG1048" s="529">
        <f t="shared" si="779"/>
        <v>109.09090909090908</v>
      </c>
      <c r="AH1048" s="529">
        <f>AC1048/Q1048*100</f>
        <v>100</v>
      </c>
      <c r="AI1048" s="535"/>
      <c r="AJ1048" s="561">
        <v>1400</v>
      </c>
      <c r="AK1048" s="507">
        <f t="shared" si="744"/>
        <v>276.10872675250357</v>
      </c>
      <c r="AL1048" s="507">
        <f t="shared" si="745"/>
        <v>62.176165803108809</v>
      </c>
      <c r="AM1048" s="507">
        <f t="shared" si="745"/>
        <v>116.66666666666667</v>
      </c>
      <c r="AN1048" s="556"/>
      <c r="AO1048" s="510"/>
      <c r="AP1048" s="510" t="e">
        <f t="shared" ca="1" si="752"/>
        <v>#NAME?</v>
      </c>
      <c r="AQ1048" s="532">
        <v>732.34</v>
      </c>
      <c r="AR1048" s="533">
        <f t="shared" si="757"/>
        <v>276.10872675250357</v>
      </c>
      <c r="AS1048" s="533">
        <f t="shared" si="758"/>
        <v>100</v>
      </c>
      <c r="AT1048" s="533">
        <f t="shared" si="759"/>
        <v>276.10872675250357</v>
      </c>
      <c r="AU1048" s="533">
        <f>AQ1048/W1048*100</f>
        <v>37.945077720207252</v>
      </c>
      <c r="AV1048" s="533">
        <f>AQ1048/R1048*100</f>
        <v>104.76967095851218</v>
      </c>
      <c r="AW1048" s="612">
        <f>AQ1048</f>
        <v>732.34</v>
      </c>
      <c r="AX1048" s="612"/>
      <c r="AY1048" s="612"/>
      <c r="AZ1048" s="612"/>
      <c r="BA1048" s="612"/>
      <c r="BB1048" s="612"/>
      <c r="BC1048" s="612"/>
      <c r="BD1048" s="612"/>
      <c r="BE1048" s="612"/>
      <c r="BF1048" s="612"/>
      <c r="BG1048" s="612"/>
      <c r="BH1048" s="612">
        <f t="shared" si="755"/>
        <v>732.34</v>
      </c>
      <c r="BI1048" s="612">
        <f t="shared" si="746"/>
        <v>0</v>
      </c>
      <c r="BJ1048" s="201"/>
    </row>
    <row r="1049" spans="1:62" ht="12" customHeight="1">
      <c r="A1049" s="41"/>
      <c r="B1049" s="41"/>
      <c r="C1049" s="41"/>
      <c r="D1049" s="41"/>
      <c r="E1049" s="41"/>
      <c r="F1049" s="41"/>
      <c r="G1049" s="41"/>
      <c r="H1049" s="235"/>
      <c r="I1049" s="15"/>
      <c r="J1049" s="3"/>
      <c r="K1049" s="83"/>
      <c r="L1049" s="84"/>
      <c r="M1049" s="84"/>
      <c r="N1049" s="85"/>
      <c r="O1049" s="85"/>
      <c r="P1049" s="86"/>
      <c r="Q1049" s="86"/>
      <c r="R1049" s="274"/>
      <c r="S1049" s="279"/>
      <c r="T1049" s="279"/>
      <c r="U1049" s="279"/>
      <c r="V1049" s="532"/>
      <c r="W1049" s="532"/>
      <c r="X1049" s="568"/>
      <c r="Y1049" s="569"/>
      <c r="Z1049" s="569"/>
      <c r="AA1049" s="562" t="e">
        <f t="shared" ca="1" si="754"/>
        <v>#NAME?</v>
      </c>
      <c r="AB1049" s="540"/>
      <c r="AC1049" s="538"/>
      <c r="AD1049" s="538"/>
      <c r="AE1049" s="529"/>
      <c r="AF1049" s="529"/>
      <c r="AG1049" s="529"/>
      <c r="AH1049" s="529"/>
      <c r="AI1049" s="540"/>
      <c r="AJ1049" s="569"/>
      <c r="AK1049" s="507"/>
      <c r="AL1049" s="507"/>
      <c r="AM1049" s="507"/>
      <c r="AN1049" s="558"/>
      <c r="AO1049" s="510"/>
      <c r="AP1049" s="510" t="e">
        <f t="shared" ca="1" si="752"/>
        <v>#NAME?</v>
      </c>
      <c r="AQ1049" s="532"/>
      <c r="AR1049" s="533"/>
      <c r="AS1049" s="533"/>
      <c r="AT1049" s="533"/>
      <c r="AU1049" s="533"/>
      <c r="AV1049" s="533"/>
      <c r="AW1049" s="612"/>
      <c r="AX1049" s="612"/>
      <c r="AY1049" s="612"/>
      <c r="AZ1049" s="612"/>
      <c r="BA1049" s="612"/>
      <c r="BB1049" s="612"/>
      <c r="BC1049" s="612"/>
      <c r="BD1049" s="612"/>
      <c r="BE1049" s="612"/>
      <c r="BF1049" s="612"/>
      <c r="BG1049" s="612"/>
      <c r="BH1049" s="612">
        <f t="shared" si="755"/>
        <v>0</v>
      </c>
      <c r="BI1049" s="612">
        <f t="shared" ref="BI1049:BI1112" si="780">SUM(AW1056:BG1056)</f>
        <v>21832.94</v>
      </c>
      <c r="BJ1049" s="201"/>
    </row>
    <row r="1050" spans="1:62" ht="12" customHeight="1">
      <c r="A1050" s="316" t="s">
        <v>568</v>
      </c>
      <c r="B1050" s="317"/>
      <c r="C1050" s="317"/>
      <c r="D1050" s="317"/>
      <c r="E1050" s="317"/>
      <c r="F1050" s="317"/>
      <c r="G1050" s="317"/>
      <c r="H1050" s="318"/>
      <c r="I1050" s="366" t="s">
        <v>807</v>
      </c>
      <c r="J1050" s="332"/>
      <c r="K1050" s="123"/>
      <c r="L1050" s="250">
        <f t="shared" ref="L1050:S1050" si="781">L1052</f>
        <v>27582</v>
      </c>
      <c r="M1050" s="250">
        <f t="shared" si="781"/>
        <v>3660.7605016922157</v>
      </c>
      <c r="N1050" s="251">
        <f t="shared" si="781"/>
        <v>23065</v>
      </c>
      <c r="O1050" s="251">
        <f t="shared" si="781"/>
        <v>3061.2515760833498</v>
      </c>
      <c r="P1050" s="252">
        <f t="shared" si="781"/>
        <v>5900</v>
      </c>
      <c r="Q1050" s="252">
        <f t="shared" si="781"/>
        <v>6000</v>
      </c>
      <c r="R1050" s="272">
        <f t="shared" si="781"/>
        <v>3982</v>
      </c>
      <c r="S1050" s="273">
        <f t="shared" si="781"/>
        <v>0</v>
      </c>
      <c r="T1050" s="273"/>
      <c r="U1050" s="273"/>
      <c r="V1050" s="532">
        <f>V1052</f>
        <v>8380</v>
      </c>
      <c r="W1050" s="532">
        <f>W1052</f>
        <v>8380</v>
      </c>
      <c r="X1050" s="564">
        <f>X1052</f>
        <v>9400</v>
      </c>
      <c r="Y1050" s="565">
        <f>Y1052</f>
        <v>10500</v>
      </c>
      <c r="Z1050" s="565">
        <f>Z1052</f>
        <v>0</v>
      </c>
      <c r="AA1050" s="562" t="e">
        <f t="shared" ca="1" si="754"/>
        <v>#NAME?</v>
      </c>
      <c r="AB1050" s="565"/>
      <c r="AC1050" s="566">
        <f>AC1052</f>
        <v>6000</v>
      </c>
      <c r="AD1050" s="566">
        <f>AD1052</f>
        <v>6000</v>
      </c>
      <c r="AE1050" s="529">
        <f>O1050/M1050*100</f>
        <v>83.62337756507867</v>
      </c>
      <c r="AF1050" s="529">
        <f>P1050/O1050*100</f>
        <v>192.73162800780403</v>
      </c>
      <c r="AG1050" s="529">
        <f>Q1050/P1050*100</f>
        <v>101.69491525423729</v>
      </c>
      <c r="AH1050" s="529">
        <f>AC1050/Q1050*100</f>
        <v>100</v>
      </c>
      <c r="AI1050" s="565"/>
      <c r="AJ1050" s="565">
        <v>10500</v>
      </c>
      <c r="AK1050" s="507">
        <f t="shared" ref="AK1050:AK1111" si="782">W1050/R1050*100</f>
        <v>210.44701155198391</v>
      </c>
      <c r="AL1050" s="507">
        <f t="shared" ref="AL1050:AM1111" si="783">X1050/W1050*100</f>
        <v>112.17183770883055</v>
      </c>
      <c r="AM1050" s="507">
        <f t="shared" si="783"/>
        <v>111.70212765957446</v>
      </c>
      <c r="AN1050" s="567"/>
      <c r="AO1050" s="510"/>
      <c r="AP1050" s="510" t="e">
        <f t="shared" ca="1" si="752"/>
        <v>#NAME?</v>
      </c>
      <c r="AQ1050" s="532">
        <f>AQ1052</f>
        <v>21832.94</v>
      </c>
      <c r="AR1050" s="533">
        <f t="shared" si="757"/>
        <v>210.44701155198391</v>
      </c>
      <c r="AS1050" s="533">
        <f t="shared" si="758"/>
        <v>100</v>
      </c>
      <c r="AT1050" s="533">
        <f t="shared" si="759"/>
        <v>210.44701155198391</v>
      </c>
      <c r="AU1050" s="533">
        <f>AQ1050/W1050*100</f>
        <v>260.53627684964198</v>
      </c>
      <c r="AV1050" s="533">
        <f>AQ1050/R1050*100</f>
        <v>548.29080863887486</v>
      </c>
      <c r="AW1050" s="612"/>
      <c r="AX1050" s="612"/>
      <c r="AY1050" s="612"/>
      <c r="AZ1050" s="612"/>
      <c r="BA1050" s="612"/>
      <c r="BB1050" s="612"/>
      <c r="BC1050" s="612"/>
      <c r="BD1050" s="612"/>
      <c r="BE1050" s="612"/>
      <c r="BF1050" s="612"/>
      <c r="BG1050" s="612"/>
      <c r="BH1050" s="612">
        <f t="shared" si="755"/>
        <v>0</v>
      </c>
      <c r="BI1050" s="612">
        <f t="shared" si="780"/>
        <v>0</v>
      </c>
      <c r="BJ1050" s="201"/>
    </row>
    <row r="1051" spans="1:62" ht="12" customHeight="1">
      <c r="A1051" s="41"/>
      <c r="B1051" s="41"/>
      <c r="C1051" s="41"/>
      <c r="D1051" s="41"/>
      <c r="E1051" s="41"/>
      <c r="F1051" s="41"/>
      <c r="G1051" s="41"/>
      <c r="H1051" s="235"/>
      <c r="I1051" s="15"/>
      <c r="J1051" s="3"/>
      <c r="K1051" s="211"/>
      <c r="L1051" s="84"/>
      <c r="M1051" s="84"/>
      <c r="N1051" s="85"/>
      <c r="O1051" s="85"/>
      <c r="P1051" s="86"/>
      <c r="Q1051" s="86"/>
      <c r="R1051" s="154"/>
      <c r="S1051" s="155"/>
      <c r="T1051" s="155"/>
      <c r="U1051" s="155"/>
      <c r="V1051" s="532"/>
      <c r="W1051" s="532"/>
      <c r="X1051" s="568"/>
      <c r="Y1051" s="569"/>
      <c r="Z1051" s="569"/>
      <c r="AA1051" s="562" t="e">
        <f t="shared" ca="1" si="754"/>
        <v>#NAME?</v>
      </c>
      <c r="AB1051" s="537"/>
      <c r="AC1051" s="538"/>
      <c r="AD1051" s="538"/>
      <c r="AE1051" s="529"/>
      <c r="AF1051" s="529"/>
      <c r="AG1051" s="529"/>
      <c r="AH1051" s="529"/>
      <c r="AI1051" s="537"/>
      <c r="AJ1051" s="569"/>
      <c r="AK1051" s="507"/>
      <c r="AL1051" s="507"/>
      <c r="AM1051" s="507"/>
      <c r="AN1051" s="557"/>
      <c r="AO1051" s="510"/>
      <c r="AP1051" s="510" t="e">
        <f t="shared" ca="1" si="752"/>
        <v>#NAME?</v>
      </c>
      <c r="AQ1051" s="532"/>
      <c r="AR1051" s="533"/>
      <c r="AS1051" s="533"/>
      <c r="AT1051" s="533"/>
      <c r="AU1051" s="533"/>
      <c r="AV1051" s="533"/>
      <c r="AW1051" s="612"/>
      <c r="AX1051" s="612"/>
      <c r="AY1051" s="612"/>
      <c r="AZ1051" s="612"/>
      <c r="BA1051" s="612"/>
      <c r="BB1051" s="612"/>
      <c r="BC1051" s="612"/>
      <c r="BD1051" s="612"/>
      <c r="BE1051" s="612"/>
      <c r="BF1051" s="612"/>
      <c r="BG1051" s="612"/>
      <c r="BH1051" s="612">
        <f t="shared" si="755"/>
        <v>0</v>
      </c>
      <c r="BI1051" s="612">
        <f t="shared" si="780"/>
        <v>0</v>
      </c>
      <c r="BJ1051" s="201"/>
    </row>
    <row r="1052" spans="1:62" ht="12" customHeight="1">
      <c r="A1052" s="25"/>
      <c r="B1052" s="25"/>
      <c r="C1052" s="25"/>
      <c r="D1052" s="25"/>
      <c r="E1052" s="25"/>
      <c r="F1052" s="25"/>
      <c r="G1052" s="25"/>
      <c r="H1052" s="285"/>
      <c r="I1052" s="349"/>
      <c r="J1052" s="211">
        <v>3</v>
      </c>
      <c r="K1052" s="3" t="s">
        <v>220</v>
      </c>
      <c r="L1052" s="111">
        <f t="shared" ref="L1052:S1053" si="784">L1053</f>
        <v>27582</v>
      </c>
      <c r="M1052" s="111">
        <f t="shared" si="784"/>
        <v>3660.7605016922157</v>
      </c>
      <c r="N1052" s="112">
        <f t="shared" si="784"/>
        <v>23065</v>
      </c>
      <c r="O1052" s="112">
        <f t="shared" si="784"/>
        <v>3061.2515760833498</v>
      </c>
      <c r="P1052" s="113">
        <f t="shared" si="784"/>
        <v>5900</v>
      </c>
      <c r="Q1052" s="113">
        <f t="shared" si="784"/>
        <v>6000</v>
      </c>
      <c r="R1052" s="87">
        <f t="shared" si="784"/>
        <v>3982</v>
      </c>
      <c r="S1052" s="89">
        <f t="shared" si="784"/>
        <v>0</v>
      </c>
      <c r="T1052" s="89"/>
      <c r="U1052" s="89"/>
      <c r="V1052" s="532">
        <f>V1053</f>
        <v>8380</v>
      </c>
      <c r="W1052" s="532">
        <f t="shared" ref="W1052:Z1053" si="785">W1053</f>
        <v>8380</v>
      </c>
      <c r="X1052" s="506">
        <f t="shared" si="785"/>
        <v>9400</v>
      </c>
      <c r="Y1052" s="507">
        <f t="shared" si="785"/>
        <v>10500</v>
      </c>
      <c r="Z1052" s="507">
        <f t="shared" si="785"/>
        <v>0</v>
      </c>
      <c r="AA1052" s="562" t="e">
        <f t="shared" ca="1" si="754"/>
        <v>#NAME?</v>
      </c>
      <c r="AB1052" s="507"/>
      <c r="AC1052" s="508">
        <f>AC1053</f>
        <v>6000</v>
      </c>
      <c r="AD1052" s="508">
        <f>AD1053</f>
        <v>6000</v>
      </c>
      <c r="AE1052" s="529">
        <f>O1052/M1052*100</f>
        <v>83.62337756507867</v>
      </c>
      <c r="AF1052" s="529">
        <f t="shared" ref="AF1052:AG1054" si="786">P1052/O1052*100</f>
        <v>192.73162800780403</v>
      </c>
      <c r="AG1052" s="529">
        <f t="shared" si="786"/>
        <v>101.69491525423729</v>
      </c>
      <c r="AH1052" s="529">
        <f>AC1052/Q1052*100</f>
        <v>100</v>
      </c>
      <c r="AI1052" s="507"/>
      <c r="AJ1052" s="507">
        <v>10500</v>
      </c>
      <c r="AK1052" s="507">
        <f t="shared" si="782"/>
        <v>210.44701155198391</v>
      </c>
      <c r="AL1052" s="507">
        <f t="shared" si="783"/>
        <v>112.17183770883055</v>
      </c>
      <c r="AM1052" s="507">
        <f t="shared" si="783"/>
        <v>111.70212765957446</v>
      </c>
      <c r="AN1052" s="509"/>
      <c r="AO1052" s="510"/>
      <c r="AP1052" s="510" t="e">
        <f t="shared" ca="1" si="752"/>
        <v>#NAME?</v>
      </c>
      <c r="AQ1052" s="532">
        <f>AQ1053</f>
        <v>21832.94</v>
      </c>
      <c r="AR1052" s="533">
        <f t="shared" si="757"/>
        <v>210.44701155198391</v>
      </c>
      <c r="AS1052" s="533">
        <f t="shared" si="758"/>
        <v>100</v>
      </c>
      <c r="AT1052" s="533">
        <f t="shared" si="759"/>
        <v>210.44701155198391</v>
      </c>
      <c r="AU1052" s="533">
        <f>AQ1052/W1052*100</f>
        <v>260.53627684964198</v>
      </c>
      <c r="AV1052" s="533">
        <f>AQ1052/R1052*100</f>
        <v>548.29080863887486</v>
      </c>
      <c r="AW1052" s="612"/>
      <c r="AX1052" s="612"/>
      <c r="AY1052" s="612"/>
      <c r="AZ1052" s="612"/>
      <c r="BA1052" s="612"/>
      <c r="BB1052" s="612"/>
      <c r="BC1052" s="612"/>
      <c r="BD1052" s="612"/>
      <c r="BE1052" s="612"/>
      <c r="BF1052" s="612"/>
      <c r="BG1052" s="612"/>
      <c r="BH1052" s="612">
        <f t="shared" si="755"/>
        <v>0</v>
      </c>
      <c r="BI1052" s="612">
        <f t="shared" si="780"/>
        <v>0</v>
      </c>
      <c r="BJ1052" s="201"/>
    </row>
    <row r="1053" spans="1:62" ht="12" customHeight="1">
      <c r="A1053" s="227"/>
      <c r="B1053" s="227"/>
      <c r="C1053" s="227"/>
      <c r="D1053" s="227"/>
      <c r="E1053" s="227"/>
      <c r="F1053" s="227"/>
      <c r="G1053" s="227"/>
      <c r="H1053" s="234"/>
      <c r="I1053" s="265"/>
      <c r="J1053" s="228">
        <v>38</v>
      </c>
      <c r="K1053" s="258" t="s">
        <v>281</v>
      </c>
      <c r="L1053" s="111">
        <f t="shared" si="784"/>
        <v>27582</v>
      </c>
      <c r="M1053" s="111">
        <f t="shared" si="784"/>
        <v>3660.7605016922157</v>
      </c>
      <c r="N1053" s="112">
        <f t="shared" si="784"/>
        <v>23065</v>
      </c>
      <c r="O1053" s="112">
        <f t="shared" si="784"/>
        <v>3061.2515760833498</v>
      </c>
      <c r="P1053" s="113">
        <f t="shared" si="784"/>
        <v>5900</v>
      </c>
      <c r="Q1053" s="113">
        <f t="shared" si="784"/>
        <v>6000</v>
      </c>
      <c r="R1053" s="87">
        <f t="shared" si="784"/>
        <v>3982</v>
      </c>
      <c r="S1053" s="89">
        <f t="shared" si="784"/>
        <v>0</v>
      </c>
      <c r="T1053" s="89"/>
      <c r="U1053" s="89"/>
      <c r="V1053" s="532">
        <f>V1054</f>
        <v>8380</v>
      </c>
      <c r="W1053" s="532">
        <f t="shared" si="785"/>
        <v>8380</v>
      </c>
      <c r="X1053" s="506">
        <f t="shared" si="785"/>
        <v>9400</v>
      </c>
      <c r="Y1053" s="507">
        <f t="shared" si="785"/>
        <v>10500</v>
      </c>
      <c r="Z1053" s="507">
        <f t="shared" si="785"/>
        <v>0</v>
      </c>
      <c r="AA1053" s="562" t="e">
        <f t="shared" ca="1" si="754"/>
        <v>#NAME?</v>
      </c>
      <c r="AB1053" s="507"/>
      <c r="AC1053" s="508">
        <f>AC1054</f>
        <v>6000</v>
      </c>
      <c r="AD1053" s="508">
        <f>AD1054</f>
        <v>6000</v>
      </c>
      <c r="AE1053" s="529">
        <f>O1053/M1053*100</f>
        <v>83.62337756507867</v>
      </c>
      <c r="AF1053" s="529">
        <f t="shared" si="786"/>
        <v>192.73162800780403</v>
      </c>
      <c r="AG1053" s="529">
        <f t="shared" si="786"/>
        <v>101.69491525423729</v>
      </c>
      <c r="AH1053" s="529">
        <f>AC1053/Q1053*100</f>
        <v>100</v>
      </c>
      <c r="AI1053" s="507"/>
      <c r="AJ1053" s="507">
        <v>10500</v>
      </c>
      <c r="AK1053" s="507">
        <f t="shared" si="782"/>
        <v>210.44701155198391</v>
      </c>
      <c r="AL1053" s="507">
        <f t="shared" si="783"/>
        <v>112.17183770883055</v>
      </c>
      <c r="AM1053" s="507">
        <f t="shared" si="783"/>
        <v>111.70212765957446</v>
      </c>
      <c r="AN1053" s="509"/>
      <c r="AO1053" s="510"/>
      <c r="AP1053" s="510" t="e">
        <f t="shared" ca="1" si="752"/>
        <v>#NAME?</v>
      </c>
      <c r="AQ1053" s="532">
        <f>AQ1054</f>
        <v>21832.94</v>
      </c>
      <c r="AR1053" s="533">
        <f t="shared" si="757"/>
        <v>210.44701155198391</v>
      </c>
      <c r="AS1053" s="533">
        <f t="shared" si="758"/>
        <v>100</v>
      </c>
      <c r="AT1053" s="533">
        <f t="shared" si="759"/>
        <v>210.44701155198391</v>
      </c>
      <c r="AU1053" s="533">
        <f>AQ1053/W1053*100</f>
        <v>260.53627684964198</v>
      </c>
      <c r="AV1053" s="533">
        <f>AQ1053/R1053*100</f>
        <v>548.29080863887486</v>
      </c>
      <c r="AW1053" s="612"/>
      <c r="AX1053" s="612"/>
      <c r="AY1053" s="612"/>
      <c r="AZ1053" s="612"/>
      <c r="BA1053" s="612"/>
      <c r="BB1053" s="612"/>
      <c r="BC1053" s="612"/>
      <c r="BD1053" s="612"/>
      <c r="BE1053" s="612"/>
      <c r="BF1053" s="612"/>
      <c r="BG1053" s="612"/>
      <c r="BH1053" s="612">
        <f t="shared" si="755"/>
        <v>0</v>
      </c>
      <c r="BI1053" s="612">
        <f t="shared" si="780"/>
        <v>0</v>
      </c>
      <c r="BJ1053" s="201"/>
    </row>
    <row r="1054" spans="1:62" ht="12" customHeight="1">
      <c r="A1054" s="61"/>
      <c r="B1054" s="61"/>
      <c r="C1054" s="61"/>
      <c r="D1054" s="61"/>
      <c r="E1054" s="61"/>
      <c r="F1054" s="61"/>
      <c r="G1054" s="61"/>
      <c r="H1054" s="230"/>
      <c r="I1054" s="348"/>
      <c r="J1054" s="229">
        <v>381</v>
      </c>
      <c r="K1054" s="20" t="s">
        <v>397</v>
      </c>
      <c r="L1054" s="111">
        <f t="shared" ref="L1054:S1054" si="787">L1055+L1056</f>
        <v>27582</v>
      </c>
      <c r="M1054" s="111">
        <f t="shared" si="787"/>
        <v>3660.7605016922157</v>
      </c>
      <c r="N1054" s="112">
        <f t="shared" si="787"/>
        <v>23065</v>
      </c>
      <c r="O1054" s="112">
        <f t="shared" si="787"/>
        <v>3061.2515760833498</v>
      </c>
      <c r="P1054" s="113">
        <f t="shared" si="787"/>
        <v>5900</v>
      </c>
      <c r="Q1054" s="113">
        <f t="shared" si="787"/>
        <v>6000</v>
      </c>
      <c r="R1054" s="87">
        <f t="shared" si="787"/>
        <v>3982</v>
      </c>
      <c r="S1054" s="89">
        <f t="shared" si="787"/>
        <v>0</v>
      </c>
      <c r="T1054" s="89"/>
      <c r="U1054" s="89"/>
      <c r="V1054" s="532">
        <f>V1055+V1056</f>
        <v>8380</v>
      </c>
      <c r="W1054" s="532">
        <f>W1055+W1056</f>
        <v>8380</v>
      </c>
      <c r="X1054" s="506">
        <f>X1055+X1056</f>
        <v>9400</v>
      </c>
      <c r="Y1054" s="507">
        <f>Y1055+Y1056</f>
        <v>10500</v>
      </c>
      <c r="Z1054" s="507">
        <f>Z1055+Z1056</f>
        <v>0</v>
      </c>
      <c r="AA1054" s="562" t="e">
        <f t="shared" ca="1" si="754"/>
        <v>#NAME?</v>
      </c>
      <c r="AB1054" s="507"/>
      <c r="AC1054" s="508">
        <f>AC1055+AC1056</f>
        <v>6000</v>
      </c>
      <c r="AD1054" s="508">
        <f>AD1055+AD1056</f>
        <v>6000</v>
      </c>
      <c r="AE1054" s="529">
        <f>O1054/M1054*100</f>
        <v>83.62337756507867</v>
      </c>
      <c r="AF1054" s="529">
        <f t="shared" si="786"/>
        <v>192.73162800780403</v>
      </c>
      <c r="AG1054" s="529">
        <f t="shared" si="786"/>
        <v>101.69491525423729</v>
      </c>
      <c r="AH1054" s="529">
        <f>AC1054/Q1054*100</f>
        <v>100</v>
      </c>
      <c r="AI1054" s="507"/>
      <c r="AJ1054" s="507">
        <v>10500</v>
      </c>
      <c r="AK1054" s="507">
        <f t="shared" si="782"/>
        <v>210.44701155198391</v>
      </c>
      <c r="AL1054" s="507">
        <f t="shared" si="783"/>
        <v>112.17183770883055</v>
      </c>
      <c r="AM1054" s="507">
        <f t="shared" si="783"/>
        <v>111.70212765957446</v>
      </c>
      <c r="AN1054" s="509"/>
      <c r="AO1054" s="510"/>
      <c r="AP1054" s="510" t="e">
        <f t="shared" ca="1" si="752"/>
        <v>#NAME?</v>
      </c>
      <c r="AQ1054" s="532">
        <f>AQ1055+AQ1056</f>
        <v>21832.94</v>
      </c>
      <c r="AR1054" s="533">
        <f t="shared" si="757"/>
        <v>210.44701155198391</v>
      </c>
      <c r="AS1054" s="533">
        <f t="shared" si="758"/>
        <v>100</v>
      </c>
      <c r="AT1054" s="533">
        <f t="shared" si="759"/>
        <v>210.44701155198391</v>
      </c>
      <c r="AU1054" s="533">
        <f>AQ1054/W1054*100</f>
        <v>260.53627684964198</v>
      </c>
      <c r="AV1054" s="533">
        <f>AQ1054/R1054*100</f>
        <v>548.29080863887486</v>
      </c>
      <c r="AW1054" s="612">
        <f t="shared" ref="AW1054:BG1054" si="788">AW1055+AW1056</f>
        <v>21832.94</v>
      </c>
      <c r="AX1054" s="612">
        <f t="shared" si="788"/>
        <v>0</v>
      </c>
      <c r="AY1054" s="612">
        <f t="shared" si="788"/>
        <v>0</v>
      </c>
      <c r="AZ1054" s="612">
        <f t="shared" si="788"/>
        <v>0</v>
      </c>
      <c r="BA1054" s="612">
        <f t="shared" si="788"/>
        <v>0</v>
      </c>
      <c r="BB1054" s="612">
        <f t="shared" si="788"/>
        <v>0</v>
      </c>
      <c r="BC1054" s="612">
        <f t="shared" si="788"/>
        <v>0</v>
      </c>
      <c r="BD1054" s="612">
        <f t="shared" si="788"/>
        <v>0</v>
      </c>
      <c r="BE1054" s="612">
        <f t="shared" si="788"/>
        <v>0</v>
      </c>
      <c r="BF1054" s="612">
        <f t="shared" si="788"/>
        <v>0</v>
      </c>
      <c r="BG1054" s="612">
        <f t="shared" si="788"/>
        <v>0</v>
      </c>
      <c r="BH1054" s="612">
        <f t="shared" si="755"/>
        <v>21832.94</v>
      </c>
      <c r="BI1054" s="612">
        <f t="shared" si="780"/>
        <v>0</v>
      </c>
      <c r="BJ1054" s="201"/>
    </row>
    <row r="1055" spans="1:62" ht="12" customHeight="1">
      <c r="A1055" s="52"/>
      <c r="B1055" s="52"/>
      <c r="C1055" s="52"/>
      <c r="D1055" s="52"/>
      <c r="E1055" s="52"/>
      <c r="F1055" s="52"/>
      <c r="G1055" s="52"/>
      <c r="H1055" s="2"/>
      <c r="I1055" s="289"/>
      <c r="J1055" s="185">
        <v>3811</v>
      </c>
      <c r="K1055" s="19" t="s">
        <v>282</v>
      </c>
      <c r="L1055" s="129"/>
      <c r="M1055" s="129"/>
      <c r="N1055" s="130"/>
      <c r="O1055" s="130"/>
      <c r="P1055" s="131"/>
      <c r="Q1055" s="131"/>
      <c r="R1055" s="153"/>
      <c r="S1055" s="158"/>
      <c r="T1055" s="158"/>
      <c r="U1055" s="158"/>
      <c r="V1055" s="532"/>
      <c r="W1055" s="532"/>
      <c r="X1055" s="560"/>
      <c r="Y1055" s="561"/>
      <c r="Z1055" s="561"/>
      <c r="AA1055" s="562" t="e">
        <f t="shared" ca="1" si="754"/>
        <v>#NAME?</v>
      </c>
      <c r="AB1055" s="535"/>
      <c r="AC1055" s="529"/>
      <c r="AD1055" s="529"/>
      <c r="AE1055" s="529"/>
      <c r="AF1055" s="529"/>
      <c r="AG1055" s="529"/>
      <c r="AH1055" s="529"/>
      <c r="AI1055" s="535"/>
      <c r="AJ1055" s="561"/>
      <c r="AK1055" s="507"/>
      <c r="AL1055" s="507"/>
      <c r="AM1055" s="507"/>
      <c r="AN1055" s="556"/>
      <c r="AO1055" s="510"/>
      <c r="AP1055" s="510" t="e">
        <f t="shared" ca="1" si="752"/>
        <v>#NAME?</v>
      </c>
      <c r="AQ1055" s="532"/>
      <c r="AR1055" s="533"/>
      <c r="AS1055" s="533"/>
      <c r="AT1055" s="533"/>
      <c r="AU1055" s="533"/>
      <c r="AV1055" s="533"/>
      <c r="AW1055" s="612"/>
      <c r="AX1055" s="612"/>
      <c r="AY1055" s="612"/>
      <c r="AZ1055" s="612"/>
      <c r="BA1055" s="612"/>
      <c r="BB1055" s="612"/>
      <c r="BC1055" s="612"/>
      <c r="BD1055" s="612"/>
      <c r="BE1055" s="612"/>
      <c r="BF1055" s="612"/>
      <c r="BG1055" s="612"/>
      <c r="BH1055" s="612">
        <f t="shared" si="755"/>
        <v>0</v>
      </c>
      <c r="BI1055" s="612">
        <f t="shared" si="780"/>
        <v>0</v>
      </c>
      <c r="BJ1055" s="201"/>
    </row>
    <row r="1056" spans="1:62" ht="12" customHeight="1">
      <c r="A1056" s="52"/>
      <c r="B1056" s="52"/>
      <c r="C1056" s="52"/>
      <c r="D1056" s="52"/>
      <c r="E1056" s="52"/>
      <c r="F1056" s="52"/>
      <c r="G1056" s="52"/>
      <c r="H1056" s="2">
        <v>42</v>
      </c>
      <c r="I1056" s="289">
        <v>911</v>
      </c>
      <c r="J1056" s="185">
        <v>3812</v>
      </c>
      <c r="K1056" s="19" t="s">
        <v>808</v>
      </c>
      <c r="L1056" s="129">
        <v>27582</v>
      </c>
      <c r="M1056" s="129">
        <f>27582/7.5345</f>
        <v>3660.7605016922157</v>
      </c>
      <c r="N1056" s="130">
        <v>23065</v>
      </c>
      <c r="O1056" s="130">
        <f>N1056/7.5345</f>
        <v>3061.2515760833498</v>
      </c>
      <c r="P1056" s="131">
        <v>5900</v>
      </c>
      <c r="Q1056" s="156">
        <v>6000</v>
      </c>
      <c r="R1056" s="153">
        <v>3982</v>
      </c>
      <c r="S1056" s="158"/>
      <c r="T1056" s="158"/>
      <c r="U1056" s="158"/>
      <c r="V1056" s="532">
        <v>8380</v>
      </c>
      <c r="W1056" s="532">
        <v>8380</v>
      </c>
      <c r="X1056" s="560">
        <v>9400</v>
      </c>
      <c r="Y1056" s="561">
        <v>10500</v>
      </c>
      <c r="Z1056" s="561"/>
      <c r="AA1056" s="562" t="e">
        <f t="shared" ca="1" si="754"/>
        <v>#NAME?</v>
      </c>
      <c r="AB1056" s="535"/>
      <c r="AC1056" s="529">
        <v>6000</v>
      </c>
      <c r="AD1056" s="529">
        <v>6000</v>
      </c>
      <c r="AE1056" s="529">
        <f>O1056/M1056*100</f>
        <v>83.62337756507867</v>
      </c>
      <c r="AF1056" s="529">
        <f>P1056/O1056*100</f>
        <v>192.73162800780403</v>
      </c>
      <c r="AG1056" s="529">
        <f>Q1056/P1056*100</f>
        <v>101.69491525423729</v>
      </c>
      <c r="AH1056" s="529">
        <f>AC1056/Q1056*100</f>
        <v>100</v>
      </c>
      <c r="AI1056" s="535"/>
      <c r="AJ1056" s="561">
        <v>10500</v>
      </c>
      <c r="AK1056" s="507">
        <f t="shared" si="782"/>
        <v>210.44701155198391</v>
      </c>
      <c r="AL1056" s="507">
        <f t="shared" si="783"/>
        <v>112.17183770883055</v>
      </c>
      <c r="AM1056" s="507">
        <f t="shared" si="783"/>
        <v>111.70212765957446</v>
      </c>
      <c r="AN1056" s="556"/>
      <c r="AO1056" s="510"/>
      <c r="AP1056" s="510" t="e">
        <f t="shared" ca="1" si="752"/>
        <v>#NAME?</v>
      </c>
      <c r="AQ1056" s="532">
        <v>21832.94</v>
      </c>
      <c r="AR1056" s="533">
        <f t="shared" si="757"/>
        <v>210.44701155198391</v>
      </c>
      <c r="AS1056" s="533">
        <f t="shared" si="758"/>
        <v>100</v>
      </c>
      <c r="AT1056" s="533">
        <f t="shared" si="759"/>
        <v>210.44701155198391</v>
      </c>
      <c r="AU1056" s="533">
        <f>AQ1056/W1056*100</f>
        <v>260.53627684964198</v>
      </c>
      <c r="AV1056" s="533">
        <f>AQ1056/R1056*100</f>
        <v>548.29080863887486</v>
      </c>
      <c r="AW1056" s="612">
        <f>AQ1056</f>
        <v>21832.94</v>
      </c>
      <c r="AX1056" s="612"/>
      <c r="AY1056" s="612"/>
      <c r="AZ1056" s="612"/>
      <c r="BA1056" s="612"/>
      <c r="BB1056" s="612"/>
      <c r="BC1056" s="612"/>
      <c r="BD1056" s="612"/>
      <c r="BE1056" s="612"/>
      <c r="BF1056" s="612"/>
      <c r="BG1056" s="612"/>
      <c r="BH1056" s="612">
        <f t="shared" si="755"/>
        <v>21832.94</v>
      </c>
      <c r="BI1056" s="612">
        <f t="shared" si="780"/>
        <v>1039.8800000000001</v>
      </c>
      <c r="BJ1056" s="201">
        <f>SUM(BI981:BI1057)</f>
        <v>715362.90999999968</v>
      </c>
    </row>
    <row r="1057" spans="1:63" ht="12" customHeight="1">
      <c r="A1057" s="52"/>
      <c r="B1057" s="52"/>
      <c r="C1057" s="52"/>
      <c r="D1057" s="52"/>
      <c r="E1057" s="52"/>
      <c r="F1057" s="52"/>
      <c r="G1057" s="52"/>
      <c r="H1057" s="2"/>
      <c r="I1057" s="289"/>
      <c r="J1057" s="185"/>
      <c r="K1057" s="19"/>
      <c r="L1057" s="129"/>
      <c r="M1057" s="129"/>
      <c r="N1057" s="130"/>
      <c r="O1057" s="130"/>
      <c r="P1057" s="131"/>
      <c r="Q1057" s="131"/>
      <c r="R1057" s="153"/>
      <c r="S1057" s="158"/>
      <c r="T1057" s="158"/>
      <c r="U1057" s="158"/>
      <c r="V1057" s="532"/>
      <c r="W1057" s="532"/>
      <c r="X1057" s="560"/>
      <c r="Y1057" s="561"/>
      <c r="Z1057" s="561"/>
      <c r="AA1057" s="562" t="e">
        <f t="shared" ca="1" si="754"/>
        <v>#NAME?</v>
      </c>
      <c r="AB1057" s="535"/>
      <c r="AC1057" s="529"/>
      <c r="AD1057" s="529"/>
      <c r="AE1057" s="529"/>
      <c r="AF1057" s="529"/>
      <c r="AG1057" s="529"/>
      <c r="AH1057" s="529"/>
      <c r="AI1057" s="535"/>
      <c r="AJ1057" s="561"/>
      <c r="AK1057" s="507"/>
      <c r="AL1057" s="507"/>
      <c r="AM1057" s="507"/>
      <c r="AN1057" s="556"/>
      <c r="AO1057" s="510"/>
      <c r="AP1057" s="510" t="e">
        <f t="shared" ca="1" si="752"/>
        <v>#NAME?</v>
      </c>
      <c r="AQ1057" s="532"/>
      <c r="AR1057" s="533"/>
      <c r="AS1057" s="533"/>
      <c r="AT1057" s="533"/>
      <c r="AU1057" s="533"/>
      <c r="AV1057" s="533"/>
      <c r="AW1057" s="612"/>
      <c r="AX1057" s="612"/>
      <c r="AY1057" s="612"/>
      <c r="AZ1057" s="612"/>
      <c r="BA1057" s="612"/>
      <c r="BB1057" s="612"/>
      <c r="BC1057" s="612"/>
      <c r="BD1057" s="612"/>
      <c r="BE1057" s="612"/>
      <c r="BF1057" s="612"/>
      <c r="BG1057" s="612"/>
      <c r="BH1057" s="612">
        <f t="shared" si="755"/>
        <v>0</v>
      </c>
      <c r="BI1057" s="612">
        <f t="shared" si="780"/>
        <v>12345</v>
      </c>
      <c r="BJ1057" s="201"/>
    </row>
    <row r="1058" spans="1:63" ht="12" customHeight="1">
      <c r="A1058" s="282" t="s">
        <v>416</v>
      </c>
      <c r="B1058" s="283"/>
      <c r="C1058" s="283"/>
      <c r="D1058" s="283"/>
      <c r="E1058" s="283"/>
      <c r="F1058" s="283"/>
      <c r="G1058" s="283"/>
      <c r="H1058" s="284"/>
      <c r="I1058" s="369" t="s">
        <v>809</v>
      </c>
      <c r="J1058" s="370"/>
      <c r="K1058" s="226"/>
      <c r="L1058" s="111">
        <f t="shared" ref="L1058:S1058" si="789">L1060</f>
        <v>44348</v>
      </c>
      <c r="M1058" s="111">
        <f t="shared" si="789"/>
        <v>5885.9911075718355</v>
      </c>
      <c r="N1058" s="112">
        <f t="shared" si="789"/>
        <v>96414</v>
      </c>
      <c r="O1058" s="112">
        <f t="shared" si="789"/>
        <v>12796.336850487756</v>
      </c>
      <c r="P1058" s="113">
        <f t="shared" si="789"/>
        <v>8600</v>
      </c>
      <c r="Q1058" s="113">
        <f t="shared" si="789"/>
        <v>12700</v>
      </c>
      <c r="R1058" s="87">
        <f t="shared" si="789"/>
        <v>25088</v>
      </c>
      <c r="S1058" s="89">
        <f t="shared" si="789"/>
        <v>0</v>
      </c>
      <c r="T1058" s="89"/>
      <c r="U1058" s="89"/>
      <c r="V1058" s="532">
        <f>V1060</f>
        <v>17000</v>
      </c>
      <c r="W1058" s="532">
        <f>W1060</f>
        <v>17000</v>
      </c>
      <c r="X1058" s="506">
        <f>X1060</f>
        <v>14500</v>
      </c>
      <c r="Y1058" s="507">
        <f>Y1060</f>
        <v>16500.3</v>
      </c>
      <c r="Z1058" s="507">
        <f>Z1060</f>
        <v>0</v>
      </c>
      <c r="AA1058" s="562" t="e">
        <f t="shared" ca="1" si="754"/>
        <v>#NAME?</v>
      </c>
      <c r="AB1058" s="507"/>
      <c r="AC1058" s="508">
        <f>AC1060</f>
        <v>8500</v>
      </c>
      <c r="AD1058" s="508">
        <f>AD1060</f>
        <v>8500</v>
      </c>
      <c r="AE1058" s="529">
        <f>O1058/M1058*100</f>
        <v>217.40326508523498</v>
      </c>
      <c r="AF1058" s="529">
        <f>P1058/O1058*100</f>
        <v>67.206733461945362</v>
      </c>
      <c r="AG1058" s="529">
        <f>Q1058/P1058*100</f>
        <v>147.67441860465115</v>
      </c>
      <c r="AH1058" s="529">
        <f>AC1058/Q1058*100</f>
        <v>66.929133858267718</v>
      </c>
      <c r="AI1058" s="507"/>
      <c r="AJ1058" s="507">
        <v>16500.3</v>
      </c>
      <c r="AK1058" s="507">
        <f t="shared" si="782"/>
        <v>67.761479591836732</v>
      </c>
      <c r="AL1058" s="507">
        <f t="shared" si="783"/>
        <v>85.294117647058826</v>
      </c>
      <c r="AM1058" s="507">
        <f t="shared" si="783"/>
        <v>113.79517241379308</v>
      </c>
      <c r="AN1058" s="509"/>
      <c r="AO1058" s="510"/>
      <c r="AP1058" s="510" t="e">
        <f t="shared" ca="1" si="752"/>
        <v>#NAME?</v>
      </c>
      <c r="AQ1058" s="532">
        <f>AQ1060</f>
        <v>13384.880000000001</v>
      </c>
      <c r="AR1058" s="533">
        <f t="shared" si="757"/>
        <v>67.761479591836732</v>
      </c>
      <c r="AS1058" s="533">
        <f t="shared" si="758"/>
        <v>100</v>
      </c>
      <c r="AT1058" s="533">
        <f t="shared" si="759"/>
        <v>67.761479591836732</v>
      </c>
      <c r="AU1058" s="533">
        <f>AQ1058/W1058*100</f>
        <v>78.734588235294126</v>
      </c>
      <c r="AV1058" s="533">
        <f>AQ1058/R1058*100</f>
        <v>53.351721938775512</v>
      </c>
      <c r="AW1058" s="612"/>
      <c r="AX1058" s="612"/>
      <c r="AY1058" s="612"/>
      <c r="AZ1058" s="612"/>
      <c r="BA1058" s="612"/>
      <c r="BB1058" s="612"/>
      <c r="BC1058" s="612"/>
      <c r="BD1058" s="612"/>
      <c r="BE1058" s="612"/>
      <c r="BF1058" s="612"/>
      <c r="BG1058" s="612"/>
      <c r="BH1058" s="612">
        <f t="shared" si="755"/>
        <v>0</v>
      </c>
      <c r="BI1058" s="612">
        <f t="shared" si="780"/>
        <v>0</v>
      </c>
      <c r="BJ1058" s="201"/>
    </row>
    <row r="1059" spans="1:63" ht="12" customHeight="1">
      <c r="A1059" s="52"/>
      <c r="B1059" s="52"/>
      <c r="C1059" s="52"/>
      <c r="D1059" s="52"/>
      <c r="E1059" s="52"/>
      <c r="F1059" s="52"/>
      <c r="G1059" s="52"/>
      <c r="H1059" s="2"/>
      <c r="I1059" s="289"/>
      <c r="J1059" s="185"/>
      <c r="K1059" s="19"/>
      <c r="L1059" s="350"/>
      <c r="M1059" s="350"/>
      <c r="N1059" s="351"/>
      <c r="O1059" s="351"/>
      <c r="P1059" s="352"/>
      <c r="Q1059" s="352"/>
      <c r="R1059" s="212"/>
      <c r="S1059" s="180"/>
      <c r="T1059" s="180"/>
      <c r="U1059" s="180"/>
      <c r="V1059" s="532"/>
      <c r="W1059" s="532"/>
      <c r="X1059" s="563"/>
      <c r="Y1059" s="562"/>
      <c r="Z1059" s="562"/>
      <c r="AA1059" s="562" t="e">
        <f t="shared" ca="1" si="754"/>
        <v>#NAME?</v>
      </c>
      <c r="AB1059" s="507"/>
      <c r="AC1059" s="508"/>
      <c r="AD1059" s="508"/>
      <c r="AE1059" s="529"/>
      <c r="AF1059" s="529"/>
      <c r="AG1059" s="529"/>
      <c r="AH1059" s="529"/>
      <c r="AI1059" s="507"/>
      <c r="AJ1059" s="562"/>
      <c r="AK1059" s="507"/>
      <c r="AL1059" s="507"/>
      <c r="AM1059" s="507"/>
      <c r="AN1059" s="509"/>
      <c r="AO1059" s="510"/>
      <c r="AP1059" s="510" t="e">
        <f t="shared" ref="AP1059:AP1119" ca="1" si="790">__xlfn.ISFORMULA(X1059)</f>
        <v>#NAME?</v>
      </c>
      <c r="AQ1059" s="532"/>
      <c r="AR1059" s="533"/>
      <c r="AS1059" s="533"/>
      <c r="AT1059" s="533"/>
      <c r="AU1059" s="533"/>
      <c r="AV1059" s="533"/>
      <c r="AW1059" s="612"/>
      <c r="AX1059" s="612"/>
      <c r="AY1059" s="612"/>
      <c r="AZ1059" s="612"/>
      <c r="BA1059" s="612"/>
      <c r="BB1059" s="612"/>
      <c r="BC1059" s="612"/>
      <c r="BD1059" s="612"/>
      <c r="BE1059" s="612"/>
      <c r="BF1059" s="612"/>
      <c r="BG1059" s="612"/>
      <c r="BH1059" s="612">
        <f t="shared" si="755"/>
        <v>0</v>
      </c>
      <c r="BI1059" s="612">
        <f t="shared" si="780"/>
        <v>0</v>
      </c>
      <c r="BJ1059" s="201">
        <f>AQ1066-BI1059</f>
        <v>119985.42</v>
      </c>
      <c r="BK1059" s="201">
        <f>SUM(BI985:BI1057)</f>
        <v>715362.90999999968</v>
      </c>
    </row>
    <row r="1060" spans="1:63" ht="12" customHeight="1">
      <c r="A1060" s="25"/>
      <c r="B1060" s="25"/>
      <c r="C1060" s="25"/>
      <c r="D1060" s="25"/>
      <c r="E1060" s="25"/>
      <c r="F1060" s="25"/>
      <c r="G1060" s="25"/>
      <c r="H1060" s="285"/>
      <c r="I1060" s="349"/>
      <c r="J1060" s="211">
        <v>4</v>
      </c>
      <c r="K1060" s="3" t="s">
        <v>768</v>
      </c>
      <c r="L1060" s="111">
        <f t="shared" ref="L1060:AD1061" si="791">L1061</f>
        <v>44348</v>
      </c>
      <c r="M1060" s="111">
        <f t="shared" si="791"/>
        <v>5885.9911075718355</v>
      </c>
      <c r="N1060" s="112">
        <f t="shared" si="791"/>
        <v>96414</v>
      </c>
      <c r="O1060" s="112">
        <f t="shared" si="791"/>
        <v>12796.336850487756</v>
      </c>
      <c r="P1060" s="113">
        <f t="shared" si="791"/>
        <v>8600</v>
      </c>
      <c r="Q1060" s="113">
        <f t="shared" si="791"/>
        <v>12700</v>
      </c>
      <c r="R1060" s="87">
        <f t="shared" si="791"/>
        <v>25088</v>
      </c>
      <c r="S1060" s="89">
        <f t="shared" si="791"/>
        <v>0</v>
      </c>
      <c r="T1060" s="89"/>
      <c r="U1060" s="89"/>
      <c r="V1060" s="532">
        <f>V1061</f>
        <v>17000</v>
      </c>
      <c r="W1060" s="532">
        <f t="shared" si="791"/>
        <v>17000</v>
      </c>
      <c r="X1060" s="506">
        <f t="shared" si="791"/>
        <v>14500</v>
      </c>
      <c r="Y1060" s="507">
        <f t="shared" si="791"/>
        <v>16500.3</v>
      </c>
      <c r="Z1060" s="507">
        <f t="shared" si="791"/>
        <v>0</v>
      </c>
      <c r="AA1060" s="562" t="e">
        <f t="shared" ca="1" si="754"/>
        <v>#NAME?</v>
      </c>
      <c r="AB1060" s="507"/>
      <c r="AC1060" s="508">
        <f t="shared" si="791"/>
        <v>8500</v>
      </c>
      <c r="AD1060" s="508">
        <f t="shared" si="791"/>
        <v>8500</v>
      </c>
      <c r="AE1060" s="529">
        <f>O1060/M1060*100</f>
        <v>217.40326508523498</v>
      </c>
      <c r="AF1060" s="529">
        <f t="shared" ref="AF1060:AG1062" si="792">P1060/O1060*100</f>
        <v>67.206733461945362</v>
      </c>
      <c r="AG1060" s="529">
        <f t="shared" si="792"/>
        <v>147.67441860465115</v>
      </c>
      <c r="AH1060" s="529">
        <f>AC1060/Q1060*100</f>
        <v>66.929133858267718</v>
      </c>
      <c r="AI1060" s="507"/>
      <c r="AJ1060" s="507">
        <v>16500.3</v>
      </c>
      <c r="AK1060" s="507">
        <f t="shared" si="782"/>
        <v>67.761479591836732</v>
      </c>
      <c r="AL1060" s="507">
        <f t="shared" si="783"/>
        <v>85.294117647058826</v>
      </c>
      <c r="AM1060" s="507">
        <f t="shared" si="783"/>
        <v>113.79517241379308</v>
      </c>
      <c r="AN1060" s="509"/>
      <c r="AO1060" s="510"/>
      <c r="AP1060" s="510" t="e">
        <f t="shared" ca="1" si="790"/>
        <v>#NAME?</v>
      </c>
      <c r="AQ1060" s="532">
        <f>AQ1061</f>
        <v>13384.880000000001</v>
      </c>
      <c r="AR1060" s="533">
        <f t="shared" si="757"/>
        <v>67.761479591836732</v>
      </c>
      <c r="AS1060" s="533">
        <f t="shared" si="758"/>
        <v>100</v>
      </c>
      <c r="AT1060" s="533">
        <f t="shared" si="759"/>
        <v>67.761479591836732</v>
      </c>
      <c r="AU1060" s="533">
        <f>AQ1060/W1060*100</f>
        <v>78.734588235294126</v>
      </c>
      <c r="AV1060" s="533">
        <f>AQ1060/R1060*100</f>
        <v>53.351721938775512</v>
      </c>
      <c r="AW1060" s="612"/>
      <c r="AX1060" s="612"/>
      <c r="AY1060" s="612"/>
      <c r="AZ1060" s="612"/>
      <c r="BA1060" s="612"/>
      <c r="BB1060" s="612"/>
      <c r="BC1060" s="612"/>
      <c r="BD1060" s="612"/>
      <c r="BE1060" s="612"/>
      <c r="BF1060" s="612"/>
      <c r="BG1060" s="612"/>
      <c r="BH1060" s="612">
        <f t="shared" si="755"/>
        <v>0</v>
      </c>
      <c r="BI1060" s="612">
        <f t="shared" si="780"/>
        <v>0</v>
      </c>
      <c r="BJ1060" s="201">
        <f>AQ1066</f>
        <v>119985.42</v>
      </c>
    </row>
    <row r="1061" spans="1:63" ht="12" customHeight="1">
      <c r="A1061" s="227"/>
      <c r="B1061" s="227"/>
      <c r="C1061" s="227"/>
      <c r="D1061" s="227"/>
      <c r="E1061" s="227"/>
      <c r="F1061" s="227"/>
      <c r="G1061" s="227"/>
      <c r="H1061" s="234"/>
      <c r="I1061" s="265"/>
      <c r="J1061" s="228">
        <v>42</v>
      </c>
      <c r="K1061" s="258" t="s">
        <v>602</v>
      </c>
      <c r="L1061" s="111">
        <f t="shared" si="791"/>
        <v>44348</v>
      </c>
      <c r="M1061" s="111">
        <f t="shared" si="791"/>
        <v>5885.9911075718355</v>
      </c>
      <c r="N1061" s="112">
        <f t="shared" si="791"/>
        <v>96414</v>
      </c>
      <c r="O1061" s="112">
        <f t="shared" si="791"/>
        <v>12796.336850487756</v>
      </c>
      <c r="P1061" s="113">
        <f t="shared" si="791"/>
        <v>8600</v>
      </c>
      <c r="Q1061" s="113">
        <f t="shared" si="791"/>
        <v>12700</v>
      </c>
      <c r="R1061" s="87">
        <f t="shared" si="791"/>
        <v>25088</v>
      </c>
      <c r="S1061" s="89">
        <f t="shared" si="791"/>
        <v>0</v>
      </c>
      <c r="T1061" s="89"/>
      <c r="U1061" s="89"/>
      <c r="V1061" s="532">
        <f>V1062</f>
        <v>17000</v>
      </c>
      <c r="W1061" s="532">
        <f t="shared" si="791"/>
        <v>17000</v>
      </c>
      <c r="X1061" s="506">
        <f t="shared" si="791"/>
        <v>14500</v>
      </c>
      <c r="Y1061" s="507">
        <f t="shared" si="791"/>
        <v>16500.3</v>
      </c>
      <c r="Z1061" s="507">
        <f t="shared" si="791"/>
        <v>0</v>
      </c>
      <c r="AA1061" s="562" t="e">
        <f t="shared" ref="AA1061:AA1119" ca="1" si="793">__xlfn.ISFORMULA(R1061)</f>
        <v>#NAME?</v>
      </c>
      <c r="AB1061" s="507"/>
      <c r="AC1061" s="508">
        <f t="shared" si="791"/>
        <v>8500</v>
      </c>
      <c r="AD1061" s="508">
        <f t="shared" si="791"/>
        <v>8500</v>
      </c>
      <c r="AE1061" s="529">
        <f>O1061/M1061*100</f>
        <v>217.40326508523498</v>
      </c>
      <c r="AF1061" s="529">
        <f t="shared" si="792"/>
        <v>67.206733461945362</v>
      </c>
      <c r="AG1061" s="529">
        <f t="shared" si="792"/>
        <v>147.67441860465115</v>
      </c>
      <c r="AH1061" s="529">
        <f>AC1061/Q1061*100</f>
        <v>66.929133858267718</v>
      </c>
      <c r="AI1061" s="507"/>
      <c r="AJ1061" s="507">
        <v>16500.3</v>
      </c>
      <c r="AK1061" s="507">
        <f t="shared" si="782"/>
        <v>67.761479591836732</v>
      </c>
      <c r="AL1061" s="507">
        <f t="shared" si="783"/>
        <v>85.294117647058826</v>
      </c>
      <c r="AM1061" s="507">
        <f t="shared" si="783"/>
        <v>113.79517241379308</v>
      </c>
      <c r="AN1061" s="509"/>
      <c r="AO1061" s="510"/>
      <c r="AP1061" s="510" t="e">
        <f t="shared" ca="1" si="790"/>
        <v>#NAME?</v>
      </c>
      <c r="AQ1061" s="532">
        <f>AQ1062</f>
        <v>13384.880000000001</v>
      </c>
      <c r="AR1061" s="533">
        <f t="shared" si="757"/>
        <v>67.761479591836732</v>
      </c>
      <c r="AS1061" s="533">
        <f t="shared" si="758"/>
        <v>100</v>
      </c>
      <c r="AT1061" s="533">
        <f t="shared" si="759"/>
        <v>67.761479591836732</v>
      </c>
      <c r="AU1061" s="533">
        <f>AQ1061/W1061*100</f>
        <v>78.734588235294126</v>
      </c>
      <c r="AV1061" s="533">
        <f>AQ1061/R1061*100</f>
        <v>53.351721938775512</v>
      </c>
      <c r="AW1061" s="612"/>
      <c r="AX1061" s="612"/>
      <c r="AY1061" s="612"/>
      <c r="AZ1061" s="612"/>
      <c r="BA1061" s="612"/>
      <c r="BB1061" s="612"/>
      <c r="BC1061" s="612"/>
      <c r="BD1061" s="612"/>
      <c r="BE1061" s="612"/>
      <c r="BF1061" s="612"/>
      <c r="BG1061" s="612"/>
      <c r="BH1061" s="612">
        <f t="shared" ref="BH1061:BH1124" si="794">SUM(AW1061:BG1061)</f>
        <v>0</v>
      </c>
      <c r="BI1061" s="612">
        <f t="shared" si="780"/>
        <v>0</v>
      </c>
      <c r="BJ1061" s="201"/>
    </row>
    <row r="1062" spans="1:63" ht="12" customHeight="1">
      <c r="A1062" s="61"/>
      <c r="B1062" s="61"/>
      <c r="C1062" s="61"/>
      <c r="D1062" s="61"/>
      <c r="E1062" s="61"/>
      <c r="F1062" s="61"/>
      <c r="G1062" s="61"/>
      <c r="H1062" s="230"/>
      <c r="I1062" s="348"/>
      <c r="J1062" s="229">
        <v>422</v>
      </c>
      <c r="K1062" s="20" t="s">
        <v>409</v>
      </c>
      <c r="L1062" s="111">
        <f t="shared" ref="L1062:S1062" si="795">L1063+L1064</f>
        <v>44348</v>
      </c>
      <c r="M1062" s="111">
        <f t="shared" si="795"/>
        <v>5885.9911075718355</v>
      </c>
      <c r="N1062" s="112">
        <f t="shared" si="795"/>
        <v>96414</v>
      </c>
      <c r="O1062" s="112">
        <f t="shared" si="795"/>
        <v>12796.336850487756</v>
      </c>
      <c r="P1062" s="113">
        <f t="shared" si="795"/>
        <v>8600</v>
      </c>
      <c r="Q1062" s="113">
        <f t="shared" si="795"/>
        <v>12700</v>
      </c>
      <c r="R1062" s="87">
        <f t="shared" si="795"/>
        <v>25088</v>
      </c>
      <c r="S1062" s="89">
        <f t="shared" si="795"/>
        <v>0</v>
      </c>
      <c r="T1062" s="89"/>
      <c r="U1062" s="89"/>
      <c r="V1062" s="532">
        <f>V1063+V1064</f>
        <v>17000</v>
      </c>
      <c r="W1062" s="532">
        <f>W1063+W1064</f>
        <v>17000</v>
      </c>
      <c r="X1062" s="506">
        <f>X1063+X1064</f>
        <v>14500</v>
      </c>
      <c r="Y1062" s="507">
        <f>Y1063+Y1064</f>
        <v>16500.3</v>
      </c>
      <c r="Z1062" s="507">
        <f>Z1063+Z1064</f>
        <v>0</v>
      </c>
      <c r="AA1062" s="562" t="e">
        <f t="shared" ca="1" si="793"/>
        <v>#NAME?</v>
      </c>
      <c r="AB1062" s="507"/>
      <c r="AC1062" s="508">
        <f>AC1063+AC1064</f>
        <v>8500</v>
      </c>
      <c r="AD1062" s="508">
        <f>AD1063+AD1064</f>
        <v>8500</v>
      </c>
      <c r="AE1062" s="529">
        <f>O1062/M1062*100</f>
        <v>217.40326508523498</v>
      </c>
      <c r="AF1062" s="529">
        <f t="shared" si="792"/>
        <v>67.206733461945362</v>
      </c>
      <c r="AG1062" s="529">
        <f t="shared" si="792"/>
        <v>147.67441860465115</v>
      </c>
      <c r="AH1062" s="529">
        <f>AC1062/Q1062*100</f>
        <v>66.929133858267718</v>
      </c>
      <c r="AI1062" s="507"/>
      <c r="AJ1062" s="507">
        <v>16500.3</v>
      </c>
      <c r="AK1062" s="507">
        <f t="shared" si="782"/>
        <v>67.761479591836732</v>
      </c>
      <c r="AL1062" s="507">
        <f t="shared" si="783"/>
        <v>85.294117647058826</v>
      </c>
      <c r="AM1062" s="507">
        <f t="shared" si="783"/>
        <v>113.79517241379308</v>
      </c>
      <c r="AN1062" s="509"/>
      <c r="AO1062" s="510"/>
      <c r="AP1062" s="510" t="e">
        <f t="shared" ca="1" si="790"/>
        <v>#NAME?</v>
      </c>
      <c r="AQ1062" s="532">
        <f>AQ1063+AQ1064</f>
        <v>13384.880000000001</v>
      </c>
      <c r="AR1062" s="533">
        <f t="shared" si="757"/>
        <v>67.761479591836732</v>
      </c>
      <c r="AS1062" s="533">
        <f t="shared" si="758"/>
        <v>100</v>
      </c>
      <c r="AT1062" s="533">
        <f t="shared" si="759"/>
        <v>67.761479591836732</v>
      </c>
      <c r="AU1062" s="533">
        <f>AQ1062/W1062*100</f>
        <v>78.734588235294126</v>
      </c>
      <c r="AV1062" s="533">
        <f>AQ1062/R1062*100</f>
        <v>53.351721938775512</v>
      </c>
      <c r="AW1062" s="612"/>
      <c r="AX1062" s="612"/>
      <c r="AY1062" s="612"/>
      <c r="AZ1062" s="612"/>
      <c r="BA1062" s="612"/>
      <c r="BB1062" s="612"/>
      <c r="BC1062" s="612"/>
      <c r="BD1062" s="612"/>
      <c r="BE1062" s="612"/>
      <c r="BF1062" s="612"/>
      <c r="BG1062" s="612"/>
      <c r="BH1062" s="612">
        <f t="shared" si="794"/>
        <v>0</v>
      </c>
      <c r="BI1062" s="612">
        <f t="shared" si="780"/>
        <v>0</v>
      </c>
      <c r="BJ1062" s="201"/>
    </row>
    <row r="1063" spans="1:63" ht="12" customHeight="1">
      <c r="A1063" s="52"/>
      <c r="B1063" s="52"/>
      <c r="C1063" s="52"/>
      <c r="D1063" s="52"/>
      <c r="E1063" s="52"/>
      <c r="F1063" s="52"/>
      <c r="G1063" s="52"/>
      <c r="H1063" s="2"/>
      <c r="I1063" s="289"/>
      <c r="J1063" s="185">
        <v>4221</v>
      </c>
      <c r="K1063" s="19" t="s">
        <v>299</v>
      </c>
      <c r="L1063" s="129">
        <v>5040</v>
      </c>
      <c r="M1063" s="129">
        <f>5040/7.5345</f>
        <v>668.92295440971532</v>
      </c>
      <c r="N1063" s="130"/>
      <c r="O1063" s="130"/>
      <c r="P1063" s="131"/>
      <c r="Q1063" s="131"/>
      <c r="R1063" s="153">
        <v>1448</v>
      </c>
      <c r="S1063" s="158"/>
      <c r="T1063" s="158"/>
      <c r="U1063" s="158"/>
      <c r="V1063" s="532"/>
      <c r="W1063" s="532"/>
      <c r="X1063" s="560"/>
      <c r="Y1063" s="561"/>
      <c r="Z1063" s="561"/>
      <c r="AA1063" s="562" t="e">
        <f t="shared" ca="1" si="793"/>
        <v>#NAME?</v>
      </c>
      <c r="AB1063" s="535"/>
      <c r="AC1063" s="529"/>
      <c r="AD1063" s="529"/>
      <c r="AE1063" s="529">
        <f>O1063/M1063*100</f>
        <v>0</v>
      </c>
      <c r="AF1063" s="529"/>
      <c r="AG1063" s="529"/>
      <c r="AH1063" s="529"/>
      <c r="AI1063" s="535"/>
      <c r="AJ1063" s="561"/>
      <c r="AK1063" s="507">
        <f t="shared" si="782"/>
        <v>0</v>
      </c>
      <c r="AL1063" s="507"/>
      <c r="AM1063" s="507"/>
      <c r="AN1063" s="556"/>
      <c r="AO1063" s="510"/>
      <c r="AP1063" s="510" t="e">
        <f t="shared" ca="1" si="790"/>
        <v>#NAME?</v>
      </c>
      <c r="AQ1063" s="532">
        <v>1039.8800000000001</v>
      </c>
      <c r="AR1063" s="533">
        <f t="shared" ref="AR1063:AR1124" si="796">V1063/R1063*100</f>
        <v>0</v>
      </c>
      <c r="AS1063" s="533"/>
      <c r="AT1063" s="533">
        <f t="shared" ref="AT1063:AT1124" si="797">W1063/R1063*100</f>
        <v>0</v>
      </c>
      <c r="AU1063" s="533"/>
      <c r="AV1063" s="533">
        <f>AQ1063/R1063*100</f>
        <v>71.814917127071837</v>
      </c>
      <c r="AW1063" s="612">
        <f>AQ1063</f>
        <v>1039.8800000000001</v>
      </c>
      <c r="AX1063" s="612"/>
      <c r="AY1063" s="612"/>
      <c r="AZ1063" s="612"/>
      <c r="BA1063" s="612"/>
      <c r="BB1063" s="612"/>
      <c r="BC1063" s="612"/>
      <c r="BD1063" s="612"/>
      <c r="BE1063" s="612"/>
      <c r="BF1063" s="612"/>
      <c r="BG1063" s="612"/>
      <c r="BH1063" s="612">
        <f t="shared" si="794"/>
        <v>1039.8800000000001</v>
      </c>
      <c r="BI1063" s="612">
        <f t="shared" si="780"/>
        <v>0</v>
      </c>
      <c r="BJ1063" s="201"/>
    </row>
    <row r="1064" spans="1:63" ht="12" customHeight="1">
      <c r="A1064" s="52"/>
      <c r="B1064" s="52"/>
      <c r="C1064" s="52"/>
      <c r="D1064" s="52"/>
      <c r="E1064" s="52"/>
      <c r="F1064" s="52"/>
      <c r="G1064" s="52"/>
      <c r="H1064" s="2" t="s">
        <v>810</v>
      </c>
      <c r="I1064" s="289">
        <v>911</v>
      </c>
      <c r="J1064" s="185">
        <v>4227</v>
      </c>
      <c r="K1064" s="19" t="s">
        <v>413</v>
      </c>
      <c r="L1064" s="129">
        <v>39308</v>
      </c>
      <c r="M1064" s="129">
        <f>39308/7.5345</f>
        <v>5217.0681531621203</v>
      </c>
      <c r="N1064" s="130">
        <v>96414</v>
      </c>
      <c r="O1064" s="130">
        <f>N1064/7.5345</f>
        <v>12796.336850487756</v>
      </c>
      <c r="P1064" s="131">
        <v>8600</v>
      </c>
      <c r="Q1064" s="156">
        <v>12700</v>
      </c>
      <c r="R1064" s="153">
        <v>23640</v>
      </c>
      <c r="S1064" s="158"/>
      <c r="T1064" s="158"/>
      <c r="U1064" s="158"/>
      <c r="V1064" s="532">
        <v>17000</v>
      </c>
      <c r="W1064" s="532">
        <v>17000</v>
      </c>
      <c r="X1064" s="560">
        <v>14500</v>
      </c>
      <c r="Y1064" s="561">
        <v>16500.3</v>
      </c>
      <c r="Z1064" s="561"/>
      <c r="AA1064" s="562" t="e">
        <f t="shared" ca="1" si="793"/>
        <v>#NAME?</v>
      </c>
      <c r="AB1064" s="535"/>
      <c r="AC1064" s="529">
        <v>8500</v>
      </c>
      <c r="AD1064" s="529">
        <v>8500</v>
      </c>
      <c r="AE1064" s="529">
        <f>O1064/M1064*100</f>
        <v>245.27831484685052</v>
      </c>
      <c r="AF1064" s="529">
        <f>P1064/O1064*100</f>
        <v>67.206733461945362</v>
      </c>
      <c r="AG1064" s="529">
        <f>Q1064/P1064*100</f>
        <v>147.67441860465115</v>
      </c>
      <c r="AH1064" s="529">
        <f>AC1064/Q1064*100</f>
        <v>66.929133858267718</v>
      </c>
      <c r="AI1064" s="535"/>
      <c r="AJ1064" s="561">
        <v>16500.3</v>
      </c>
      <c r="AK1064" s="507">
        <f t="shared" si="782"/>
        <v>71.912013536379021</v>
      </c>
      <c r="AL1064" s="507">
        <f t="shared" si="783"/>
        <v>85.294117647058826</v>
      </c>
      <c r="AM1064" s="507">
        <f t="shared" si="783"/>
        <v>113.79517241379308</v>
      </c>
      <c r="AN1064" s="556"/>
      <c r="AO1064" s="510"/>
      <c r="AP1064" s="510" t="e">
        <f t="shared" ca="1" si="790"/>
        <v>#NAME?</v>
      </c>
      <c r="AQ1064" s="532">
        <v>12345</v>
      </c>
      <c r="AR1064" s="533">
        <f t="shared" si="796"/>
        <v>71.912013536379021</v>
      </c>
      <c r="AS1064" s="533">
        <f t="shared" ref="AS1064:AS1124" si="798">W1064/V1064*100</f>
        <v>100</v>
      </c>
      <c r="AT1064" s="533">
        <f t="shared" si="797"/>
        <v>71.912013536379021</v>
      </c>
      <c r="AU1064" s="533">
        <f>AQ1064/W1064*100</f>
        <v>72.617647058823536</v>
      </c>
      <c r="AV1064" s="533">
        <f>AQ1064/R1064*100</f>
        <v>52.220812182741113</v>
      </c>
      <c r="AW1064" s="612">
        <f>AQ1064</f>
        <v>12345</v>
      </c>
      <c r="AX1064" s="612"/>
      <c r="AY1064" s="612"/>
      <c r="AZ1064" s="612"/>
      <c r="BA1064" s="612"/>
      <c r="BB1064" s="612"/>
      <c r="BC1064" s="612"/>
      <c r="BD1064" s="612"/>
      <c r="BE1064" s="612"/>
      <c r="BF1064" s="612"/>
      <c r="BG1064" s="612"/>
      <c r="BH1064" s="612">
        <f t="shared" si="794"/>
        <v>12345</v>
      </c>
      <c r="BI1064" s="612">
        <f t="shared" si="780"/>
        <v>0</v>
      </c>
      <c r="BJ1064" s="201"/>
    </row>
    <row r="1065" spans="1:63" ht="12" customHeight="1">
      <c r="A1065" s="41"/>
      <c r="B1065" s="41"/>
      <c r="C1065" s="41"/>
      <c r="D1065" s="41"/>
      <c r="E1065" s="41"/>
      <c r="F1065" s="41"/>
      <c r="G1065" s="41"/>
      <c r="H1065" s="235"/>
      <c r="I1065" s="15"/>
      <c r="J1065" s="3"/>
      <c r="K1065" s="211"/>
      <c r="L1065" s="84"/>
      <c r="M1065" s="84"/>
      <c r="N1065" s="85"/>
      <c r="O1065" s="85"/>
      <c r="P1065" s="86"/>
      <c r="Q1065" s="86"/>
      <c r="R1065" s="154"/>
      <c r="S1065" s="155"/>
      <c r="T1065" s="155"/>
      <c r="U1065" s="155"/>
      <c r="V1065" s="532"/>
      <c r="W1065" s="532"/>
      <c r="X1065" s="568"/>
      <c r="Y1065" s="569"/>
      <c r="Z1065" s="569"/>
      <c r="AA1065" s="562" t="e">
        <f t="shared" ca="1" si="793"/>
        <v>#NAME?</v>
      </c>
      <c r="AB1065" s="537"/>
      <c r="AC1065" s="538"/>
      <c r="AD1065" s="538"/>
      <c r="AE1065" s="529"/>
      <c r="AF1065" s="529"/>
      <c r="AG1065" s="529"/>
      <c r="AH1065" s="529"/>
      <c r="AI1065" s="537"/>
      <c r="AJ1065" s="569"/>
      <c r="AK1065" s="507"/>
      <c r="AL1065" s="507"/>
      <c r="AM1065" s="507"/>
      <c r="AN1065" s="557"/>
      <c r="AO1065" s="510"/>
      <c r="AP1065" s="510" t="e">
        <f t="shared" ca="1" si="790"/>
        <v>#NAME?</v>
      </c>
      <c r="AQ1065" s="532"/>
      <c r="AR1065" s="533"/>
      <c r="AS1065" s="533"/>
      <c r="AT1065" s="533"/>
      <c r="AU1065" s="533"/>
      <c r="AV1065" s="533"/>
      <c r="AW1065" s="612"/>
      <c r="AX1065" s="612"/>
      <c r="AY1065" s="612"/>
      <c r="AZ1065" s="612"/>
      <c r="BA1065" s="612"/>
      <c r="BB1065" s="612"/>
      <c r="BC1065" s="612"/>
      <c r="BD1065" s="612"/>
      <c r="BE1065" s="612"/>
      <c r="BF1065" s="612"/>
      <c r="BG1065" s="612"/>
      <c r="BH1065" s="612">
        <f t="shared" si="794"/>
        <v>0</v>
      </c>
      <c r="BI1065" s="612">
        <f t="shared" si="780"/>
        <v>0</v>
      </c>
      <c r="BJ1065" s="201"/>
    </row>
    <row r="1066" spans="1:63" ht="12" customHeight="1">
      <c r="A1066" s="404"/>
      <c r="B1066" s="405"/>
      <c r="C1066" s="405"/>
      <c r="D1066" s="405"/>
      <c r="E1066" s="405"/>
      <c r="F1066" s="405"/>
      <c r="G1066" s="406"/>
      <c r="H1066" s="428" t="s">
        <v>811</v>
      </c>
      <c r="I1066" s="436"/>
      <c r="J1066" s="437" t="s">
        <v>812</v>
      </c>
      <c r="K1066" s="217"/>
      <c r="L1066" s="111">
        <f t="shared" ref="L1066:S1066" si="799">L1068</f>
        <v>548432</v>
      </c>
      <c r="M1066" s="111">
        <f t="shared" si="799"/>
        <v>72789.435264450178</v>
      </c>
      <c r="N1066" s="112">
        <f t="shared" si="799"/>
        <v>539018</v>
      </c>
      <c r="O1066" s="112">
        <f t="shared" si="799"/>
        <v>71539.98274603489</v>
      </c>
      <c r="P1066" s="113">
        <f t="shared" si="799"/>
        <v>88300</v>
      </c>
      <c r="Q1066" s="113">
        <f t="shared" si="799"/>
        <v>90100</v>
      </c>
      <c r="R1066" s="87">
        <f t="shared" si="799"/>
        <v>76157</v>
      </c>
      <c r="S1066" s="89">
        <f t="shared" si="799"/>
        <v>0</v>
      </c>
      <c r="T1066" s="89"/>
      <c r="U1066" s="89"/>
      <c r="V1066" s="532">
        <f>V1068</f>
        <v>121500</v>
      </c>
      <c r="W1066" s="532">
        <f>W1068</f>
        <v>121500</v>
      </c>
      <c r="X1066" s="506">
        <f>X1068</f>
        <v>122200</v>
      </c>
      <c r="Y1066" s="507">
        <f>Y1068</f>
        <v>132200</v>
      </c>
      <c r="Z1066" s="507">
        <f>Z1068</f>
        <v>0</v>
      </c>
      <c r="AA1066" s="562" t="e">
        <f t="shared" ca="1" si="793"/>
        <v>#NAME?</v>
      </c>
      <c r="AB1066" s="507"/>
      <c r="AC1066" s="508">
        <f>AC1068</f>
        <v>120700</v>
      </c>
      <c r="AD1066" s="508">
        <f>AD1068</f>
        <v>120700</v>
      </c>
      <c r="AE1066" s="529">
        <f>O1066/M1066*100</f>
        <v>98.283469965282848</v>
      </c>
      <c r="AF1066" s="529">
        <f>P1066/O1066*100</f>
        <v>123.42748294120052</v>
      </c>
      <c r="AG1066" s="529">
        <f>Q1066/P1066*100</f>
        <v>102.03850509626274</v>
      </c>
      <c r="AH1066" s="529">
        <f>AC1066/Q1066*100</f>
        <v>133.96226415094338</v>
      </c>
      <c r="AI1066" s="507"/>
      <c r="AJ1066" s="507">
        <v>132200</v>
      </c>
      <c r="AK1066" s="507">
        <f t="shared" si="782"/>
        <v>159.53884738106805</v>
      </c>
      <c r="AL1066" s="507">
        <f t="shared" si="783"/>
        <v>100.57613168724279</v>
      </c>
      <c r="AM1066" s="507">
        <f t="shared" si="783"/>
        <v>108.18330605564648</v>
      </c>
      <c r="AN1066" s="509"/>
      <c r="AO1066" s="510"/>
      <c r="AP1066" s="510" t="e">
        <f t="shared" ca="1" si="790"/>
        <v>#NAME?</v>
      </c>
      <c r="AQ1066" s="532">
        <f>AQ1068</f>
        <v>119985.42</v>
      </c>
      <c r="AR1066" s="533">
        <f t="shared" si="796"/>
        <v>159.53884738106805</v>
      </c>
      <c r="AS1066" s="533">
        <f t="shared" si="798"/>
        <v>100</v>
      </c>
      <c r="AT1066" s="533">
        <f t="shared" si="797"/>
        <v>159.53884738106805</v>
      </c>
      <c r="AU1066" s="533">
        <f>AQ1066/W1066*100</f>
        <v>98.75343209876543</v>
      </c>
      <c r="AV1066" s="533">
        <f>AQ1066/R1066*100</f>
        <v>157.55008731961607</v>
      </c>
      <c r="AW1066" s="612"/>
      <c r="AX1066" s="612"/>
      <c r="AY1066" s="612"/>
      <c r="AZ1066" s="612"/>
      <c r="BA1066" s="612"/>
      <c r="BB1066" s="612"/>
      <c r="BC1066" s="612"/>
      <c r="BD1066" s="612"/>
      <c r="BE1066" s="612"/>
      <c r="BF1066" s="612"/>
      <c r="BG1066" s="612"/>
      <c r="BH1066" s="612">
        <f t="shared" si="794"/>
        <v>0</v>
      </c>
      <c r="BI1066" s="612">
        <f t="shared" si="780"/>
        <v>0</v>
      </c>
      <c r="BJ1066" s="201"/>
    </row>
    <row r="1067" spans="1:63" ht="12" customHeight="1">
      <c r="A1067" s="429"/>
      <c r="B1067" s="430"/>
      <c r="C1067" s="430"/>
      <c r="D1067" s="430"/>
      <c r="E1067" s="430"/>
      <c r="F1067" s="430"/>
      <c r="G1067" s="431"/>
      <c r="H1067" s="21" t="s">
        <v>813</v>
      </c>
      <c r="I1067" s="438"/>
      <c r="J1067" s="439"/>
      <c r="K1067" s="440" t="s">
        <v>814</v>
      </c>
      <c r="L1067" s="250"/>
      <c r="M1067" s="250"/>
      <c r="N1067" s="251"/>
      <c r="O1067" s="251"/>
      <c r="P1067" s="252"/>
      <c r="Q1067" s="252"/>
      <c r="R1067" s="272"/>
      <c r="S1067" s="273"/>
      <c r="T1067" s="273"/>
      <c r="U1067" s="273"/>
      <c r="V1067" s="532"/>
      <c r="W1067" s="532"/>
      <c r="X1067" s="601"/>
      <c r="Y1067" s="602"/>
      <c r="Z1067" s="602"/>
      <c r="AA1067" s="562" t="e">
        <f t="shared" ca="1" si="793"/>
        <v>#NAME?</v>
      </c>
      <c r="AB1067" s="565"/>
      <c r="AC1067" s="566"/>
      <c r="AD1067" s="566"/>
      <c r="AE1067" s="529"/>
      <c r="AF1067" s="529"/>
      <c r="AG1067" s="529"/>
      <c r="AH1067" s="529"/>
      <c r="AI1067" s="565"/>
      <c r="AJ1067" s="602"/>
      <c r="AK1067" s="507"/>
      <c r="AL1067" s="507"/>
      <c r="AM1067" s="507"/>
      <c r="AN1067" s="567"/>
      <c r="AO1067" s="510"/>
      <c r="AP1067" s="510" t="e">
        <f t="shared" ca="1" si="790"/>
        <v>#NAME?</v>
      </c>
      <c r="AQ1067" s="532"/>
      <c r="AR1067" s="533"/>
      <c r="AS1067" s="533"/>
      <c r="AT1067" s="533"/>
      <c r="AU1067" s="533"/>
      <c r="AV1067" s="533"/>
      <c r="AW1067" s="612"/>
      <c r="AX1067" s="612"/>
      <c r="AY1067" s="612"/>
      <c r="AZ1067" s="612"/>
      <c r="BA1067" s="612"/>
      <c r="BB1067" s="612"/>
      <c r="BC1067" s="612"/>
      <c r="BD1067" s="612"/>
      <c r="BE1067" s="612"/>
      <c r="BF1067" s="612"/>
      <c r="BG1067" s="612"/>
      <c r="BH1067" s="612">
        <f t="shared" si="794"/>
        <v>0</v>
      </c>
      <c r="BI1067" s="612">
        <f t="shared" si="780"/>
        <v>0</v>
      </c>
      <c r="BJ1067" s="201"/>
    </row>
    <row r="1068" spans="1:63" ht="12" customHeight="1">
      <c r="A1068" s="432" t="s">
        <v>815</v>
      </c>
      <c r="B1068" s="433"/>
      <c r="C1068" s="433"/>
      <c r="D1068" s="433"/>
      <c r="E1068" s="433"/>
      <c r="F1068" s="433"/>
      <c r="G1068" s="434"/>
      <c r="H1068" s="321"/>
      <c r="I1068" s="373" t="s">
        <v>816</v>
      </c>
      <c r="J1068" s="374"/>
      <c r="K1068" s="223"/>
      <c r="L1068" s="111">
        <f t="shared" ref="L1068:S1068" si="800">L1069+L1113</f>
        <v>548432</v>
      </c>
      <c r="M1068" s="111">
        <f t="shared" si="800"/>
        <v>72789.435264450178</v>
      </c>
      <c r="N1068" s="112">
        <f t="shared" si="800"/>
        <v>539018</v>
      </c>
      <c r="O1068" s="112">
        <f t="shared" si="800"/>
        <v>71539.98274603489</v>
      </c>
      <c r="P1068" s="113">
        <f t="shared" si="800"/>
        <v>88300</v>
      </c>
      <c r="Q1068" s="113">
        <f t="shared" si="800"/>
        <v>90100</v>
      </c>
      <c r="R1068" s="87">
        <f t="shared" si="800"/>
        <v>76157</v>
      </c>
      <c r="S1068" s="89">
        <f t="shared" si="800"/>
        <v>0</v>
      </c>
      <c r="T1068" s="89"/>
      <c r="U1068" s="89"/>
      <c r="V1068" s="532">
        <f>V1069+V1113</f>
        <v>121500</v>
      </c>
      <c r="W1068" s="532">
        <f>W1069+W1113</f>
        <v>121500</v>
      </c>
      <c r="X1068" s="506">
        <f>X1069+X1113</f>
        <v>122200</v>
      </c>
      <c r="Y1068" s="507">
        <f>Y1069+Y1113</f>
        <v>132200</v>
      </c>
      <c r="Z1068" s="507">
        <f>Z1069+Z1113</f>
        <v>0</v>
      </c>
      <c r="AA1068" s="562" t="e">
        <f t="shared" ca="1" si="793"/>
        <v>#NAME?</v>
      </c>
      <c r="AB1068" s="507"/>
      <c r="AC1068" s="508">
        <f>AC1069+AC1113</f>
        <v>120700</v>
      </c>
      <c r="AD1068" s="508">
        <f>AD1069+AD1113</f>
        <v>120700</v>
      </c>
      <c r="AE1068" s="529">
        <f>O1068/M1068*100</f>
        <v>98.283469965282848</v>
      </c>
      <c r="AF1068" s="529">
        <f>P1068/O1068*100</f>
        <v>123.42748294120052</v>
      </c>
      <c r="AG1068" s="529">
        <f>Q1068/P1068*100</f>
        <v>102.03850509626274</v>
      </c>
      <c r="AH1068" s="529">
        <f>AC1068/Q1068*100</f>
        <v>133.96226415094338</v>
      </c>
      <c r="AI1068" s="507"/>
      <c r="AJ1068" s="507">
        <v>132200</v>
      </c>
      <c r="AK1068" s="507">
        <f t="shared" si="782"/>
        <v>159.53884738106805</v>
      </c>
      <c r="AL1068" s="507">
        <f t="shared" si="783"/>
        <v>100.57613168724279</v>
      </c>
      <c r="AM1068" s="507">
        <f t="shared" si="783"/>
        <v>108.18330605564648</v>
      </c>
      <c r="AN1068" s="509"/>
      <c r="AO1068" s="510"/>
      <c r="AP1068" s="510" t="e">
        <f t="shared" ca="1" si="790"/>
        <v>#NAME?</v>
      </c>
      <c r="AQ1068" s="532">
        <f>AQ1069+AQ1113</f>
        <v>119985.42</v>
      </c>
      <c r="AR1068" s="533">
        <f t="shared" si="796"/>
        <v>159.53884738106805</v>
      </c>
      <c r="AS1068" s="533">
        <f t="shared" si="798"/>
        <v>100</v>
      </c>
      <c r="AT1068" s="533">
        <f t="shared" si="797"/>
        <v>159.53884738106805</v>
      </c>
      <c r="AU1068" s="533">
        <f>AQ1068/W1068*100</f>
        <v>98.75343209876543</v>
      </c>
      <c r="AV1068" s="533">
        <f>AQ1068/R1068*100</f>
        <v>157.55008731961607</v>
      </c>
      <c r="AW1068" s="612"/>
      <c r="AX1068" s="612"/>
      <c r="AY1068" s="612"/>
      <c r="AZ1068" s="612"/>
      <c r="BA1068" s="612"/>
      <c r="BB1068" s="612"/>
      <c r="BC1068" s="612"/>
      <c r="BD1068" s="612"/>
      <c r="BE1068" s="612"/>
      <c r="BF1068" s="612"/>
      <c r="BG1068" s="612"/>
      <c r="BH1068" s="612">
        <f t="shared" si="794"/>
        <v>0</v>
      </c>
      <c r="BI1068" s="612">
        <f t="shared" si="780"/>
        <v>0</v>
      </c>
      <c r="BJ1068" s="201"/>
    </row>
    <row r="1069" spans="1:63" ht="12" customHeight="1">
      <c r="A1069" s="282" t="s">
        <v>321</v>
      </c>
      <c r="B1069" s="283"/>
      <c r="C1069" s="283"/>
      <c r="D1069" s="283"/>
      <c r="E1069" s="283"/>
      <c r="F1069" s="283"/>
      <c r="G1069" s="283"/>
      <c r="H1069" s="284"/>
      <c r="I1069" s="369" t="s">
        <v>817</v>
      </c>
      <c r="J1069" s="370"/>
      <c r="K1069" s="226"/>
      <c r="L1069" s="111">
        <f t="shared" ref="L1069:S1069" si="801">L1071</f>
        <v>474243</v>
      </c>
      <c r="M1069" s="111">
        <f t="shared" si="801"/>
        <v>62942.862830977494</v>
      </c>
      <c r="N1069" s="112">
        <f t="shared" si="801"/>
        <v>446604</v>
      </c>
      <c r="O1069" s="112">
        <f t="shared" si="801"/>
        <v>59274.537129205644</v>
      </c>
      <c r="P1069" s="113">
        <f t="shared" si="801"/>
        <v>74800</v>
      </c>
      <c r="Q1069" s="113">
        <f t="shared" si="801"/>
        <v>76600</v>
      </c>
      <c r="R1069" s="87">
        <f t="shared" si="801"/>
        <v>65942</v>
      </c>
      <c r="S1069" s="89">
        <f t="shared" si="801"/>
        <v>0</v>
      </c>
      <c r="T1069" s="89"/>
      <c r="U1069" s="89"/>
      <c r="V1069" s="532">
        <f>V1071</f>
        <v>97000</v>
      </c>
      <c r="W1069" s="532">
        <f>W1071</f>
        <v>97000</v>
      </c>
      <c r="X1069" s="506">
        <f>X1071</f>
        <v>107200</v>
      </c>
      <c r="Y1069" s="507">
        <f>Y1071</f>
        <v>116200</v>
      </c>
      <c r="Z1069" s="507">
        <f>Z1071</f>
        <v>0</v>
      </c>
      <c r="AA1069" s="562" t="e">
        <f t="shared" ca="1" si="793"/>
        <v>#NAME?</v>
      </c>
      <c r="AB1069" s="507"/>
      <c r="AC1069" s="508">
        <f>AC1071</f>
        <v>106700</v>
      </c>
      <c r="AD1069" s="508">
        <f>AD1071</f>
        <v>106700</v>
      </c>
      <c r="AE1069" s="529">
        <f>O1069/M1069*100</f>
        <v>94.171975126675562</v>
      </c>
      <c r="AF1069" s="529">
        <f>P1069/O1069*100</f>
        <v>126.19246580863586</v>
      </c>
      <c r="AG1069" s="529">
        <f>Q1069/P1069*100</f>
        <v>102.40641711229948</v>
      </c>
      <c r="AH1069" s="529">
        <f>AC1069/Q1069*100</f>
        <v>139.29503916449087</v>
      </c>
      <c r="AI1069" s="507"/>
      <c r="AJ1069" s="507">
        <v>116200</v>
      </c>
      <c r="AK1069" s="507">
        <f t="shared" si="782"/>
        <v>147.09896575778714</v>
      </c>
      <c r="AL1069" s="507">
        <f t="shared" si="783"/>
        <v>110.51546391752578</v>
      </c>
      <c r="AM1069" s="507">
        <f t="shared" si="783"/>
        <v>108.39552238805969</v>
      </c>
      <c r="AN1069" s="509"/>
      <c r="AO1069" s="510"/>
      <c r="AP1069" s="510" t="e">
        <f t="shared" ca="1" si="790"/>
        <v>#NAME?</v>
      </c>
      <c r="AQ1069" s="532">
        <f>AQ1071</f>
        <v>92800</v>
      </c>
      <c r="AR1069" s="533">
        <f t="shared" si="796"/>
        <v>147.09896575778714</v>
      </c>
      <c r="AS1069" s="533">
        <f t="shared" si="798"/>
        <v>100</v>
      </c>
      <c r="AT1069" s="533">
        <f t="shared" si="797"/>
        <v>147.09896575778714</v>
      </c>
      <c r="AU1069" s="533">
        <f>AQ1069/W1069*100</f>
        <v>95.670103092783506</v>
      </c>
      <c r="AV1069" s="533">
        <f>AQ1069/R1069*100</f>
        <v>140.72973218889325</v>
      </c>
      <c r="AW1069" s="612"/>
      <c r="AX1069" s="612"/>
      <c r="AY1069" s="612"/>
      <c r="AZ1069" s="612"/>
      <c r="BA1069" s="612"/>
      <c r="BB1069" s="612"/>
      <c r="BC1069" s="612"/>
      <c r="BD1069" s="612"/>
      <c r="BE1069" s="612"/>
      <c r="BF1069" s="612"/>
      <c r="BG1069" s="612"/>
      <c r="BH1069" s="612">
        <f t="shared" si="794"/>
        <v>0</v>
      </c>
      <c r="BI1069" s="612">
        <f t="shared" si="780"/>
        <v>56608</v>
      </c>
      <c r="BJ1069" s="201"/>
    </row>
    <row r="1070" spans="1:63" ht="12" customHeight="1">
      <c r="A1070" s="41"/>
      <c r="B1070" s="41"/>
      <c r="C1070" s="41"/>
      <c r="D1070" s="41"/>
      <c r="E1070" s="41"/>
      <c r="F1070" s="41"/>
      <c r="G1070" s="41"/>
      <c r="H1070" s="235"/>
      <c r="I1070" s="15"/>
      <c r="J1070" s="3"/>
      <c r="K1070" s="83"/>
      <c r="L1070" s="84"/>
      <c r="M1070" s="84"/>
      <c r="N1070" s="85"/>
      <c r="O1070" s="85"/>
      <c r="P1070" s="86"/>
      <c r="Q1070" s="86"/>
      <c r="R1070" s="154"/>
      <c r="S1070" s="155"/>
      <c r="T1070" s="155"/>
      <c r="U1070" s="155"/>
      <c r="V1070" s="532"/>
      <c r="W1070" s="532"/>
      <c r="X1070" s="568"/>
      <c r="Y1070" s="569"/>
      <c r="Z1070" s="569"/>
      <c r="AA1070" s="562" t="e">
        <f t="shared" ca="1" si="793"/>
        <v>#NAME?</v>
      </c>
      <c r="AB1070" s="537"/>
      <c r="AC1070" s="538"/>
      <c r="AD1070" s="538"/>
      <c r="AE1070" s="529"/>
      <c r="AF1070" s="529"/>
      <c r="AG1070" s="529"/>
      <c r="AH1070" s="529"/>
      <c r="AI1070" s="537"/>
      <c r="AJ1070" s="569"/>
      <c r="AK1070" s="507"/>
      <c r="AL1070" s="507"/>
      <c r="AM1070" s="507"/>
      <c r="AN1070" s="557"/>
      <c r="AO1070" s="510"/>
      <c r="AP1070" s="510" t="e">
        <f t="shared" ca="1" si="790"/>
        <v>#NAME?</v>
      </c>
      <c r="AQ1070" s="532"/>
      <c r="AR1070" s="533"/>
      <c r="AS1070" s="533"/>
      <c r="AT1070" s="533"/>
      <c r="AU1070" s="533"/>
      <c r="AV1070" s="533"/>
      <c r="AW1070" s="612"/>
      <c r="AX1070" s="612"/>
      <c r="AY1070" s="612"/>
      <c r="AZ1070" s="612"/>
      <c r="BA1070" s="612"/>
      <c r="BB1070" s="612"/>
      <c r="BC1070" s="612"/>
      <c r="BD1070" s="612"/>
      <c r="BE1070" s="612"/>
      <c r="BF1070" s="612"/>
      <c r="BG1070" s="612"/>
      <c r="BH1070" s="612">
        <f t="shared" si="794"/>
        <v>0</v>
      </c>
      <c r="BI1070" s="612">
        <f t="shared" si="780"/>
        <v>0</v>
      </c>
      <c r="BJ1070" s="201"/>
    </row>
    <row r="1071" spans="1:63" ht="12" customHeight="1">
      <c r="A1071" s="25"/>
      <c r="B1071" s="25"/>
      <c r="C1071" s="25"/>
      <c r="D1071" s="25"/>
      <c r="E1071" s="25"/>
      <c r="F1071" s="25"/>
      <c r="G1071" s="25"/>
      <c r="H1071" s="285"/>
      <c r="I1071" s="349"/>
      <c r="J1071" s="211">
        <v>3</v>
      </c>
      <c r="K1071" s="3" t="s">
        <v>220</v>
      </c>
      <c r="L1071" s="111">
        <f t="shared" ref="L1071:S1071" si="802">L1073+L1085+L1109</f>
        <v>474243</v>
      </c>
      <c r="M1071" s="111">
        <f t="shared" si="802"/>
        <v>62942.862830977494</v>
      </c>
      <c r="N1071" s="112">
        <f t="shared" si="802"/>
        <v>446604</v>
      </c>
      <c r="O1071" s="112">
        <f t="shared" si="802"/>
        <v>59274.537129205644</v>
      </c>
      <c r="P1071" s="113">
        <f t="shared" si="802"/>
        <v>74800</v>
      </c>
      <c r="Q1071" s="113">
        <f t="shared" si="802"/>
        <v>76600</v>
      </c>
      <c r="R1071" s="87">
        <f t="shared" si="802"/>
        <v>65942</v>
      </c>
      <c r="S1071" s="89">
        <f t="shared" si="802"/>
        <v>0</v>
      </c>
      <c r="T1071" s="89"/>
      <c r="U1071" s="89"/>
      <c r="V1071" s="532">
        <f>V1073+V1085+V1109</f>
        <v>97000</v>
      </c>
      <c r="W1071" s="532">
        <f>W1073+W1085+W1109</f>
        <v>97000</v>
      </c>
      <c r="X1071" s="506">
        <f>X1073+X1085+X1109</f>
        <v>107200</v>
      </c>
      <c r="Y1071" s="507">
        <f>Y1073+Y1085+Y1109</f>
        <v>116200</v>
      </c>
      <c r="Z1071" s="507">
        <f>Z1073+Z1085+Z1109</f>
        <v>0</v>
      </c>
      <c r="AA1071" s="562" t="e">
        <f t="shared" ca="1" si="793"/>
        <v>#NAME?</v>
      </c>
      <c r="AB1071" s="507"/>
      <c r="AC1071" s="508">
        <f>AC1073+AC1085+AC1109</f>
        <v>106700</v>
      </c>
      <c r="AD1071" s="508">
        <f>AD1073+AD1085+AD1109</f>
        <v>106700</v>
      </c>
      <c r="AE1071" s="529">
        <f>O1071/M1071*100</f>
        <v>94.171975126675562</v>
      </c>
      <c r="AF1071" s="529">
        <f>P1071/O1071*100</f>
        <v>126.19246580863586</v>
      </c>
      <c r="AG1071" s="529">
        <f>Q1071/P1071*100</f>
        <v>102.40641711229948</v>
      </c>
      <c r="AH1071" s="529">
        <f>AC1071/Q1071*100</f>
        <v>139.29503916449087</v>
      </c>
      <c r="AI1071" s="507"/>
      <c r="AJ1071" s="507">
        <v>116200</v>
      </c>
      <c r="AK1071" s="507">
        <f t="shared" si="782"/>
        <v>147.09896575778714</v>
      </c>
      <c r="AL1071" s="507">
        <f t="shared" si="783"/>
        <v>110.51546391752578</v>
      </c>
      <c r="AM1071" s="507">
        <f t="shared" si="783"/>
        <v>108.39552238805969</v>
      </c>
      <c r="AN1071" s="509"/>
      <c r="AO1071" s="510"/>
      <c r="AP1071" s="510" t="e">
        <f t="shared" ca="1" si="790"/>
        <v>#NAME?</v>
      </c>
      <c r="AQ1071" s="532">
        <f>AQ1073+AQ1085+AQ1109</f>
        <v>92800</v>
      </c>
      <c r="AR1071" s="533">
        <f t="shared" si="796"/>
        <v>147.09896575778714</v>
      </c>
      <c r="AS1071" s="533">
        <f t="shared" si="798"/>
        <v>100</v>
      </c>
      <c r="AT1071" s="533">
        <f t="shared" si="797"/>
        <v>147.09896575778714</v>
      </c>
      <c r="AU1071" s="533">
        <f>AQ1071/W1071*100</f>
        <v>95.670103092783506</v>
      </c>
      <c r="AV1071" s="533">
        <f>AQ1071/R1071*100</f>
        <v>140.72973218889325</v>
      </c>
      <c r="AW1071" s="612"/>
      <c r="AX1071" s="612"/>
      <c r="AY1071" s="612"/>
      <c r="AZ1071" s="612"/>
      <c r="BA1071" s="612"/>
      <c r="BB1071" s="612"/>
      <c r="BC1071" s="612"/>
      <c r="BD1071" s="612"/>
      <c r="BE1071" s="612"/>
      <c r="BF1071" s="612"/>
      <c r="BG1071" s="612"/>
      <c r="BH1071" s="612">
        <f t="shared" si="794"/>
        <v>0</v>
      </c>
      <c r="BI1071" s="612">
        <f t="shared" si="780"/>
        <v>0</v>
      </c>
      <c r="BJ1071" s="201"/>
    </row>
    <row r="1072" spans="1:63" ht="12" customHeight="1">
      <c r="A1072" s="41"/>
      <c r="B1072" s="41"/>
      <c r="C1072" s="41"/>
      <c r="D1072" s="41"/>
      <c r="E1072" s="41"/>
      <c r="F1072" s="41"/>
      <c r="G1072" s="41"/>
      <c r="H1072" s="235"/>
      <c r="I1072" s="15"/>
      <c r="J1072" s="3"/>
      <c r="K1072" s="83"/>
      <c r="L1072" s="84">
        <v>1</v>
      </c>
      <c r="M1072" s="84">
        <v>2</v>
      </c>
      <c r="N1072" s="85">
        <v>3</v>
      </c>
      <c r="O1072" s="85">
        <v>4</v>
      </c>
      <c r="P1072" s="86">
        <v>5</v>
      </c>
      <c r="Q1072" s="86">
        <v>6</v>
      </c>
      <c r="R1072" s="154"/>
      <c r="S1072" s="155"/>
      <c r="T1072" s="155"/>
      <c r="U1072" s="155"/>
      <c r="V1072" s="532"/>
      <c r="W1072" s="532"/>
      <c r="X1072" s="568"/>
      <c r="Y1072" s="569"/>
      <c r="Z1072" s="569"/>
      <c r="AA1072" s="562" t="e">
        <f t="shared" ca="1" si="793"/>
        <v>#NAME?</v>
      </c>
      <c r="AB1072" s="537"/>
      <c r="AC1072" s="538">
        <v>7</v>
      </c>
      <c r="AD1072" s="538">
        <v>8</v>
      </c>
      <c r="AE1072" s="538">
        <v>9</v>
      </c>
      <c r="AF1072" s="538">
        <v>10</v>
      </c>
      <c r="AG1072" s="538">
        <v>11</v>
      </c>
      <c r="AH1072" s="538">
        <v>12</v>
      </c>
      <c r="AI1072" s="537"/>
      <c r="AJ1072" s="569"/>
      <c r="AK1072" s="507"/>
      <c r="AL1072" s="507"/>
      <c r="AM1072" s="507"/>
      <c r="AN1072" s="557"/>
      <c r="AO1072" s="510"/>
      <c r="AP1072" s="510" t="e">
        <f t="shared" ca="1" si="790"/>
        <v>#NAME?</v>
      </c>
      <c r="AQ1072" s="532"/>
      <c r="AR1072" s="533"/>
      <c r="AS1072" s="533" t="e">
        <f t="shared" si="798"/>
        <v>#DIV/0!</v>
      </c>
      <c r="AT1072" s="533"/>
      <c r="AU1072" s="533"/>
      <c r="AV1072" s="533"/>
      <c r="AW1072" s="612"/>
      <c r="AX1072" s="612"/>
      <c r="AY1072" s="612"/>
      <c r="AZ1072" s="612"/>
      <c r="BA1072" s="612"/>
      <c r="BB1072" s="612"/>
      <c r="BC1072" s="612"/>
      <c r="BD1072" s="612"/>
      <c r="BE1072" s="612"/>
      <c r="BF1072" s="612"/>
      <c r="BG1072" s="612"/>
      <c r="BH1072" s="612">
        <f t="shared" si="794"/>
        <v>0</v>
      </c>
      <c r="BI1072" s="612">
        <f t="shared" si="780"/>
        <v>2828</v>
      </c>
      <c r="BJ1072" s="201"/>
    </row>
    <row r="1073" spans="1:62" ht="12" customHeight="1">
      <c r="A1073" s="227"/>
      <c r="B1073" s="227"/>
      <c r="C1073" s="227"/>
      <c r="D1073" s="227"/>
      <c r="E1073" s="227"/>
      <c r="F1073" s="227"/>
      <c r="G1073" s="227"/>
      <c r="H1073" s="234"/>
      <c r="I1073" s="265"/>
      <c r="J1073" s="228">
        <v>31</v>
      </c>
      <c r="K1073" s="258" t="s">
        <v>221</v>
      </c>
      <c r="L1073" s="111">
        <f t="shared" ref="L1073:S1073" si="803">L1075+L1078+L1081</f>
        <v>410814</v>
      </c>
      <c r="M1073" s="111">
        <f t="shared" si="803"/>
        <v>54524.387816046183</v>
      </c>
      <c r="N1073" s="112">
        <f t="shared" si="803"/>
        <v>372275</v>
      </c>
      <c r="O1073" s="112">
        <f t="shared" si="803"/>
        <v>49409.383502554905</v>
      </c>
      <c r="P1073" s="113">
        <f t="shared" si="803"/>
        <v>55700</v>
      </c>
      <c r="Q1073" s="113">
        <f t="shared" si="803"/>
        <v>56700</v>
      </c>
      <c r="R1073" s="87">
        <f t="shared" si="803"/>
        <v>56528</v>
      </c>
      <c r="S1073" s="89">
        <f t="shared" si="803"/>
        <v>0</v>
      </c>
      <c r="T1073" s="89"/>
      <c r="U1073" s="89"/>
      <c r="V1073" s="532">
        <f>V1075+V1078+V1081</f>
        <v>68500</v>
      </c>
      <c r="W1073" s="532">
        <f>W1075+W1078+W1081</f>
        <v>68500</v>
      </c>
      <c r="X1073" s="506">
        <f>X1075+X1078+X1081</f>
        <v>79100</v>
      </c>
      <c r="Y1073" s="507">
        <f>Y1075+Y1078+Y1081</f>
        <v>85400</v>
      </c>
      <c r="Z1073" s="507">
        <f>Z1075+Z1078+Z1081</f>
        <v>0</v>
      </c>
      <c r="AA1073" s="562" t="e">
        <f t="shared" ca="1" si="793"/>
        <v>#NAME?</v>
      </c>
      <c r="AB1073" s="507"/>
      <c r="AC1073" s="508">
        <f>AC1075+AC1078+AC1081</f>
        <v>56900</v>
      </c>
      <c r="AD1073" s="508">
        <f>AD1075+AD1078+AD1081</f>
        <v>56900</v>
      </c>
      <c r="AE1073" s="529">
        <f>O1073/M1073*100</f>
        <v>90.618868879833698</v>
      </c>
      <c r="AF1073" s="529">
        <f>P1073/O1073*100</f>
        <v>112.73162312806394</v>
      </c>
      <c r="AG1073" s="529">
        <f>Q1073/P1073*100</f>
        <v>101.79533213644525</v>
      </c>
      <c r="AH1073" s="529">
        <f>AC1073/Q1073*100</f>
        <v>100.35273368606703</v>
      </c>
      <c r="AI1073" s="507"/>
      <c r="AJ1073" s="507">
        <v>85400</v>
      </c>
      <c r="AK1073" s="507">
        <f t="shared" si="782"/>
        <v>121.17888480045286</v>
      </c>
      <c r="AL1073" s="507">
        <f t="shared" si="783"/>
        <v>115.47445255474453</v>
      </c>
      <c r="AM1073" s="507">
        <f t="shared" si="783"/>
        <v>107.9646017699115</v>
      </c>
      <c r="AN1073" s="509"/>
      <c r="AO1073" s="510"/>
      <c r="AP1073" s="510" t="e">
        <f t="shared" ca="1" si="790"/>
        <v>#NAME?</v>
      </c>
      <c r="AQ1073" s="532">
        <f>AQ1075+AQ1078+AQ1081</f>
        <v>68776</v>
      </c>
      <c r="AR1073" s="533">
        <f t="shared" si="796"/>
        <v>121.17888480045286</v>
      </c>
      <c r="AS1073" s="533">
        <f t="shared" si="798"/>
        <v>100</v>
      </c>
      <c r="AT1073" s="533">
        <f t="shared" si="797"/>
        <v>121.17888480045286</v>
      </c>
      <c r="AU1073" s="533">
        <f>AQ1073/W1073*100</f>
        <v>100.40291970802919</v>
      </c>
      <c r="AV1073" s="533">
        <f>AQ1073/R1073*100</f>
        <v>121.66713840928389</v>
      </c>
      <c r="AW1073" s="612"/>
      <c r="AX1073" s="612"/>
      <c r="AY1073" s="612"/>
      <c r="AZ1073" s="612"/>
      <c r="BA1073" s="612"/>
      <c r="BB1073" s="612"/>
      <c r="BC1073" s="612"/>
      <c r="BD1073" s="612"/>
      <c r="BE1073" s="612"/>
      <c r="BF1073" s="612"/>
      <c r="BG1073" s="612"/>
      <c r="BH1073" s="612">
        <f t="shared" si="794"/>
        <v>0</v>
      </c>
      <c r="BI1073" s="612">
        <f t="shared" si="780"/>
        <v>0</v>
      </c>
      <c r="BJ1073" s="201"/>
    </row>
    <row r="1074" spans="1:62" ht="12" customHeight="1">
      <c r="A1074" s="25"/>
      <c r="B1074" s="25"/>
      <c r="C1074" s="25"/>
      <c r="D1074" s="25"/>
      <c r="E1074" s="25"/>
      <c r="F1074" s="25"/>
      <c r="G1074" s="25"/>
      <c r="H1074" s="285"/>
      <c r="I1074" s="349"/>
      <c r="J1074" s="211"/>
      <c r="K1074" s="3"/>
      <c r="L1074" s="111"/>
      <c r="M1074" s="111"/>
      <c r="N1074" s="112"/>
      <c r="O1074" s="112"/>
      <c r="P1074" s="113"/>
      <c r="Q1074" s="113"/>
      <c r="R1074" s="87"/>
      <c r="S1074" s="89"/>
      <c r="T1074" s="89"/>
      <c r="U1074" s="89"/>
      <c r="V1074" s="532"/>
      <c r="W1074" s="532"/>
      <c r="X1074" s="563"/>
      <c r="Y1074" s="562"/>
      <c r="Z1074" s="562"/>
      <c r="AA1074" s="562" t="e">
        <f t="shared" ca="1" si="793"/>
        <v>#NAME?</v>
      </c>
      <c r="AB1074" s="507"/>
      <c r="AC1074" s="508"/>
      <c r="AD1074" s="508"/>
      <c r="AE1074" s="529"/>
      <c r="AF1074" s="529"/>
      <c r="AG1074" s="529"/>
      <c r="AH1074" s="529"/>
      <c r="AI1074" s="507"/>
      <c r="AJ1074" s="562"/>
      <c r="AK1074" s="507"/>
      <c r="AL1074" s="507"/>
      <c r="AM1074" s="507"/>
      <c r="AN1074" s="509"/>
      <c r="AO1074" s="510"/>
      <c r="AP1074" s="510" t="e">
        <f t="shared" ca="1" si="790"/>
        <v>#NAME?</v>
      </c>
      <c r="AQ1074" s="532"/>
      <c r="AR1074" s="533"/>
      <c r="AS1074" s="533"/>
      <c r="AT1074" s="533"/>
      <c r="AU1074" s="533"/>
      <c r="AV1074" s="533"/>
      <c r="AW1074" s="612"/>
      <c r="AX1074" s="612"/>
      <c r="AY1074" s="612"/>
      <c r="AZ1074" s="612"/>
      <c r="BA1074" s="612"/>
      <c r="BB1074" s="612"/>
      <c r="BC1074" s="612"/>
      <c r="BD1074" s="612"/>
      <c r="BE1074" s="612"/>
      <c r="BF1074" s="612"/>
      <c r="BG1074" s="612"/>
      <c r="BH1074" s="612">
        <f t="shared" si="794"/>
        <v>0</v>
      </c>
      <c r="BI1074" s="612">
        <f t="shared" si="780"/>
        <v>0</v>
      </c>
      <c r="BJ1074" s="201"/>
    </row>
    <row r="1075" spans="1:62" ht="12" customHeight="1">
      <c r="A1075" s="61"/>
      <c r="B1075" s="61"/>
      <c r="C1075" s="61"/>
      <c r="D1075" s="61"/>
      <c r="E1075" s="61"/>
      <c r="F1075" s="61"/>
      <c r="G1075" s="61"/>
      <c r="H1075" s="230"/>
      <c r="I1075" s="348"/>
      <c r="J1075" s="229">
        <v>311</v>
      </c>
      <c r="K1075" s="20" t="s">
        <v>323</v>
      </c>
      <c r="L1075" s="111">
        <f t="shared" ref="L1075:Z1075" si="804">L1076</f>
        <v>350055</v>
      </c>
      <c r="M1075" s="111">
        <f t="shared" si="804"/>
        <v>46460.28269958192</v>
      </c>
      <c r="N1075" s="112">
        <f t="shared" si="804"/>
        <v>315687</v>
      </c>
      <c r="O1075" s="112">
        <f t="shared" si="804"/>
        <v>41898.865219988053</v>
      </c>
      <c r="P1075" s="113">
        <f t="shared" si="804"/>
        <v>47100</v>
      </c>
      <c r="Q1075" s="113">
        <f t="shared" si="804"/>
        <v>47500</v>
      </c>
      <c r="R1075" s="87">
        <f t="shared" si="804"/>
        <v>47408</v>
      </c>
      <c r="S1075" s="89">
        <f t="shared" si="804"/>
        <v>0</v>
      </c>
      <c r="T1075" s="89"/>
      <c r="U1075" s="89"/>
      <c r="V1075" s="532">
        <f>V1076</f>
        <v>57000</v>
      </c>
      <c r="W1075" s="532">
        <f t="shared" si="804"/>
        <v>57000</v>
      </c>
      <c r="X1075" s="506">
        <f t="shared" si="804"/>
        <v>64000</v>
      </c>
      <c r="Y1075" s="507">
        <f t="shared" si="804"/>
        <v>69000</v>
      </c>
      <c r="Z1075" s="507">
        <f t="shared" si="804"/>
        <v>0</v>
      </c>
      <c r="AA1075" s="562" t="e">
        <f t="shared" ca="1" si="793"/>
        <v>#NAME?</v>
      </c>
      <c r="AB1075" s="507"/>
      <c r="AC1075" s="508">
        <f>AC1076</f>
        <v>48000</v>
      </c>
      <c r="AD1075" s="508">
        <f>AD1076</f>
        <v>48000</v>
      </c>
      <c r="AE1075" s="529">
        <f>O1075/M1075*100</f>
        <v>90.182114239190994</v>
      </c>
      <c r="AF1075" s="529">
        <f>P1075/O1075*100</f>
        <v>112.41354569557822</v>
      </c>
      <c r="AG1075" s="529">
        <f>Q1075/P1075*100</f>
        <v>100.84925690021231</v>
      </c>
      <c r="AH1075" s="529">
        <f>AC1075/Q1075*100</f>
        <v>101.05263157894737</v>
      </c>
      <c r="AI1075" s="507"/>
      <c r="AJ1075" s="507">
        <v>69000</v>
      </c>
      <c r="AK1075" s="507">
        <f t="shared" si="782"/>
        <v>120.23287208909889</v>
      </c>
      <c r="AL1075" s="507">
        <f t="shared" si="783"/>
        <v>112.28070175438596</v>
      </c>
      <c r="AM1075" s="507">
        <f t="shared" si="783"/>
        <v>107.8125</v>
      </c>
      <c r="AN1075" s="509"/>
      <c r="AO1075" s="510"/>
      <c r="AP1075" s="510" t="e">
        <f t="shared" ca="1" si="790"/>
        <v>#NAME?</v>
      </c>
      <c r="AQ1075" s="532">
        <f>AQ1076</f>
        <v>56608</v>
      </c>
      <c r="AR1075" s="533">
        <f t="shared" si="796"/>
        <v>120.23287208909889</v>
      </c>
      <c r="AS1075" s="533">
        <f t="shared" si="798"/>
        <v>100</v>
      </c>
      <c r="AT1075" s="533">
        <f t="shared" si="797"/>
        <v>120.23287208909889</v>
      </c>
      <c r="AU1075" s="533">
        <f>AQ1075/W1075*100</f>
        <v>99.312280701754389</v>
      </c>
      <c r="AV1075" s="533">
        <f>AQ1075/R1075*100</f>
        <v>119.40600742490719</v>
      </c>
      <c r="AW1075" s="612"/>
      <c r="AX1075" s="612"/>
      <c r="AY1075" s="612"/>
      <c r="AZ1075" s="612"/>
      <c r="BA1075" s="612"/>
      <c r="BB1075" s="612"/>
      <c r="BC1075" s="612"/>
      <c r="BD1075" s="612"/>
      <c r="BE1075" s="612"/>
      <c r="BF1075" s="612"/>
      <c r="BG1075" s="612"/>
      <c r="BH1075" s="612">
        <f t="shared" si="794"/>
        <v>0</v>
      </c>
      <c r="BI1075" s="612">
        <f t="shared" si="780"/>
        <v>9340</v>
      </c>
      <c r="BJ1075" s="201"/>
    </row>
    <row r="1076" spans="1:62" ht="12" customHeight="1">
      <c r="A1076" s="52"/>
      <c r="B1076" s="52"/>
      <c r="C1076" s="52"/>
      <c r="D1076" s="52"/>
      <c r="E1076" s="52"/>
      <c r="F1076" s="52"/>
      <c r="G1076" s="52"/>
      <c r="H1076" s="2">
        <v>46</v>
      </c>
      <c r="I1076" s="289">
        <v>820</v>
      </c>
      <c r="J1076" s="185">
        <v>3111</v>
      </c>
      <c r="K1076" s="19" t="s">
        <v>223</v>
      </c>
      <c r="L1076" s="129">
        <v>350055</v>
      </c>
      <c r="M1076" s="129">
        <f>350055/7.5345</f>
        <v>46460.28269958192</v>
      </c>
      <c r="N1076" s="130">
        <v>315687</v>
      </c>
      <c r="O1076" s="130">
        <f>N1076/7.5345</f>
        <v>41898.865219988053</v>
      </c>
      <c r="P1076" s="131">
        <v>47100</v>
      </c>
      <c r="Q1076" s="156">
        <v>47500</v>
      </c>
      <c r="R1076" s="153">
        <v>47408</v>
      </c>
      <c r="S1076" s="158"/>
      <c r="T1076" s="158"/>
      <c r="U1076" s="158"/>
      <c r="V1076" s="532">
        <v>57000</v>
      </c>
      <c r="W1076" s="532">
        <v>57000</v>
      </c>
      <c r="X1076" s="560">
        <v>64000</v>
      </c>
      <c r="Y1076" s="561">
        <v>69000</v>
      </c>
      <c r="Z1076" s="561"/>
      <c r="AA1076" s="562" t="e">
        <f t="shared" ca="1" si="793"/>
        <v>#NAME?</v>
      </c>
      <c r="AB1076" s="535"/>
      <c r="AC1076" s="529">
        <v>48000</v>
      </c>
      <c r="AD1076" s="529">
        <v>48000</v>
      </c>
      <c r="AE1076" s="529">
        <f>O1076/M1076*100</f>
        <v>90.182114239190994</v>
      </c>
      <c r="AF1076" s="529">
        <f>P1076/O1076*100</f>
        <v>112.41354569557822</v>
      </c>
      <c r="AG1076" s="529">
        <f>Q1076/P1076*100</f>
        <v>100.84925690021231</v>
      </c>
      <c r="AH1076" s="529">
        <f>AC1076/Q1076*100</f>
        <v>101.05263157894737</v>
      </c>
      <c r="AI1076" s="535"/>
      <c r="AJ1076" s="561">
        <v>69000</v>
      </c>
      <c r="AK1076" s="507">
        <f t="shared" si="782"/>
        <v>120.23287208909889</v>
      </c>
      <c r="AL1076" s="507">
        <f t="shared" si="783"/>
        <v>112.28070175438596</v>
      </c>
      <c r="AM1076" s="507">
        <f t="shared" si="783"/>
        <v>107.8125</v>
      </c>
      <c r="AN1076" s="556"/>
      <c r="AO1076" s="510"/>
      <c r="AP1076" s="510" t="e">
        <f t="shared" ca="1" si="790"/>
        <v>#NAME?</v>
      </c>
      <c r="AQ1076" s="532">
        <v>56608</v>
      </c>
      <c r="AR1076" s="533">
        <f t="shared" si="796"/>
        <v>120.23287208909889</v>
      </c>
      <c r="AS1076" s="533">
        <f t="shared" si="798"/>
        <v>100</v>
      </c>
      <c r="AT1076" s="533">
        <f t="shared" si="797"/>
        <v>120.23287208909889</v>
      </c>
      <c r="AU1076" s="533">
        <f>AQ1076/W1076*100</f>
        <v>99.312280701754389</v>
      </c>
      <c r="AV1076" s="533">
        <f>AQ1076/R1076*100</f>
        <v>119.40600742490719</v>
      </c>
      <c r="AW1076" s="612">
        <f>AQ1076-AX1076</f>
        <v>53728.89</v>
      </c>
      <c r="AX1076" s="612">
        <v>2879.11</v>
      </c>
      <c r="AY1076" s="612"/>
      <c r="AZ1076" s="612"/>
      <c r="BA1076" s="612"/>
      <c r="BB1076" s="612"/>
      <c r="BC1076" s="612"/>
      <c r="BD1076" s="612"/>
      <c r="BE1076" s="612"/>
      <c r="BF1076" s="612"/>
      <c r="BG1076" s="612"/>
      <c r="BH1076" s="612">
        <f t="shared" si="794"/>
        <v>56608</v>
      </c>
      <c r="BI1076" s="612">
        <f t="shared" si="780"/>
        <v>0</v>
      </c>
      <c r="BJ1076" s="201"/>
    </row>
    <row r="1077" spans="1:62" ht="12" customHeight="1">
      <c r="A1077" s="52"/>
      <c r="B1077" s="52"/>
      <c r="C1077" s="52"/>
      <c r="D1077" s="52"/>
      <c r="E1077" s="52"/>
      <c r="F1077" s="52"/>
      <c r="G1077" s="52"/>
      <c r="H1077" s="2"/>
      <c r="I1077" s="289"/>
      <c r="J1077" s="185"/>
      <c r="K1077" s="19"/>
      <c r="L1077" s="84"/>
      <c r="M1077" s="84"/>
      <c r="N1077" s="85"/>
      <c r="O1077" s="85"/>
      <c r="P1077" s="86"/>
      <c r="Q1077" s="86"/>
      <c r="R1077" s="154"/>
      <c r="S1077" s="155"/>
      <c r="T1077" s="155"/>
      <c r="U1077" s="155"/>
      <c r="V1077" s="532"/>
      <c r="W1077" s="532"/>
      <c r="X1077" s="568"/>
      <c r="Y1077" s="569"/>
      <c r="Z1077" s="569"/>
      <c r="AA1077" s="562" t="e">
        <f t="shared" ca="1" si="793"/>
        <v>#NAME?</v>
      </c>
      <c r="AB1077" s="537"/>
      <c r="AC1077" s="538"/>
      <c r="AD1077" s="538"/>
      <c r="AE1077" s="529"/>
      <c r="AF1077" s="529"/>
      <c r="AG1077" s="529"/>
      <c r="AH1077" s="529"/>
      <c r="AI1077" s="537"/>
      <c r="AJ1077" s="569"/>
      <c r="AK1077" s="507"/>
      <c r="AL1077" s="507"/>
      <c r="AM1077" s="507"/>
      <c r="AN1077" s="557"/>
      <c r="AO1077" s="510"/>
      <c r="AP1077" s="510" t="e">
        <f t="shared" ca="1" si="790"/>
        <v>#NAME?</v>
      </c>
      <c r="AQ1077" s="532"/>
      <c r="AR1077" s="533"/>
      <c r="AS1077" s="533"/>
      <c r="AT1077" s="533"/>
      <c r="AU1077" s="533"/>
      <c r="AV1077" s="533"/>
      <c r="AW1077" s="612"/>
      <c r="AX1077" s="612"/>
      <c r="AY1077" s="612"/>
      <c r="AZ1077" s="612"/>
      <c r="BA1077" s="612"/>
      <c r="BB1077" s="612"/>
      <c r="BC1077" s="612"/>
      <c r="BD1077" s="612"/>
      <c r="BE1077" s="612"/>
      <c r="BF1077" s="612"/>
      <c r="BG1077" s="612"/>
      <c r="BH1077" s="612">
        <f t="shared" si="794"/>
        <v>0</v>
      </c>
      <c r="BI1077" s="612">
        <f t="shared" si="780"/>
        <v>0</v>
      </c>
      <c r="BJ1077" s="201"/>
    </row>
    <row r="1078" spans="1:62" ht="12" customHeight="1">
      <c r="A1078" s="61"/>
      <c r="B1078" s="61"/>
      <c r="C1078" s="61"/>
      <c r="D1078" s="61"/>
      <c r="E1078" s="61"/>
      <c r="F1078" s="61"/>
      <c r="G1078" s="61"/>
      <c r="H1078" s="230"/>
      <c r="I1078" s="348"/>
      <c r="J1078" s="229">
        <v>312</v>
      </c>
      <c r="K1078" s="20" t="s">
        <v>327</v>
      </c>
      <c r="L1078" s="111">
        <f t="shared" ref="L1078:Z1078" si="805">L1079</f>
        <v>3000</v>
      </c>
      <c r="M1078" s="111">
        <f t="shared" si="805"/>
        <v>398.16842524387812</v>
      </c>
      <c r="N1078" s="112">
        <f t="shared" si="805"/>
        <v>4500</v>
      </c>
      <c r="O1078" s="112">
        <f t="shared" si="805"/>
        <v>597.25263786581718</v>
      </c>
      <c r="P1078" s="113">
        <f t="shared" si="805"/>
        <v>800</v>
      </c>
      <c r="Q1078" s="113">
        <f t="shared" si="805"/>
        <v>1300</v>
      </c>
      <c r="R1078" s="87">
        <f t="shared" si="805"/>
        <v>1298</v>
      </c>
      <c r="S1078" s="89">
        <f t="shared" si="805"/>
        <v>0</v>
      </c>
      <c r="T1078" s="89"/>
      <c r="U1078" s="89"/>
      <c r="V1078" s="532">
        <f>V1079</f>
        <v>2100</v>
      </c>
      <c r="W1078" s="532">
        <f t="shared" si="805"/>
        <v>2100</v>
      </c>
      <c r="X1078" s="506">
        <f t="shared" si="805"/>
        <v>4500</v>
      </c>
      <c r="Y1078" s="507">
        <f t="shared" si="805"/>
        <v>5000</v>
      </c>
      <c r="Z1078" s="507">
        <f t="shared" si="805"/>
        <v>0</v>
      </c>
      <c r="AA1078" s="562" t="e">
        <f t="shared" ca="1" si="793"/>
        <v>#NAME?</v>
      </c>
      <c r="AB1078" s="507"/>
      <c r="AC1078" s="508">
        <f>AC1079</f>
        <v>900</v>
      </c>
      <c r="AD1078" s="508">
        <f>AD1079</f>
        <v>900</v>
      </c>
      <c r="AE1078" s="529">
        <f>O1078/M1078*100</f>
        <v>150</v>
      </c>
      <c r="AF1078" s="529">
        <f>P1078/O1078*100</f>
        <v>133.94666666666669</v>
      </c>
      <c r="AG1078" s="529">
        <f>Q1078/P1078*100</f>
        <v>162.5</v>
      </c>
      <c r="AH1078" s="529">
        <f>AC1078/Q1078*100</f>
        <v>69.230769230769226</v>
      </c>
      <c r="AI1078" s="507"/>
      <c r="AJ1078" s="507">
        <v>5000</v>
      </c>
      <c r="AK1078" s="507">
        <f t="shared" si="782"/>
        <v>161.78736517719571</v>
      </c>
      <c r="AL1078" s="507">
        <f t="shared" si="783"/>
        <v>214.28571428571428</v>
      </c>
      <c r="AM1078" s="507">
        <f t="shared" si="783"/>
        <v>111.11111111111111</v>
      </c>
      <c r="AN1078" s="509"/>
      <c r="AO1078" s="510"/>
      <c r="AP1078" s="510" t="e">
        <f t="shared" ca="1" si="790"/>
        <v>#NAME?</v>
      </c>
      <c r="AQ1078" s="532">
        <f>AQ1079</f>
        <v>2828</v>
      </c>
      <c r="AR1078" s="533">
        <f t="shared" si="796"/>
        <v>161.78736517719571</v>
      </c>
      <c r="AS1078" s="533">
        <f t="shared" si="798"/>
        <v>100</v>
      </c>
      <c r="AT1078" s="533">
        <f t="shared" si="797"/>
        <v>161.78736517719571</v>
      </c>
      <c r="AU1078" s="533">
        <f>AQ1078/W1078*100</f>
        <v>134.66666666666666</v>
      </c>
      <c r="AV1078" s="533">
        <f>AQ1078/R1078*100</f>
        <v>217.87365177195687</v>
      </c>
      <c r="AW1078" s="612"/>
      <c r="AX1078" s="612"/>
      <c r="AY1078" s="612"/>
      <c r="AZ1078" s="612"/>
      <c r="BA1078" s="612"/>
      <c r="BB1078" s="612"/>
      <c r="BC1078" s="612"/>
      <c r="BD1078" s="612"/>
      <c r="BE1078" s="612"/>
      <c r="BF1078" s="612"/>
      <c r="BG1078" s="612"/>
      <c r="BH1078" s="612">
        <f t="shared" si="794"/>
        <v>0</v>
      </c>
      <c r="BI1078" s="612">
        <f t="shared" si="780"/>
        <v>0</v>
      </c>
      <c r="BJ1078" s="201"/>
    </row>
    <row r="1079" spans="1:62" ht="12" customHeight="1">
      <c r="A1079" s="52"/>
      <c r="B1079" s="52"/>
      <c r="C1079" s="52"/>
      <c r="D1079" s="52"/>
      <c r="E1079" s="52"/>
      <c r="F1079" s="52"/>
      <c r="G1079" s="52"/>
      <c r="H1079" s="2">
        <v>47</v>
      </c>
      <c r="I1079" s="289">
        <v>820</v>
      </c>
      <c r="J1079" s="185">
        <v>3121</v>
      </c>
      <c r="K1079" s="19" t="s">
        <v>225</v>
      </c>
      <c r="L1079" s="129">
        <v>3000</v>
      </c>
      <c r="M1079" s="129">
        <f>3000/7.5345</f>
        <v>398.16842524387812</v>
      </c>
      <c r="N1079" s="130">
        <v>4500</v>
      </c>
      <c r="O1079" s="130">
        <f>N1079/7.5345</f>
        <v>597.25263786581718</v>
      </c>
      <c r="P1079" s="131">
        <v>800</v>
      </c>
      <c r="Q1079" s="156">
        <v>1300</v>
      </c>
      <c r="R1079" s="153">
        <v>1298</v>
      </c>
      <c r="S1079" s="158"/>
      <c r="T1079" s="158"/>
      <c r="U1079" s="158"/>
      <c r="V1079" s="532">
        <v>2100</v>
      </c>
      <c r="W1079" s="532">
        <v>2100</v>
      </c>
      <c r="X1079" s="560">
        <v>4500</v>
      </c>
      <c r="Y1079" s="561">
        <v>5000</v>
      </c>
      <c r="Z1079" s="561"/>
      <c r="AA1079" s="562" t="e">
        <f t="shared" ca="1" si="793"/>
        <v>#NAME?</v>
      </c>
      <c r="AB1079" s="535"/>
      <c r="AC1079" s="529">
        <v>900</v>
      </c>
      <c r="AD1079" s="529">
        <v>900</v>
      </c>
      <c r="AE1079" s="529">
        <f>O1079/M1079*100</f>
        <v>150</v>
      </c>
      <c r="AF1079" s="529">
        <f>P1079/O1079*100</f>
        <v>133.94666666666669</v>
      </c>
      <c r="AG1079" s="529">
        <f>Q1079/P1079*100</f>
        <v>162.5</v>
      </c>
      <c r="AH1079" s="529">
        <f>AC1079/Q1079*100</f>
        <v>69.230769230769226</v>
      </c>
      <c r="AI1079" s="535"/>
      <c r="AJ1079" s="561">
        <v>5000</v>
      </c>
      <c r="AK1079" s="507">
        <f t="shared" si="782"/>
        <v>161.78736517719571</v>
      </c>
      <c r="AL1079" s="507">
        <f t="shared" si="783"/>
        <v>214.28571428571428</v>
      </c>
      <c r="AM1079" s="507">
        <f t="shared" si="783"/>
        <v>111.11111111111111</v>
      </c>
      <c r="AN1079" s="556"/>
      <c r="AO1079" s="510"/>
      <c r="AP1079" s="510" t="e">
        <f t="shared" ca="1" si="790"/>
        <v>#NAME?</v>
      </c>
      <c r="AQ1079" s="532">
        <v>2828</v>
      </c>
      <c r="AR1079" s="533">
        <f t="shared" si="796"/>
        <v>161.78736517719571</v>
      </c>
      <c r="AS1079" s="533">
        <f t="shared" si="798"/>
        <v>100</v>
      </c>
      <c r="AT1079" s="533">
        <f t="shared" si="797"/>
        <v>161.78736517719571</v>
      </c>
      <c r="AU1079" s="533">
        <f>AQ1079/W1079*100</f>
        <v>134.66666666666666</v>
      </c>
      <c r="AV1079" s="533">
        <f>AQ1079/R1079*100</f>
        <v>217.87365177195687</v>
      </c>
      <c r="AW1079" s="612">
        <f>AQ1079</f>
        <v>2828</v>
      </c>
      <c r="AX1079" s="612"/>
      <c r="AY1079" s="612"/>
      <c r="AZ1079" s="612"/>
      <c r="BA1079" s="612"/>
      <c r="BB1079" s="612"/>
      <c r="BC1079" s="612"/>
      <c r="BD1079" s="612"/>
      <c r="BE1079" s="612"/>
      <c r="BF1079" s="612"/>
      <c r="BG1079" s="612"/>
      <c r="BH1079" s="612">
        <f t="shared" si="794"/>
        <v>2828</v>
      </c>
      <c r="BI1079" s="612">
        <f t="shared" si="780"/>
        <v>0</v>
      </c>
      <c r="BJ1079" s="201"/>
    </row>
    <row r="1080" spans="1:62" ht="12" customHeight="1">
      <c r="A1080" s="52"/>
      <c r="B1080" s="52"/>
      <c r="C1080" s="52"/>
      <c r="D1080" s="52"/>
      <c r="E1080" s="52"/>
      <c r="F1080" s="52"/>
      <c r="G1080" s="52"/>
      <c r="H1080" s="2"/>
      <c r="I1080" s="289"/>
      <c r="J1080" s="185"/>
      <c r="K1080" s="19"/>
      <c r="L1080" s="118"/>
      <c r="M1080" s="118"/>
      <c r="N1080" s="119"/>
      <c r="O1080" s="119"/>
      <c r="P1080" s="120"/>
      <c r="Q1080" s="120"/>
      <c r="R1080" s="151"/>
      <c r="S1080" s="152"/>
      <c r="T1080" s="152"/>
      <c r="U1080" s="152"/>
      <c r="V1080" s="532"/>
      <c r="W1080" s="532"/>
      <c r="X1080" s="560"/>
      <c r="Y1080" s="561"/>
      <c r="Z1080" s="561"/>
      <c r="AA1080" s="562" t="e">
        <f t="shared" ca="1" si="793"/>
        <v>#NAME?</v>
      </c>
      <c r="AB1080" s="535"/>
      <c r="AC1080" s="529"/>
      <c r="AD1080" s="529"/>
      <c r="AE1080" s="529"/>
      <c r="AF1080" s="529"/>
      <c r="AG1080" s="529"/>
      <c r="AH1080" s="529"/>
      <c r="AI1080" s="535"/>
      <c r="AJ1080" s="561"/>
      <c r="AK1080" s="507"/>
      <c r="AL1080" s="507"/>
      <c r="AM1080" s="507"/>
      <c r="AN1080" s="556"/>
      <c r="AO1080" s="510"/>
      <c r="AP1080" s="510" t="e">
        <f t="shared" ca="1" si="790"/>
        <v>#NAME?</v>
      </c>
      <c r="AQ1080" s="532"/>
      <c r="AR1080" s="533"/>
      <c r="AS1080" s="533"/>
      <c r="AT1080" s="533"/>
      <c r="AU1080" s="533"/>
      <c r="AV1080" s="533"/>
      <c r="AW1080" s="612"/>
      <c r="AX1080" s="612"/>
      <c r="AY1080" s="612"/>
      <c r="AZ1080" s="612"/>
      <c r="BA1080" s="612"/>
      <c r="BB1080" s="612"/>
      <c r="BC1080" s="612"/>
      <c r="BD1080" s="612"/>
      <c r="BE1080" s="612"/>
      <c r="BF1080" s="612"/>
      <c r="BG1080" s="612"/>
      <c r="BH1080" s="612">
        <f t="shared" si="794"/>
        <v>0</v>
      </c>
      <c r="BI1080" s="612">
        <f t="shared" si="780"/>
        <v>0</v>
      </c>
      <c r="BJ1080" s="201"/>
    </row>
    <row r="1081" spans="1:62" ht="12" customHeight="1">
      <c r="A1081" s="61"/>
      <c r="B1081" s="61"/>
      <c r="C1081" s="61"/>
      <c r="D1081" s="61"/>
      <c r="E1081" s="61"/>
      <c r="F1081" s="61"/>
      <c r="G1081" s="61"/>
      <c r="H1081" s="230"/>
      <c r="I1081" s="348"/>
      <c r="J1081" s="229">
        <v>313</v>
      </c>
      <c r="K1081" s="20" t="s">
        <v>330</v>
      </c>
      <c r="L1081" s="111">
        <f t="shared" ref="L1081:S1081" si="806">L1082+L1083</f>
        <v>57759</v>
      </c>
      <c r="M1081" s="111">
        <f t="shared" si="806"/>
        <v>7665.9366912203859</v>
      </c>
      <c r="N1081" s="112">
        <f t="shared" si="806"/>
        <v>52088</v>
      </c>
      <c r="O1081" s="112">
        <f t="shared" si="806"/>
        <v>6913.2656447010413</v>
      </c>
      <c r="P1081" s="113">
        <f t="shared" si="806"/>
        <v>7800</v>
      </c>
      <c r="Q1081" s="113">
        <f t="shared" si="806"/>
        <v>7900</v>
      </c>
      <c r="R1081" s="87">
        <f t="shared" si="806"/>
        <v>7822</v>
      </c>
      <c r="S1081" s="89">
        <f t="shared" si="806"/>
        <v>0</v>
      </c>
      <c r="T1081" s="89"/>
      <c r="U1081" s="89"/>
      <c r="V1081" s="532">
        <f>V1082+V1083</f>
        <v>9400</v>
      </c>
      <c r="W1081" s="532">
        <f>W1082+W1083</f>
        <v>9400</v>
      </c>
      <c r="X1081" s="506">
        <f>X1082+X1083</f>
        <v>10600</v>
      </c>
      <c r="Y1081" s="507">
        <f>Y1082+Y1083</f>
        <v>11400</v>
      </c>
      <c r="Z1081" s="507">
        <f>Z1082+Z1083</f>
        <v>0</v>
      </c>
      <c r="AA1081" s="562" t="e">
        <f t="shared" ca="1" si="793"/>
        <v>#NAME?</v>
      </c>
      <c r="AB1081" s="507"/>
      <c r="AC1081" s="508">
        <f>AC1082+AC1083</f>
        <v>8000</v>
      </c>
      <c r="AD1081" s="508">
        <f>AD1082+AD1083</f>
        <v>8000</v>
      </c>
      <c r="AE1081" s="529">
        <f>O1081/M1081*100</f>
        <v>90.181616717740951</v>
      </c>
      <c r="AF1081" s="529">
        <f>P1081/O1081*100</f>
        <v>112.82656273997851</v>
      </c>
      <c r="AG1081" s="529">
        <f>Q1081/P1081*100</f>
        <v>101.28205128205127</v>
      </c>
      <c r="AH1081" s="529">
        <f>AC1081/Q1081*100</f>
        <v>101.26582278481013</v>
      </c>
      <c r="AI1081" s="507"/>
      <c r="AJ1081" s="507">
        <v>11400</v>
      </c>
      <c r="AK1081" s="507">
        <f t="shared" si="782"/>
        <v>120.17386857581181</v>
      </c>
      <c r="AL1081" s="507">
        <f t="shared" si="783"/>
        <v>112.7659574468085</v>
      </c>
      <c r="AM1081" s="507">
        <f t="shared" si="783"/>
        <v>107.54716981132076</v>
      </c>
      <c r="AN1081" s="509"/>
      <c r="AO1081" s="510"/>
      <c r="AP1081" s="510" t="e">
        <f t="shared" ca="1" si="790"/>
        <v>#NAME?</v>
      </c>
      <c r="AQ1081" s="532">
        <f>AQ1082+AQ1083</f>
        <v>9340</v>
      </c>
      <c r="AR1081" s="533">
        <f t="shared" si="796"/>
        <v>120.17386857581181</v>
      </c>
      <c r="AS1081" s="533">
        <f t="shared" si="798"/>
        <v>100</v>
      </c>
      <c r="AT1081" s="533">
        <f t="shared" si="797"/>
        <v>120.17386857581181</v>
      </c>
      <c r="AU1081" s="533">
        <f>AQ1081/W1081*100</f>
        <v>99.361702127659584</v>
      </c>
      <c r="AV1081" s="533">
        <f>AQ1081/R1081*100</f>
        <v>119.40680132958323</v>
      </c>
      <c r="AW1081" s="612"/>
      <c r="AX1081" s="612"/>
      <c r="AY1081" s="612"/>
      <c r="AZ1081" s="612"/>
      <c r="BA1081" s="612"/>
      <c r="BB1081" s="612"/>
      <c r="BC1081" s="612"/>
      <c r="BD1081" s="612"/>
      <c r="BE1081" s="612"/>
      <c r="BF1081" s="612"/>
      <c r="BG1081" s="612"/>
      <c r="BH1081" s="612">
        <f t="shared" si="794"/>
        <v>0</v>
      </c>
      <c r="BI1081" s="612">
        <f t="shared" si="780"/>
        <v>0</v>
      </c>
      <c r="BJ1081" s="201"/>
    </row>
    <row r="1082" spans="1:62" ht="12" customHeight="1">
      <c r="A1082" s="52"/>
      <c r="B1082" s="52"/>
      <c r="C1082" s="52"/>
      <c r="D1082" s="52"/>
      <c r="E1082" s="52"/>
      <c r="F1082" s="52"/>
      <c r="G1082" s="52"/>
      <c r="H1082" s="2">
        <v>49</v>
      </c>
      <c r="I1082" s="289">
        <v>820</v>
      </c>
      <c r="J1082" s="185">
        <v>3132</v>
      </c>
      <c r="K1082" s="19" t="s">
        <v>331</v>
      </c>
      <c r="L1082" s="129">
        <v>57759</v>
      </c>
      <c r="M1082" s="129">
        <f>57759/7.5345</f>
        <v>7665.9366912203859</v>
      </c>
      <c r="N1082" s="130">
        <v>52088</v>
      </c>
      <c r="O1082" s="130">
        <f>N1082/7.5345</f>
        <v>6913.2656447010413</v>
      </c>
      <c r="P1082" s="131">
        <v>7800</v>
      </c>
      <c r="Q1082" s="156">
        <v>7900</v>
      </c>
      <c r="R1082" s="153">
        <v>7822</v>
      </c>
      <c r="S1082" s="158"/>
      <c r="T1082" s="158"/>
      <c r="U1082" s="158"/>
      <c r="V1082" s="532">
        <v>9400</v>
      </c>
      <c r="W1082" s="532">
        <v>9400</v>
      </c>
      <c r="X1082" s="560">
        <v>10600</v>
      </c>
      <c r="Y1082" s="561">
        <v>11400</v>
      </c>
      <c r="Z1082" s="561"/>
      <c r="AA1082" s="562" t="e">
        <f t="shared" ca="1" si="793"/>
        <v>#NAME?</v>
      </c>
      <c r="AB1082" s="535"/>
      <c r="AC1082" s="529">
        <v>8000</v>
      </c>
      <c r="AD1082" s="529">
        <v>8000</v>
      </c>
      <c r="AE1082" s="529">
        <f>O1082/M1082*100</f>
        <v>90.181616717740951</v>
      </c>
      <c r="AF1082" s="529">
        <f>P1082/O1082*100</f>
        <v>112.82656273997851</v>
      </c>
      <c r="AG1082" s="529">
        <f>Q1082/P1082*100</f>
        <v>101.28205128205127</v>
      </c>
      <c r="AH1082" s="529">
        <f>AC1082/Q1082*100</f>
        <v>101.26582278481013</v>
      </c>
      <c r="AI1082" s="535"/>
      <c r="AJ1082" s="561">
        <v>11400</v>
      </c>
      <c r="AK1082" s="507">
        <f t="shared" si="782"/>
        <v>120.17386857581181</v>
      </c>
      <c r="AL1082" s="507">
        <f t="shared" si="783"/>
        <v>112.7659574468085</v>
      </c>
      <c r="AM1082" s="507">
        <f t="shared" si="783"/>
        <v>107.54716981132076</v>
      </c>
      <c r="AN1082" s="556"/>
      <c r="AO1082" s="510"/>
      <c r="AP1082" s="510" t="e">
        <f t="shared" ca="1" si="790"/>
        <v>#NAME?</v>
      </c>
      <c r="AQ1082" s="532">
        <v>9340</v>
      </c>
      <c r="AR1082" s="533">
        <f t="shared" si="796"/>
        <v>120.17386857581181</v>
      </c>
      <c r="AS1082" s="533">
        <f t="shared" si="798"/>
        <v>100</v>
      </c>
      <c r="AT1082" s="533">
        <f t="shared" si="797"/>
        <v>120.17386857581181</v>
      </c>
      <c r="AU1082" s="533">
        <f>AQ1082/W1082*100</f>
        <v>99.361702127659584</v>
      </c>
      <c r="AV1082" s="533">
        <f>AQ1082/R1082*100</f>
        <v>119.40680132958323</v>
      </c>
      <c r="AW1082" s="612">
        <f>AQ1082</f>
        <v>9340</v>
      </c>
      <c r="AX1082" s="612"/>
      <c r="AY1082" s="612"/>
      <c r="AZ1082" s="612"/>
      <c r="BA1082" s="612"/>
      <c r="BB1082" s="612"/>
      <c r="BC1082" s="612"/>
      <c r="BD1082" s="612"/>
      <c r="BE1082" s="612"/>
      <c r="BF1082" s="612"/>
      <c r="BG1082" s="612"/>
      <c r="BH1082" s="612">
        <f t="shared" si="794"/>
        <v>9340</v>
      </c>
      <c r="BI1082" s="612">
        <f t="shared" si="780"/>
        <v>515</v>
      </c>
      <c r="BJ1082" s="201"/>
    </row>
    <row r="1083" spans="1:62" ht="12" customHeight="1">
      <c r="A1083" s="52"/>
      <c r="B1083" s="52"/>
      <c r="C1083" s="52"/>
      <c r="D1083" s="52"/>
      <c r="E1083" s="52"/>
      <c r="F1083" s="52"/>
      <c r="G1083" s="52"/>
      <c r="H1083" s="2">
        <v>50</v>
      </c>
      <c r="I1083" s="289">
        <v>820</v>
      </c>
      <c r="J1083" s="185">
        <v>3133</v>
      </c>
      <c r="K1083" s="19" t="s">
        <v>818</v>
      </c>
      <c r="L1083" s="129">
        <v>0</v>
      </c>
      <c r="M1083" s="129">
        <v>0</v>
      </c>
      <c r="N1083" s="130">
        <v>0</v>
      </c>
      <c r="O1083" s="130">
        <f>N1083/7.5345</f>
        <v>0</v>
      </c>
      <c r="P1083" s="131">
        <v>0</v>
      </c>
      <c r="Q1083" s="131">
        <v>0</v>
      </c>
      <c r="R1083" s="153">
        <v>0</v>
      </c>
      <c r="S1083" s="158"/>
      <c r="T1083" s="158"/>
      <c r="U1083" s="158"/>
      <c r="V1083" s="532"/>
      <c r="W1083" s="532"/>
      <c r="X1083" s="560"/>
      <c r="Y1083" s="561"/>
      <c r="Z1083" s="561"/>
      <c r="AA1083" s="562" t="e">
        <f t="shared" ca="1" si="793"/>
        <v>#NAME?</v>
      </c>
      <c r="AB1083" s="535"/>
      <c r="AC1083" s="529">
        <v>0</v>
      </c>
      <c r="AD1083" s="529">
        <v>0</v>
      </c>
      <c r="AE1083" s="529"/>
      <c r="AF1083" s="529"/>
      <c r="AG1083" s="529"/>
      <c r="AH1083" s="529"/>
      <c r="AI1083" s="535"/>
      <c r="AJ1083" s="561"/>
      <c r="AK1083" s="507"/>
      <c r="AL1083" s="507"/>
      <c r="AM1083" s="507"/>
      <c r="AN1083" s="556"/>
      <c r="AO1083" s="510"/>
      <c r="AP1083" s="510" t="e">
        <f t="shared" ca="1" si="790"/>
        <v>#NAME?</v>
      </c>
      <c r="AQ1083" s="532"/>
      <c r="AR1083" s="533"/>
      <c r="AS1083" s="533"/>
      <c r="AT1083" s="533"/>
      <c r="AU1083" s="533"/>
      <c r="AV1083" s="533"/>
      <c r="AW1083" s="612">
        <f>AQ1083</f>
        <v>0</v>
      </c>
      <c r="AX1083" s="612"/>
      <c r="AY1083" s="612"/>
      <c r="AZ1083" s="612"/>
      <c r="BA1083" s="612"/>
      <c r="BB1083" s="612"/>
      <c r="BC1083" s="612"/>
      <c r="BD1083" s="612"/>
      <c r="BE1083" s="612"/>
      <c r="BF1083" s="612"/>
      <c r="BG1083" s="612"/>
      <c r="BH1083" s="612">
        <f t="shared" si="794"/>
        <v>0</v>
      </c>
      <c r="BI1083" s="612">
        <f t="shared" si="780"/>
        <v>0</v>
      </c>
      <c r="BJ1083" s="201"/>
    </row>
    <row r="1084" spans="1:62" ht="12" customHeight="1">
      <c r="A1084" s="52"/>
      <c r="B1084" s="52"/>
      <c r="C1084" s="52"/>
      <c r="D1084" s="52"/>
      <c r="E1084" s="52"/>
      <c r="F1084" s="52"/>
      <c r="G1084" s="52"/>
      <c r="H1084" s="2"/>
      <c r="I1084" s="289"/>
      <c r="J1084" s="185"/>
      <c r="K1084" s="19"/>
      <c r="L1084" s="129"/>
      <c r="M1084" s="129"/>
      <c r="N1084" s="130"/>
      <c r="O1084" s="130"/>
      <c r="P1084" s="131"/>
      <c r="Q1084" s="131"/>
      <c r="R1084" s="153"/>
      <c r="S1084" s="158"/>
      <c r="T1084" s="158"/>
      <c r="U1084" s="158"/>
      <c r="V1084" s="532"/>
      <c r="W1084" s="532"/>
      <c r="X1084" s="560"/>
      <c r="Y1084" s="561"/>
      <c r="Z1084" s="561"/>
      <c r="AA1084" s="562" t="e">
        <f t="shared" ca="1" si="793"/>
        <v>#NAME?</v>
      </c>
      <c r="AB1084" s="535"/>
      <c r="AC1084" s="529"/>
      <c r="AD1084" s="529"/>
      <c r="AE1084" s="529"/>
      <c r="AF1084" s="529"/>
      <c r="AG1084" s="529"/>
      <c r="AH1084" s="529"/>
      <c r="AI1084" s="535"/>
      <c r="AJ1084" s="561"/>
      <c r="AK1084" s="507"/>
      <c r="AL1084" s="507"/>
      <c r="AM1084" s="507"/>
      <c r="AN1084" s="556"/>
      <c r="AO1084" s="510"/>
      <c r="AP1084" s="510" t="e">
        <f t="shared" ca="1" si="790"/>
        <v>#NAME?</v>
      </c>
      <c r="AQ1084" s="532"/>
      <c r="AR1084" s="533"/>
      <c r="AS1084" s="533"/>
      <c r="AT1084" s="533"/>
      <c r="AU1084" s="533"/>
      <c r="AV1084" s="533"/>
      <c r="AW1084" s="612"/>
      <c r="AX1084" s="612"/>
      <c r="AY1084" s="612"/>
      <c r="AZ1084" s="612"/>
      <c r="BA1084" s="612"/>
      <c r="BB1084" s="612"/>
      <c r="BC1084" s="612"/>
      <c r="BD1084" s="612"/>
      <c r="BE1084" s="612"/>
      <c r="BF1084" s="612"/>
      <c r="BG1084" s="612"/>
      <c r="BH1084" s="612">
        <f t="shared" si="794"/>
        <v>0</v>
      </c>
      <c r="BI1084" s="612">
        <f t="shared" si="780"/>
        <v>0</v>
      </c>
      <c r="BJ1084" s="201"/>
    </row>
    <row r="1085" spans="1:62" ht="12" customHeight="1">
      <c r="A1085" s="227"/>
      <c r="B1085" s="227"/>
      <c r="C1085" s="227"/>
      <c r="D1085" s="227"/>
      <c r="E1085" s="227"/>
      <c r="F1085" s="227"/>
      <c r="G1085" s="227"/>
      <c r="H1085" s="234"/>
      <c r="I1085" s="265"/>
      <c r="J1085" s="228">
        <v>32</v>
      </c>
      <c r="K1085" s="258" t="s">
        <v>229</v>
      </c>
      <c r="L1085" s="111">
        <f t="shared" ref="L1085:S1085" si="807">L1087+L1091+L1097+L1105</f>
        <v>60239</v>
      </c>
      <c r="M1085" s="111">
        <f t="shared" si="807"/>
        <v>7995.0892560886587</v>
      </c>
      <c r="N1085" s="112">
        <f t="shared" si="807"/>
        <v>71003</v>
      </c>
      <c r="O1085" s="112">
        <f t="shared" si="807"/>
        <v>9423.7175658636916</v>
      </c>
      <c r="P1085" s="113">
        <f t="shared" si="807"/>
        <v>18600</v>
      </c>
      <c r="Q1085" s="113">
        <f t="shared" si="807"/>
        <v>19300</v>
      </c>
      <c r="R1085" s="87">
        <f t="shared" si="807"/>
        <v>8937</v>
      </c>
      <c r="S1085" s="89">
        <f t="shared" si="807"/>
        <v>0</v>
      </c>
      <c r="T1085" s="89"/>
      <c r="U1085" s="89"/>
      <c r="V1085" s="532">
        <f>V1087+V1091+V1097+V1105</f>
        <v>27800</v>
      </c>
      <c r="W1085" s="532">
        <f>W1087+W1091+W1097+W1105</f>
        <v>27800</v>
      </c>
      <c r="X1085" s="506">
        <f>X1087+X1091+X1097+X1105</f>
        <v>27300</v>
      </c>
      <c r="Y1085" s="507">
        <f>Y1087+Y1091+Y1097+Y1105</f>
        <v>30000</v>
      </c>
      <c r="Z1085" s="507">
        <f>Z1087+Z1091+Z1097+Z1105</f>
        <v>0</v>
      </c>
      <c r="AA1085" s="562" t="e">
        <f t="shared" ca="1" si="793"/>
        <v>#NAME?</v>
      </c>
      <c r="AB1085" s="507"/>
      <c r="AC1085" s="508">
        <f>AC1087+AC1091+AC1097+AC1105</f>
        <v>49300</v>
      </c>
      <c r="AD1085" s="508">
        <f>AD1087+AD1091+AD1097+AD1105</f>
        <v>49300</v>
      </c>
      <c r="AE1085" s="529">
        <f>O1085/M1085*100</f>
        <v>117.86882252361424</v>
      </c>
      <c r="AF1085" s="529">
        <f>P1085/O1085*100</f>
        <v>197.37433629564953</v>
      </c>
      <c r="AG1085" s="529">
        <f>Q1085/P1085*100</f>
        <v>103.76344086021506</v>
      </c>
      <c r="AH1085" s="529">
        <f>AC1085/Q1085*100</f>
        <v>255.44041450777203</v>
      </c>
      <c r="AI1085" s="507"/>
      <c r="AJ1085" s="507">
        <v>30000</v>
      </c>
      <c r="AK1085" s="507">
        <f t="shared" si="782"/>
        <v>311.0663533624259</v>
      </c>
      <c r="AL1085" s="507">
        <f t="shared" si="783"/>
        <v>98.201438848920859</v>
      </c>
      <c r="AM1085" s="507">
        <f t="shared" si="783"/>
        <v>109.8901098901099</v>
      </c>
      <c r="AN1085" s="509"/>
      <c r="AO1085" s="510"/>
      <c r="AP1085" s="510" t="e">
        <f t="shared" ca="1" si="790"/>
        <v>#NAME?</v>
      </c>
      <c r="AQ1085" s="532">
        <f>AQ1087+AQ1091+AQ1097+AQ1105</f>
        <v>23521</v>
      </c>
      <c r="AR1085" s="533">
        <f t="shared" si="796"/>
        <v>311.0663533624259</v>
      </c>
      <c r="AS1085" s="533">
        <f t="shared" si="798"/>
        <v>100</v>
      </c>
      <c r="AT1085" s="533">
        <f t="shared" si="797"/>
        <v>311.0663533624259</v>
      </c>
      <c r="AU1085" s="533">
        <f>AQ1085/W1085*100</f>
        <v>84.607913669064743</v>
      </c>
      <c r="AV1085" s="533">
        <f>AQ1085/R1085*100</f>
        <v>263.1867517063892</v>
      </c>
      <c r="AW1085" s="612"/>
      <c r="AX1085" s="612"/>
      <c r="AY1085" s="612"/>
      <c r="AZ1085" s="612"/>
      <c r="BA1085" s="612"/>
      <c r="BB1085" s="612"/>
      <c r="BC1085" s="612"/>
      <c r="BD1085" s="612"/>
      <c r="BE1085" s="612"/>
      <c r="BF1085" s="612"/>
      <c r="BG1085" s="612"/>
      <c r="BH1085" s="612">
        <f t="shared" si="794"/>
        <v>0</v>
      </c>
      <c r="BI1085" s="612">
        <f t="shared" si="780"/>
        <v>565</v>
      </c>
      <c r="BJ1085" s="201"/>
    </row>
    <row r="1086" spans="1:62" ht="12" customHeight="1">
      <c r="A1086" s="25"/>
      <c r="B1086" s="25"/>
      <c r="C1086" s="25"/>
      <c r="D1086" s="25"/>
      <c r="E1086" s="25"/>
      <c r="F1086" s="25"/>
      <c r="G1086" s="25"/>
      <c r="H1086" s="285"/>
      <c r="I1086" s="349"/>
      <c r="J1086" s="211"/>
      <c r="K1086" s="3"/>
      <c r="L1086" s="111"/>
      <c r="M1086" s="111"/>
      <c r="N1086" s="112"/>
      <c r="O1086" s="112"/>
      <c r="P1086" s="113"/>
      <c r="Q1086" s="113"/>
      <c r="R1086" s="87"/>
      <c r="S1086" s="89"/>
      <c r="T1086" s="89"/>
      <c r="U1086" s="89"/>
      <c r="V1086" s="532"/>
      <c r="W1086" s="532"/>
      <c r="X1086" s="563"/>
      <c r="Y1086" s="562"/>
      <c r="Z1086" s="562"/>
      <c r="AA1086" s="562" t="e">
        <f t="shared" ca="1" si="793"/>
        <v>#NAME?</v>
      </c>
      <c r="AB1086" s="507"/>
      <c r="AC1086" s="508"/>
      <c r="AD1086" s="508"/>
      <c r="AE1086" s="529"/>
      <c r="AF1086" s="529"/>
      <c r="AG1086" s="529"/>
      <c r="AH1086" s="529"/>
      <c r="AI1086" s="507"/>
      <c r="AJ1086" s="562"/>
      <c r="AK1086" s="507"/>
      <c r="AL1086" s="507"/>
      <c r="AM1086" s="507"/>
      <c r="AN1086" s="509"/>
      <c r="AO1086" s="510"/>
      <c r="AP1086" s="510" t="e">
        <f t="shared" ca="1" si="790"/>
        <v>#NAME?</v>
      </c>
      <c r="AQ1086" s="532"/>
      <c r="AR1086" s="533"/>
      <c r="AS1086" s="533"/>
      <c r="AT1086" s="533"/>
      <c r="AU1086" s="533"/>
      <c r="AV1086" s="533"/>
      <c r="AW1086" s="612"/>
      <c r="AX1086" s="612"/>
      <c r="AY1086" s="612"/>
      <c r="AZ1086" s="612"/>
      <c r="BA1086" s="612"/>
      <c r="BB1086" s="612"/>
      <c r="BC1086" s="612"/>
      <c r="BD1086" s="612"/>
      <c r="BE1086" s="612"/>
      <c r="BF1086" s="612"/>
      <c r="BG1086" s="612"/>
      <c r="BH1086" s="612">
        <f t="shared" si="794"/>
        <v>0</v>
      </c>
      <c r="BI1086" s="612">
        <f t="shared" si="780"/>
        <v>0</v>
      </c>
      <c r="BJ1086" s="201"/>
    </row>
    <row r="1087" spans="1:62" ht="12" customHeight="1">
      <c r="A1087" s="61"/>
      <c r="B1087" s="61"/>
      <c r="C1087" s="61"/>
      <c r="D1087" s="61"/>
      <c r="E1087" s="61"/>
      <c r="F1087" s="61"/>
      <c r="G1087" s="61"/>
      <c r="H1087" s="230"/>
      <c r="I1087" s="348"/>
      <c r="J1087" s="229">
        <v>321</v>
      </c>
      <c r="K1087" s="20" t="s">
        <v>819</v>
      </c>
      <c r="L1087" s="111">
        <f t="shared" ref="L1087:Z1087" si="808">L1088</f>
        <v>0</v>
      </c>
      <c r="M1087" s="111">
        <f t="shared" si="808"/>
        <v>0</v>
      </c>
      <c r="N1087" s="112">
        <f t="shared" si="808"/>
        <v>590</v>
      </c>
      <c r="O1087" s="112">
        <f t="shared" si="808"/>
        <v>78.306456964629362</v>
      </c>
      <c r="P1087" s="113">
        <f t="shared" si="808"/>
        <v>400</v>
      </c>
      <c r="Q1087" s="113">
        <f t="shared" si="808"/>
        <v>400</v>
      </c>
      <c r="R1087" s="87">
        <f t="shared" si="808"/>
        <v>0</v>
      </c>
      <c r="S1087" s="89">
        <f t="shared" si="808"/>
        <v>0</v>
      </c>
      <c r="T1087" s="89"/>
      <c r="U1087" s="89"/>
      <c r="V1087" s="532">
        <f>V1088</f>
        <v>1000</v>
      </c>
      <c r="W1087" s="532">
        <f t="shared" si="808"/>
        <v>1000</v>
      </c>
      <c r="X1087" s="506">
        <f t="shared" si="808"/>
        <v>700</v>
      </c>
      <c r="Y1087" s="507">
        <f t="shared" si="808"/>
        <v>700</v>
      </c>
      <c r="Z1087" s="507">
        <f t="shared" si="808"/>
        <v>0</v>
      </c>
      <c r="AA1087" s="562" t="e">
        <f t="shared" ca="1" si="793"/>
        <v>#NAME?</v>
      </c>
      <c r="AB1087" s="507"/>
      <c r="AC1087" s="508">
        <f>AC1088</f>
        <v>400</v>
      </c>
      <c r="AD1087" s="508">
        <f>AD1088</f>
        <v>400</v>
      </c>
      <c r="AE1087" s="529"/>
      <c r="AF1087" s="529"/>
      <c r="AG1087" s="529"/>
      <c r="AH1087" s="529"/>
      <c r="AI1087" s="507"/>
      <c r="AJ1087" s="507">
        <v>700</v>
      </c>
      <c r="AK1087" s="507"/>
      <c r="AL1087" s="507">
        <f t="shared" si="783"/>
        <v>70</v>
      </c>
      <c r="AM1087" s="507">
        <f t="shared" si="783"/>
        <v>100</v>
      </c>
      <c r="AN1087" s="509"/>
      <c r="AO1087" s="510"/>
      <c r="AP1087" s="510" t="e">
        <f t="shared" ca="1" si="790"/>
        <v>#NAME?</v>
      </c>
      <c r="AQ1087" s="532">
        <f>AQ1088+AQ1089</f>
        <v>515</v>
      </c>
      <c r="AR1087" s="533"/>
      <c r="AS1087" s="533">
        <f t="shared" si="798"/>
        <v>100</v>
      </c>
      <c r="AT1087" s="533"/>
      <c r="AU1087" s="533">
        <f>AQ1087/W1087*100</f>
        <v>51.5</v>
      </c>
      <c r="AV1087" s="533"/>
      <c r="AW1087" s="612"/>
      <c r="AX1087" s="612"/>
      <c r="AY1087" s="612"/>
      <c r="AZ1087" s="612"/>
      <c r="BA1087" s="612"/>
      <c r="BB1087" s="612"/>
      <c r="BC1087" s="612"/>
      <c r="BD1087" s="612"/>
      <c r="BE1087" s="612"/>
      <c r="BF1087" s="612"/>
      <c r="BG1087" s="612"/>
      <c r="BH1087" s="612">
        <f t="shared" si="794"/>
        <v>0</v>
      </c>
      <c r="BI1087" s="612">
        <f t="shared" si="780"/>
        <v>115</v>
      </c>
      <c r="BJ1087" s="201"/>
    </row>
    <row r="1088" spans="1:62" ht="12" customHeight="1">
      <c r="A1088" s="52"/>
      <c r="B1088" s="52"/>
      <c r="C1088" s="52"/>
      <c r="D1088" s="52"/>
      <c r="E1088" s="52"/>
      <c r="F1088" s="52"/>
      <c r="G1088" s="52"/>
      <c r="H1088" s="2">
        <v>51</v>
      </c>
      <c r="I1088" s="289">
        <v>820</v>
      </c>
      <c r="J1088" s="185">
        <v>3211</v>
      </c>
      <c r="K1088" s="19" t="s">
        <v>231</v>
      </c>
      <c r="L1088" s="129">
        <v>0</v>
      </c>
      <c r="M1088" s="129">
        <v>0</v>
      </c>
      <c r="N1088" s="130">
        <v>590</v>
      </c>
      <c r="O1088" s="130">
        <f>N1088/7.5345</f>
        <v>78.306456964629362</v>
      </c>
      <c r="P1088" s="131">
        <v>400</v>
      </c>
      <c r="Q1088" s="131">
        <v>400</v>
      </c>
      <c r="R1088" s="153">
        <v>0</v>
      </c>
      <c r="S1088" s="158"/>
      <c r="T1088" s="158"/>
      <c r="U1088" s="158"/>
      <c r="V1088" s="532">
        <v>1000</v>
      </c>
      <c r="W1088" s="532">
        <v>1000</v>
      </c>
      <c r="X1088" s="560">
        <v>700</v>
      </c>
      <c r="Y1088" s="561">
        <v>700</v>
      </c>
      <c r="Z1088" s="561"/>
      <c r="AA1088" s="562" t="e">
        <f t="shared" ca="1" si="793"/>
        <v>#NAME?</v>
      </c>
      <c r="AB1088" s="535"/>
      <c r="AC1088" s="529">
        <v>400</v>
      </c>
      <c r="AD1088" s="529">
        <v>400</v>
      </c>
      <c r="AE1088" s="529"/>
      <c r="AF1088" s="529"/>
      <c r="AG1088" s="529"/>
      <c r="AH1088" s="529"/>
      <c r="AI1088" s="535"/>
      <c r="AJ1088" s="561">
        <v>700</v>
      </c>
      <c r="AK1088" s="507"/>
      <c r="AL1088" s="507">
        <f t="shared" si="783"/>
        <v>70</v>
      </c>
      <c r="AM1088" s="507">
        <f t="shared" si="783"/>
        <v>100</v>
      </c>
      <c r="AN1088" s="556"/>
      <c r="AO1088" s="510"/>
      <c r="AP1088" s="510" t="e">
        <f t="shared" ca="1" si="790"/>
        <v>#NAME?</v>
      </c>
      <c r="AQ1088" s="532"/>
      <c r="AR1088" s="533"/>
      <c r="AS1088" s="533">
        <f t="shared" si="798"/>
        <v>100</v>
      </c>
      <c r="AT1088" s="533"/>
      <c r="AU1088" s="533">
        <f>AQ1088/W1088*100</f>
        <v>0</v>
      </c>
      <c r="AV1088" s="533"/>
      <c r="AW1088" s="612">
        <f>AQ1088</f>
        <v>0</v>
      </c>
      <c r="AX1088" s="612"/>
      <c r="AY1088" s="612"/>
      <c r="AZ1088" s="612"/>
      <c r="BA1088" s="612"/>
      <c r="BB1088" s="612"/>
      <c r="BC1088" s="612"/>
      <c r="BD1088" s="612"/>
      <c r="BE1088" s="612"/>
      <c r="BF1088" s="612"/>
      <c r="BG1088" s="612"/>
      <c r="BH1088" s="612">
        <f t="shared" si="794"/>
        <v>0</v>
      </c>
      <c r="BI1088" s="612">
        <f t="shared" si="780"/>
        <v>144</v>
      </c>
      <c r="BJ1088" s="201"/>
    </row>
    <row r="1089" spans="1:62" ht="12" customHeight="1">
      <c r="A1089" s="167"/>
      <c r="B1089" s="167"/>
      <c r="C1089" s="167"/>
      <c r="D1089" s="167"/>
      <c r="E1089" s="167"/>
      <c r="F1089" s="167"/>
      <c r="G1089" s="167"/>
      <c r="H1089" s="426"/>
      <c r="I1089" s="12"/>
      <c r="J1089" s="185">
        <v>3213</v>
      </c>
      <c r="K1089" s="208" t="s">
        <v>233</v>
      </c>
      <c r="L1089" s="262"/>
      <c r="M1089" s="262"/>
      <c r="N1089" s="263"/>
      <c r="O1089" s="263"/>
      <c r="P1089" s="264"/>
      <c r="Q1089" s="264"/>
      <c r="R1089" s="274"/>
      <c r="S1089" s="279"/>
      <c r="T1089" s="279"/>
      <c r="U1089" s="279"/>
      <c r="V1089" s="532"/>
      <c r="W1089" s="532"/>
      <c r="X1089" s="574"/>
      <c r="Y1089" s="575"/>
      <c r="Z1089" s="575"/>
      <c r="AA1089" s="562" t="e">
        <f t="shared" ca="1" si="793"/>
        <v>#NAME?</v>
      </c>
      <c r="AB1089" s="540"/>
      <c r="AC1089" s="541"/>
      <c r="AD1089" s="541"/>
      <c r="AE1089" s="529"/>
      <c r="AF1089" s="529"/>
      <c r="AG1089" s="529"/>
      <c r="AH1089" s="529"/>
      <c r="AI1089" s="540"/>
      <c r="AJ1089" s="575"/>
      <c r="AK1089" s="507"/>
      <c r="AL1089" s="507"/>
      <c r="AM1089" s="507"/>
      <c r="AN1089" s="558"/>
      <c r="AO1089" s="510"/>
      <c r="AP1089" s="510" t="e">
        <f t="shared" ca="1" si="790"/>
        <v>#NAME?</v>
      </c>
      <c r="AQ1089" s="532">
        <v>515</v>
      </c>
      <c r="AR1089" s="533"/>
      <c r="AS1089" s="533"/>
      <c r="AT1089" s="533"/>
      <c r="AU1089" s="533"/>
      <c r="AV1089" s="533"/>
      <c r="AW1089" s="612">
        <f>AQ1089</f>
        <v>515</v>
      </c>
      <c r="AX1089" s="612"/>
      <c r="AY1089" s="612"/>
      <c r="AZ1089" s="612"/>
      <c r="BA1089" s="612"/>
      <c r="BB1089" s="612"/>
      <c r="BC1089" s="612"/>
      <c r="BD1089" s="612"/>
      <c r="BE1089" s="612"/>
      <c r="BF1089" s="612"/>
      <c r="BG1089" s="612"/>
      <c r="BH1089" s="612">
        <f t="shared" si="794"/>
        <v>515</v>
      </c>
      <c r="BI1089" s="612">
        <f t="shared" si="780"/>
        <v>0</v>
      </c>
      <c r="BJ1089" s="201"/>
    </row>
    <row r="1090" spans="1:62" ht="12" customHeight="1">
      <c r="A1090" s="167"/>
      <c r="B1090" s="167"/>
      <c r="C1090" s="167"/>
      <c r="D1090" s="167"/>
      <c r="E1090" s="167"/>
      <c r="F1090" s="167"/>
      <c r="G1090" s="167"/>
      <c r="H1090" s="426"/>
      <c r="I1090" s="12"/>
      <c r="J1090" s="19"/>
      <c r="K1090" s="208"/>
      <c r="L1090" s="300"/>
      <c r="M1090" s="300"/>
      <c r="N1090" s="301"/>
      <c r="O1090" s="301"/>
      <c r="P1090" s="302"/>
      <c r="Q1090" s="302"/>
      <c r="R1090" s="310"/>
      <c r="S1090" s="314"/>
      <c r="T1090" s="314"/>
      <c r="U1090" s="314"/>
      <c r="V1090" s="532"/>
      <c r="W1090" s="532"/>
      <c r="X1090" s="579"/>
      <c r="Y1090" s="580"/>
      <c r="Z1090" s="580"/>
      <c r="AA1090" s="562" t="e">
        <f t="shared" ca="1" si="793"/>
        <v>#NAME?</v>
      </c>
      <c r="AB1090" s="581"/>
      <c r="AC1090" s="582"/>
      <c r="AD1090" s="582"/>
      <c r="AE1090" s="529"/>
      <c r="AF1090" s="529"/>
      <c r="AG1090" s="529"/>
      <c r="AH1090" s="529"/>
      <c r="AI1090" s="581"/>
      <c r="AJ1090" s="580"/>
      <c r="AK1090" s="507"/>
      <c r="AL1090" s="507"/>
      <c r="AM1090" s="507"/>
      <c r="AN1090" s="583"/>
      <c r="AO1090" s="510"/>
      <c r="AP1090" s="510" t="e">
        <f t="shared" ca="1" si="790"/>
        <v>#NAME?</v>
      </c>
      <c r="AQ1090" s="532"/>
      <c r="AR1090" s="533"/>
      <c r="AS1090" s="533"/>
      <c r="AT1090" s="533"/>
      <c r="AU1090" s="533"/>
      <c r="AV1090" s="533"/>
      <c r="AW1090" s="612"/>
      <c r="AX1090" s="612"/>
      <c r="AY1090" s="612"/>
      <c r="AZ1090" s="612"/>
      <c r="BA1090" s="612"/>
      <c r="BB1090" s="612"/>
      <c r="BC1090" s="612"/>
      <c r="BD1090" s="612"/>
      <c r="BE1090" s="612"/>
      <c r="BF1090" s="612"/>
      <c r="BG1090" s="612"/>
      <c r="BH1090" s="612">
        <f t="shared" si="794"/>
        <v>0</v>
      </c>
      <c r="BI1090" s="612">
        <f t="shared" si="780"/>
        <v>0</v>
      </c>
      <c r="BJ1090" s="201"/>
    </row>
    <row r="1091" spans="1:62" ht="12" customHeight="1">
      <c r="A1091" s="61"/>
      <c r="B1091" s="61"/>
      <c r="C1091" s="61"/>
      <c r="D1091" s="61"/>
      <c r="E1091" s="61"/>
      <c r="F1091" s="61"/>
      <c r="G1091" s="61"/>
      <c r="H1091" s="230"/>
      <c r="I1091" s="348"/>
      <c r="J1091" s="229">
        <v>322</v>
      </c>
      <c r="K1091" s="20" t="s">
        <v>570</v>
      </c>
      <c r="L1091" s="250">
        <f t="shared" ref="L1091:S1091" si="809">L1092+L1093+L1094+L1095</f>
        <v>1610</v>
      </c>
      <c r="M1091" s="250">
        <f t="shared" si="809"/>
        <v>213.68372154754792</v>
      </c>
      <c r="N1091" s="251">
        <f t="shared" si="809"/>
        <v>3261</v>
      </c>
      <c r="O1091" s="251">
        <f t="shared" si="809"/>
        <v>432.80907824009552</v>
      </c>
      <c r="P1091" s="252">
        <f t="shared" si="809"/>
        <v>1700</v>
      </c>
      <c r="Q1091" s="252">
        <f t="shared" si="809"/>
        <v>1700</v>
      </c>
      <c r="R1091" s="272">
        <f t="shared" si="809"/>
        <v>610</v>
      </c>
      <c r="S1091" s="273">
        <f t="shared" si="809"/>
        <v>0</v>
      </c>
      <c r="T1091" s="273"/>
      <c r="U1091" s="273"/>
      <c r="V1091" s="532">
        <f>V1092+V1093+V1094+V1095</f>
        <v>1800</v>
      </c>
      <c r="W1091" s="532">
        <f>W1092+W1093+W1094+W1095</f>
        <v>1800</v>
      </c>
      <c r="X1091" s="564">
        <f>X1092+X1093+X1094+X1095</f>
        <v>2000</v>
      </c>
      <c r="Y1091" s="565">
        <f>Y1092+Y1093+Y1094+Y1095</f>
        <v>2200</v>
      </c>
      <c r="Z1091" s="565">
        <f>Z1092+Z1093+Z1094+Z1095</f>
        <v>0</v>
      </c>
      <c r="AA1091" s="562" t="e">
        <f t="shared" ca="1" si="793"/>
        <v>#NAME?</v>
      </c>
      <c r="AB1091" s="565"/>
      <c r="AC1091" s="566">
        <f>AC1092+AC1093+AC1094+AC1095</f>
        <v>1700</v>
      </c>
      <c r="AD1091" s="566">
        <f>AD1092+AD1093+AD1094+AD1095</f>
        <v>1700</v>
      </c>
      <c r="AE1091" s="529">
        <f>O1091/M1091*100</f>
        <v>202.54658385093168</v>
      </c>
      <c r="AF1091" s="529">
        <f>P1091/O1091*100</f>
        <v>392.78288868445264</v>
      </c>
      <c r="AG1091" s="529">
        <f>Q1091/P1091*100</f>
        <v>100</v>
      </c>
      <c r="AH1091" s="529">
        <f>AC1091/Q1091*100</f>
        <v>100</v>
      </c>
      <c r="AI1091" s="565"/>
      <c r="AJ1091" s="565">
        <v>2200</v>
      </c>
      <c r="AK1091" s="507">
        <f t="shared" si="782"/>
        <v>295.08196721311475</v>
      </c>
      <c r="AL1091" s="507">
        <f t="shared" si="783"/>
        <v>111.11111111111111</v>
      </c>
      <c r="AM1091" s="507">
        <f t="shared" si="783"/>
        <v>110.00000000000001</v>
      </c>
      <c r="AN1091" s="567"/>
      <c r="AO1091" s="510"/>
      <c r="AP1091" s="510" t="e">
        <f t="shared" ca="1" si="790"/>
        <v>#NAME?</v>
      </c>
      <c r="AQ1091" s="532">
        <f>AQ1092+AQ1093+AQ1094+AQ1095</f>
        <v>824</v>
      </c>
      <c r="AR1091" s="533">
        <f t="shared" si="796"/>
        <v>295.08196721311475</v>
      </c>
      <c r="AS1091" s="533">
        <f t="shared" si="798"/>
        <v>100</v>
      </c>
      <c r="AT1091" s="533">
        <f t="shared" si="797"/>
        <v>295.08196721311475</v>
      </c>
      <c r="AU1091" s="533">
        <f>AQ1091/W1091*100</f>
        <v>45.777777777777779</v>
      </c>
      <c r="AV1091" s="533">
        <f>AQ1091/R1091*100</f>
        <v>135.08196721311475</v>
      </c>
      <c r="AW1091" s="612"/>
      <c r="AX1091" s="612"/>
      <c r="AY1091" s="612"/>
      <c r="AZ1091" s="612"/>
      <c r="BA1091" s="612"/>
      <c r="BB1091" s="612"/>
      <c r="BC1091" s="612"/>
      <c r="BD1091" s="612"/>
      <c r="BE1091" s="612"/>
      <c r="BF1091" s="612"/>
      <c r="BG1091" s="612"/>
      <c r="BH1091" s="612">
        <f t="shared" si="794"/>
        <v>0</v>
      </c>
      <c r="BI1091" s="612">
        <f t="shared" si="780"/>
        <v>593</v>
      </c>
      <c r="BJ1091" s="201"/>
    </row>
    <row r="1092" spans="1:62" ht="12" customHeight="1">
      <c r="A1092" s="52"/>
      <c r="B1092" s="52"/>
      <c r="C1092" s="52"/>
      <c r="D1092" s="52"/>
      <c r="E1092" s="52"/>
      <c r="F1092" s="52"/>
      <c r="G1092" s="52"/>
      <c r="H1092" s="2">
        <v>53</v>
      </c>
      <c r="I1092" s="289">
        <v>820</v>
      </c>
      <c r="J1092" s="185">
        <v>3221</v>
      </c>
      <c r="K1092" s="19" t="s">
        <v>820</v>
      </c>
      <c r="L1092" s="129">
        <v>1154</v>
      </c>
      <c r="M1092" s="129">
        <f>1154/7.5345</f>
        <v>153.16212091047845</v>
      </c>
      <c r="N1092" s="130">
        <v>1736</v>
      </c>
      <c r="O1092" s="130">
        <f>N1092/7.5345</f>
        <v>230.40679540779081</v>
      </c>
      <c r="P1092" s="131">
        <v>400</v>
      </c>
      <c r="Q1092" s="131">
        <v>400</v>
      </c>
      <c r="R1092" s="153">
        <v>501</v>
      </c>
      <c r="S1092" s="158"/>
      <c r="T1092" s="158"/>
      <c r="U1092" s="158"/>
      <c r="V1092" s="532">
        <v>500</v>
      </c>
      <c r="W1092" s="532">
        <v>500</v>
      </c>
      <c r="X1092" s="560">
        <v>600</v>
      </c>
      <c r="Y1092" s="561">
        <v>600</v>
      </c>
      <c r="Z1092" s="561"/>
      <c r="AA1092" s="562" t="e">
        <f t="shared" ca="1" si="793"/>
        <v>#NAME?</v>
      </c>
      <c r="AB1092" s="535"/>
      <c r="AC1092" s="529">
        <v>400</v>
      </c>
      <c r="AD1092" s="529">
        <v>400</v>
      </c>
      <c r="AE1092" s="529">
        <f>O1092/M1092*100</f>
        <v>150.43327556325823</v>
      </c>
      <c r="AF1092" s="529">
        <f>P1092/O1092*100</f>
        <v>173.60599078341014</v>
      </c>
      <c r="AG1092" s="529">
        <f>Q1092/P1092*100</f>
        <v>100</v>
      </c>
      <c r="AH1092" s="529">
        <f>AC1092/Q1092*100</f>
        <v>100</v>
      </c>
      <c r="AI1092" s="535"/>
      <c r="AJ1092" s="561">
        <v>600</v>
      </c>
      <c r="AK1092" s="507">
        <f t="shared" si="782"/>
        <v>99.800399201596804</v>
      </c>
      <c r="AL1092" s="507">
        <f t="shared" si="783"/>
        <v>120</v>
      </c>
      <c r="AM1092" s="507">
        <f t="shared" si="783"/>
        <v>100</v>
      </c>
      <c r="AN1092" s="556"/>
      <c r="AO1092" s="510"/>
      <c r="AP1092" s="510" t="e">
        <f t="shared" ca="1" si="790"/>
        <v>#NAME?</v>
      </c>
      <c r="AQ1092" s="532">
        <v>565</v>
      </c>
      <c r="AR1092" s="533">
        <f t="shared" si="796"/>
        <v>99.800399201596804</v>
      </c>
      <c r="AS1092" s="533">
        <f t="shared" si="798"/>
        <v>100</v>
      </c>
      <c r="AT1092" s="533">
        <f t="shared" si="797"/>
        <v>99.800399201596804</v>
      </c>
      <c r="AU1092" s="533">
        <f>AQ1092/W1092*100</f>
        <v>112.99999999999999</v>
      </c>
      <c r="AV1092" s="533">
        <f>AQ1092/R1092*100</f>
        <v>112.7744510978044</v>
      </c>
      <c r="AW1092" s="612">
        <f>AQ1092</f>
        <v>565</v>
      </c>
      <c r="AX1092" s="612"/>
      <c r="AY1092" s="612"/>
      <c r="AZ1092" s="612"/>
      <c r="BA1092" s="612"/>
      <c r="BB1092" s="612"/>
      <c r="BC1092" s="612"/>
      <c r="BD1092" s="612"/>
      <c r="BE1092" s="612"/>
      <c r="BF1092" s="612"/>
      <c r="BG1092" s="612"/>
      <c r="BH1092" s="612">
        <f t="shared" si="794"/>
        <v>565</v>
      </c>
      <c r="BI1092" s="612">
        <f t="shared" si="780"/>
        <v>5889</v>
      </c>
      <c r="BJ1092" s="201"/>
    </row>
    <row r="1093" spans="1:62" ht="12" customHeight="1">
      <c r="A1093" s="52"/>
      <c r="B1093" s="52"/>
      <c r="C1093" s="52"/>
      <c r="D1093" s="52"/>
      <c r="E1093" s="52"/>
      <c r="F1093" s="52"/>
      <c r="G1093" s="52"/>
      <c r="H1093" s="2" t="s">
        <v>821</v>
      </c>
      <c r="I1093" s="289">
        <v>820</v>
      </c>
      <c r="J1093" s="185">
        <v>3223</v>
      </c>
      <c r="K1093" s="19" t="s">
        <v>238</v>
      </c>
      <c r="L1093" s="129">
        <v>0</v>
      </c>
      <c r="M1093" s="129">
        <v>0</v>
      </c>
      <c r="N1093" s="130">
        <v>0</v>
      </c>
      <c r="O1093" s="130">
        <f>N1093/7.5345</f>
        <v>0</v>
      </c>
      <c r="P1093" s="131">
        <v>700</v>
      </c>
      <c r="Q1093" s="131">
        <v>700</v>
      </c>
      <c r="R1093" s="153">
        <v>0</v>
      </c>
      <c r="S1093" s="158"/>
      <c r="T1093" s="158"/>
      <c r="U1093" s="158"/>
      <c r="V1093" s="532">
        <v>700</v>
      </c>
      <c r="W1093" s="532">
        <v>700</v>
      </c>
      <c r="X1093" s="560">
        <v>800</v>
      </c>
      <c r="Y1093" s="561">
        <v>800</v>
      </c>
      <c r="Z1093" s="561"/>
      <c r="AA1093" s="562" t="e">
        <f t="shared" ca="1" si="793"/>
        <v>#NAME?</v>
      </c>
      <c r="AB1093" s="535"/>
      <c r="AC1093" s="529">
        <v>700</v>
      </c>
      <c r="AD1093" s="529">
        <v>700</v>
      </c>
      <c r="AE1093" s="529"/>
      <c r="AF1093" s="529"/>
      <c r="AG1093" s="529"/>
      <c r="AH1093" s="529"/>
      <c r="AI1093" s="535"/>
      <c r="AJ1093" s="561">
        <v>800</v>
      </c>
      <c r="AK1093" s="507"/>
      <c r="AL1093" s="507">
        <f t="shared" si="783"/>
        <v>114.28571428571428</v>
      </c>
      <c r="AM1093" s="507">
        <f t="shared" si="783"/>
        <v>100</v>
      </c>
      <c r="AN1093" s="556"/>
      <c r="AO1093" s="510"/>
      <c r="AP1093" s="510" t="e">
        <f t="shared" ca="1" si="790"/>
        <v>#NAME?</v>
      </c>
      <c r="AQ1093" s="532">
        <v>0</v>
      </c>
      <c r="AR1093" s="533"/>
      <c r="AS1093" s="533">
        <f t="shared" si="798"/>
        <v>100</v>
      </c>
      <c r="AT1093" s="533"/>
      <c r="AU1093" s="533">
        <f>AQ1093/W1093*100</f>
        <v>0</v>
      </c>
      <c r="AV1093" s="533"/>
      <c r="AW1093" s="612">
        <f>AQ1093</f>
        <v>0</v>
      </c>
      <c r="AX1093" s="612"/>
      <c r="AY1093" s="612"/>
      <c r="AZ1093" s="612"/>
      <c r="BA1093" s="612"/>
      <c r="BB1093" s="612"/>
      <c r="BC1093" s="612"/>
      <c r="BD1093" s="612"/>
      <c r="BE1093" s="612"/>
      <c r="BF1093" s="612"/>
      <c r="BG1093" s="612"/>
      <c r="BH1093" s="612">
        <f t="shared" si="794"/>
        <v>0</v>
      </c>
      <c r="BI1093" s="612">
        <f t="shared" si="780"/>
        <v>396</v>
      </c>
      <c r="BJ1093" s="201"/>
    </row>
    <row r="1094" spans="1:62" ht="12" customHeight="1">
      <c r="A1094" s="52"/>
      <c r="B1094" s="52"/>
      <c r="C1094" s="52"/>
      <c r="D1094" s="52"/>
      <c r="E1094" s="52"/>
      <c r="F1094" s="52"/>
      <c r="G1094" s="52"/>
      <c r="H1094" s="2">
        <v>54</v>
      </c>
      <c r="I1094" s="289">
        <v>820</v>
      </c>
      <c r="J1094" s="185">
        <v>3224</v>
      </c>
      <c r="K1094" s="19" t="s">
        <v>822</v>
      </c>
      <c r="L1094" s="129">
        <v>456</v>
      </c>
      <c r="M1094" s="129">
        <f>456/7.5345</f>
        <v>60.521600637069476</v>
      </c>
      <c r="N1094" s="130">
        <v>0</v>
      </c>
      <c r="O1094" s="130">
        <f>N1094/7.5345</f>
        <v>0</v>
      </c>
      <c r="P1094" s="131">
        <v>300</v>
      </c>
      <c r="Q1094" s="131">
        <v>300</v>
      </c>
      <c r="R1094" s="153">
        <v>38</v>
      </c>
      <c r="S1094" s="158"/>
      <c r="T1094" s="158"/>
      <c r="U1094" s="158"/>
      <c r="V1094" s="532">
        <v>300</v>
      </c>
      <c r="W1094" s="532">
        <v>300</v>
      </c>
      <c r="X1094" s="560">
        <v>300</v>
      </c>
      <c r="Y1094" s="561">
        <v>400</v>
      </c>
      <c r="Z1094" s="561"/>
      <c r="AA1094" s="562" t="e">
        <f t="shared" ca="1" si="793"/>
        <v>#NAME?</v>
      </c>
      <c r="AB1094" s="535"/>
      <c r="AC1094" s="529">
        <v>300</v>
      </c>
      <c r="AD1094" s="529">
        <v>300</v>
      </c>
      <c r="AE1094" s="529">
        <f>O1094/M1094*100</f>
        <v>0</v>
      </c>
      <c r="AF1094" s="529"/>
      <c r="AG1094" s="529"/>
      <c r="AH1094" s="529"/>
      <c r="AI1094" s="535"/>
      <c r="AJ1094" s="561">
        <v>400</v>
      </c>
      <c r="AK1094" s="507">
        <f t="shared" si="782"/>
        <v>789.47368421052624</v>
      </c>
      <c r="AL1094" s="507">
        <f t="shared" si="783"/>
        <v>100</v>
      </c>
      <c r="AM1094" s="507">
        <f t="shared" si="783"/>
        <v>133.33333333333331</v>
      </c>
      <c r="AN1094" s="556"/>
      <c r="AO1094" s="510"/>
      <c r="AP1094" s="510" t="e">
        <f t="shared" ca="1" si="790"/>
        <v>#NAME?</v>
      </c>
      <c r="AQ1094" s="532">
        <v>115</v>
      </c>
      <c r="AR1094" s="533">
        <f t="shared" si="796"/>
        <v>789.47368421052624</v>
      </c>
      <c r="AS1094" s="533">
        <f t="shared" si="798"/>
        <v>100</v>
      </c>
      <c r="AT1094" s="533">
        <f t="shared" si="797"/>
        <v>789.47368421052624</v>
      </c>
      <c r="AU1094" s="533">
        <f>AQ1094/W1094*100</f>
        <v>38.333333333333336</v>
      </c>
      <c r="AV1094" s="533">
        <f>AQ1094/R1094*100</f>
        <v>302.63157894736838</v>
      </c>
      <c r="AW1094" s="612">
        <f>AQ1094</f>
        <v>115</v>
      </c>
      <c r="AX1094" s="612"/>
      <c r="AY1094" s="612"/>
      <c r="AZ1094" s="612"/>
      <c r="BA1094" s="612"/>
      <c r="BB1094" s="612"/>
      <c r="BC1094" s="612"/>
      <c r="BD1094" s="612"/>
      <c r="BE1094" s="612"/>
      <c r="BF1094" s="612"/>
      <c r="BG1094" s="612"/>
      <c r="BH1094" s="612">
        <f t="shared" si="794"/>
        <v>115</v>
      </c>
      <c r="BI1094" s="612">
        <f t="shared" si="780"/>
        <v>5630</v>
      </c>
      <c r="BJ1094" s="201"/>
    </row>
    <row r="1095" spans="1:62" ht="12" customHeight="1">
      <c r="A1095" s="52"/>
      <c r="B1095" s="52"/>
      <c r="C1095" s="52"/>
      <c r="D1095" s="52"/>
      <c r="E1095" s="52"/>
      <c r="F1095" s="52"/>
      <c r="G1095" s="52"/>
      <c r="H1095" s="2" t="s">
        <v>823</v>
      </c>
      <c r="I1095" s="289">
        <v>820</v>
      </c>
      <c r="J1095" s="185">
        <v>3225</v>
      </c>
      <c r="K1095" s="19" t="s">
        <v>343</v>
      </c>
      <c r="L1095" s="129">
        <v>0</v>
      </c>
      <c r="M1095" s="129">
        <v>0</v>
      </c>
      <c r="N1095" s="130">
        <v>1525</v>
      </c>
      <c r="O1095" s="130">
        <f>N1095/7.5345</f>
        <v>202.40228283230471</v>
      </c>
      <c r="P1095" s="131">
        <v>300</v>
      </c>
      <c r="Q1095" s="131">
        <v>300</v>
      </c>
      <c r="R1095" s="153">
        <v>71</v>
      </c>
      <c r="S1095" s="158"/>
      <c r="T1095" s="158"/>
      <c r="U1095" s="158"/>
      <c r="V1095" s="532">
        <v>300</v>
      </c>
      <c r="W1095" s="532">
        <v>300</v>
      </c>
      <c r="X1095" s="560">
        <v>300</v>
      </c>
      <c r="Y1095" s="561">
        <v>400</v>
      </c>
      <c r="Z1095" s="561"/>
      <c r="AA1095" s="562" t="e">
        <f t="shared" ca="1" si="793"/>
        <v>#NAME?</v>
      </c>
      <c r="AB1095" s="535"/>
      <c r="AC1095" s="529">
        <v>300</v>
      </c>
      <c r="AD1095" s="529">
        <v>300</v>
      </c>
      <c r="AE1095" s="529"/>
      <c r="AF1095" s="529">
        <f>P1095/O1095*100</f>
        <v>148.21967213114755</v>
      </c>
      <c r="AG1095" s="529">
        <f>Q1095/P1095*100</f>
        <v>100</v>
      </c>
      <c r="AH1095" s="529">
        <f>AC1095/Q1095*100</f>
        <v>100</v>
      </c>
      <c r="AI1095" s="535"/>
      <c r="AJ1095" s="561">
        <v>400</v>
      </c>
      <c r="AK1095" s="507">
        <f t="shared" si="782"/>
        <v>422.53521126760563</v>
      </c>
      <c r="AL1095" s="507">
        <f t="shared" si="783"/>
        <v>100</v>
      </c>
      <c r="AM1095" s="507">
        <f t="shared" si="783"/>
        <v>133.33333333333331</v>
      </c>
      <c r="AN1095" s="556"/>
      <c r="AO1095" s="510"/>
      <c r="AP1095" s="510" t="e">
        <f t="shared" ca="1" si="790"/>
        <v>#NAME?</v>
      </c>
      <c r="AQ1095" s="532">
        <v>144</v>
      </c>
      <c r="AR1095" s="533">
        <f t="shared" si="796"/>
        <v>422.53521126760563</v>
      </c>
      <c r="AS1095" s="533">
        <f t="shared" si="798"/>
        <v>100</v>
      </c>
      <c r="AT1095" s="533">
        <f t="shared" si="797"/>
        <v>422.53521126760563</v>
      </c>
      <c r="AU1095" s="533">
        <f>AQ1095/W1095*100</f>
        <v>48</v>
      </c>
      <c r="AV1095" s="533">
        <f>AQ1095/R1095*100</f>
        <v>202.81690140845069</v>
      </c>
      <c r="AW1095" s="612">
        <f>AQ1095</f>
        <v>144</v>
      </c>
      <c r="AX1095" s="612"/>
      <c r="AY1095" s="612"/>
      <c r="AZ1095" s="612"/>
      <c r="BA1095" s="612"/>
      <c r="BB1095" s="612"/>
      <c r="BC1095" s="612"/>
      <c r="BD1095" s="612"/>
      <c r="BE1095" s="612"/>
      <c r="BF1095" s="612"/>
      <c r="BG1095" s="612"/>
      <c r="BH1095" s="612">
        <f t="shared" si="794"/>
        <v>144</v>
      </c>
      <c r="BI1095" s="612">
        <f t="shared" si="780"/>
        <v>1634</v>
      </c>
      <c r="BJ1095" s="201"/>
    </row>
    <row r="1096" spans="1:62" ht="12" customHeight="1">
      <c r="A1096" s="68"/>
      <c r="B1096" s="68"/>
      <c r="C1096" s="68"/>
      <c r="D1096" s="68"/>
      <c r="E1096" s="68"/>
      <c r="F1096" s="68"/>
      <c r="G1096" s="68"/>
      <c r="H1096" s="319"/>
      <c r="I1096" s="4"/>
      <c r="J1096" s="8"/>
      <c r="K1096" s="8"/>
      <c r="L1096" s="84"/>
      <c r="M1096" s="84"/>
      <c r="N1096" s="85"/>
      <c r="O1096" s="85"/>
      <c r="P1096" s="86"/>
      <c r="Q1096" s="86"/>
      <c r="R1096" s="154"/>
      <c r="S1096" s="155"/>
      <c r="T1096" s="155"/>
      <c r="U1096" s="155"/>
      <c r="V1096" s="532"/>
      <c r="W1096" s="532"/>
      <c r="X1096" s="568"/>
      <c r="Y1096" s="569"/>
      <c r="Z1096" s="569"/>
      <c r="AA1096" s="562" t="e">
        <f t="shared" ca="1" si="793"/>
        <v>#NAME?</v>
      </c>
      <c r="AB1096" s="537"/>
      <c r="AC1096" s="538"/>
      <c r="AD1096" s="538"/>
      <c r="AE1096" s="529"/>
      <c r="AF1096" s="529"/>
      <c r="AG1096" s="529"/>
      <c r="AH1096" s="529"/>
      <c r="AI1096" s="537"/>
      <c r="AJ1096" s="569"/>
      <c r="AK1096" s="507"/>
      <c r="AL1096" s="507"/>
      <c r="AM1096" s="507"/>
      <c r="AN1096" s="557"/>
      <c r="AO1096" s="510"/>
      <c r="AP1096" s="510" t="e">
        <f t="shared" ca="1" si="790"/>
        <v>#NAME?</v>
      </c>
      <c r="AQ1096" s="532"/>
      <c r="AR1096" s="533"/>
      <c r="AS1096" s="533"/>
      <c r="AT1096" s="533"/>
      <c r="AU1096" s="533"/>
      <c r="AV1096" s="533"/>
      <c r="AW1096" s="612"/>
      <c r="AX1096" s="612"/>
      <c r="AY1096" s="612"/>
      <c r="AZ1096" s="612"/>
      <c r="BA1096" s="612"/>
      <c r="BB1096" s="612"/>
      <c r="BC1096" s="612"/>
      <c r="BD1096" s="612"/>
      <c r="BE1096" s="612"/>
      <c r="BF1096" s="612"/>
      <c r="BG1096" s="612"/>
      <c r="BH1096" s="612">
        <f t="shared" si="794"/>
        <v>0</v>
      </c>
      <c r="BI1096" s="612">
        <f t="shared" si="780"/>
        <v>2597</v>
      </c>
      <c r="BJ1096" s="201"/>
    </row>
    <row r="1097" spans="1:62" ht="12" customHeight="1">
      <c r="A1097" s="61"/>
      <c r="B1097" s="61"/>
      <c r="C1097" s="61"/>
      <c r="D1097" s="61"/>
      <c r="E1097" s="61"/>
      <c r="F1097" s="61"/>
      <c r="G1097" s="61"/>
      <c r="H1097" s="230"/>
      <c r="I1097" s="348"/>
      <c r="J1097" s="229">
        <v>323</v>
      </c>
      <c r="K1097" s="20" t="s">
        <v>346</v>
      </c>
      <c r="L1097" s="111">
        <f t="shared" ref="L1097:S1097" si="810">L1098+L1099+L1100+L1101+L1102+L1103</f>
        <v>54272</v>
      </c>
      <c r="M1097" s="111">
        <f t="shared" si="810"/>
        <v>7203.1322582785851</v>
      </c>
      <c r="N1097" s="112">
        <f t="shared" si="810"/>
        <v>57638</v>
      </c>
      <c r="O1097" s="112">
        <f t="shared" si="810"/>
        <v>7649.8772314022153</v>
      </c>
      <c r="P1097" s="113">
        <f t="shared" si="810"/>
        <v>11500</v>
      </c>
      <c r="Q1097" s="113">
        <f t="shared" si="810"/>
        <v>12200</v>
      </c>
      <c r="R1097" s="87">
        <f t="shared" si="810"/>
        <v>6101</v>
      </c>
      <c r="S1097" s="89">
        <f t="shared" si="810"/>
        <v>0</v>
      </c>
      <c r="T1097" s="89"/>
      <c r="U1097" s="89"/>
      <c r="V1097" s="532">
        <f>V1098+V1099+V1100+V1101+V1102+V1103</f>
        <v>17000</v>
      </c>
      <c r="W1097" s="532">
        <f>W1098+W1099+W1100+W1101+W1102+W1103</f>
        <v>17000</v>
      </c>
      <c r="X1097" s="506">
        <f>X1098+X1099+X1100+X1101+X1102+X1103</f>
        <v>16600</v>
      </c>
      <c r="Y1097" s="507">
        <f>Y1098+Y1099+Y1100+Y1101+Y1102+Y1103</f>
        <v>17100</v>
      </c>
      <c r="Z1097" s="507">
        <f>Z1098+Z1099+Z1100+Z1101+Z1102+Z1103</f>
        <v>0</v>
      </c>
      <c r="AA1097" s="562" t="e">
        <f t="shared" ca="1" si="793"/>
        <v>#NAME?</v>
      </c>
      <c r="AB1097" s="507"/>
      <c r="AC1097" s="508">
        <f>AC1098+AC1099+AC1100+AC1101+AC1102+AC1103</f>
        <v>12200</v>
      </c>
      <c r="AD1097" s="508">
        <f>AD1098+AD1099+AD1100+AD1101+AD1102+AD1103</f>
        <v>12200</v>
      </c>
      <c r="AE1097" s="529">
        <f t="shared" ref="AE1097:AE1103" si="811">O1097/M1097*100</f>
        <v>106.20209316037734</v>
      </c>
      <c r="AF1097" s="529">
        <f>P1097/O1097*100</f>
        <v>150.32920989624904</v>
      </c>
      <c r="AG1097" s="529">
        <f>Q1097/P1097*100</f>
        <v>106.08695652173914</v>
      </c>
      <c r="AH1097" s="529">
        <f>AC1097/Q1097*100</f>
        <v>100</v>
      </c>
      <c r="AI1097" s="507"/>
      <c r="AJ1097" s="507">
        <v>17100</v>
      </c>
      <c r="AK1097" s="507">
        <f t="shared" si="782"/>
        <v>278.64284543517454</v>
      </c>
      <c r="AL1097" s="507">
        <f t="shared" si="783"/>
        <v>97.647058823529406</v>
      </c>
      <c r="AM1097" s="507">
        <f t="shared" si="783"/>
        <v>103.01204819277108</v>
      </c>
      <c r="AN1097" s="509"/>
      <c r="AO1097" s="510"/>
      <c r="AP1097" s="510" t="e">
        <f t="shared" ca="1" si="790"/>
        <v>#NAME?</v>
      </c>
      <c r="AQ1097" s="532">
        <f>AQ1098+AQ1099+AQ1100+AQ1101+AQ1102+AQ1103</f>
        <v>16739</v>
      </c>
      <c r="AR1097" s="533">
        <f t="shared" si="796"/>
        <v>278.64284543517454</v>
      </c>
      <c r="AS1097" s="533">
        <f t="shared" si="798"/>
        <v>100</v>
      </c>
      <c r="AT1097" s="533">
        <f t="shared" si="797"/>
        <v>278.64284543517454</v>
      </c>
      <c r="AU1097" s="533">
        <f t="shared" ref="AU1097:AU1103" si="812">AQ1097/W1097*100</f>
        <v>98.464705882352945</v>
      </c>
      <c r="AV1097" s="533">
        <f t="shared" ref="AV1097:AV1103" si="813">AQ1097/R1097*100</f>
        <v>274.36485821996393</v>
      </c>
      <c r="AW1097" s="612"/>
      <c r="AX1097" s="612"/>
      <c r="AY1097" s="612"/>
      <c r="AZ1097" s="612"/>
      <c r="BA1097" s="612"/>
      <c r="BB1097" s="612"/>
      <c r="BC1097" s="612"/>
      <c r="BD1097" s="612"/>
      <c r="BE1097" s="612"/>
      <c r="BF1097" s="612"/>
      <c r="BG1097" s="612"/>
      <c r="BH1097" s="612">
        <f t="shared" si="794"/>
        <v>0</v>
      </c>
      <c r="BI1097" s="612">
        <f t="shared" si="780"/>
        <v>0</v>
      </c>
      <c r="BJ1097" s="201"/>
    </row>
    <row r="1098" spans="1:62" ht="12" customHeight="1">
      <c r="A1098" s="52"/>
      <c r="B1098" s="52"/>
      <c r="C1098" s="52"/>
      <c r="D1098" s="52"/>
      <c r="E1098" s="52"/>
      <c r="F1098" s="52"/>
      <c r="G1098" s="52"/>
      <c r="H1098" s="2">
        <v>57</v>
      </c>
      <c r="I1098" s="289">
        <v>820</v>
      </c>
      <c r="J1098" s="185">
        <v>3231</v>
      </c>
      <c r="K1098" s="19" t="s">
        <v>824</v>
      </c>
      <c r="L1098" s="129">
        <v>4510</v>
      </c>
      <c r="M1098" s="129">
        <f>4510/7.5345</f>
        <v>598.57986594996351</v>
      </c>
      <c r="N1098" s="130">
        <v>4142</v>
      </c>
      <c r="O1098" s="130">
        <f t="shared" ref="O1098:O1103" si="814">N1098/7.5345</f>
        <v>549.7378724533811</v>
      </c>
      <c r="P1098" s="131">
        <v>1000</v>
      </c>
      <c r="Q1098" s="131">
        <v>1000</v>
      </c>
      <c r="R1098" s="153">
        <v>668</v>
      </c>
      <c r="S1098" s="158"/>
      <c r="T1098" s="158"/>
      <c r="U1098" s="158"/>
      <c r="V1098" s="532">
        <v>1000</v>
      </c>
      <c r="W1098" s="532">
        <v>1000</v>
      </c>
      <c r="X1098" s="560">
        <v>1100</v>
      </c>
      <c r="Y1098" s="561">
        <v>1100</v>
      </c>
      <c r="Z1098" s="561"/>
      <c r="AA1098" s="562" t="e">
        <f t="shared" ca="1" si="793"/>
        <v>#NAME?</v>
      </c>
      <c r="AB1098" s="535"/>
      <c r="AC1098" s="529">
        <v>1100</v>
      </c>
      <c r="AD1098" s="529">
        <v>1100</v>
      </c>
      <c r="AE1098" s="529">
        <f t="shared" si="811"/>
        <v>91.840354767184024</v>
      </c>
      <c r="AF1098" s="529">
        <f>P1098/O1098*100</f>
        <v>181.90487687107677</v>
      </c>
      <c r="AG1098" s="529">
        <f>Q1098/P1098*100</f>
        <v>100</v>
      </c>
      <c r="AH1098" s="529">
        <f>AC1098/Q1098*100</f>
        <v>110.00000000000001</v>
      </c>
      <c r="AI1098" s="535"/>
      <c r="AJ1098" s="561">
        <v>1100</v>
      </c>
      <c r="AK1098" s="507">
        <f t="shared" si="782"/>
        <v>149.70059880239521</v>
      </c>
      <c r="AL1098" s="507">
        <f t="shared" si="783"/>
        <v>110.00000000000001</v>
      </c>
      <c r="AM1098" s="507">
        <f t="shared" si="783"/>
        <v>100</v>
      </c>
      <c r="AN1098" s="556"/>
      <c r="AO1098" s="510"/>
      <c r="AP1098" s="510" t="e">
        <f t="shared" ca="1" si="790"/>
        <v>#NAME?</v>
      </c>
      <c r="AQ1098" s="532">
        <v>593</v>
      </c>
      <c r="AR1098" s="533">
        <f t="shared" si="796"/>
        <v>149.70059880239521</v>
      </c>
      <c r="AS1098" s="533">
        <f t="shared" si="798"/>
        <v>100</v>
      </c>
      <c r="AT1098" s="533">
        <f t="shared" si="797"/>
        <v>149.70059880239521</v>
      </c>
      <c r="AU1098" s="533">
        <f t="shared" si="812"/>
        <v>59.3</v>
      </c>
      <c r="AV1098" s="533">
        <f t="shared" si="813"/>
        <v>88.772455089820355</v>
      </c>
      <c r="AW1098" s="612">
        <f t="shared" ref="AW1098:AW1103" si="815">AQ1098</f>
        <v>593</v>
      </c>
      <c r="AX1098" s="612"/>
      <c r="AY1098" s="612"/>
      <c r="AZ1098" s="612"/>
      <c r="BA1098" s="612"/>
      <c r="BB1098" s="612"/>
      <c r="BC1098" s="612"/>
      <c r="BD1098" s="612"/>
      <c r="BE1098" s="612"/>
      <c r="BF1098" s="612"/>
      <c r="BG1098" s="612"/>
      <c r="BH1098" s="612">
        <f t="shared" si="794"/>
        <v>593</v>
      </c>
      <c r="BI1098" s="612">
        <f t="shared" si="780"/>
        <v>0</v>
      </c>
      <c r="BJ1098" s="201"/>
    </row>
    <row r="1099" spans="1:62" ht="12" customHeight="1">
      <c r="A1099" s="52"/>
      <c r="B1099" s="52"/>
      <c r="C1099" s="52"/>
      <c r="D1099" s="52"/>
      <c r="E1099" s="52"/>
      <c r="F1099" s="52"/>
      <c r="G1099" s="52"/>
      <c r="H1099" s="2">
        <v>58</v>
      </c>
      <c r="I1099" s="289">
        <v>820</v>
      </c>
      <c r="J1099" s="185">
        <v>3232</v>
      </c>
      <c r="K1099" s="19" t="s">
        <v>825</v>
      </c>
      <c r="L1099" s="129">
        <v>4903</v>
      </c>
      <c r="M1099" s="129">
        <f>4903/7.5345</f>
        <v>650.7399296569115</v>
      </c>
      <c r="N1099" s="130">
        <v>0</v>
      </c>
      <c r="O1099" s="130">
        <f t="shared" si="814"/>
        <v>0</v>
      </c>
      <c r="P1099" s="131">
        <v>500</v>
      </c>
      <c r="Q1099" s="131">
        <v>500</v>
      </c>
      <c r="R1099" s="153">
        <v>72</v>
      </c>
      <c r="S1099" s="158"/>
      <c r="T1099" s="158"/>
      <c r="U1099" s="158"/>
      <c r="V1099" s="532">
        <v>5000</v>
      </c>
      <c r="W1099" s="532">
        <v>5000</v>
      </c>
      <c r="X1099" s="560">
        <v>4000</v>
      </c>
      <c r="Y1099" s="561">
        <v>4000</v>
      </c>
      <c r="Z1099" s="561"/>
      <c r="AA1099" s="562" t="e">
        <f t="shared" ca="1" si="793"/>
        <v>#NAME?</v>
      </c>
      <c r="AB1099" s="535"/>
      <c r="AC1099" s="529">
        <v>600</v>
      </c>
      <c r="AD1099" s="529">
        <v>600</v>
      </c>
      <c r="AE1099" s="529">
        <f t="shared" si="811"/>
        <v>0</v>
      </c>
      <c r="AF1099" s="529"/>
      <c r="AG1099" s="529"/>
      <c r="AH1099" s="529"/>
      <c r="AI1099" s="535"/>
      <c r="AJ1099" s="561">
        <v>4000</v>
      </c>
      <c r="AK1099" s="507">
        <f t="shared" si="782"/>
        <v>6944.4444444444443</v>
      </c>
      <c r="AL1099" s="507">
        <f t="shared" si="783"/>
        <v>80</v>
      </c>
      <c r="AM1099" s="507">
        <f t="shared" si="783"/>
        <v>100</v>
      </c>
      <c r="AN1099" s="556"/>
      <c r="AO1099" s="510"/>
      <c r="AP1099" s="510" t="e">
        <f t="shared" ca="1" si="790"/>
        <v>#NAME?</v>
      </c>
      <c r="AQ1099" s="532">
        <v>5889</v>
      </c>
      <c r="AR1099" s="533">
        <f t="shared" si="796"/>
        <v>6944.4444444444443</v>
      </c>
      <c r="AS1099" s="533">
        <f t="shared" si="798"/>
        <v>100</v>
      </c>
      <c r="AT1099" s="533">
        <f t="shared" si="797"/>
        <v>6944.4444444444443</v>
      </c>
      <c r="AU1099" s="533">
        <f t="shared" si="812"/>
        <v>117.78</v>
      </c>
      <c r="AV1099" s="533">
        <f t="shared" si="813"/>
        <v>8179.166666666667</v>
      </c>
      <c r="AW1099" s="612">
        <f t="shared" si="815"/>
        <v>5889</v>
      </c>
      <c r="AX1099" s="612"/>
      <c r="AY1099" s="612"/>
      <c r="AZ1099" s="612"/>
      <c r="BA1099" s="612"/>
      <c r="BB1099" s="612"/>
      <c r="BC1099" s="612"/>
      <c r="BD1099" s="612"/>
      <c r="BE1099" s="612"/>
      <c r="BF1099" s="612"/>
      <c r="BG1099" s="612"/>
      <c r="BH1099" s="612">
        <f t="shared" si="794"/>
        <v>5889</v>
      </c>
      <c r="BI1099" s="612">
        <f t="shared" si="780"/>
        <v>2535</v>
      </c>
      <c r="BJ1099" s="201"/>
    </row>
    <row r="1100" spans="1:62" ht="12" customHeight="1">
      <c r="A1100" s="52"/>
      <c r="B1100" s="52"/>
      <c r="C1100" s="52"/>
      <c r="D1100" s="52"/>
      <c r="E1100" s="52"/>
      <c r="F1100" s="52"/>
      <c r="G1100" s="52"/>
      <c r="H1100" s="2" t="s">
        <v>826</v>
      </c>
      <c r="I1100" s="289">
        <v>820</v>
      </c>
      <c r="J1100" s="185">
        <v>3234</v>
      </c>
      <c r="K1100" s="19" t="s">
        <v>246</v>
      </c>
      <c r="L1100" s="129">
        <v>2159</v>
      </c>
      <c r="M1100" s="129">
        <f>2159/7.5345</f>
        <v>286.54854336717761</v>
      </c>
      <c r="N1100" s="130">
        <v>4175</v>
      </c>
      <c r="O1100" s="130">
        <f t="shared" si="814"/>
        <v>554.11772513106371</v>
      </c>
      <c r="P1100" s="131">
        <v>300</v>
      </c>
      <c r="Q1100" s="131">
        <v>1000</v>
      </c>
      <c r="R1100" s="153">
        <v>839</v>
      </c>
      <c r="S1100" s="158"/>
      <c r="T1100" s="158"/>
      <c r="U1100" s="158"/>
      <c r="V1100" s="532">
        <v>1000</v>
      </c>
      <c r="W1100" s="532">
        <v>1000</v>
      </c>
      <c r="X1100" s="560">
        <v>1100</v>
      </c>
      <c r="Y1100" s="561">
        <v>1100</v>
      </c>
      <c r="Z1100" s="561"/>
      <c r="AA1100" s="562" t="e">
        <f t="shared" ca="1" si="793"/>
        <v>#NAME?</v>
      </c>
      <c r="AB1100" s="535"/>
      <c r="AC1100" s="529">
        <v>300</v>
      </c>
      <c r="AD1100" s="529">
        <v>300</v>
      </c>
      <c r="AE1100" s="529">
        <f t="shared" si="811"/>
        <v>193.37656322371467</v>
      </c>
      <c r="AF1100" s="529">
        <f t="shared" ref="AF1100:AG1103" si="816">P1100/O1100*100</f>
        <v>54.140119760479045</v>
      </c>
      <c r="AG1100" s="529">
        <f t="shared" si="816"/>
        <v>333.33333333333337</v>
      </c>
      <c r="AH1100" s="529">
        <f>AC1100/Q1100*100</f>
        <v>30</v>
      </c>
      <c r="AI1100" s="535"/>
      <c r="AJ1100" s="561">
        <v>1100</v>
      </c>
      <c r="AK1100" s="507">
        <f t="shared" si="782"/>
        <v>119.18951132300357</v>
      </c>
      <c r="AL1100" s="507">
        <f t="shared" si="783"/>
        <v>110.00000000000001</v>
      </c>
      <c r="AM1100" s="507">
        <f t="shared" si="783"/>
        <v>100</v>
      </c>
      <c r="AN1100" s="556"/>
      <c r="AO1100" s="510"/>
      <c r="AP1100" s="510" t="e">
        <f t="shared" ca="1" si="790"/>
        <v>#NAME?</v>
      </c>
      <c r="AQ1100" s="532">
        <v>396</v>
      </c>
      <c r="AR1100" s="533">
        <f t="shared" si="796"/>
        <v>119.18951132300357</v>
      </c>
      <c r="AS1100" s="533">
        <f t="shared" si="798"/>
        <v>100</v>
      </c>
      <c r="AT1100" s="533">
        <f t="shared" si="797"/>
        <v>119.18951132300357</v>
      </c>
      <c r="AU1100" s="533">
        <f t="shared" si="812"/>
        <v>39.6</v>
      </c>
      <c r="AV1100" s="533">
        <f t="shared" si="813"/>
        <v>47.19904648390942</v>
      </c>
      <c r="AW1100" s="612">
        <f t="shared" si="815"/>
        <v>396</v>
      </c>
      <c r="AX1100" s="612"/>
      <c r="AY1100" s="612"/>
      <c r="AZ1100" s="612"/>
      <c r="BA1100" s="612"/>
      <c r="BB1100" s="612"/>
      <c r="BC1100" s="612"/>
      <c r="BD1100" s="612"/>
      <c r="BE1100" s="612"/>
      <c r="BF1100" s="612"/>
      <c r="BG1100" s="612"/>
      <c r="BH1100" s="612">
        <f t="shared" si="794"/>
        <v>396</v>
      </c>
      <c r="BI1100" s="612">
        <f t="shared" si="780"/>
        <v>2908</v>
      </c>
      <c r="BJ1100" s="201"/>
    </row>
    <row r="1101" spans="1:62" ht="12" customHeight="1">
      <c r="A1101" s="52"/>
      <c r="B1101" s="52"/>
      <c r="C1101" s="52"/>
      <c r="D1101" s="52"/>
      <c r="E1101" s="52"/>
      <c r="F1101" s="52"/>
      <c r="G1101" s="52"/>
      <c r="H1101" s="2">
        <v>61</v>
      </c>
      <c r="I1101" s="289">
        <v>820</v>
      </c>
      <c r="J1101" s="185">
        <v>3237</v>
      </c>
      <c r="K1101" s="19" t="s">
        <v>249</v>
      </c>
      <c r="L1101" s="129">
        <v>18376</v>
      </c>
      <c r="M1101" s="129">
        <f>18376/7.5345</f>
        <v>2438.9143274271682</v>
      </c>
      <c r="N1101" s="130">
        <v>31115</v>
      </c>
      <c r="O1101" s="130">
        <f t="shared" si="814"/>
        <v>4129.6701838210893</v>
      </c>
      <c r="P1101" s="131">
        <v>4000</v>
      </c>
      <c r="Q1101" s="131">
        <v>4000</v>
      </c>
      <c r="R1101" s="153">
        <v>2858</v>
      </c>
      <c r="S1101" s="158"/>
      <c r="T1101" s="158"/>
      <c r="U1101" s="158"/>
      <c r="V1101" s="532">
        <v>4000</v>
      </c>
      <c r="W1101" s="532">
        <v>4000</v>
      </c>
      <c r="X1101" s="560">
        <v>4200</v>
      </c>
      <c r="Y1101" s="561">
        <v>4200</v>
      </c>
      <c r="Z1101" s="561"/>
      <c r="AA1101" s="562" t="e">
        <f t="shared" ca="1" si="793"/>
        <v>#NAME?</v>
      </c>
      <c r="AB1101" s="535"/>
      <c r="AC1101" s="529">
        <v>4100</v>
      </c>
      <c r="AD1101" s="529">
        <v>4100</v>
      </c>
      <c r="AE1101" s="529">
        <f t="shared" si="811"/>
        <v>169.32411841532434</v>
      </c>
      <c r="AF1101" s="529">
        <f t="shared" si="816"/>
        <v>96.86003535272377</v>
      </c>
      <c r="AG1101" s="529">
        <f t="shared" si="816"/>
        <v>100</v>
      </c>
      <c r="AH1101" s="529">
        <f>AC1101/Q1101*100</f>
        <v>102.49999999999999</v>
      </c>
      <c r="AI1101" s="535"/>
      <c r="AJ1101" s="561">
        <v>4200</v>
      </c>
      <c r="AK1101" s="507">
        <f t="shared" si="782"/>
        <v>139.95801259622112</v>
      </c>
      <c r="AL1101" s="507">
        <f t="shared" si="783"/>
        <v>105</v>
      </c>
      <c r="AM1101" s="507">
        <f t="shared" si="783"/>
        <v>100</v>
      </c>
      <c r="AN1101" s="556"/>
      <c r="AO1101" s="510"/>
      <c r="AP1101" s="510" t="e">
        <f t="shared" ca="1" si="790"/>
        <v>#NAME?</v>
      </c>
      <c r="AQ1101" s="532">
        <v>5630</v>
      </c>
      <c r="AR1101" s="533">
        <f t="shared" si="796"/>
        <v>139.95801259622112</v>
      </c>
      <c r="AS1101" s="533">
        <f t="shared" si="798"/>
        <v>100</v>
      </c>
      <c r="AT1101" s="533">
        <f t="shared" si="797"/>
        <v>139.95801259622112</v>
      </c>
      <c r="AU1101" s="533">
        <f t="shared" si="812"/>
        <v>140.75</v>
      </c>
      <c r="AV1101" s="533">
        <f t="shared" si="813"/>
        <v>196.99090272918124</v>
      </c>
      <c r="AW1101" s="612">
        <f t="shared" si="815"/>
        <v>5630</v>
      </c>
      <c r="AX1101" s="612"/>
      <c r="AY1101" s="612"/>
      <c r="AZ1101" s="612"/>
      <c r="BA1101" s="612"/>
      <c r="BB1101" s="612"/>
      <c r="BC1101" s="612"/>
      <c r="BD1101" s="612"/>
      <c r="BE1101" s="612"/>
      <c r="BF1101" s="612"/>
      <c r="BG1101" s="612"/>
      <c r="BH1101" s="612">
        <f t="shared" si="794"/>
        <v>5630</v>
      </c>
      <c r="BI1101" s="612">
        <f t="shared" si="780"/>
        <v>0</v>
      </c>
      <c r="BJ1101" s="201"/>
    </row>
    <row r="1102" spans="1:62" ht="12" customHeight="1">
      <c r="A1102" s="52"/>
      <c r="B1102" s="52"/>
      <c r="C1102" s="52"/>
      <c r="D1102" s="52"/>
      <c r="E1102" s="52"/>
      <c r="F1102" s="52"/>
      <c r="G1102" s="52"/>
      <c r="H1102" s="2">
        <v>62</v>
      </c>
      <c r="I1102" s="289">
        <v>820</v>
      </c>
      <c r="J1102" s="185">
        <v>3238</v>
      </c>
      <c r="K1102" s="19" t="s">
        <v>250</v>
      </c>
      <c r="L1102" s="129">
        <v>1899</v>
      </c>
      <c r="M1102" s="129">
        <f>1899/7.5345</f>
        <v>252.04061317937487</v>
      </c>
      <c r="N1102" s="130">
        <v>2574</v>
      </c>
      <c r="O1102" s="130">
        <f t="shared" si="814"/>
        <v>341.62850885924746</v>
      </c>
      <c r="P1102" s="131">
        <v>1000</v>
      </c>
      <c r="Q1102" s="131">
        <v>1000</v>
      </c>
      <c r="R1102" s="153">
        <v>465</v>
      </c>
      <c r="S1102" s="158"/>
      <c r="T1102" s="158"/>
      <c r="U1102" s="158"/>
      <c r="V1102" s="532">
        <v>1000</v>
      </c>
      <c r="W1102" s="532">
        <v>1000</v>
      </c>
      <c r="X1102" s="560">
        <v>1200</v>
      </c>
      <c r="Y1102" s="561">
        <v>1200</v>
      </c>
      <c r="Z1102" s="561"/>
      <c r="AA1102" s="562" t="e">
        <f t="shared" ca="1" si="793"/>
        <v>#NAME?</v>
      </c>
      <c r="AB1102" s="535"/>
      <c r="AC1102" s="529">
        <v>1200</v>
      </c>
      <c r="AD1102" s="529">
        <v>1200</v>
      </c>
      <c r="AE1102" s="529">
        <f t="shared" si="811"/>
        <v>135.54502369668248</v>
      </c>
      <c r="AF1102" s="529">
        <f t="shared" si="816"/>
        <v>292.71561771561773</v>
      </c>
      <c r="AG1102" s="529">
        <f t="shared" si="816"/>
        <v>100</v>
      </c>
      <c r="AH1102" s="529">
        <f>AC1102/Q1102*100</f>
        <v>120</v>
      </c>
      <c r="AI1102" s="535"/>
      <c r="AJ1102" s="561">
        <v>1200</v>
      </c>
      <c r="AK1102" s="507">
        <f t="shared" si="782"/>
        <v>215.05376344086019</v>
      </c>
      <c r="AL1102" s="507">
        <f t="shared" si="783"/>
        <v>120</v>
      </c>
      <c r="AM1102" s="507">
        <f t="shared" si="783"/>
        <v>100</v>
      </c>
      <c r="AN1102" s="556"/>
      <c r="AO1102" s="510"/>
      <c r="AP1102" s="510" t="e">
        <f t="shared" ca="1" si="790"/>
        <v>#NAME?</v>
      </c>
      <c r="AQ1102" s="532">
        <v>1634</v>
      </c>
      <c r="AR1102" s="533">
        <f t="shared" si="796"/>
        <v>215.05376344086019</v>
      </c>
      <c r="AS1102" s="533">
        <f t="shared" si="798"/>
        <v>100</v>
      </c>
      <c r="AT1102" s="533">
        <f t="shared" si="797"/>
        <v>215.05376344086019</v>
      </c>
      <c r="AU1102" s="533">
        <f t="shared" si="812"/>
        <v>163.39999999999998</v>
      </c>
      <c r="AV1102" s="533">
        <f t="shared" si="813"/>
        <v>351.39784946236563</v>
      </c>
      <c r="AW1102" s="612">
        <f t="shared" si="815"/>
        <v>1634</v>
      </c>
      <c r="AX1102" s="612"/>
      <c r="AY1102" s="612"/>
      <c r="AZ1102" s="612"/>
      <c r="BA1102" s="612"/>
      <c r="BB1102" s="612"/>
      <c r="BC1102" s="612"/>
      <c r="BD1102" s="612"/>
      <c r="BE1102" s="612"/>
      <c r="BF1102" s="612"/>
      <c r="BG1102" s="612"/>
      <c r="BH1102" s="612">
        <f t="shared" si="794"/>
        <v>1634</v>
      </c>
      <c r="BI1102" s="612">
        <f t="shared" si="780"/>
        <v>0</v>
      </c>
      <c r="BJ1102" s="201"/>
    </row>
    <row r="1103" spans="1:62" ht="12" customHeight="1">
      <c r="A1103" s="52"/>
      <c r="B1103" s="52"/>
      <c r="C1103" s="52"/>
      <c r="D1103" s="52"/>
      <c r="E1103" s="52"/>
      <c r="F1103" s="52"/>
      <c r="G1103" s="52"/>
      <c r="H1103" s="2" t="s">
        <v>827</v>
      </c>
      <c r="I1103" s="260">
        <v>820</v>
      </c>
      <c r="J1103" s="185">
        <v>3239</v>
      </c>
      <c r="K1103" s="340" t="s">
        <v>828</v>
      </c>
      <c r="L1103" s="129">
        <v>22425</v>
      </c>
      <c r="M1103" s="129">
        <f>22425/7.5345</f>
        <v>2976.308978697989</v>
      </c>
      <c r="N1103" s="130">
        <v>15632</v>
      </c>
      <c r="O1103" s="130">
        <f t="shared" si="814"/>
        <v>2074.7229411374342</v>
      </c>
      <c r="P1103" s="131">
        <v>4700</v>
      </c>
      <c r="Q1103" s="131">
        <v>4700</v>
      </c>
      <c r="R1103" s="153">
        <v>1199</v>
      </c>
      <c r="S1103" s="158"/>
      <c r="T1103" s="158"/>
      <c r="U1103" s="158"/>
      <c r="V1103" s="532">
        <v>5000</v>
      </c>
      <c r="W1103" s="532">
        <v>5000</v>
      </c>
      <c r="X1103" s="560">
        <v>5000</v>
      </c>
      <c r="Y1103" s="561">
        <v>5500</v>
      </c>
      <c r="Z1103" s="561"/>
      <c r="AA1103" s="562" t="e">
        <f t="shared" ca="1" si="793"/>
        <v>#NAME?</v>
      </c>
      <c r="AB1103" s="535"/>
      <c r="AC1103" s="529">
        <v>4900</v>
      </c>
      <c r="AD1103" s="529">
        <v>4900</v>
      </c>
      <c r="AE1103" s="529">
        <f t="shared" si="811"/>
        <v>69.707915273132656</v>
      </c>
      <c r="AF1103" s="529">
        <f t="shared" si="816"/>
        <v>226.53627175025593</v>
      </c>
      <c r="AG1103" s="529">
        <f t="shared" si="816"/>
        <v>100</v>
      </c>
      <c r="AH1103" s="529">
        <f>AC1103/Q1103*100</f>
        <v>104.25531914893618</v>
      </c>
      <c r="AI1103" s="535"/>
      <c r="AJ1103" s="561">
        <v>5500</v>
      </c>
      <c r="AK1103" s="507">
        <f t="shared" si="782"/>
        <v>417.01417848206842</v>
      </c>
      <c r="AL1103" s="507">
        <f t="shared" si="783"/>
        <v>100</v>
      </c>
      <c r="AM1103" s="507">
        <f t="shared" si="783"/>
        <v>110.00000000000001</v>
      </c>
      <c r="AN1103" s="556"/>
      <c r="AO1103" s="510"/>
      <c r="AP1103" s="510" t="e">
        <f t="shared" ca="1" si="790"/>
        <v>#NAME?</v>
      </c>
      <c r="AQ1103" s="532">
        <v>2597</v>
      </c>
      <c r="AR1103" s="533">
        <f t="shared" si="796"/>
        <v>417.01417848206842</v>
      </c>
      <c r="AS1103" s="533">
        <f t="shared" si="798"/>
        <v>100</v>
      </c>
      <c r="AT1103" s="533">
        <f t="shared" si="797"/>
        <v>417.01417848206842</v>
      </c>
      <c r="AU1103" s="533">
        <f t="shared" si="812"/>
        <v>51.94</v>
      </c>
      <c r="AV1103" s="533">
        <f t="shared" si="813"/>
        <v>216.59716430358631</v>
      </c>
      <c r="AW1103" s="612">
        <f t="shared" si="815"/>
        <v>2597</v>
      </c>
      <c r="AX1103" s="612"/>
      <c r="AY1103" s="612"/>
      <c r="AZ1103" s="612"/>
      <c r="BA1103" s="612"/>
      <c r="BB1103" s="612"/>
      <c r="BC1103" s="612"/>
      <c r="BD1103" s="612"/>
      <c r="BE1103" s="612"/>
      <c r="BF1103" s="612"/>
      <c r="BG1103" s="612"/>
      <c r="BH1103" s="612">
        <f t="shared" si="794"/>
        <v>2597</v>
      </c>
      <c r="BI1103" s="612">
        <f t="shared" si="780"/>
        <v>0</v>
      </c>
      <c r="BJ1103" s="201"/>
    </row>
    <row r="1104" spans="1:62" ht="12" customHeight="1">
      <c r="A1104" s="52"/>
      <c r="B1104" s="52"/>
      <c r="C1104" s="52"/>
      <c r="D1104" s="52"/>
      <c r="E1104" s="52"/>
      <c r="F1104" s="52"/>
      <c r="G1104" s="52"/>
      <c r="H1104" s="2"/>
      <c r="I1104" s="260"/>
      <c r="J1104" s="185"/>
      <c r="K1104" s="340"/>
      <c r="L1104" s="129"/>
      <c r="M1104" s="129"/>
      <c r="N1104" s="130"/>
      <c r="O1104" s="130"/>
      <c r="P1104" s="131"/>
      <c r="Q1104" s="131"/>
      <c r="R1104" s="153"/>
      <c r="S1104" s="158"/>
      <c r="T1104" s="158"/>
      <c r="U1104" s="158"/>
      <c r="V1104" s="532"/>
      <c r="W1104" s="532"/>
      <c r="X1104" s="560"/>
      <c r="Y1104" s="561"/>
      <c r="Z1104" s="561"/>
      <c r="AA1104" s="562" t="e">
        <f t="shared" ca="1" si="793"/>
        <v>#NAME?</v>
      </c>
      <c r="AB1104" s="535"/>
      <c r="AC1104" s="529"/>
      <c r="AD1104" s="529"/>
      <c r="AE1104" s="529"/>
      <c r="AF1104" s="529"/>
      <c r="AG1104" s="529"/>
      <c r="AH1104" s="529"/>
      <c r="AI1104" s="535"/>
      <c r="AJ1104" s="561"/>
      <c r="AK1104" s="507"/>
      <c r="AL1104" s="507"/>
      <c r="AM1104" s="507"/>
      <c r="AN1104" s="556"/>
      <c r="AO1104" s="510"/>
      <c r="AP1104" s="510" t="e">
        <f t="shared" ca="1" si="790"/>
        <v>#NAME?</v>
      </c>
      <c r="AQ1104" s="532"/>
      <c r="AR1104" s="533"/>
      <c r="AS1104" s="533"/>
      <c r="AT1104" s="533"/>
      <c r="AU1104" s="533"/>
      <c r="AV1104" s="533"/>
      <c r="AW1104" s="612"/>
      <c r="AX1104" s="612"/>
      <c r="AY1104" s="612"/>
      <c r="AZ1104" s="612"/>
      <c r="BA1104" s="612"/>
      <c r="BB1104" s="612"/>
      <c r="BC1104" s="612"/>
      <c r="BD1104" s="612"/>
      <c r="BE1104" s="612"/>
      <c r="BF1104" s="612"/>
      <c r="BG1104" s="612"/>
      <c r="BH1104" s="612">
        <f t="shared" si="794"/>
        <v>0</v>
      </c>
      <c r="BI1104" s="612">
        <f t="shared" si="780"/>
        <v>503</v>
      </c>
      <c r="BJ1104" s="201"/>
    </row>
    <row r="1105" spans="1:62" ht="12" customHeight="1">
      <c r="A1105" s="61"/>
      <c r="B1105" s="61"/>
      <c r="C1105" s="61"/>
      <c r="D1105" s="61"/>
      <c r="E1105" s="61"/>
      <c r="F1105" s="61"/>
      <c r="G1105" s="61"/>
      <c r="H1105" s="230"/>
      <c r="I1105" s="348"/>
      <c r="J1105" s="229">
        <v>329</v>
      </c>
      <c r="K1105" s="20" t="s">
        <v>829</v>
      </c>
      <c r="L1105" s="111">
        <f t="shared" ref="L1105:S1105" si="817">L1106+L1107</f>
        <v>4357</v>
      </c>
      <c r="M1105" s="111">
        <f t="shared" si="817"/>
        <v>578.27327626252566</v>
      </c>
      <c r="N1105" s="112">
        <f t="shared" si="817"/>
        <v>9514</v>
      </c>
      <c r="O1105" s="112">
        <f t="shared" si="817"/>
        <v>1262.7247992567522</v>
      </c>
      <c r="P1105" s="113">
        <f t="shared" si="817"/>
        <v>5000</v>
      </c>
      <c r="Q1105" s="113">
        <f t="shared" si="817"/>
        <v>5000</v>
      </c>
      <c r="R1105" s="87">
        <f t="shared" si="817"/>
        <v>2226</v>
      </c>
      <c r="S1105" s="89">
        <f t="shared" si="817"/>
        <v>0</v>
      </c>
      <c r="T1105" s="89"/>
      <c r="U1105" s="89"/>
      <c r="V1105" s="532">
        <f>V1106+V1107</f>
        <v>8000</v>
      </c>
      <c r="W1105" s="532">
        <f>W1106+W1107</f>
        <v>8000</v>
      </c>
      <c r="X1105" s="506">
        <f>X1106+X1107</f>
        <v>8000</v>
      </c>
      <c r="Y1105" s="507">
        <f>Y1106+Y1107</f>
        <v>10000</v>
      </c>
      <c r="Z1105" s="507">
        <f>Z1106+Z1107</f>
        <v>0</v>
      </c>
      <c r="AA1105" s="562" t="e">
        <f t="shared" ca="1" si="793"/>
        <v>#NAME?</v>
      </c>
      <c r="AB1105" s="507"/>
      <c r="AC1105" s="508">
        <f>AC1106+AC1107</f>
        <v>35000</v>
      </c>
      <c r="AD1105" s="508">
        <f>AD1106+AD1107</f>
        <v>35000</v>
      </c>
      <c r="AE1105" s="529">
        <f>O1105/M1105*100</f>
        <v>218.36125774615564</v>
      </c>
      <c r="AF1105" s="529">
        <f>P1105/O1105*100</f>
        <v>395.96909817111629</v>
      </c>
      <c r="AG1105" s="529">
        <f>Q1105/P1105*100</f>
        <v>100</v>
      </c>
      <c r="AH1105" s="529">
        <f>AC1105/Q1105*100</f>
        <v>700</v>
      </c>
      <c r="AI1105" s="507"/>
      <c r="AJ1105" s="507">
        <v>10000</v>
      </c>
      <c r="AK1105" s="507">
        <f t="shared" si="782"/>
        <v>359.38903863432165</v>
      </c>
      <c r="AL1105" s="507">
        <f t="shared" si="783"/>
        <v>100</v>
      </c>
      <c r="AM1105" s="507">
        <f t="shared" si="783"/>
        <v>125</v>
      </c>
      <c r="AN1105" s="509"/>
      <c r="AO1105" s="510"/>
      <c r="AP1105" s="510" t="e">
        <f t="shared" ca="1" si="790"/>
        <v>#NAME?</v>
      </c>
      <c r="AQ1105" s="532">
        <f>AQ1106+AQ1107</f>
        <v>5443</v>
      </c>
      <c r="AR1105" s="533">
        <f t="shared" si="796"/>
        <v>359.38903863432165</v>
      </c>
      <c r="AS1105" s="533">
        <f t="shared" si="798"/>
        <v>100</v>
      </c>
      <c r="AT1105" s="533">
        <f t="shared" si="797"/>
        <v>359.38903863432165</v>
      </c>
      <c r="AU1105" s="533">
        <f>AQ1105/W1105*100</f>
        <v>68.037499999999994</v>
      </c>
      <c r="AV1105" s="533">
        <f>AQ1105/R1105*100</f>
        <v>244.5193171608266</v>
      </c>
      <c r="AW1105" s="612"/>
      <c r="AX1105" s="612"/>
      <c r="AY1105" s="612"/>
      <c r="AZ1105" s="612"/>
      <c r="BA1105" s="612"/>
      <c r="BB1105" s="612"/>
      <c r="BC1105" s="612"/>
      <c r="BD1105" s="612"/>
      <c r="BE1105" s="612"/>
      <c r="BF1105" s="612"/>
      <c r="BG1105" s="612"/>
      <c r="BH1105" s="612">
        <f t="shared" si="794"/>
        <v>0</v>
      </c>
      <c r="BI1105" s="612">
        <f t="shared" si="780"/>
        <v>0</v>
      </c>
      <c r="BJ1105" s="201"/>
    </row>
    <row r="1106" spans="1:62" ht="12" customHeight="1">
      <c r="A1106" s="52"/>
      <c r="B1106" s="52"/>
      <c r="C1106" s="52"/>
      <c r="D1106" s="52"/>
      <c r="E1106" s="52"/>
      <c r="F1106" s="52"/>
      <c r="G1106" s="52"/>
      <c r="H1106" s="2">
        <v>64</v>
      </c>
      <c r="I1106" s="289">
        <v>820</v>
      </c>
      <c r="J1106" s="185">
        <v>3299</v>
      </c>
      <c r="K1106" s="19" t="s">
        <v>805</v>
      </c>
      <c r="L1106" s="129">
        <v>4357</v>
      </c>
      <c r="M1106" s="129">
        <f>4357/7.5345</f>
        <v>578.27327626252566</v>
      </c>
      <c r="N1106" s="130">
        <v>3514</v>
      </c>
      <c r="O1106" s="130">
        <f>N1106/7.5345</f>
        <v>466.3879487689959</v>
      </c>
      <c r="P1106" s="131">
        <v>2700</v>
      </c>
      <c r="Q1106" s="131">
        <v>2700</v>
      </c>
      <c r="R1106" s="153">
        <v>653</v>
      </c>
      <c r="S1106" s="158"/>
      <c r="T1106" s="158"/>
      <c r="U1106" s="158"/>
      <c r="V1106" s="532">
        <v>3000</v>
      </c>
      <c r="W1106" s="532">
        <v>3000</v>
      </c>
      <c r="X1106" s="560">
        <v>3000</v>
      </c>
      <c r="Y1106" s="561">
        <v>5000</v>
      </c>
      <c r="Z1106" s="561"/>
      <c r="AA1106" s="562" t="e">
        <f t="shared" ca="1" si="793"/>
        <v>#NAME?</v>
      </c>
      <c r="AB1106" s="535"/>
      <c r="AC1106" s="529">
        <v>20000</v>
      </c>
      <c r="AD1106" s="529">
        <v>20000</v>
      </c>
      <c r="AE1106" s="529">
        <f>O1106/M1106*100</f>
        <v>80.651824649988527</v>
      </c>
      <c r="AF1106" s="529">
        <f>P1106/O1106*100</f>
        <v>578.91718838930001</v>
      </c>
      <c r="AG1106" s="529">
        <f>Q1106/P1106*100</f>
        <v>100</v>
      </c>
      <c r="AH1106" s="529">
        <f>AC1106/Q1106*100</f>
        <v>740.74074074074076</v>
      </c>
      <c r="AI1106" s="535"/>
      <c r="AJ1106" s="561">
        <v>5000</v>
      </c>
      <c r="AK1106" s="507">
        <f t="shared" si="782"/>
        <v>459.4180704441041</v>
      </c>
      <c r="AL1106" s="507">
        <f t="shared" si="783"/>
        <v>100</v>
      </c>
      <c r="AM1106" s="507">
        <f t="shared" si="783"/>
        <v>166.66666666666669</v>
      </c>
      <c r="AN1106" s="556"/>
      <c r="AO1106" s="510"/>
      <c r="AP1106" s="510" t="e">
        <f t="shared" ca="1" si="790"/>
        <v>#NAME?</v>
      </c>
      <c r="AQ1106" s="532">
        <v>2535</v>
      </c>
      <c r="AR1106" s="533">
        <f t="shared" si="796"/>
        <v>459.4180704441041</v>
      </c>
      <c r="AS1106" s="533">
        <f t="shared" si="798"/>
        <v>100</v>
      </c>
      <c r="AT1106" s="533">
        <f t="shared" si="797"/>
        <v>459.4180704441041</v>
      </c>
      <c r="AU1106" s="533">
        <f>AQ1106/W1106*100</f>
        <v>84.5</v>
      </c>
      <c r="AV1106" s="533">
        <f>AQ1106/R1106*100</f>
        <v>388.20826952526801</v>
      </c>
      <c r="AW1106" s="612">
        <f>AQ1106</f>
        <v>2535</v>
      </c>
      <c r="AX1106" s="612"/>
      <c r="AY1106" s="612"/>
      <c r="AZ1106" s="612"/>
      <c r="BA1106" s="612"/>
      <c r="BB1106" s="612"/>
      <c r="BC1106" s="612"/>
      <c r="BD1106" s="612"/>
      <c r="BE1106" s="612"/>
      <c r="BF1106" s="612"/>
      <c r="BG1106" s="612"/>
      <c r="BH1106" s="612">
        <f t="shared" si="794"/>
        <v>2535</v>
      </c>
      <c r="BI1106" s="612">
        <f t="shared" si="780"/>
        <v>0</v>
      </c>
      <c r="BJ1106" s="201"/>
    </row>
    <row r="1107" spans="1:62" ht="12" customHeight="1">
      <c r="A1107" s="167"/>
      <c r="B1107" s="167"/>
      <c r="C1107" s="167"/>
      <c r="D1107" s="167"/>
      <c r="E1107" s="167"/>
      <c r="F1107" s="167"/>
      <c r="G1107" s="167"/>
      <c r="H1107" s="2" t="s">
        <v>830</v>
      </c>
      <c r="I1107" s="289">
        <v>821</v>
      </c>
      <c r="J1107" s="185">
        <v>3299</v>
      </c>
      <c r="K1107" s="185" t="s">
        <v>831</v>
      </c>
      <c r="L1107" s="129">
        <v>0</v>
      </c>
      <c r="M1107" s="129">
        <v>0</v>
      </c>
      <c r="N1107" s="130">
        <v>6000</v>
      </c>
      <c r="O1107" s="130">
        <f>N1107/7.5345</f>
        <v>796.33685048775624</v>
      </c>
      <c r="P1107" s="131">
        <v>2300</v>
      </c>
      <c r="Q1107" s="131">
        <v>2300</v>
      </c>
      <c r="R1107" s="153">
        <v>1573</v>
      </c>
      <c r="S1107" s="158"/>
      <c r="T1107" s="158"/>
      <c r="U1107" s="158"/>
      <c r="V1107" s="532">
        <v>5000</v>
      </c>
      <c r="W1107" s="532">
        <v>5000</v>
      </c>
      <c r="X1107" s="560">
        <v>5000</v>
      </c>
      <c r="Y1107" s="561">
        <v>5000</v>
      </c>
      <c r="Z1107" s="561"/>
      <c r="AA1107" s="562" t="e">
        <f t="shared" ca="1" si="793"/>
        <v>#NAME?</v>
      </c>
      <c r="AB1107" s="535"/>
      <c r="AC1107" s="541">
        <v>15000</v>
      </c>
      <c r="AD1107" s="541">
        <v>15000</v>
      </c>
      <c r="AE1107" s="529"/>
      <c r="AF1107" s="529"/>
      <c r="AG1107" s="529"/>
      <c r="AH1107" s="529"/>
      <c r="AI1107" s="535"/>
      <c r="AJ1107" s="561">
        <v>5000</v>
      </c>
      <c r="AK1107" s="507">
        <f t="shared" si="782"/>
        <v>317.86395422759057</v>
      </c>
      <c r="AL1107" s="507">
        <f t="shared" si="783"/>
        <v>100</v>
      </c>
      <c r="AM1107" s="507">
        <f t="shared" si="783"/>
        <v>100</v>
      </c>
      <c r="AN1107" s="556"/>
      <c r="AO1107" s="510"/>
      <c r="AP1107" s="510" t="e">
        <f t="shared" ca="1" si="790"/>
        <v>#NAME?</v>
      </c>
      <c r="AQ1107" s="532">
        <v>2908</v>
      </c>
      <c r="AR1107" s="533">
        <f t="shared" si="796"/>
        <v>317.86395422759057</v>
      </c>
      <c r="AS1107" s="533">
        <f t="shared" si="798"/>
        <v>100</v>
      </c>
      <c r="AT1107" s="533">
        <f t="shared" si="797"/>
        <v>317.86395422759057</v>
      </c>
      <c r="AU1107" s="533">
        <f>AQ1107/W1107*100</f>
        <v>58.160000000000004</v>
      </c>
      <c r="AV1107" s="533">
        <f>AQ1107/R1107*100</f>
        <v>184.86967577876669</v>
      </c>
      <c r="AW1107" s="612">
        <f>AQ1107</f>
        <v>2908</v>
      </c>
      <c r="AX1107" s="612"/>
      <c r="AY1107" s="612"/>
      <c r="AZ1107" s="612"/>
      <c r="BA1107" s="612"/>
      <c r="BB1107" s="612"/>
      <c r="BC1107" s="612"/>
      <c r="BD1107" s="612"/>
      <c r="BE1107" s="612"/>
      <c r="BF1107" s="612"/>
      <c r="BG1107" s="612"/>
      <c r="BH1107" s="612">
        <f t="shared" si="794"/>
        <v>2908</v>
      </c>
      <c r="BI1107" s="612">
        <f t="shared" si="780"/>
        <v>0</v>
      </c>
      <c r="BJ1107" s="201"/>
    </row>
    <row r="1108" spans="1:62" ht="12" customHeight="1">
      <c r="A1108" s="41"/>
      <c r="B1108" s="41"/>
      <c r="C1108" s="41"/>
      <c r="D1108" s="41"/>
      <c r="E1108" s="41"/>
      <c r="F1108" s="41"/>
      <c r="G1108" s="41"/>
      <c r="H1108" s="235"/>
      <c r="I1108" s="15"/>
      <c r="J1108" s="3"/>
      <c r="K1108" s="83"/>
      <c r="L1108" s="84">
        <v>1</v>
      </c>
      <c r="M1108" s="84">
        <v>2</v>
      </c>
      <c r="N1108" s="85">
        <v>3</v>
      </c>
      <c r="O1108" s="85">
        <v>4</v>
      </c>
      <c r="P1108" s="86">
        <v>5</v>
      </c>
      <c r="Q1108" s="86">
        <v>6</v>
      </c>
      <c r="R1108" s="154"/>
      <c r="S1108" s="155"/>
      <c r="T1108" s="155"/>
      <c r="U1108" s="155"/>
      <c r="V1108" s="532"/>
      <c r="W1108" s="532"/>
      <c r="X1108" s="568"/>
      <c r="Y1108" s="569"/>
      <c r="Z1108" s="569"/>
      <c r="AA1108" s="562" t="e">
        <f t="shared" ca="1" si="793"/>
        <v>#NAME?</v>
      </c>
      <c r="AB1108" s="537"/>
      <c r="AC1108" s="538">
        <v>7</v>
      </c>
      <c r="AD1108" s="538">
        <v>8</v>
      </c>
      <c r="AE1108" s="538">
        <v>9</v>
      </c>
      <c r="AF1108" s="538">
        <v>10</v>
      </c>
      <c r="AG1108" s="538">
        <v>11</v>
      </c>
      <c r="AH1108" s="538">
        <v>12</v>
      </c>
      <c r="AI1108" s="537"/>
      <c r="AJ1108" s="569"/>
      <c r="AK1108" s="507"/>
      <c r="AL1108" s="507"/>
      <c r="AM1108" s="507"/>
      <c r="AN1108" s="557"/>
      <c r="AO1108" s="510"/>
      <c r="AP1108" s="510" t="e">
        <f t="shared" ca="1" si="790"/>
        <v>#NAME?</v>
      </c>
      <c r="AQ1108" s="532"/>
      <c r="AR1108" s="533"/>
      <c r="AS1108" s="533"/>
      <c r="AT1108" s="533"/>
      <c r="AU1108" s="533"/>
      <c r="AV1108" s="533"/>
      <c r="AW1108" s="612"/>
      <c r="AX1108" s="612"/>
      <c r="AY1108" s="612"/>
      <c r="AZ1108" s="612"/>
      <c r="BA1108" s="612"/>
      <c r="BB1108" s="612"/>
      <c r="BC1108" s="612"/>
      <c r="BD1108" s="612"/>
      <c r="BE1108" s="612"/>
      <c r="BF1108" s="612"/>
      <c r="BG1108" s="612"/>
      <c r="BH1108" s="612">
        <f t="shared" si="794"/>
        <v>0</v>
      </c>
      <c r="BI1108" s="612">
        <f t="shared" si="780"/>
        <v>0</v>
      </c>
      <c r="BJ1108" s="201"/>
    </row>
    <row r="1109" spans="1:62" ht="12" customHeight="1">
      <c r="A1109" s="441"/>
      <c r="B1109" s="441"/>
      <c r="C1109" s="441"/>
      <c r="D1109" s="441"/>
      <c r="E1109" s="441"/>
      <c r="F1109" s="441"/>
      <c r="G1109" s="441"/>
      <c r="H1109" s="442"/>
      <c r="I1109" s="445"/>
      <c r="J1109" s="446">
        <v>34</v>
      </c>
      <c r="K1109" s="447" t="s">
        <v>260</v>
      </c>
      <c r="L1109" s="250">
        <f t="shared" ref="L1109:AD1110" si="818">L1110</f>
        <v>3190</v>
      </c>
      <c r="M1109" s="250">
        <f t="shared" si="818"/>
        <v>423.38575884265708</v>
      </c>
      <c r="N1109" s="251">
        <f t="shared" si="818"/>
        <v>3326</v>
      </c>
      <c r="O1109" s="251">
        <f t="shared" si="818"/>
        <v>441.43606078704624</v>
      </c>
      <c r="P1109" s="252">
        <f t="shared" si="818"/>
        <v>500</v>
      </c>
      <c r="Q1109" s="252">
        <f t="shared" si="818"/>
        <v>600</v>
      </c>
      <c r="R1109" s="272">
        <f t="shared" si="818"/>
        <v>477</v>
      </c>
      <c r="S1109" s="273">
        <f t="shared" si="818"/>
        <v>0</v>
      </c>
      <c r="T1109" s="273"/>
      <c r="U1109" s="273"/>
      <c r="V1109" s="532">
        <f>V1110</f>
        <v>700</v>
      </c>
      <c r="W1109" s="532">
        <f t="shared" si="818"/>
        <v>700</v>
      </c>
      <c r="X1109" s="564">
        <f t="shared" si="818"/>
        <v>800</v>
      </c>
      <c r="Y1109" s="565">
        <f t="shared" si="818"/>
        <v>800</v>
      </c>
      <c r="Z1109" s="565">
        <f t="shared" si="818"/>
        <v>0</v>
      </c>
      <c r="AA1109" s="562" t="e">
        <f t="shared" ca="1" si="793"/>
        <v>#NAME?</v>
      </c>
      <c r="AB1109" s="565"/>
      <c r="AC1109" s="566">
        <f t="shared" si="818"/>
        <v>500</v>
      </c>
      <c r="AD1109" s="566">
        <f t="shared" si="818"/>
        <v>500</v>
      </c>
      <c r="AE1109" s="529">
        <f>O1109/M1109*100</f>
        <v>104.26332288401254</v>
      </c>
      <c r="AF1109" s="529">
        <f t="shared" ref="AF1109:AG1111" si="819">P1109/O1109*100</f>
        <v>113.26668671076368</v>
      </c>
      <c r="AG1109" s="529">
        <f t="shared" si="819"/>
        <v>120</v>
      </c>
      <c r="AH1109" s="529">
        <f>AC1109/Q1109*100</f>
        <v>83.333333333333343</v>
      </c>
      <c r="AI1109" s="565"/>
      <c r="AJ1109" s="565">
        <v>800</v>
      </c>
      <c r="AK1109" s="507">
        <f t="shared" si="782"/>
        <v>146.75052410901469</v>
      </c>
      <c r="AL1109" s="507">
        <f t="shared" si="783"/>
        <v>114.28571428571428</v>
      </c>
      <c r="AM1109" s="507">
        <f t="shared" si="783"/>
        <v>100</v>
      </c>
      <c r="AN1109" s="567"/>
      <c r="AO1109" s="510"/>
      <c r="AP1109" s="510" t="e">
        <f t="shared" ca="1" si="790"/>
        <v>#NAME?</v>
      </c>
      <c r="AQ1109" s="532">
        <f>AQ1110</f>
        <v>503</v>
      </c>
      <c r="AR1109" s="533">
        <f t="shared" si="796"/>
        <v>146.75052410901469</v>
      </c>
      <c r="AS1109" s="533">
        <f t="shared" si="798"/>
        <v>100</v>
      </c>
      <c r="AT1109" s="533">
        <f t="shared" si="797"/>
        <v>146.75052410901469</v>
      </c>
      <c r="AU1109" s="533">
        <f>AQ1109/W1109*100</f>
        <v>71.857142857142847</v>
      </c>
      <c r="AV1109" s="533">
        <f>AQ1109/R1109*100</f>
        <v>105.45073375262055</v>
      </c>
      <c r="AW1109" s="612"/>
      <c r="AX1109" s="612"/>
      <c r="AY1109" s="612"/>
      <c r="AZ1109" s="612"/>
      <c r="BA1109" s="612"/>
      <c r="BB1109" s="612"/>
      <c r="BC1109" s="612"/>
      <c r="BD1109" s="612"/>
      <c r="BE1109" s="612"/>
      <c r="BF1109" s="612"/>
      <c r="BG1109" s="612"/>
      <c r="BH1109" s="612">
        <f t="shared" si="794"/>
        <v>0</v>
      </c>
      <c r="BI1109" s="612">
        <f t="shared" si="780"/>
        <v>0</v>
      </c>
      <c r="BJ1109" s="201"/>
    </row>
    <row r="1110" spans="1:62" ht="12" customHeight="1">
      <c r="A1110" s="61"/>
      <c r="B1110" s="61"/>
      <c r="C1110" s="61"/>
      <c r="D1110" s="61"/>
      <c r="E1110" s="61"/>
      <c r="F1110" s="61"/>
      <c r="G1110" s="61"/>
      <c r="H1110" s="230"/>
      <c r="I1110" s="348"/>
      <c r="J1110" s="229">
        <v>343</v>
      </c>
      <c r="K1110" s="20" t="s">
        <v>425</v>
      </c>
      <c r="L1110" s="111">
        <f t="shared" si="818"/>
        <v>3190</v>
      </c>
      <c r="M1110" s="111">
        <f t="shared" si="818"/>
        <v>423.38575884265708</v>
      </c>
      <c r="N1110" s="112">
        <f t="shared" si="818"/>
        <v>3326</v>
      </c>
      <c r="O1110" s="112">
        <f t="shared" si="818"/>
        <v>441.43606078704624</v>
      </c>
      <c r="P1110" s="113">
        <f t="shared" si="818"/>
        <v>500</v>
      </c>
      <c r="Q1110" s="113">
        <f t="shared" si="818"/>
        <v>600</v>
      </c>
      <c r="R1110" s="87">
        <f t="shared" si="818"/>
        <v>477</v>
      </c>
      <c r="S1110" s="89">
        <f t="shared" si="818"/>
        <v>0</v>
      </c>
      <c r="T1110" s="89"/>
      <c r="U1110" s="89"/>
      <c r="V1110" s="532">
        <f>V1111</f>
        <v>700</v>
      </c>
      <c r="W1110" s="532">
        <f t="shared" si="818"/>
        <v>700</v>
      </c>
      <c r="X1110" s="506">
        <f t="shared" si="818"/>
        <v>800</v>
      </c>
      <c r="Y1110" s="507">
        <f t="shared" si="818"/>
        <v>800</v>
      </c>
      <c r="Z1110" s="507">
        <f t="shared" si="818"/>
        <v>0</v>
      </c>
      <c r="AA1110" s="562" t="e">
        <f t="shared" ca="1" si="793"/>
        <v>#NAME?</v>
      </c>
      <c r="AB1110" s="507"/>
      <c r="AC1110" s="508">
        <f t="shared" si="818"/>
        <v>500</v>
      </c>
      <c r="AD1110" s="508">
        <f t="shared" si="818"/>
        <v>500</v>
      </c>
      <c r="AE1110" s="529">
        <f>O1110/M1110*100</f>
        <v>104.26332288401254</v>
      </c>
      <c r="AF1110" s="529">
        <f t="shared" si="819"/>
        <v>113.26668671076368</v>
      </c>
      <c r="AG1110" s="529">
        <f t="shared" si="819"/>
        <v>120</v>
      </c>
      <c r="AH1110" s="529">
        <f>AC1110/Q1110*100</f>
        <v>83.333333333333343</v>
      </c>
      <c r="AI1110" s="507"/>
      <c r="AJ1110" s="507">
        <v>800</v>
      </c>
      <c r="AK1110" s="507">
        <f t="shared" si="782"/>
        <v>146.75052410901469</v>
      </c>
      <c r="AL1110" s="507">
        <f t="shared" si="783"/>
        <v>114.28571428571428</v>
      </c>
      <c r="AM1110" s="507">
        <f t="shared" si="783"/>
        <v>100</v>
      </c>
      <c r="AN1110" s="509"/>
      <c r="AO1110" s="510"/>
      <c r="AP1110" s="510" t="e">
        <f t="shared" ca="1" si="790"/>
        <v>#NAME?</v>
      </c>
      <c r="AQ1110" s="532">
        <f>AQ1111</f>
        <v>503</v>
      </c>
      <c r="AR1110" s="533">
        <f t="shared" si="796"/>
        <v>146.75052410901469</v>
      </c>
      <c r="AS1110" s="533">
        <f t="shared" si="798"/>
        <v>100</v>
      </c>
      <c r="AT1110" s="533">
        <f t="shared" si="797"/>
        <v>146.75052410901469</v>
      </c>
      <c r="AU1110" s="533">
        <f>AQ1110/W1110*100</f>
        <v>71.857142857142847</v>
      </c>
      <c r="AV1110" s="533">
        <f>AQ1110/R1110*100</f>
        <v>105.45073375262055</v>
      </c>
      <c r="AW1110" s="612"/>
      <c r="AX1110" s="612"/>
      <c r="AY1110" s="612"/>
      <c r="AZ1110" s="612"/>
      <c r="BA1110" s="612"/>
      <c r="BB1110" s="612"/>
      <c r="BC1110" s="612"/>
      <c r="BD1110" s="612"/>
      <c r="BE1110" s="612"/>
      <c r="BF1110" s="612"/>
      <c r="BG1110" s="612"/>
      <c r="BH1110" s="612">
        <f t="shared" si="794"/>
        <v>0</v>
      </c>
      <c r="BI1110" s="612">
        <f t="shared" si="780"/>
        <v>0</v>
      </c>
      <c r="BJ1110" s="201"/>
    </row>
    <row r="1111" spans="1:62" ht="12" customHeight="1">
      <c r="A1111" s="52"/>
      <c r="B1111" s="52"/>
      <c r="C1111" s="52"/>
      <c r="D1111" s="52"/>
      <c r="E1111" s="52"/>
      <c r="F1111" s="52"/>
      <c r="G1111" s="52"/>
      <c r="H1111" s="2">
        <v>65</v>
      </c>
      <c r="I1111" s="289">
        <v>820</v>
      </c>
      <c r="J1111" s="185">
        <v>3431</v>
      </c>
      <c r="K1111" s="19" t="s">
        <v>832</v>
      </c>
      <c r="L1111" s="129">
        <v>3190</v>
      </c>
      <c r="M1111" s="129">
        <f>3190/7.5345</f>
        <v>423.38575884265708</v>
      </c>
      <c r="N1111" s="130">
        <v>3326</v>
      </c>
      <c r="O1111" s="130">
        <f>N1111/7.5345</f>
        <v>441.43606078704624</v>
      </c>
      <c r="P1111" s="131">
        <v>500</v>
      </c>
      <c r="Q1111" s="156">
        <v>600</v>
      </c>
      <c r="R1111" s="153">
        <v>477</v>
      </c>
      <c r="S1111" s="158"/>
      <c r="T1111" s="158"/>
      <c r="U1111" s="158"/>
      <c r="V1111" s="532">
        <v>700</v>
      </c>
      <c r="W1111" s="532">
        <v>700</v>
      </c>
      <c r="X1111" s="560">
        <v>800</v>
      </c>
      <c r="Y1111" s="561">
        <v>800</v>
      </c>
      <c r="Z1111" s="561"/>
      <c r="AA1111" s="562" t="e">
        <f t="shared" ca="1" si="793"/>
        <v>#NAME?</v>
      </c>
      <c r="AB1111" s="535"/>
      <c r="AC1111" s="529">
        <v>500</v>
      </c>
      <c r="AD1111" s="529">
        <v>500</v>
      </c>
      <c r="AE1111" s="529">
        <f>O1111/M1111*100</f>
        <v>104.26332288401254</v>
      </c>
      <c r="AF1111" s="529">
        <f t="shared" si="819"/>
        <v>113.26668671076368</v>
      </c>
      <c r="AG1111" s="529">
        <f t="shared" si="819"/>
        <v>120</v>
      </c>
      <c r="AH1111" s="529">
        <f>AC1111/Q1111*100</f>
        <v>83.333333333333343</v>
      </c>
      <c r="AI1111" s="535"/>
      <c r="AJ1111" s="561">
        <v>800</v>
      </c>
      <c r="AK1111" s="507">
        <f t="shared" si="782"/>
        <v>146.75052410901469</v>
      </c>
      <c r="AL1111" s="507">
        <f t="shared" si="783"/>
        <v>114.28571428571428</v>
      </c>
      <c r="AM1111" s="507">
        <f t="shared" si="783"/>
        <v>100</v>
      </c>
      <c r="AN1111" s="556"/>
      <c r="AO1111" s="510"/>
      <c r="AP1111" s="510" t="e">
        <f t="shared" ca="1" si="790"/>
        <v>#NAME?</v>
      </c>
      <c r="AQ1111" s="532">
        <v>503</v>
      </c>
      <c r="AR1111" s="533">
        <f t="shared" si="796"/>
        <v>146.75052410901469</v>
      </c>
      <c r="AS1111" s="533">
        <f t="shared" si="798"/>
        <v>100</v>
      </c>
      <c r="AT1111" s="533">
        <f t="shared" si="797"/>
        <v>146.75052410901469</v>
      </c>
      <c r="AU1111" s="533">
        <f>AQ1111/W1111*100</f>
        <v>71.857142857142847</v>
      </c>
      <c r="AV1111" s="533">
        <f>AQ1111/R1111*100</f>
        <v>105.45073375262055</v>
      </c>
      <c r="AW1111" s="612">
        <f>AQ1111</f>
        <v>503</v>
      </c>
      <c r="AX1111" s="612"/>
      <c r="AY1111" s="612"/>
      <c r="AZ1111" s="612"/>
      <c r="BA1111" s="612"/>
      <c r="BB1111" s="612"/>
      <c r="BC1111" s="612"/>
      <c r="BD1111" s="612"/>
      <c r="BE1111" s="612"/>
      <c r="BF1111" s="612"/>
      <c r="BG1111" s="612"/>
      <c r="BH1111" s="612">
        <f t="shared" si="794"/>
        <v>503</v>
      </c>
      <c r="BI1111" s="612">
        <f t="shared" si="780"/>
        <v>0</v>
      </c>
      <c r="BJ1111" s="201"/>
    </row>
    <row r="1112" spans="1:62" ht="12" customHeight="1">
      <c r="A1112" s="68"/>
      <c r="B1112" s="68"/>
      <c r="C1112" s="68"/>
      <c r="D1112" s="68"/>
      <c r="E1112" s="68"/>
      <c r="F1112" s="68"/>
      <c r="G1112" s="68"/>
      <c r="H1112" s="319"/>
      <c r="I1112" s="4"/>
      <c r="J1112" s="8"/>
      <c r="K1112" s="8"/>
      <c r="L1112" s="84"/>
      <c r="M1112" s="84"/>
      <c r="N1112" s="85"/>
      <c r="O1112" s="85"/>
      <c r="P1112" s="86"/>
      <c r="Q1112" s="86"/>
      <c r="R1112" s="154"/>
      <c r="S1112" s="155"/>
      <c r="T1112" s="155"/>
      <c r="U1112" s="155"/>
      <c r="V1112" s="532"/>
      <c r="W1112" s="532"/>
      <c r="X1112" s="568"/>
      <c r="Y1112" s="569"/>
      <c r="Z1112" s="569"/>
      <c r="AA1112" s="562" t="e">
        <f t="shared" ca="1" si="793"/>
        <v>#NAME?</v>
      </c>
      <c r="AB1112" s="537"/>
      <c r="AC1112" s="538"/>
      <c r="AD1112" s="538"/>
      <c r="AE1112" s="529"/>
      <c r="AF1112" s="529"/>
      <c r="AG1112" s="529"/>
      <c r="AH1112" s="529"/>
      <c r="AI1112" s="537"/>
      <c r="AJ1112" s="569"/>
      <c r="AK1112" s="507"/>
      <c r="AL1112" s="507"/>
      <c r="AM1112" s="507"/>
      <c r="AN1112" s="557"/>
      <c r="AO1112" s="510"/>
      <c r="AP1112" s="510" t="e">
        <f t="shared" ca="1" si="790"/>
        <v>#NAME?</v>
      </c>
      <c r="AQ1112" s="532"/>
      <c r="AR1112" s="533"/>
      <c r="AS1112" s="533"/>
      <c r="AT1112" s="533"/>
      <c r="AU1112" s="533"/>
      <c r="AV1112" s="533"/>
      <c r="AW1112" s="612"/>
      <c r="AX1112" s="612"/>
      <c r="AY1112" s="612"/>
      <c r="AZ1112" s="612"/>
      <c r="BA1112" s="612"/>
      <c r="BB1112" s="612"/>
      <c r="BC1112" s="612"/>
      <c r="BD1112" s="612"/>
      <c r="BE1112" s="612"/>
      <c r="BF1112" s="612"/>
      <c r="BG1112" s="612"/>
      <c r="BH1112" s="612">
        <f t="shared" si="794"/>
        <v>0</v>
      </c>
      <c r="BI1112" s="612">
        <f t="shared" si="780"/>
        <v>1187.53</v>
      </c>
      <c r="BJ1112" s="201"/>
    </row>
    <row r="1113" spans="1:62" ht="12" customHeight="1">
      <c r="A1113" s="282" t="s">
        <v>522</v>
      </c>
      <c r="B1113" s="283"/>
      <c r="C1113" s="283"/>
      <c r="D1113" s="283"/>
      <c r="E1113" s="283"/>
      <c r="F1113" s="283"/>
      <c r="G1113" s="283"/>
      <c r="H1113" s="284"/>
      <c r="I1113" s="369" t="s">
        <v>833</v>
      </c>
      <c r="J1113" s="370"/>
      <c r="K1113" s="226"/>
      <c r="L1113" s="111">
        <f t="shared" ref="L1113:S1113" si="820">L1115</f>
        <v>74189</v>
      </c>
      <c r="M1113" s="111">
        <f t="shared" si="820"/>
        <v>9846.572433472691</v>
      </c>
      <c r="N1113" s="112">
        <f t="shared" si="820"/>
        <v>92414</v>
      </c>
      <c r="O1113" s="112">
        <f t="shared" si="820"/>
        <v>12265.445616829251</v>
      </c>
      <c r="P1113" s="113">
        <f t="shared" si="820"/>
        <v>13500</v>
      </c>
      <c r="Q1113" s="113">
        <f t="shared" si="820"/>
        <v>13500</v>
      </c>
      <c r="R1113" s="87">
        <f t="shared" si="820"/>
        <v>10215</v>
      </c>
      <c r="S1113" s="89">
        <f t="shared" si="820"/>
        <v>0</v>
      </c>
      <c r="T1113" s="89"/>
      <c r="U1113" s="89"/>
      <c r="V1113" s="532">
        <f>V1115</f>
        <v>24500</v>
      </c>
      <c r="W1113" s="532">
        <f>W1115</f>
        <v>24500</v>
      </c>
      <c r="X1113" s="506">
        <f>X1115</f>
        <v>15000</v>
      </c>
      <c r="Y1113" s="507">
        <f>Y1115</f>
        <v>16000</v>
      </c>
      <c r="Z1113" s="507">
        <f>Z1115</f>
        <v>0</v>
      </c>
      <c r="AA1113" s="562" t="e">
        <f t="shared" ca="1" si="793"/>
        <v>#NAME?</v>
      </c>
      <c r="AB1113" s="507"/>
      <c r="AC1113" s="508">
        <f>AC1115</f>
        <v>14000</v>
      </c>
      <c r="AD1113" s="508">
        <f>AD1115</f>
        <v>14000</v>
      </c>
      <c r="AE1113" s="529">
        <f>O1113/M1113*100</f>
        <v>124.56563641510196</v>
      </c>
      <c r="AF1113" s="529">
        <f>P1113/O1113*100</f>
        <v>110.06530395827474</v>
      </c>
      <c r="AG1113" s="529">
        <f>Q1113/P1113*100</f>
        <v>100</v>
      </c>
      <c r="AH1113" s="529">
        <f>AC1113/Q1113*100</f>
        <v>103.7037037037037</v>
      </c>
      <c r="AI1113" s="507"/>
      <c r="AJ1113" s="507">
        <v>16000</v>
      </c>
      <c r="AK1113" s="507">
        <f t="shared" ref="AK1113:AK1177" si="821">W1113/R1113*100</f>
        <v>239.84336759667158</v>
      </c>
      <c r="AL1113" s="507">
        <f t="shared" ref="AL1113:AM1177" si="822">X1113/W1113*100</f>
        <v>61.224489795918366</v>
      </c>
      <c r="AM1113" s="507">
        <f t="shared" si="822"/>
        <v>106.66666666666667</v>
      </c>
      <c r="AN1113" s="509"/>
      <c r="AO1113" s="510"/>
      <c r="AP1113" s="510" t="e">
        <f t="shared" ca="1" si="790"/>
        <v>#NAME?</v>
      </c>
      <c r="AQ1113" s="532">
        <f>AQ1115</f>
        <v>27185.42</v>
      </c>
      <c r="AR1113" s="533">
        <f t="shared" si="796"/>
        <v>239.84336759667158</v>
      </c>
      <c r="AS1113" s="533">
        <f t="shared" si="798"/>
        <v>100</v>
      </c>
      <c r="AT1113" s="533">
        <f t="shared" si="797"/>
        <v>239.84336759667158</v>
      </c>
      <c r="AU1113" s="533">
        <f>AQ1113/W1113*100</f>
        <v>110.96089795918367</v>
      </c>
      <c r="AV1113" s="533">
        <f>AQ1113/R1113*100</f>
        <v>266.1323543808125</v>
      </c>
      <c r="AW1113" s="612"/>
      <c r="AX1113" s="612"/>
      <c r="AY1113" s="612"/>
      <c r="AZ1113" s="612"/>
      <c r="BA1113" s="612"/>
      <c r="BB1113" s="612"/>
      <c r="BC1113" s="612"/>
      <c r="BD1113" s="612"/>
      <c r="BE1113" s="612"/>
      <c r="BF1113" s="612"/>
      <c r="BG1113" s="612"/>
      <c r="BH1113" s="612">
        <f t="shared" si="794"/>
        <v>0</v>
      </c>
      <c r="BI1113" s="612">
        <f t="shared" ref="BI1113:BI1176" si="823">SUM(AW1120:BG1120)</f>
        <v>9492</v>
      </c>
      <c r="BJ1113" s="201"/>
    </row>
    <row r="1114" spans="1:62" ht="12" customHeight="1">
      <c r="A1114" s="68"/>
      <c r="B1114" s="68"/>
      <c r="C1114" s="68"/>
      <c r="D1114" s="68"/>
      <c r="E1114" s="68"/>
      <c r="F1114" s="68"/>
      <c r="G1114" s="68"/>
      <c r="H1114" s="319"/>
      <c r="I1114" s="256"/>
      <c r="J1114" s="211"/>
      <c r="K1114" s="69"/>
      <c r="L1114" s="175"/>
      <c r="M1114" s="175"/>
      <c r="N1114" s="176"/>
      <c r="O1114" s="176"/>
      <c r="P1114" s="177"/>
      <c r="Q1114" s="177"/>
      <c r="R1114" s="212"/>
      <c r="S1114" s="180"/>
      <c r="T1114" s="180"/>
      <c r="U1114" s="180"/>
      <c r="V1114" s="532"/>
      <c r="W1114" s="532"/>
      <c r="X1114" s="563"/>
      <c r="Y1114" s="562"/>
      <c r="Z1114" s="562"/>
      <c r="AA1114" s="562" t="e">
        <f t="shared" ca="1" si="793"/>
        <v>#NAME?</v>
      </c>
      <c r="AB1114" s="507"/>
      <c r="AC1114" s="508"/>
      <c r="AD1114" s="508"/>
      <c r="AE1114" s="529"/>
      <c r="AF1114" s="529"/>
      <c r="AG1114" s="529"/>
      <c r="AH1114" s="529"/>
      <c r="AI1114" s="507"/>
      <c r="AJ1114" s="562"/>
      <c r="AK1114" s="507"/>
      <c r="AL1114" s="507"/>
      <c r="AM1114" s="507"/>
      <c r="AN1114" s="509"/>
      <c r="AO1114" s="510"/>
      <c r="AP1114" s="510" t="e">
        <f t="shared" ca="1" si="790"/>
        <v>#NAME?</v>
      </c>
      <c r="AQ1114" s="532"/>
      <c r="AR1114" s="533"/>
      <c r="AS1114" s="533"/>
      <c r="AT1114" s="533"/>
      <c r="AU1114" s="533"/>
      <c r="AV1114" s="533"/>
      <c r="AW1114" s="612"/>
      <c r="AX1114" s="612"/>
      <c r="AY1114" s="612"/>
      <c r="AZ1114" s="612"/>
      <c r="BA1114" s="612"/>
      <c r="BB1114" s="612"/>
      <c r="BC1114" s="612"/>
      <c r="BD1114" s="612"/>
      <c r="BE1114" s="612"/>
      <c r="BF1114" s="612"/>
      <c r="BG1114" s="612"/>
      <c r="BH1114" s="612">
        <f t="shared" si="794"/>
        <v>0</v>
      </c>
      <c r="BI1114" s="612">
        <f t="shared" si="823"/>
        <v>892.89</v>
      </c>
      <c r="BJ1114" s="201"/>
    </row>
    <row r="1115" spans="1:62" ht="12" customHeight="1">
      <c r="A1115" s="25"/>
      <c r="B1115" s="25"/>
      <c r="C1115" s="25"/>
      <c r="D1115" s="25"/>
      <c r="E1115" s="25"/>
      <c r="F1115" s="25"/>
      <c r="G1115" s="25"/>
      <c r="H1115" s="285"/>
      <c r="I1115" s="349"/>
      <c r="J1115" s="211">
        <v>4</v>
      </c>
      <c r="K1115" s="3" t="s">
        <v>407</v>
      </c>
      <c r="L1115" s="111">
        <f t="shared" ref="L1115:S1115" si="824">L1116+L1126</f>
        <v>74189</v>
      </c>
      <c r="M1115" s="111">
        <f t="shared" si="824"/>
        <v>9846.572433472691</v>
      </c>
      <c r="N1115" s="112">
        <f t="shared" si="824"/>
        <v>92414</v>
      </c>
      <c r="O1115" s="112">
        <f t="shared" si="824"/>
        <v>12265.445616829251</v>
      </c>
      <c r="P1115" s="113">
        <f t="shared" si="824"/>
        <v>13500</v>
      </c>
      <c r="Q1115" s="113">
        <f t="shared" si="824"/>
        <v>13500</v>
      </c>
      <c r="R1115" s="87">
        <f t="shared" si="824"/>
        <v>10215</v>
      </c>
      <c r="S1115" s="89">
        <f t="shared" si="824"/>
        <v>0</v>
      </c>
      <c r="T1115" s="89"/>
      <c r="U1115" s="89"/>
      <c r="V1115" s="532">
        <f>V1116+V1126</f>
        <v>24500</v>
      </c>
      <c r="W1115" s="532">
        <f>W1116+W1126</f>
        <v>24500</v>
      </c>
      <c r="X1115" s="506">
        <f>X1116+X1126</f>
        <v>15000</v>
      </c>
      <c r="Y1115" s="507">
        <f>Y1116+Y1126</f>
        <v>16000</v>
      </c>
      <c r="Z1115" s="507">
        <f>Z1116+Z1126</f>
        <v>0</v>
      </c>
      <c r="AA1115" s="562" t="e">
        <f t="shared" ca="1" si="793"/>
        <v>#NAME?</v>
      </c>
      <c r="AB1115" s="507"/>
      <c r="AC1115" s="508">
        <f>AC1116+AC1126</f>
        <v>14000</v>
      </c>
      <c r="AD1115" s="508">
        <f>AD1116+AD1126</f>
        <v>14000</v>
      </c>
      <c r="AE1115" s="529">
        <f>O1115/M1115*100</f>
        <v>124.56563641510196</v>
      </c>
      <c r="AF1115" s="529">
        <f>P1115/O1115*100</f>
        <v>110.06530395827474</v>
      </c>
      <c r="AG1115" s="529">
        <f>Q1115/P1115*100</f>
        <v>100</v>
      </c>
      <c r="AH1115" s="529">
        <f>AC1115/Q1115*100</f>
        <v>103.7037037037037</v>
      </c>
      <c r="AI1115" s="507"/>
      <c r="AJ1115" s="507">
        <v>16000</v>
      </c>
      <c r="AK1115" s="507">
        <f t="shared" si="821"/>
        <v>239.84336759667158</v>
      </c>
      <c r="AL1115" s="507">
        <f t="shared" si="822"/>
        <v>61.224489795918366</v>
      </c>
      <c r="AM1115" s="507">
        <f t="shared" si="822"/>
        <v>106.66666666666667</v>
      </c>
      <c r="AN1115" s="509"/>
      <c r="AO1115" s="510"/>
      <c r="AP1115" s="510" t="e">
        <f t="shared" ca="1" si="790"/>
        <v>#NAME?</v>
      </c>
      <c r="AQ1115" s="532">
        <f>AQ1116+AQ1126</f>
        <v>27185.42</v>
      </c>
      <c r="AR1115" s="533">
        <f t="shared" si="796"/>
        <v>239.84336759667158</v>
      </c>
      <c r="AS1115" s="533">
        <f t="shared" si="798"/>
        <v>100</v>
      </c>
      <c r="AT1115" s="533">
        <f t="shared" si="797"/>
        <v>239.84336759667158</v>
      </c>
      <c r="AU1115" s="533">
        <f>AQ1115/W1115*100</f>
        <v>110.96089795918367</v>
      </c>
      <c r="AV1115" s="533">
        <f>AQ1115/R1115*100</f>
        <v>266.1323543808125</v>
      </c>
      <c r="AW1115" s="612"/>
      <c r="AX1115" s="612"/>
      <c r="AY1115" s="612"/>
      <c r="AZ1115" s="612"/>
      <c r="BA1115" s="612"/>
      <c r="BB1115" s="612"/>
      <c r="BC1115" s="612"/>
      <c r="BD1115" s="612"/>
      <c r="BE1115" s="612"/>
      <c r="BF1115" s="612"/>
      <c r="BG1115" s="612"/>
      <c r="BH1115" s="612">
        <f t="shared" si="794"/>
        <v>0</v>
      </c>
      <c r="BI1115" s="612">
        <f t="shared" si="823"/>
        <v>0</v>
      </c>
      <c r="BJ1115" s="201"/>
    </row>
    <row r="1116" spans="1:62" ht="12" customHeight="1">
      <c r="A1116" s="227"/>
      <c r="B1116" s="227"/>
      <c r="C1116" s="227"/>
      <c r="D1116" s="227"/>
      <c r="E1116" s="227"/>
      <c r="F1116" s="227"/>
      <c r="G1116" s="227"/>
      <c r="H1116" s="234"/>
      <c r="I1116" s="265"/>
      <c r="J1116" s="228">
        <v>42</v>
      </c>
      <c r="K1116" s="258" t="s">
        <v>834</v>
      </c>
      <c r="L1116" s="111">
        <f t="shared" ref="L1116:S1116" si="825">L1118+L1123</f>
        <v>74189</v>
      </c>
      <c r="M1116" s="111">
        <f t="shared" si="825"/>
        <v>9846.572433472691</v>
      </c>
      <c r="N1116" s="112">
        <f t="shared" si="825"/>
        <v>92414</v>
      </c>
      <c r="O1116" s="112">
        <f t="shared" si="825"/>
        <v>12265.445616829251</v>
      </c>
      <c r="P1116" s="113">
        <f t="shared" si="825"/>
        <v>13500</v>
      </c>
      <c r="Q1116" s="113">
        <f t="shared" si="825"/>
        <v>13500</v>
      </c>
      <c r="R1116" s="87">
        <f t="shared" si="825"/>
        <v>10215</v>
      </c>
      <c r="S1116" s="89">
        <f t="shared" si="825"/>
        <v>0</v>
      </c>
      <c r="T1116" s="89"/>
      <c r="U1116" s="89"/>
      <c r="V1116" s="532">
        <f>V1118+V1123</f>
        <v>24500</v>
      </c>
      <c r="W1116" s="532">
        <f>W1118+W1123</f>
        <v>24500</v>
      </c>
      <c r="X1116" s="506">
        <f>X1118+X1123</f>
        <v>15000</v>
      </c>
      <c r="Y1116" s="507">
        <f>Y1118+Y1123</f>
        <v>16000</v>
      </c>
      <c r="Z1116" s="507">
        <f>Z1118+Z1123</f>
        <v>0</v>
      </c>
      <c r="AA1116" s="562" t="e">
        <f t="shared" ca="1" si="793"/>
        <v>#NAME?</v>
      </c>
      <c r="AB1116" s="507"/>
      <c r="AC1116" s="508">
        <f>AC1118+AC1123</f>
        <v>14000</v>
      </c>
      <c r="AD1116" s="508">
        <f>AD1118+AD1123</f>
        <v>14000</v>
      </c>
      <c r="AE1116" s="529">
        <f>O1116/M1116*100</f>
        <v>124.56563641510196</v>
      </c>
      <c r="AF1116" s="529">
        <f>P1116/O1116*100</f>
        <v>110.06530395827474</v>
      </c>
      <c r="AG1116" s="529">
        <f>Q1116/P1116*100</f>
        <v>100</v>
      </c>
      <c r="AH1116" s="529">
        <f>AC1116/Q1116*100</f>
        <v>103.7037037037037</v>
      </c>
      <c r="AI1116" s="507"/>
      <c r="AJ1116" s="507">
        <v>16000</v>
      </c>
      <c r="AK1116" s="507">
        <f t="shared" si="821"/>
        <v>239.84336759667158</v>
      </c>
      <c r="AL1116" s="507">
        <f t="shared" si="822"/>
        <v>61.224489795918366</v>
      </c>
      <c r="AM1116" s="507">
        <f t="shared" si="822"/>
        <v>106.66666666666667</v>
      </c>
      <c r="AN1116" s="509"/>
      <c r="AO1116" s="510"/>
      <c r="AP1116" s="510" t="e">
        <f t="shared" ca="1" si="790"/>
        <v>#NAME?</v>
      </c>
      <c r="AQ1116" s="532">
        <f>AQ1118+AQ1123</f>
        <v>27185.42</v>
      </c>
      <c r="AR1116" s="533">
        <f t="shared" si="796"/>
        <v>239.84336759667158</v>
      </c>
      <c r="AS1116" s="533">
        <f t="shared" si="798"/>
        <v>100</v>
      </c>
      <c r="AT1116" s="533">
        <f t="shared" si="797"/>
        <v>239.84336759667158</v>
      </c>
      <c r="AU1116" s="533">
        <f>AQ1116/W1116*100</f>
        <v>110.96089795918367</v>
      </c>
      <c r="AV1116" s="533">
        <f>AQ1116/R1116*100</f>
        <v>266.1323543808125</v>
      </c>
      <c r="AW1116" s="612"/>
      <c r="AX1116" s="612"/>
      <c r="AY1116" s="612"/>
      <c r="AZ1116" s="612"/>
      <c r="BA1116" s="612"/>
      <c r="BB1116" s="612"/>
      <c r="BC1116" s="612"/>
      <c r="BD1116" s="612"/>
      <c r="BE1116" s="612"/>
      <c r="BF1116" s="612"/>
      <c r="BG1116" s="612"/>
      <c r="BH1116" s="612">
        <f t="shared" si="794"/>
        <v>0</v>
      </c>
      <c r="BI1116" s="612">
        <f t="shared" si="823"/>
        <v>0</v>
      </c>
      <c r="BJ1116" s="201"/>
    </row>
    <row r="1117" spans="1:62" ht="12" customHeight="1">
      <c r="A1117" s="25"/>
      <c r="B1117" s="25"/>
      <c r="C1117" s="25"/>
      <c r="D1117" s="25"/>
      <c r="E1117" s="25"/>
      <c r="F1117" s="25"/>
      <c r="G1117" s="25"/>
      <c r="H1117" s="285"/>
      <c r="I1117" s="349"/>
      <c r="J1117" s="211"/>
      <c r="K1117" s="3"/>
      <c r="L1117" s="111"/>
      <c r="M1117" s="111"/>
      <c r="N1117" s="112"/>
      <c r="O1117" s="112"/>
      <c r="P1117" s="113"/>
      <c r="Q1117" s="113"/>
      <c r="R1117" s="87"/>
      <c r="S1117" s="89"/>
      <c r="T1117" s="89"/>
      <c r="U1117" s="89"/>
      <c r="V1117" s="532"/>
      <c r="W1117" s="532"/>
      <c r="X1117" s="563"/>
      <c r="Y1117" s="562"/>
      <c r="Z1117" s="562"/>
      <c r="AA1117" s="562" t="e">
        <f t="shared" ca="1" si="793"/>
        <v>#NAME?</v>
      </c>
      <c r="AB1117" s="507"/>
      <c r="AC1117" s="508"/>
      <c r="AD1117" s="508"/>
      <c r="AE1117" s="529"/>
      <c r="AF1117" s="529"/>
      <c r="AG1117" s="529"/>
      <c r="AH1117" s="529"/>
      <c r="AI1117" s="507"/>
      <c r="AJ1117" s="562"/>
      <c r="AK1117" s="507"/>
      <c r="AL1117" s="507"/>
      <c r="AM1117" s="507"/>
      <c r="AN1117" s="509"/>
      <c r="AO1117" s="510"/>
      <c r="AP1117" s="510" t="e">
        <f t="shared" ca="1" si="790"/>
        <v>#NAME?</v>
      </c>
      <c r="AQ1117" s="532"/>
      <c r="AR1117" s="533"/>
      <c r="AS1117" s="533"/>
      <c r="AT1117" s="533"/>
      <c r="AU1117" s="533"/>
      <c r="AV1117" s="533"/>
      <c r="AW1117" s="612"/>
      <c r="AX1117" s="612"/>
      <c r="AY1117" s="612"/>
      <c r="AZ1117" s="612"/>
      <c r="BA1117" s="612"/>
      <c r="BB1117" s="612"/>
      <c r="BC1117" s="612"/>
      <c r="BD1117" s="612"/>
      <c r="BE1117" s="612"/>
      <c r="BF1117" s="612"/>
      <c r="BG1117" s="612"/>
      <c r="BH1117" s="612">
        <f t="shared" si="794"/>
        <v>0</v>
      </c>
      <c r="BI1117" s="612">
        <f t="shared" si="823"/>
        <v>15613</v>
      </c>
      <c r="BJ1117" s="201"/>
    </row>
    <row r="1118" spans="1:62" ht="12" customHeight="1">
      <c r="A1118" s="357"/>
      <c r="B1118" s="357"/>
      <c r="C1118" s="357"/>
      <c r="D1118" s="357"/>
      <c r="E1118" s="357"/>
      <c r="F1118" s="357"/>
      <c r="G1118" s="357"/>
      <c r="H1118" s="358"/>
      <c r="I1118" s="348"/>
      <c r="J1118" s="229">
        <v>422</v>
      </c>
      <c r="K1118" s="20" t="s">
        <v>409</v>
      </c>
      <c r="L1118" s="111">
        <f t="shared" ref="L1118:Z1118" si="826">L1119</f>
        <v>0</v>
      </c>
      <c r="M1118" s="111">
        <f t="shared" si="826"/>
        <v>0</v>
      </c>
      <c r="N1118" s="112">
        <f t="shared" si="826"/>
        <v>21014</v>
      </c>
      <c r="O1118" s="112">
        <f t="shared" si="826"/>
        <v>2789.0370960249516</v>
      </c>
      <c r="P1118" s="113">
        <f t="shared" si="826"/>
        <v>2800</v>
      </c>
      <c r="Q1118" s="113">
        <f t="shared" si="826"/>
        <v>2800</v>
      </c>
      <c r="R1118" s="87">
        <f t="shared" si="826"/>
        <v>0</v>
      </c>
      <c r="S1118" s="89">
        <f t="shared" si="826"/>
        <v>0</v>
      </c>
      <c r="T1118" s="89"/>
      <c r="U1118" s="89"/>
      <c r="V1118" s="532">
        <f>V1119</f>
        <v>12500</v>
      </c>
      <c r="W1118" s="532">
        <f t="shared" si="826"/>
        <v>12500</v>
      </c>
      <c r="X1118" s="506">
        <f t="shared" si="826"/>
        <v>3000</v>
      </c>
      <c r="Y1118" s="507">
        <f t="shared" si="826"/>
        <v>3000</v>
      </c>
      <c r="Z1118" s="507">
        <f t="shared" si="826"/>
        <v>0</v>
      </c>
      <c r="AA1118" s="562" t="e">
        <f t="shared" ca="1" si="793"/>
        <v>#NAME?</v>
      </c>
      <c r="AB1118" s="507"/>
      <c r="AC1118" s="508">
        <f>AC1119</f>
        <v>3000</v>
      </c>
      <c r="AD1118" s="508">
        <f>AD1119</f>
        <v>3000</v>
      </c>
      <c r="AE1118" s="529"/>
      <c r="AF1118" s="529"/>
      <c r="AG1118" s="529"/>
      <c r="AH1118" s="529"/>
      <c r="AI1118" s="507"/>
      <c r="AJ1118" s="507">
        <v>3000</v>
      </c>
      <c r="AK1118" s="507"/>
      <c r="AL1118" s="507">
        <f t="shared" si="822"/>
        <v>24</v>
      </c>
      <c r="AM1118" s="507">
        <f t="shared" si="822"/>
        <v>100</v>
      </c>
      <c r="AN1118" s="509"/>
      <c r="AO1118" s="510"/>
      <c r="AP1118" s="510" t="e">
        <f t="shared" ca="1" si="790"/>
        <v>#NAME?</v>
      </c>
      <c r="AQ1118" s="532">
        <f>AQ1119+AQ1120+AQ1121</f>
        <v>11572.42</v>
      </c>
      <c r="AR1118" s="533"/>
      <c r="AS1118" s="533">
        <f t="shared" si="798"/>
        <v>100</v>
      </c>
      <c r="AT1118" s="533"/>
      <c r="AU1118" s="533">
        <f>AQ1118/W1118*100</f>
        <v>92.579359999999994</v>
      </c>
      <c r="AV1118" s="533"/>
      <c r="AW1118" s="612"/>
      <c r="AX1118" s="612"/>
      <c r="AY1118" s="612"/>
      <c r="AZ1118" s="612"/>
      <c r="BA1118" s="612"/>
      <c r="BB1118" s="612"/>
      <c r="BC1118" s="612"/>
      <c r="BD1118" s="612"/>
      <c r="BE1118" s="612"/>
      <c r="BF1118" s="612"/>
      <c r="BG1118" s="612"/>
      <c r="BH1118" s="612">
        <f t="shared" si="794"/>
        <v>0</v>
      </c>
      <c r="BI1118" s="612">
        <f t="shared" si="823"/>
        <v>0</v>
      </c>
      <c r="BJ1118" s="201"/>
    </row>
    <row r="1119" spans="1:62" ht="12" customHeight="1">
      <c r="A1119" s="167"/>
      <c r="B1119" s="167"/>
      <c r="C1119" s="167"/>
      <c r="D1119" s="167"/>
      <c r="E1119" s="167"/>
      <c r="F1119" s="167"/>
      <c r="G1119" s="167"/>
      <c r="H1119" s="22" t="s">
        <v>835</v>
      </c>
      <c r="I1119" s="289">
        <v>820</v>
      </c>
      <c r="J1119" s="185">
        <v>4221</v>
      </c>
      <c r="K1119" s="19" t="s">
        <v>299</v>
      </c>
      <c r="L1119" s="129">
        <v>0</v>
      </c>
      <c r="M1119" s="129">
        <v>0</v>
      </c>
      <c r="N1119" s="130">
        <v>21014</v>
      </c>
      <c r="O1119" s="130">
        <f>N1119/7.5345</f>
        <v>2789.0370960249516</v>
      </c>
      <c r="P1119" s="131">
        <v>2800</v>
      </c>
      <c r="Q1119" s="131">
        <v>2800</v>
      </c>
      <c r="R1119" s="153">
        <v>0</v>
      </c>
      <c r="S1119" s="158"/>
      <c r="T1119" s="158"/>
      <c r="U1119" s="158"/>
      <c r="V1119" s="532">
        <v>12500</v>
      </c>
      <c r="W1119" s="532">
        <v>12500</v>
      </c>
      <c r="X1119" s="560">
        <v>3000</v>
      </c>
      <c r="Y1119" s="561">
        <v>3000</v>
      </c>
      <c r="Z1119" s="561"/>
      <c r="AA1119" s="562" t="e">
        <f t="shared" ca="1" si="793"/>
        <v>#NAME?</v>
      </c>
      <c r="AB1119" s="535"/>
      <c r="AC1119" s="529">
        <v>3000</v>
      </c>
      <c r="AD1119" s="529">
        <v>3000</v>
      </c>
      <c r="AE1119" s="529"/>
      <c r="AF1119" s="529"/>
      <c r="AG1119" s="529"/>
      <c r="AH1119" s="529"/>
      <c r="AI1119" s="535"/>
      <c r="AJ1119" s="561">
        <v>3000</v>
      </c>
      <c r="AK1119" s="507"/>
      <c r="AL1119" s="507">
        <f t="shared" si="822"/>
        <v>24</v>
      </c>
      <c r="AM1119" s="507">
        <f t="shared" si="822"/>
        <v>100</v>
      </c>
      <c r="AN1119" s="556"/>
      <c r="AO1119" s="510"/>
      <c r="AP1119" s="510" t="e">
        <f t="shared" ca="1" si="790"/>
        <v>#NAME?</v>
      </c>
      <c r="AQ1119" s="532">
        <v>1187.53</v>
      </c>
      <c r="AR1119" s="533"/>
      <c r="AS1119" s="533">
        <f t="shared" si="798"/>
        <v>100</v>
      </c>
      <c r="AT1119" s="533"/>
      <c r="AU1119" s="533">
        <f>AQ1119/W1119*100</f>
        <v>9.5002399999999998</v>
      </c>
      <c r="AV1119" s="533"/>
      <c r="AW1119" s="612">
        <f>AQ1119</f>
        <v>1187.53</v>
      </c>
      <c r="AX1119" s="612"/>
      <c r="AY1119" s="612"/>
      <c r="AZ1119" s="612"/>
      <c r="BA1119" s="612"/>
      <c r="BB1119" s="612"/>
      <c r="BC1119" s="612"/>
      <c r="BD1119" s="612"/>
      <c r="BE1119" s="612"/>
      <c r="BF1119" s="612"/>
      <c r="BG1119" s="612"/>
      <c r="BH1119" s="612">
        <f t="shared" si="794"/>
        <v>1187.53</v>
      </c>
      <c r="BI1119" s="612">
        <f t="shared" si="823"/>
        <v>0</v>
      </c>
      <c r="BJ1119" s="201"/>
    </row>
    <row r="1120" spans="1:62" ht="12" customHeight="1">
      <c r="A1120" s="167"/>
      <c r="B1120" s="167"/>
      <c r="C1120" s="167"/>
      <c r="D1120" s="167"/>
      <c r="E1120" s="167"/>
      <c r="F1120" s="167"/>
      <c r="G1120" s="167"/>
      <c r="H1120" s="22"/>
      <c r="I1120" s="289"/>
      <c r="J1120" s="185">
        <v>4223</v>
      </c>
      <c r="K1120" s="19" t="s">
        <v>836</v>
      </c>
      <c r="L1120" s="129"/>
      <c r="M1120" s="129"/>
      <c r="N1120" s="130"/>
      <c r="O1120" s="130"/>
      <c r="P1120" s="131"/>
      <c r="Q1120" s="131"/>
      <c r="R1120" s="153"/>
      <c r="S1120" s="158"/>
      <c r="T1120" s="158"/>
      <c r="U1120" s="158"/>
      <c r="V1120" s="532"/>
      <c r="W1120" s="532"/>
      <c r="X1120" s="560"/>
      <c r="Y1120" s="561"/>
      <c r="Z1120" s="561"/>
      <c r="AA1120" s="562"/>
      <c r="AB1120" s="535"/>
      <c r="AC1120" s="529"/>
      <c r="AD1120" s="529"/>
      <c r="AE1120" s="529"/>
      <c r="AF1120" s="529"/>
      <c r="AG1120" s="529"/>
      <c r="AH1120" s="529"/>
      <c r="AI1120" s="535"/>
      <c r="AJ1120" s="561"/>
      <c r="AK1120" s="507"/>
      <c r="AL1120" s="507"/>
      <c r="AM1120" s="507"/>
      <c r="AN1120" s="556"/>
      <c r="AO1120" s="510"/>
      <c r="AP1120" s="510"/>
      <c r="AQ1120" s="532">
        <v>9492</v>
      </c>
      <c r="AR1120" s="533"/>
      <c r="AS1120" s="533"/>
      <c r="AT1120" s="533"/>
      <c r="AU1120" s="533"/>
      <c r="AV1120" s="533"/>
      <c r="AW1120" s="612">
        <f>AQ1120</f>
        <v>9492</v>
      </c>
      <c r="AX1120" s="612"/>
      <c r="AY1120" s="612"/>
      <c r="AZ1120" s="612"/>
      <c r="BA1120" s="612"/>
      <c r="BB1120" s="612"/>
      <c r="BC1120" s="612"/>
      <c r="BD1120" s="612"/>
      <c r="BE1120" s="612"/>
      <c r="BF1120" s="612"/>
      <c r="BG1120" s="612"/>
      <c r="BH1120" s="612">
        <f t="shared" si="794"/>
        <v>9492</v>
      </c>
      <c r="BI1120" s="612">
        <f t="shared" si="823"/>
        <v>0</v>
      </c>
      <c r="BJ1120" s="201"/>
    </row>
    <row r="1121" spans="1:64" ht="12" customHeight="1">
      <c r="A1121" s="167"/>
      <c r="B1121" s="167"/>
      <c r="C1121" s="167"/>
      <c r="D1121" s="167"/>
      <c r="E1121" s="167"/>
      <c r="F1121" s="167"/>
      <c r="G1121" s="167"/>
      <c r="H1121" s="22"/>
      <c r="I1121" s="289"/>
      <c r="J1121" s="185">
        <v>4227</v>
      </c>
      <c r="K1121" s="19" t="s">
        <v>837</v>
      </c>
      <c r="L1121" s="129"/>
      <c r="M1121" s="129"/>
      <c r="N1121" s="130"/>
      <c r="O1121" s="130"/>
      <c r="P1121" s="131"/>
      <c r="Q1121" s="131"/>
      <c r="R1121" s="153"/>
      <c r="S1121" s="158"/>
      <c r="T1121" s="158"/>
      <c r="U1121" s="158"/>
      <c r="V1121" s="532"/>
      <c r="W1121" s="532"/>
      <c r="X1121" s="560"/>
      <c r="Y1121" s="561"/>
      <c r="Z1121" s="561"/>
      <c r="AA1121" s="562"/>
      <c r="AB1121" s="535"/>
      <c r="AC1121" s="529"/>
      <c r="AD1121" s="529"/>
      <c r="AE1121" s="529"/>
      <c r="AF1121" s="529"/>
      <c r="AG1121" s="529"/>
      <c r="AH1121" s="529"/>
      <c r="AI1121" s="535"/>
      <c r="AJ1121" s="561"/>
      <c r="AK1121" s="507"/>
      <c r="AL1121" s="507"/>
      <c r="AM1121" s="507"/>
      <c r="AN1121" s="556"/>
      <c r="AO1121" s="510"/>
      <c r="AP1121" s="510"/>
      <c r="AQ1121" s="532">
        <v>892.89</v>
      </c>
      <c r="AR1121" s="533"/>
      <c r="AS1121" s="533"/>
      <c r="AT1121" s="533"/>
      <c r="AU1121" s="533"/>
      <c r="AV1121" s="533"/>
      <c r="AW1121" s="612">
        <f>AQ1121</f>
        <v>892.89</v>
      </c>
      <c r="AX1121" s="612"/>
      <c r="AY1121" s="612"/>
      <c r="AZ1121" s="612"/>
      <c r="BA1121" s="612"/>
      <c r="BB1121" s="612"/>
      <c r="BC1121" s="612"/>
      <c r="BD1121" s="612"/>
      <c r="BE1121" s="612"/>
      <c r="BF1121" s="612"/>
      <c r="BG1121" s="612"/>
      <c r="BH1121" s="612">
        <f t="shared" si="794"/>
        <v>892.89</v>
      </c>
      <c r="BI1121" s="612">
        <f t="shared" si="823"/>
        <v>0</v>
      </c>
      <c r="BJ1121" s="201"/>
    </row>
    <row r="1122" spans="1:64" ht="12" customHeight="1">
      <c r="A1122" s="25"/>
      <c r="B1122" s="25"/>
      <c r="C1122" s="25"/>
      <c r="D1122" s="25"/>
      <c r="E1122" s="25"/>
      <c r="F1122" s="25"/>
      <c r="G1122" s="25"/>
      <c r="H1122" s="285"/>
      <c r="I1122" s="349"/>
      <c r="J1122" s="211"/>
      <c r="K1122" s="3"/>
      <c r="L1122" s="84"/>
      <c r="M1122" s="84"/>
      <c r="N1122" s="85"/>
      <c r="O1122" s="85"/>
      <c r="P1122" s="86"/>
      <c r="Q1122" s="86"/>
      <c r="R1122" s="154"/>
      <c r="S1122" s="155"/>
      <c r="T1122" s="155"/>
      <c r="U1122" s="155"/>
      <c r="V1122" s="532"/>
      <c r="W1122" s="532"/>
      <c r="X1122" s="568"/>
      <c r="Y1122" s="569"/>
      <c r="Z1122" s="569"/>
      <c r="AA1122" s="562" t="e">
        <f t="shared" ref="AA1122:AA1185" ca="1" si="827">__xlfn.ISFORMULA(R1122)</f>
        <v>#NAME?</v>
      </c>
      <c r="AB1122" s="537"/>
      <c r="AC1122" s="538"/>
      <c r="AD1122" s="538"/>
      <c r="AE1122" s="529"/>
      <c r="AF1122" s="529"/>
      <c r="AG1122" s="529"/>
      <c r="AH1122" s="529"/>
      <c r="AI1122" s="537"/>
      <c r="AJ1122" s="569"/>
      <c r="AK1122" s="507"/>
      <c r="AL1122" s="507"/>
      <c r="AM1122" s="507"/>
      <c r="AN1122" s="557"/>
      <c r="AO1122" s="510"/>
      <c r="AP1122" s="510" t="e">
        <f t="shared" ref="AP1122:AP1185" ca="1" si="828">__xlfn.ISFORMULA(X1122)</f>
        <v>#NAME?</v>
      </c>
      <c r="AQ1122" s="532"/>
      <c r="AR1122" s="533"/>
      <c r="AS1122" s="533"/>
      <c r="AT1122" s="533"/>
      <c r="AU1122" s="533"/>
      <c r="AV1122" s="533"/>
      <c r="AW1122" s="612"/>
      <c r="AX1122" s="612"/>
      <c r="AY1122" s="612"/>
      <c r="AZ1122" s="612"/>
      <c r="BA1122" s="612"/>
      <c r="BB1122" s="612"/>
      <c r="BC1122" s="612"/>
      <c r="BD1122" s="612"/>
      <c r="BE1122" s="612"/>
      <c r="BF1122" s="612"/>
      <c r="BG1122" s="612"/>
      <c r="BH1122" s="612">
        <f t="shared" si="794"/>
        <v>0</v>
      </c>
      <c r="BI1122" s="612">
        <f t="shared" si="823"/>
        <v>0</v>
      </c>
      <c r="BJ1122" s="201"/>
      <c r="BK1122" s="201">
        <f>SUM(BI1062:BI1118)</f>
        <v>119985.42</v>
      </c>
      <c r="BL1122" s="455" t="s">
        <v>845</v>
      </c>
    </row>
    <row r="1123" spans="1:64" ht="12" customHeight="1">
      <c r="A1123" s="357"/>
      <c r="B1123" s="357"/>
      <c r="C1123" s="357"/>
      <c r="D1123" s="357">
        <v>4</v>
      </c>
      <c r="E1123" s="357"/>
      <c r="F1123" s="357"/>
      <c r="G1123" s="357"/>
      <c r="H1123" s="358"/>
      <c r="I1123" s="348"/>
      <c r="J1123" s="229">
        <v>424</v>
      </c>
      <c r="K1123" s="20" t="s">
        <v>838</v>
      </c>
      <c r="L1123" s="111">
        <f t="shared" ref="L1123:Z1123" si="829">L1124</f>
        <v>74189</v>
      </c>
      <c r="M1123" s="111">
        <f t="shared" si="829"/>
        <v>9846.572433472691</v>
      </c>
      <c r="N1123" s="112">
        <f t="shared" si="829"/>
        <v>71400</v>
      </c>
      <c r="O1123" s="112">
        <f t="shared" si="829"/>
        <v>9476.4085208042998</v>
      </c>
      <c r="P1123" s="113">
        <f t="shared" si="829"/>
        <v>10700</v>
      </c>
      <c r="Q1123" s="113">
        <f t="shared" si="829"/>
        <v>10700</v>
      </c>
      <c r="R1123" s="87">
        <f t="shared" si="829"/>
        <v>10215</v>
      </c>
      <c r="S1123" s="89">
        <f t="shared" si="829"/>
        <v>0</v>
      </c>
      <c r="T1123" s="89"/>
      <c r="U1123" s="89"/>
      <c r="V1123" s="532">
        <f>V1124</f>
        <v>12000</v>
      </c>
      <c r="W1123" s="532">
        <f t="shared" si="829"/>
        <v>12000</v>
      </c>
      <c r="X1123" s="506">
        <f t="shared" si="829"/>
        <v>12000</v>
      </c>
      <c r="Y1123" s="507">
        <f t="shared" si="829"/>
        <v>13000</v>
      </c>
      <c r="Z1123" s="507">
        <f t="shared" si="829"/>
        <v>0</v>
      </c>
      <c r="AA1123" s="562" t="e">
        <f t="shared" ca="1" si="827"/>
        <v>#NAME?</v>
      </c>
      <c r="AB1123" s="507"/>
      <c r="AC1123" s="508">
        <f>AC1124</f>
        <v>11000</v>
      </c>
      <c r="AD1123" s="508">
        <f>AD1124</f>
        <v>11000</v>
      </c>
      <c r="AE1123" s="529">
        <f>O1123/M1123*100</f>
        <v>96.24068258097563</v>
      </c>
      <c r="AF1123" s="529">
        <f>P1123/O1123*100</f>
        <v>112.91197478991597</v>
      </c>
      <c r="AG1123" s="529">
        <f>Q1123/P1123*100</f>
        <v>100</v>
      </c>
      <c r="AH1123" s="529">
        <f>AC1123/Q1123*100</f>
        <v>102.803738317757</v>
      </c>
      <c r="AI1123" s="507"/>
      <c r="AJ1123" s="507">
        <v>13000</v>
      </c>
      <c r="AK1123" s="507">
        <f t="shared" si="821"/>
        <v>117.47430249632893</v>
      </c>
      <c r="AL1123" s="507">
        <f t="shared" si="822"/>
        <v>100</v>
      </c>
      <c r="AM1123" s="507">
        <f t="shared" si="822"/>
        <v>108.33333333333333</v>
      </c>
      <c r="AN1123" s="509"/>
      <c r="AO1123" s="510"/>
      <c r="AP1123" s="510" t="e">
        <f t="shared" ca="1" si="828"/>
        <v>#NAME?</v>
      </c>
      <c r="AQ1123" s="532">
        <f>AQ1124</f>
        <v>15613</v>
      </c>
      <c r="AR1123" s="533">
        <f t="shared" si="796"/>
        <v>117.47430249632893</v>
      </c>
      <c r="AS1123" s="533">
        <f t="shared" si="798"/>
        <v>100</v>
      </c>
      <c r="AT1123" s="533">
        <f t="shared" si="797"/>
        <v>117.47430249632893</v>
      </c>
      <c r="AU1123" s="533">
        <f>AQ1123/W1123*100</f>
        <v>130.10833333333335</v>
      </c>
      <c r="AV1123" s="533">
        <f>AQ1123/R1123*100</f>
        <v>152.84385707293197</v>
      </c>
      <c r="AW1123" s="612"/>
      <c r="AX1123" s="612"/>
      <c r="AY1123" s="612"/>
      <c r="AZ1123" s="612"/>
      <c r="BA1123" s="612"/>
      <c r="BB1123" s="612"/>
      <c r="BC1123" s="612"/>
      <c r="BD1123" s="612"/>
      <c r="BE1123" s="612"/>
      <c r="BF1123" s="612"/>
      <c r="BG1123" s="612"/>
      <c r="BH1123" s="612">
        <f t="shared" si="794"/>
        <v>0</v>
      </c>
      <c r="BI1123" s="612">
        <f t="shared" si="823"/>
        <v>0</v>
      </c>
      <c r="BJ1123" s="201">
        <f>AQ1130-BI1123</f>
        <v>218022</v>
      </c>
    </row>
    <row r="1124" spans="1:64" ht="12" customHeight="1">
      <c r="A1124" s="167"/>
      <c r="B1124" s="167"/>
      <c r="C1124" s="167"/>
      <c r="D1124" s="167"/>
      <c r="E1124" s="167"/>
      <c r="F1124" s="167"/>
      <c r="G1124" s="167"/>
      <c r="H1124" s="22" t="s">
        <v>839</v>
      </c>
      <c r="I1124" s="289">
        <v>820</v>
      </c>
      <c r="J1124" s="185">
        <v>4241</v>
      </c>
      <c r="K1124" s="19" t="s">
        <v>840</v>
      </c>
      <c r="L1124" s="129">
        <v>74189</v>
      </c>
      <c r="M1124" s="129">
        <f>74189/7.5345</f>
        <v>9846.572433472691</v>
      </c>
      <c r="N1124" s="130">
        <v>71400</v>
      </c>
      <c r="O1124" s="130">
        <f>N1124/7.5345</f>
        <v>9476.4085208042998</v>
      </c>
      <c r="P1124" s="131">
        <v>10700</v>
      </c>
      <c r="Q1124" s="131">
        <v>10700</v>
      </c>
      <c r="R1124" s="153">
        <v>10215</v>
      </c>
      <c r="S1124" s="158"/>
      <c r="T1124" s="158"/>
      <c r="U1124" s="158"/>
      <c r="V1124" s="532">
        <v>12000</v>
      </c>
      <c r="W1124" s="532">
        <v>12000</v>
      </c>
      <c r="X1124" s="560">
        <v>12000</v>
      </c>
      <c r="Y1124" s="561">
        <v>13000</v>
      </c>
      <c r="Z1124" s="561"/>
      <c r="AA1124" s="562" t="e">
        <f t="shared" ca="1" si="827"/>
        <v>#NAME?</v>
      </c>
      <c r="AB1124" s="535"/>
      <c r="AC1124" s="529">
        <v>11000</v>
      </c>
      <c r="AD1124" s="529">
        <v>11000</v>
      </c>
      <c r="AE1124" s="529">
        <f>O1124/M1124*100</f>
        <v>96.24068258097563</v>
      </c>
      <c r="AF1124" s="529">
        <f>P1124/O1124*100</f>
        <v>112.91197478991597</v>
      </c>
      <c r="AG1124" s="529">
        <f>Q1124/P1124*100</f>
        <v>100</v>
      </c>
      <c r="AH1124" s="529">
        <f>AC1124/Q1124*100</f>
        <v>102.803738317757</v>
      </c>
      <c r="AI1124" s="535"/>
      <c r="AJ1124" s="561">
        <v>13000</v>
      </c>
      <c r="AK1124" s="507">
        <f t="shared" si="821"/>
        <v>117.47430249632893</v>
      </c>
      <c r="AL1124" s="507">
        <f t="shared" si="822"/>
        <v>100</v>
      </c>
      <c r="AM1124" s="507">
        <f t="shared" si="822"/>
        <v>108.33333333333333</v>
      </c>
      <c r="AN1124" s="556"/>
      <c r="AO1124" s="510"/>
      <c r="AP1124" s="510" t="e">
        <f t="shared" ca="1" si="828"/>
        <v>#NAME?</v>
      </c>
      <c r="AQ1124" s="532">
        <v>15613</v>
      </c>
      <c r="AR1124" s="533">
        <f t="shared" si="796"/>
        <v>117.47430249632893</v>
      </c>
      <c r="AS1124" s="533">
        <f t="shared" si="798"/>
        <v>100</v>
      </c>
      <c r="AT1124" s="533">
        <f t="shared" si="797"/>
        <v>117.47430249632893</v>
      </c>
      <c r="AU1124" s="533">
        <f>AQ1124/W1124*100</f>
        <v>130.10833333333335</v>
      </c>
      <c r="AV1124" s="533">
        <f>AQ1124/R1124*100</f>
        <v>152.84385707293197</v>
      </c>
      <c r="AW1124" s="612">
        <f>AQ1124</f>
        <v>15613</v>
      </c>
      <c r="AX1124" s="612"/>
      <c r="AY1124" s="612"/>
      <c r="AZ1124" s="612"/>
      <c r="BA1124" s="612"/>
      <c r="BB1124" s="612"/>
      <c r="BC1124" s="612"/>
      <c r="BD1124" s="612"/>
      <c r="BE1124" s="612"/>
      <c r="BF1124" s="612"/>
      <c r="BG1124" s="612"/>
      <c r="BH1124" s="612">
        <f t="shared" si="794"/>
        <v>15613</v>
      </c>
      <c r="BI1124" s="612">
        <f t="shared" si="823"/>
        <v>0</v>
      </c>
      <c r="BJ1124" s="201">
        <f>AQ1131-BI1124</f>
        <v>0</v>
      </c>
      <c r="BL1124" s="201">
        <f>218022-SUM(BH1133:BH1223)</f>
        <v>0</v>
      </c>
    </row>
    <row r="1125" spans="1:64" ht="12" customHeight="1">
      <c r="A1125" s="41"/>
      <c r="B1125" s="41"/>
      <c r="C1125" s="41"/>
      <c r="D1125" s="41"/>
      <c r="E1125" s="41"/>
      <c r="F1125" s="41"/>
      <c r="G1125" s="41"/>
      <c r="H1125" s="235"/>
      <c r="I1125" s="15"/>
      <c r="J1125" s="3"/>
      <c r="K1125" s="83"/>
      <c r="L1125" s="84"/>
      <c r="M1125" s="84"/>
      <c r="N1125" s="85"/>
      <c r="O1125" s="85"/>
      <c r="P1125" s="86"/>
      <c r="Q1125" s="86"/>
      <c r="R1125" s="154"/>
      <c r="S1125" s="155"/>
      <c r="T1125" s="155"/>
      <c r="U1125" s="155"/>
      <c r="V1125" s="532"/>
      <c r="W1125" s="532"/>
      <c r="X1125" s="568"/>
      <c r="Y1125" s="569"/>
      <c r="Z1125" s="569"/>
      <c r="AA1125" s="562" t="e">
        <f t="shared" ca="1" si="827"/>
        <v>#NAME?</v>
      </c>
      <c r="AB1125" s="537"/>
      <c r="AC1125" s="538"/>
      <c r="AD1125" s="538"/>
      <c r="AE1125" s="529"/>
      <c r="AF1125" s="529"/>
      <c r="AG1125" s="529"/>
      <c r="AH1125" s="529"/>
      <c r="AI1125" s="537"/>
      <c r="AJ1125" s="569"/>
      <c r="AK1125" s="507"/>
      <c r="AL1125" s="507"/>
      <c r="AM1125" s="507"/>
      <c r="AN1125" s="557"/>
      <c r="AO1125" s="510"/>
      <c r="AP1125" s="510" t="e">
        <f t="shared" ca="1" si="828"/>
        <v>#NAME?</v>
      </c>
      <c r="AQ1125" s="532"/>
      <c r="AR1125" s="533"/>
      <c r="AS1125" s="533"/>
      <c r="AT1125" s="533"/>
      <c r="AU1125" s="533"/>
      <c r="AV1125" s="533"/>
      <c r="AW1125" s="612"/>
      <c r="AX1125" s="612"/>
      <c r="AY1125" s="612"/>
      <c r="AZ1125" s="612"/>
      <c r="BA1125" s="612"/>
      <c r="BB1125" s="612"/>
      <c r="BC1125" s="612"/>
      <c r="BD1125" s="612"/>
      <c r="BE1125" s="612"/>
      <c r="BF1125" s="612"/>
      <c r="BG1125" s="612"/>
      <c r="BH1125" s="612">
        <f t="shared" ref="BH1125:BH1188" si="830">SUM(AW1125:BG1125)</f>
        <v>0</v>
      </c>
      <c r="BI1125" s="612">
        <f t="shared" si="823"/>
        <v>0</v>
      </c>
      <c r="BJ1125" s="201"/>
    </row>
    <row r="1126" spans="1:64" ht="12" customHeight="1">
      <c r="A1126" s="360"/>
      <c r="B1126" s="360"/>
      <c r="C1126" s="360"/>
      <c r="D1126" s="360"/>
      <c r="E1126" s="360"/>
      <c r="F1126" s="360"/>
      <c r="G1126" s="360"/>
      <c r="H1126" s="23"/>
      <c r="I1126" s="265"/>
      <c r="J1126" s="228">
        <v>45</v>
      </c>
      <c r="K1126" s="258" t="s">
        <v>841</v>
      </c>
      <c r="L1126" s="111">
        <f t="shared" ref="L1126:AD1127" si="831">L1127</f>
        <v>0</v>
      </c>
      <c r="M1126" s="111">
        <f t="shared" si="831"/>
        <v>0</v>
      </c>
      <c r="N1126" s="112">
        <f t="shared" si="831"/>
        <v>0</v>
      </c>
      <c r="O1126" s="112">
        <f t="shared" si="831"/>
        <v>0</v>
      </c>
      <c r="P1126" s="113">
        <f t="shared" si="831"/>
        <v>0</v>
      </c>
      <c r="Q1126" s="113">
        <f t="shared" si="831"/>
        <v>0</v>
      </c>
      <c r="R1126" s="87">
        <f t="shared" si="831"/>
        <v>0</v>
      </c>
      <c r="S1126" s="89">
        <f t="shared" si="831"/>
        <v>0</v>
      </c>
      <c r="T1126" s="89"/>
      <c r="U1126" s="89"/>
      <c r="V1126" s="532">
        <f>V1127</f>
        <v>0</v>
      </c>
      <c r="W1126" s="532">
        <f t="shared" si="831"/>
        <v>0</v>
      </c>
      <c r="X1126" s="506">
        <f t="shared" si="831"/>
        <v>0</v>
      </c>
      <c r="Y1126" s="507">
        <f t="shared" si="831"/>
        <v>0</v>
      </c>
      <c r="Z1126" s="507">
        <f t="shared" si="831"/>
        <v>0</v>
      </c>
      <c r="AA1126" s="562" t="e">
        <f t="shared" ca="1" si="827"/>
        <v>#NAME?</v>
      </c>
      <c r="AB1126" s="507"/>
      <c r="AC1126" s="508">
        <f t="shared" si="831"/>
        <v>0</v>
      </c>
      <c r="AD1126" s="508">
        <f t="shared" si="831"/>
        <v>0</v>
      </c>
      <c r="AE1126" s="529"/>
      <c r="AF1126" s="529"/>
      <c r="AG1126" s="529"/>
      <c r="AH1126" s="529"/>
      <c r="AI1126" s="507"/>
      <c r="AJ1126" s="507">
        <v>0</v>
      </c>
      <c r="AK1126" s="507"/>
      <c r="AL1126" s="507"/>
      <c r="AM1126" s="507"/>
      <c r="AN1126" s="509"/>
      <c r="AO1126" s="510"/>
      <c r="AP1126" s="510" t="e">
        <f t="shared" ca="1" si="828"/>
        <v>#NAME?</v>
      </c>
      <c r="AQ1126" s="532">
        <f>AQ1127</f>
        <v>0</v>
      </c>
      <c r="AR1126" s="533"/>
      <c r="AS1126" s="533"/>
      <c r="AT1126" s="533"/>
      <c r="AU1126" s="533"/>
      <c r="AV1126" s="533"/>
      <c r="AW1126" s="612"/>
      <c r="AX1126" s="612"/>
      <c r="AY1126" s="612"/>
      <c r="AZ1126" s="612"/>
      <c r="BA1126" s="612"/>
      <c r="BB1126" s="612"/>
      <c r="BC1126" s="612"/>
      <c r="BD1126" s="612"/>
      <c r="BE1126" s="612"/>
      <c r="BF1126" s="612"/>
      <c r="BG1126" s="612"/>
      <c r="BH1126" s="612">
        <f t="shared" si="830"/>
        <v>0</v>
      </c>
      <c r="BI1126" s="612">
        <f t="shared" si="823"/>
        <v>0</v>
      </c>
      <c r="BJ1126" s="201"/>
    </row>
    <row r="1127" spans="1:64" ht="12" customHeight="1">
      <c r="A1127" s="357"/>
      <c r="B1127" s="357"/>
      <c r="C1127" s="357"/>
      <c r="D1127" s="357"/>
      <c r="E1127" s="357"/>
      <c r="F1127" s="357"/>
      <c r="G1127" s="357"/>
      <c r="H1127" s="358"/>
      <c r="I1127" s="348"/>
      <c r="J1127" s="229">
        <v>451</v>
      </c>
      <c r="K1127" s="20" t="s">
        <v>842</v>
      </c>
      <c r="L1127" s="111">
        <f t="shared" si="831"/>
        <v>0</v>
      </c>
      <c r="M1127" s="111">
        <f t="shared" si="831"/>
        <v>0</v>
      </c>
      <c r="N1127" s="112">
        <f t="shared" si="831"/>
        <v>0</v>
      </c>
      <c r="O1127" s="112">
        <f t="shared" si="831"/>
        <v>0</v>
      </c>
      <c r="P1127" s="113">
        <f t="shared" si="831"/>
        <v>0</v>
      </c>
      <c r="Q1127" s="113">
        <f t="shared" si="831"/>
        <v>0</v>
      </c>
      <c r="R1127" s="87">
        <f t="shared" si="831"/>
        <v>0</v>
      </c>
      <c r="S1127" s="89">
        <f t="shared" si="831"/>
        <v>0</v>
      </c>
      <c r="T1127" s="89"/>
      <c r="U1127" s="89"/>
      <c r="V1127" s="532">
        <f>V1128</f>
        <v>0</v>
      </c>
      <c r="W1127" s="532">
        <f t="shared" si="831"/>
        <v>0</v>
      </c>
      <c r="X1127" s="506">
        <f t="shared" si="831"/>
        <v>0</v>
      </c>
      <c r="Y1127" s="507">
        <f t="shared" si="831"/>
        <v>0</v>
      </c>
      <c r="Z1127" s="507">
        <f t="shared" si="831"/>
        <v>0</v>
      </c>
      <c r="AA1127" s="562" t="e">
        <f t="shared" ca="1" si="827"/>
        <v>#NAME?</v>
      </c>
      <c r="AB1127" s="507"/>
      <c r="AC1127" s="508">
        <f t="shared" si="831"/>
        <v>0</v>
      </c>
      <c r="AD1127" s="508">
        <f t="shared" si="831"/>
        <v>0</v>
      </c>
      <c r="AE1127" s="529"/>
      <c r="AF1127" s="529"/>
      <c r="AG1127" s="529"/>
      <c r="AH1127" s="529"/>
      <c r="AI1127" s="507"/>
      <c r="AJ1127" s="507">
        <v>0</v>
      </c>
      <c r="AK1127" s="507"/>
      <c r="AL1127" s="507"/>
      <c r="AM1127" s="507"/>
      <c r="AN1127" s="509"/>
      <c r="AO1127" s="510"/>
      <c r="AP1127" s="510" t="e">
        <f t="shared" ca="1" si="828"/>
        <v>#NAME?</v>
      </c>
      <c r="AQ1127" s="532">
        <f>AQ1128</f>
        <v>0</v>
      </c>
      <c r="AR1127" s="533"/>
      <c r="AS1127" s="533"/>
      <c r="AT1127" s="533"/>
      <c r="AU1127" s="533"/>
      <c r="AV1127" s="533"/>
      <c r="AW1127" s="612"/>
      <c r="AX1127" s="612"/>
      <c r="AY1127" s="612"/>
      <c r="AZ1127" s="612"/>
      <c r="BA1127" s="612"/>
      <c r="BB1127" s="612"/>
      <c r="BC1127" s="612"/>
      <c r="BD1127" s="612"/>
      <c r="BE1127" s="612"/>
      <c r="BF1127" s="612"/>
      <c r="BG1127" s="612"/>
      <c r="BH1127" s="612">
        <f t="shared" si="830"/>
        <v>0</v>
      </c>
      <c r="BI1127" s="612">
        <f t="shared" si="823"/>
        <v>0</v>
      </c>
      <c r="BJ1127" s="201"/>
    </row>
    <row r="1128" spans="1:64" ht="12" customHeight="1">
      <c r="A1128" s="167"/>
      <c r="B1128" s="167"/>
      <c r="C1128" s="167"/>
      <c r="D1128" s="167"/>
      <c r="E1128" s="167"/>
      <c r="F1128" s="167"/>
      <c r="G1128" s="167"/>
      <c r="H1128" s="22" t="s">
        <v>843</v>
      </c>
      <c r="I1128" s="289">
        <v>820</v>
      </c>
      <c r="J1128" s="185">
        <v>4511</v>
      </c>
      <c r="K1128" s="19" t="s">
        <v>844</v>
      </c>
      <c r="L1128" s="129">
        <v>0</v>
      </c>
      <c r="M1128" s="129">
        <v>0</v>
      </c>
      <c r="N1128" s="130">
        <v>0</v>
      </c>
      <c r="O1128" s="130">
        <v>0</v>
      </c>
      <c r="P1128" s="131">
        <v>0</v>
      </c>
      <c r="Q1128" s="131">
        <v>0</v>
      </c>
      <c r="R1128" s="153">
        <v>0</v>
      </c>
      <c r="S1128" s="158"/>
      <c r="T1128" s="158"/>
      <c r="U1128" s="158"/>
      <c r="V1128" s="532"/>
      <c r="W1128" s="532"/>
      <c r="X1128" s="560"/>
      <c r="Y1128" s="561"/>
      <c r="Z1128" s="561"/>
      <c r="AA1128" s="562" t="e">
        <f t="shared" ca="1" si="827"/>
        <v>#NAME?</v>
      </c>
      <c r="AB1128" s="535"/>
      <c r="AC1128" s="529">
        <v>0</v>
      </c>
      <c r="AD1128" s="529">
        <v>0</v>
      </c>
      <c r="AE1128" s="529"/>
      <c r="AF1128" s="529"/>
      <c r="AG1128" s="529"/>
      <c r="AH1128" s="529"/>
      <c r="AI1128" s="535"/>
      <c r="AJ1128" s="561"/>
      <c r="AK1128" s="507"/>
      <c r="AL1128" s="507"/>
      <c r="AM1128" s="507"/>
      <c r="AN1128" s="556"/>
      <c r="AO1128" s="510"/>
      <c r="AP1128" s="510" t="e">
        <f t="shared" ca="1" si="828"/>
        <v>#NAME?</v>
      </c>
      <c r="AQ1128" s="532"/>
      <c r="AR1128" s="533"/>
      <c r="AS1128" s="533"/>
      <c r="AT1128" s="533"/>
      <c r="AU1128" s="533"/>
      <c r="AV1128" s="533"/>
      <c r="AW1128" s="612"/>
      <c r="AX1128" s="612"/>
      <c r="AY1128" s="612"/>
      <c r="AZ1128" s="612"/>
      <c r="BA1128" s="612"/>
      <c r="BB1128" s="612"/>
      <c r="BC1128" s="612"/>
      <c r="BD1128" s="612"/>
      <c r="BE1128" s="612"/>
      <c r="BF1128" s="612"/>
      <c r="BG1128" s="612"/>
      <c r="BH1128" s="612">
        <f t="shared" si="830"/>
        <v>0</v>
      </c>
      <c r="BI1128" s="612">
        <f t="shared" si="823"/>
        <v>0</v>
      </c>
      <c r="BJ1128" s="201"/>
    </row>
    <row r="1129" spans="1:64" ht="12" customHeight="1">
      <c r="A1129" s="41"/>
      <c r="B1129" s="41"/>
      <c r="C1129" s="41"/>
      <c r="D1129" s="41"/>
      <c r="E1129" s="41"/>
      <c r="F1129" s="41"/>
      <c r="G1129" s="41"/>
      <c r="H1129" s="235"/>
      <c r="I1129" s="15"/>
      <c r="J1129" s="3"/>
      <c r="K1129" s="211"/>
      <c r="L1129" s="84"/>
      <c r="M1129" s="84"/>
      <c r="N1129" s="85"/>
      <c r="O1129" s="85"/>
      <c r="P1129" s="86"/>
      <c r="Q1129" s="86"/>
      <c r="R1129" s="154"/>
      <c r="S1129" s="155"/>
      <c r="T1129" s="155"/>
      <c r="U1129" s="155"/>
      <c r="V1129" s="532"/>
      <c r="W1129" s="532"/>
      <c r="X1129" s="568"/>
      <c r="Y1129" s="569"/>
      <c r="Z1129" s="569"/>
      <c r="AA1129" s="562" t="e">
        <f t="shared" ca="1" si="827"/>
        <v>#NAME?</v>
      </c>
      <c r="AB1129" s="537"/>
      <c r="AC1129" s="538"/>
      <c r="AD1129" s="538"/>
      <c r="AE1129" s="529"/>
      <c r="AF1129" s="529"/>
      <c r="AG1129" s="529"/>
      <c r="AH1129" s="529"/>
      <c r="AI1129" s="537"/>
      <c r="AJ1129" s="569"/>
      <c r="AK1129" s="507"/>
      <c r="AL1129" s="507"/>
      <c r="AM1129" s="507"/>
      <c r="AN1129" s="557"/>
      <c r="AO1129" s="510"/>
      <c r="AP1129" s="510" t="e">
        <f t="shared" ca="1" si="828"/>
        <v>#NAME?</v>
      </c>
      <c r="AQ1129" s="532"/>
      <c r="AR1129" s="533"/>
      <c r="AS1129" s="533"/>
      <c r="AT1129" s="533"/>
      <c r="AU1129" s="533"/>
      <c r="AV1129" s="533"/>
      <c r="AW1129" s="612"/>
      <c r="AX1129" s="612"/>
      <c r="AY1129" s="612"/>
      <c r="AZ1129" s="612"/>
      <c r="BA1129" s="612"/>
      <c r="BB1129" s="612"/>
      <c r="BC1129" s="612"/>
      <c r="BD1129" s="612"/>
      <c r="BE1129" s="612"/>
      <c r="BF1129" s="612"/>
      <c r="BG1129" s="612"/>
      <c r="BH1129" s="612">
        <f t="shared" si="830"/>
        <v>0</v>
      </c>
      <c r="BI1129" s="612">
        <f t="shared" si="823"/>
        <v>0</v>
      </c>
      <c r="BJ1129" s="201"/>
    </row>
    <row r="1130" spans="1:64" ht="12" customHeight="1">
      <c r="A1130" s="404"/>
      <c r="B1130" s="405"/>
      <c r="C1130" s="405"/>
      <c r="D1130" s="405"/>
      <c r="E1130" s="405"/>
      <c r="F1130" s="405"/>
      <c r="G1130" s="406"/>
      <c r="H1130" s="428" t="s">
        <v>811</v>
      </c>
      <c r="I1130" s="436"/>
      <c r="J1130" s="437" t="s">
        <v>846</v>
      </c>
      <c r="K1130" s="217"/>
      <c r="L1130" s="111">
        <f t="shared" ref="L1130:S1130" si="832">L1132</f>
        <v>3110987</v>
      </c>
      <c r="M1130" s="111">
        <f t="shared" si="832"/>
        <v>412898.93158139224</v>
      </c>
      <c r="N1130" s="112">
        <f t="shared" si="832"/>
        <v>1200494</v>
      </c>
      <c r="O1130" s="112">
        <f t="shared" si="832"/>
        <v>159332.93516490809</v>
      </c>
      <c r="P1130" s="113">
        <f t="shared" si="832"/>
        <v>143300</v>
      </c>
      <c r="Q1130" s="113">
        <f t="shared" si="832"/>
        <v>209860</v>
      </c>
      <c r="R1130" s="87">
        <f t="shared" si="832"/>
        <v>207957</v>
      </c>
      <c r="S1130" s="89">
        <f t="shared" si="832"/>
        <v>0</v>
      </c>
      <c r="T1130" s="89"/>
      <c r="U1130" s="89"/>
      <c r="V1130" s="532">
        <f>V1132</f>
        <v>237500</v>
      </c>
      <c r="W1130" s="532">
        <f>W1132</f>
        <v>237500</v>
      </c>
      <c r="X1130" s="506">
        <f>X1132</f>
        <v>476550</v>
      </c>
      <c r="Y1130" s="507">
        <f>Y1132</f>
        <v>439450</v>
      </c>
      <c r="Z1130" s="507">
        <f>Z1132</f>
        <v>0</v>
      </c>
      <c r="AA1130" s="562" t="e">
        <f t="shared" ca="1" si="827"/>
        <v>#NAME?</v>
      </c>
      <c r="AB1130" s="507"/>
      <c r="AC1130" s="508">
        <f>AC1132</f>
        <v>136400</v>
      </c>
      <c r="AD1130" s="508">
        <f>AD1132</f>
        <v>136400</v>
      </c>
      <c r="AE1130" s="529">
        <f>O1130/M1130*100</f>
        <v>38.588846562200359</v>
      </c>
      <c r="AF1130" s="529">
        <f>P1130/O1130*100</f>
        <v>89.93746324429776</v>
      </c>
      <c r="AG1130" s="529">
        <f>Q1130/P1130*100</f>
        <v>146.4480111653873</v>
      </c>
      <c r="AH1130" s="529">
        <f>AC1130/Q1130*100</f>
        <v>64.995711426665395</v>
      </c>
      <c r="AI1130" s="507"/>
      <c r="AJ1130" s="507">
        <v>439450</v>
      </c>
      <c r="AK1130" s="507">
        <f t="shared" si="821"/>
        <v>114.20630226441044</v>
      </c>
      <c r="AL1130" s="507">
        <f t="shared" si="822"/>
        <v>200.65263157894736</v>
      </c>
      <c r="AM1130" s="507">
        <f t="shared" si="822"/>
        <v>92.214877767285699</v>
      </c>
      <c r="AN1130" s="509"/>
      <c r="AO1130" s="510"/>
      <c r="AP1130" s="510" t="e">
        <f t="shared" ca="1" si="828"/>
        <v>#NAME?</v>
      </c>
      <c r="AQ1130" s="532">
        <f>AQ1132</f>
        <v>218022</v>
      </c>
      <c r="AR1130" s="533">
        <f t="shared" ref="AR1130:AR1191" si="833">V1130/R1130*100</f>
        <v>114.20630226441044</v>
      </c>
      <c r="AS1130" s="533">
        <f t="shared" ref="AS1130:AS1183" si="834">W1130/V1130*100</f>
        <v>100</v>
      </c>
      <c r="AT1130" s="533">
        <f t="shared" ref="AT1130:AT1191" si="835">W1130/R1130*100</f>
        <v>114.20630226441044</v>
      </c>
      <c r="AU1130" s="533">
        <f>AQ1130/W1130*100</f>
        <v>91.798736842105271</v>
      </c>
      <c r="AV1130" s="533">
        <f>AQ1130/R1130*100</f>
        <v>104.83994287280542</v>
      </c>
      <c r="AW1130" s="612"/>
      <c r="AX1130" s="612"/>
      <c r="AY1130" s="612"/>
      <c r="AZ1130" s="612"/>
      <c r="BA1130" s="612"/>
      <c r="BB1130" s="612"/>
      <c r="BC1130" s="612"/>
      <c r="BD1130" s="612"/>
      <c r="BE1130" s="612"/>
      <c r="BF1130" s="612"/>
      <c r="BG1130" s="612"/>
      <c r="BH1130" s="612">
        <f t="shared" si="830"/>
        <v>0</v>
      </c>
      <c r="BI1130" s="612">
        <f t="shared" si="823"/>
        <v>0</v>
      </c>
      <c r="BJ1130" s="201"/>
    </row>
    <row r="1131" spans="1:64" ht="12" customHeight="1">
      <c r="A1131" s="429"/>
      <c r="B1131" s="430"/>
      <c r="C1131" s="430"/>
      <c r="D1131" s="430"/>
      <c r="E1131" s="430"/>
      <c r="F1131" s="430"/>
      <c r="G1131" s="431"/>
      <c r="H1131" s="21" t="s">
        <v>847</v>
      </c>
      <c r="I1131" s="438"/>
      <c r="J1131" s="439"/>
      <c r="K1131" s="440" t="s">
        <v>848</v>
      </c>
      <c r="L1131" s="250"/>
      <c r="M1131" s="250"/>
      <c r="N1131" s="251"/>
      <c r="O1131" s="251"/>
      <c r="P1131" s="252"/>
      <c r="Q1131" s="252"/>
      <c r="R1131" s="272"/>
      <c r="S1131" s="273"/>
      <c r="T1131" s="273"/>
      <c r="U1131" s="273"/>
      <c r="V1131" s="532"/>
      <c r="W1131" s="532"/>
      <c r="X1131" s="601"/>
      <c r="Y1131" s="602"/>
      <c r="Z1131" s="602"/>
      <c r="AA1131" s="562" t="e">
        <f t="shared" ca="1" si="827"/>
        <v>#NAME?</v>
      </c>
      <c r="AB1131" s="565"/>
      <c r="AC1131" s="566"/>
      <c r="AD1131" s="566"/>
      <c r="AE1131" s="529"/>
      <c r="AF1131" s="529"/>
      <c r="AG1131" s="529"/>
      <c r="AH1131" s="529"/>
      <c r="AI1131" s="565"/>
      <c r="AJ1131" s="602"/>
      <c r="AK1131" s="507"/>
      <c r="AL1131" s="507"/>
      <c r="AM1131" s="507"/>
      <c r="AN1131" s="567"/>
      <c r="AO1131" s="510"/>
      <c r="AP1131" s="510" t="e">
        <f t="shared" ca="1" si="828"/>
        <v>#NAME?</v>
      </c>
      <c r="AQ1131" s="532"/>
      <c r="AR1131" s="533"/>
      <c r="AS1131" s="533"/>
      <c r="AT1131" s="533"/>
      <c r="AU1131" s="533"/>
      <c r="AV1131" s="533"/>
      <c r="AW1131" s="612"/>
      <c r="AX1131" s="612"/>
      <c r="AY1131" s="612"/>
      <c r="AZ1131" s="612"/>
      <c r="BA1131" s="612"/>
      <c r="BB1131" s="612"/>
      <c r="BC1131" s="612"/>
      <c r="BD1131" s="612"/>
      <c r="BE1131" s="612"/>
      <c r="BF1131" s="612"/>
      <c r="BG1131" s="612"/>
      <c r="BH1131" s="612">
        <f t="shared" si="830"/>
        <v>0</v>
      </c>
      <c r="BI1131" s="612">
        <f t="shared" si="823"/>
        <v>0</v>
      </c>
      <c r="BJ1131" s="201"/>
    </row>
    <row r="1132" spans="1:64" ht="12" customHeight="1">
      <c r="A1132" s="443" t="s">
        <v>849</v>
      </c>
      <c r="B1132" s="320"/>
      <c r="C1132" s="320"/>
      <c r="D1132" s="320"/>
      <c r="E1132" s="320"/>
      <c r="F1132" s="320"/>
      <c r="G1132" s="320"/>
      <c r="H1132" s="321"/>
      <c r="I1132" s="373" t="s">
        <v>850</v>
      </c>
      <c r="J1132" s="374"/>
      <c r="K1132" s="223"/>
      <c r="L1132" s="111">
        <f t="shared" ref="L1132:S1132" si="836">L1133+L1177+L1187+L1196+L1207+L1218</f>
        <v>3110987</v>
      </c>
      <c r="M1132" s="111">
        <f t="shared" si="836"/>
        <v>412898.93158139224</v>
      </c>
      <c r="N1132" s="112">
        <f t="shared" si="836"/>
        <v>1200494</v>
      </c>
      <c r="O1132" s="112">
        <f t="shared" si="836"/>
        <v>159332.93516490809</v>
      </c>
      <c r="P1132" s="113">
        <f t="shared" si="836"/>
        <v>143300</v>
      </c>
      <c r="Q1132" s="113">
        <f t="shared" si="836"/>
        <v>209860</v>
      </c>
      <c r="R1132" s="87">
        <f t="shared" si="836"/>
        <v>207957</v>
      </c>
      <c r="S1132" s="89">
        <f t="shared" si="836"/>
        <v>0</v>
      </c>
      <c r="T1132" s="89"/>
      <c r="U1132" s="89"/>
      <c r="V1132" s="532">
        <f>V1133+V1177+V1187+V1196+V1207+V1218</f>
        <v>237500</v>
      </c>
      <c r="W1132" s="532">
        <f>W1133+W1177+W1187+W1196+W1207+W1218</f>
        <v>237500</v>
      </c>
      <c r="X1132" s="506">
        <f>X1133+X1177+X1187+X1196+X1207+X1218</f>
        <v>476550</v>
      </c>
      <c r="Y1132" s="507">
        <f>Y1133+Y1177+Y1187+Y1196+Y1207+Y1218</f>
        <v>439450</v>
      </c>
      <c r="Z1132" s="507">
        <f>Z1133+Z1177+Z1187+Z1196+Z1207+Z1218</f>
        <v>0</v>
      </c>
      <c r="AA1132" s="562" t="e">
        <f t="shared" ca="1" si="827"/>
        <v>#NAME?</v>
      </c>
      <c r="AB1132" s="507"/>
      <c r="AC1132" s="508">
        <f>AC1133+AC1177+AC1187+AC1196+AC1207+AC1218</f>
        <v>136400</v>
      </c>
      <c r="AD1132" s="508">
        <f>AD1133+AD1177+AD1187+AD1196+AD1207+AD1218</f>
        <v>136400</v>
      </c>
      <c r="AE1132" s="529">
        <f>O1132/M1132*100</f>
        <v>38.588846562200359</v>
      </c>
      <c r="AF1132" s="529">
        <f>P1132/O1132*100</f>
        <v>89.93746324429776</v>
      </c>
      <c r="AG1132" s="529">
        <f>Q1132/P1132*100</f>
        <v>146.4480111653873</v>
      </c>
      <c r="AH1132" s="529">
        <f>AC1132/Q1132*100</f>
        <v>64.995711426665395</v>
      </c>
      <c r="AI1132" s="507"/>
      <c r="AJ1132" s="507">
        <v>439450</v>
      </c>
      <c r="AK1132" s="507">
        <f t="shared" si="821"/>
        <v>114.20630226441044</v>
      </c>
      <c r="AL1132" s="507">
        <f t="shared" si="822"/>
        <v>200.65263157894736</v>
      </c>
      <c r="AM1132" s="507">
        <f t="shared" si="822"/>
        <v>92.214877767285699</v>
      </c>
      <c r="AN1132" s="509"/>
      <c r="AO1132" s="510"/>
      <c r="AP1132" s="510" t="e">
        <f t="shared" ca="1" si="828"/>
        <v>#NAME?</v>
      </c>
      <c r="AQ1132" s="532">
        <f>AQ1133+AQ1177+AQ1187+AQ1196+AQ1207+AQ1218</f>
        <v>218022</v>
      </c>
      <c r="AR1132" s="533">
        <f t="shared" si="833"/>
        <v>114.20630226441044</v>
      </c>
      <c r="AS1132" s="533">
        <f t="shared" si="834"/>
        <v>100</v>
      </c>
      <c r="AT1132" s="533">
        <f t="shared" si="835"/>
        <v>114.20630226441044</v>
      </c>
      <c r="AU1132" s="533">
        <f>AQ1132/W1132*100</f>
        <v>91.798736842105271</v>
      </c>
      <c r="AV1132" s="533">
        <f>AQ1132/R1132*100</f>
        <v>104.83994287280542</v>
      </c>
      <c r="AW1132" s="612"/>
      <c r="AX1132" s="612"/>
      <c r="AY1132" s="612"/>
      <c r="AZ1132" s="612"/>
      <c r="BA1132" s="612"/>
      <c r="BB1132" s="612"/>
      <c r="BC1132" s="612"/>
      <c r="BD1132" s="612"/>
      <c r="BE1132" s="612"/>
      <c r="BF1132" s="612"/>
      <c r="BG1132" s="612"/>
      <c r="BH1132" s="612">
        <f t="shared" si="830"/>
        <v>0</v>
      </c>
      <c r="BI1132" s="612">
        <f t="shared" si="823"/>
        <v>59211</v>
      </c>
      <c r="BJ1132" s="201">
        <f>AQ1139-BI1132</f>
        <v>0</v>
      </c>
    </row>
    <row r="1133" spans="1:64" ht="12" customHeight="1">
      <c r="A1133" s="282" t="s">
        <v>321</v>
      </c>
      <c r="B1133" s="283"/>
      <c r="C1133" s="283"/>
      <c r="D1133" s="283"/>
      <c r="E1133" s="283"/>
      <c r="F1133" s="283"/>
      <c r="G1133" s="283"/>
      <c r="H1133" s="284"/>
      <c r="I1133" s="369" t="s">
        <v>817</v>
      </c>
      <c r="J1133" s="370"/>
      <c r="K1133" s="226"/>
      <c r="L1133" s="111">
        <f t="shared" ref="L1133:S1133" si="837">L1135</f>
        <v>532237</v>
      </c>
      <c r="M1133" s="111">
        <f t="shared" si="837"/>
        <v>70639.989382175336</v>
      </c>
      <c r="N1133" s="112">
        <f t="shared" si="837"/>
        <v>413411</v>
      </c>
      <c r="O1133" s="112">
        <f t="shared" si="837"/>
        <v>54869.068949498971</v>
      </c>
      <c r="P1133" s="113">
        <f t="shared" si="837"/>
        <v>102400</v>
      </c>
      <c r="Q1133" s="113">
        <f t="shared" si="837"/>
        <v>108500</v>
      </c>
      <c r="R1133" s="87">
        <f t="shared" si="837"/>
        <v>107104</v>
      </c>
      <c r="S1133" s="89">
        <f t="shared" si="837"/>
        <v>0</v>
      </c>
      <c r="T1133" s="89"/>
      <c r="U1133" s="89"/>
      <c r="V1133" s="532">
        <f>V1135</f>
        <v>171500</v>
      </c>
      <c r="W1133" s="532">
        <f>W1135</f>
        <v>171500</v>
      </c>
      <c r="X1133" s="506">
        <f>X1135</f>
        <v>236550</v>
      </c>
      <c r="Y1133" s="507">
        <f>Y1135</f>
        <v>248450</v>
      </c>
      <c r="Z1133" s="507">
        <f>Z1135</f>
        <v>0</v>
      </c>
      <c r="AA1133" s="562" t="e">
        <f t="shared" ca="1" si="827"/>
        <v>#NAME?</v>
      </c>
      <c r="AB1133" s="507"/>
      <c r="AC1133" s="508">
        <f>AC1135</f>
        <v>104400</v>
      </c>
      <c r="AD1133" s="508">
        <f>AD1135</f>
        <v>104400</v>
      </c>
      <c r="AE1133" s="529">
        <f>O1133/M1133*100</f>
        <v>77.674231592316943</v>
      </c>
      <c r="AF1133" s="529">
        <f>P1133/O1133*100</f>
        <v>186.62609364530698</v>
      </c>
      <c r="AG1133" s="529">
        <f>Q1133/P1133*100</f>
        <v>105.95703125</v>
      </c>
      <c r="AH1133" s="529">
        <f>AC1133/Q1133*100</f>
        <v>96.221198156682036</v>
      </c>
      <c r="AI1133" s="507"/>
      <c r="AJ1133" s="507">
        <v>248450</v>
      </c>
      <c r="AK1133" s="507">
        <f t="shared" si="821"/>
        <v>160.12473857185537</v>
      </c>
      <c r="AL1133" s="507">
        <f t="shared" si="822"/>
        <v>137.93002915451896</v>
      </c>
      <c r="AM1133" s="507">
        <f t="shared" si="822"/>
        <v>105.03064891143521</v>
      </c>
      <c r="AN1133" s="509"/>
      <c r="AO1133" s="510"/>
      <c r="AP1133" s="510" t="e">
        <f t="shared" ca="1" si="828"/>
        <v>#NAME?</v>
      </c>
      <c r="AQ1133" s="532">
        <f>AQ1135</f>
        <v>153274</v>
      </c>
      <c r="AR1133" s="533">
        <f t="shared" si="833"/>
        <v>160.12473857185537</v>
      </c>
      <c r="AS1133" s="533">
        <f t="shared" si="834"/>
        <v>100</v>
      </c>
      <c r="AT1133" s="533">
        <f t="shared" si="835"/>
        <v>160.12473857185537</v>
      </c>
      <c r="AU1133" s="533">
        <f>AQ1133/W1133*100</f>
        <v>89.372594752186586</v>
      </c>
      <c r="AV1133" s="533">
        <f>AQ1133/R1133*100</f>
        <v>143.10763370182252</v>
      </c>
      <c r="AW1133" s="612"/>
      <c r="AX1133" s="612"/>
      <c r="AY1133" s="612"/>
      <c r="AZ1133" s="612"/>
      <c r="BA1133" s="612"/>
      <c r="BB1133" s="612"/>
      <c r="BC1133" s="612"/>
      <c r="BD1133" s="612"/>
      <c r="BE1133" s="612"/>
      <c r="BF1133" s="612"/>
      <c r="BG1133" s="612"/>
      <c r="BH1133" s="612">
        <f t="shared" si="830"/>
        <v>0</v>
      </c>
      <c r="BI1133" s="612">
        <f t="shared" si="823"/>
        <v>0</v>
      </c>
      <c r="BJ1133" s="201"/>
    </row>
    <row r="1134" spans="1:64" ht="12" customHeight="1">
      <c r="A1134" s="68"/>
      <c r="B1134" s="68"/>
      <c r="C1134" s="68"/>
      <c r="D1134" s="68"/>
      <c r="E1134" s="68"/>
      <c r="F1134" s="68"/>
      <c r="G1134" s="68"/>
      <c r="H1134" s="319"/>
      <c r="I1134" s="4"/>
      <c r="J1134" s="8"/>
      <c r="K1134" s="8"/>
      <c r="L1134" s="175"/>
      <c r="M1134" s="175"/>
      <c r="N1134" s="176"/>
      <c r="O1134" s="176"/>
      <c r="P1134" s="177"/>
      <c r="Q1134" s="177"/>
      <c r="R1134" s="212"/>
      <c r="S1134" s="180"/>
      <c r="T1134" s="180"/>
      <c r="U1134" s="180"/>
      <c r="V1134" s="532"/>
      <c r="W1134" s="532"/>
      <c r="X1134" s="563"/>
      <c r="Y1134" s="562"/>
      <c r="Z1134" s="562"/>
      <c r="AA1134" s="562" t="e">
        <f t="shared" ca="1" si="827"/>
        <v>#NAME?</v>
      </c>
      <c r="AB1134" s="507"/>
      <c r="AC1134" s="508"/>
      <c r="AD1134" s="508"/>
      <c r="AE1134" s="529"/>
      <c r="AF1134" s="529"/>
      <c r="AG1134" s="529"/>
      <c r="AH1134" s="529"/>
      <c r="AI1134" s="507"/>
      <c r="AJ1134" s="562"/>
      <c r="AK1134" s="507"/>
      <c r="AL1134" s="507"/>
      <c r="AM1134" s="507"/>
      <c r="AN1134" s="509"/>
      <c r="AO1134" s="510"/>
      <c r="AP1134" s="510" t="e">
        <f t="shared" ca="1" si="828"/>
        <v>#NAME?</v>
      </c>
      <c r="AQ1134" s="532"/>
      <c r="AR1134" s="533"/>
      <c r="AS1134" s="533"/>
      <c r="AT1134" s="533"/>
      <c r="AU1134" s="533"/>
      <c r="AV1134" s="533"/>
      <c r="AW1134" s="612"/>
      <c r="AX1134" s="612"/>
      <c r="AY1134" s="612"/>
      <c r="AZ1134" s="612"/>
      <c r="BA1134" s="612"/>
      <c r="BB1134" s="612"/>
      <c r="BC1134" s="612"/>
      <c r="BD1134" s="612"/>
      <c r="BE1134" s="612"/>
      <c r="BF1134" s="612"/>
      <c r="BG1134" s="612"/>
      <c r="BH1134" s="612">
        <f t="shared" si="830"/>
        <v>0</v>
      </c>
      <c r="BI1134" s="612">
        <f t="shared" si="823"/>
        <v>0</v>
      </c>
      <c r="BJ1134" s="201"/>
    </row>
    <row r="1135" spans="1:64" ht="12" customHeight="1">
      <c r="A1135" s="25"/>
      <c r="B1135" s="25"/>
      <c r="C1135" s="25"/>
      <c r="D1135" s="25"/>
      <c r="E1135" s="25"/>
      <c r="F1135" s="25"/>
      <c r="G1135" s="25"/>
      <c r="H1135" s="285"/>
      <c r="I1135" s="349"/>
      <c r="J1135" s="211">
        <v>3</v>
      </c>
      <c r="K1135" s="3" t="s">
        <v>220</v>
      </c>
      <c r="L1135" s="111">
        <f t="shared" ref="L1135:S1135" si="838">L1136+L1148+L1173</f>
        <v>532237</v>
      </c>
      <c r="M1135" s="111">
        <f t="shared" si="838"/>
        <v>70639.989382175336</v>
      </c>
      <c r="N1135" s="112">
        <f t="shared" si="838"/>
        <v>413411</v>
      </c>
      <c r="O1135" s="112">
        <f t="shared" si="838"/>
        <v>54869.068949498971</v>
      </c>
      <c r="P1135" s="113">
        <f t="shared" si="838"/>
        <v>102400</v>
      </c>
      <c r="Q1135" s="113">
        <f t="shared" si="838"/>
        <v>108500</v>
      </c>
      <c r="R1135" s="87">
        <f t="shared" si="838"/>
        <v>107104</v>
      </c>
      <c r="S1135" s="89">
        <f t="shared" si="838"/>
        <v>0</v>
      </c>
      <c r="T1135" s="89"/>
      <c r="U1135" s="89"/>
      <c r="V1135" s="532">
        <f>V1136+V1148+V1173</f>
        <v>171500</v>
      </c>
      <c r="W1135" s="532">
        <f>W1136+W1148+W1173</f>
        <v>171500</v>
      </c>
      <c r="X1135" s="506">
        <f>X1136+X1148+X1173</f>
        <v>236550</v>
      </c>
      <c r="Y1135" s="507">
        <f>Y1136+Y1148+Y1173</f>
        <v>248450</v>
      </c>
      <c r="Z1135" s="507">
        <f>Z1136+Z1148+Z1173</f>
        <v>0</v>
      </c>
      <c r="AA1135" s="562" t="e">
        <f t="shared" ca="1" si="827"/>
        <v>#NAME?</v>
      </c>
      <c r="AB1135" s="507"/>
      <c r="AC1135" s="508">
        <f>AC1136+AC1148+AC1173</f>
        <v>104400</v>
      </c>
      <c r="AD1135" s="508">
        <f>AD1136+AD1148+AD1173</f>
        <v>104400</v>
      </c>
      <c r="AE1135" s="529">
        <f>O1135/M1135*100</f>
        <v>77.674231592316943</v>
      </c>
      <c r="AF1135" s="529">
        <f>P1135/O1135*100</f>
        <v>186.62609364530698</v>
      </c>
      <c r="AG1135" s="529">
        <f>Q1135/P1135*100</f>
        <v>105.95703125</v>
      </c>
      <c r="AH1135" s="529">
        <f>AC1135/Q1135*100</f>
        <v>96.221198156682036</v>
      </c>
      <c r="AI1135" s="507"/>
      <c r="AJ1135" s="507">
        <v>248450</v>
      </c>
      <c r="AK1135" s="507">
        <f t="shared" si="821"/>
        <v>160.12473857185537</v>
      </c>
      <c r="AL1135" s="507">
        <f t="shared" si="822"/>
        <v>137.93002915451896</v>
      </c>
      <c r="AM1135" s="507">
        <f t="shared" si="822"/>
        <v>105.03064891143521</v>
      </c>
      <c r="AN1135" s="509"/>
      <c r="AO1135" s="510"/>
      <c r="AP1135" s="510" t="e">
        <f t="shared" ca="1" si="828"/>
        <v>#NAME?</v>
      </c>
      <c r="AQ1135" s="532">
        <v>153274</v>
      </c>
      <c r="AR1135" s="533">
        <f t="shared" si="833"/>
        <v>160.12473857185537</v>
      </c>
      <c r="AS1135" s="533">
        <f t="shared" si="834"/>
        <v>100</v>
      </c>
      <c r="AT1135" s="533">
        <f t="shared" si="835"/>
        <v>160.12473857185537</v>
      </c>
      <c r="AU1135" s="533">
        <f>AQ1135/W1135*100</f>
        <v>89.372594752186586</v>
      </c>
      <c r="AV1135" s="533">
        <f>AQ1135/R1135*100</f>
        <v>143.10763370182252</v>
      </c>
      <c r="AW1135" s="612"/>
      <c r="AX1135" s="612"/>
      <c r="AY1135" s="612"/>
      <c r="AZ1135" s="612"/>
      <c r="BA1135" s="612"/>
      <c r="BB1135" s="612"/>
      <c r="BC1135" s="612"/>
      <c r="BD1135" s="612"/>
      <c r="BE1135" s="612"/>
      <c r="BF1135" s="612"/>
      <c r="BG1135" s="612"/>
      <c r="BH1135" s="612">
        <f t="shared" si="830"/>
        <v>0</v>
      </c>
      <c r="BI1135" s="612">
        <f t="shared" si="823"/>
        <v>1400</v>
      </c>
      <c r="BJ1135" s="201">
        <f>AQ1142-BI1135</f>
        <v>0</v>
      </c>
    </row>
    <row r="1136" spans="1:64" ht="12" customHeight="1">
      <c r="A1136" s="227"/>
      <c r="B1136" s="227"/>
      <c r="C1136" s="227"/>
      <c r="D1136" s="227"/>
      <c r="E1136" s="227"/>
      <c r="F1136" s="227"/>
      <c r="G1136" s="227"/>
      <c r="H1136" s="234"/>
      <c r="I1136" s="265"/>
      <c r="J1136" s="228">
        <v>31</v>
      </c>
      <c r="K1136" s="258" t="s">
        <v>221</v>
      </c>
      <c r="L1136" s="111">
        <f t="shared" ref="L1136:S1136" si="839">L1138+L1141+L1144</f>
        <v>313232</v>
      </c>
      <c r="M1136" s="111">
        <f t="shared" si="839"/>
        <v>41573.030725330151</v>
      </c>
      <c r="N1136" s="112">
        <f t="shared" si="839"/>
        <v>290144</v>
      </c>
      <c r="O1136" s="112">
        <f t="shared" si="839"/>
        <v>38508.726524653262</v>
      </c>
      <c r="P1136" s="113">
        <f t="shared" si="839"/>
        <v>73800</v>
      </c>
      <c r="Q1136" s="113">
        <f t="shared" si="839"/>
        <v>75500</v>
      </c>
      <c r="R1136" s="87">
        <f t="shared" si="839"/>
        <v>74897</v>
      </c>
      <c r="S1136" s="89">
        <f t="shared" si="839"/>
        <v>0</v>
      </c>
      <c r="T1136" s="89"/>
      <c r="U1136" s="89"/>
      <c r="V1136" s="532">
        <f>V1138+V1141+V1144</f>
        <v>71000</v>
      </c>
      <c r="W1136" s="532">
        <f>W1138+W1141+W1144</f>
        <v>71000</v>
      </c>
      <c r="X1136" s="506">
        <f>X1138+X1141+X1144</f>
        <v>121200</v>
      </c>
      <c r="Y1136" s="507">
        <f>Y1138+Y1141+Y1144</f>
        <v>131500</v>
      </c>
      <c r="Z1136" s="507">
        <f>Z1138+Z1141+Z1144</f>
        <v>0</v>
      </c>
      <c r="AA1136" s="562" t="e">
        <f t="shared" ca="1" si="827"/>
        <v>#NAME?</v>
      </c>
      <c r="AB1136" s="507"/>
      <c r="AC1136" s="508">
        <f>AC1138+AC1141+AC1144</f>
        <v>74600</v>
      </c>
      <c r="AD1136" s="508">
        <f>AD1138+AD1141+AD1144</f>
        <v>74600</v>
      </c>
      <c r="AE1136" s="529">
        <f>O1136/M1136*100</f>
        <v>92.629105583082179</v>
      </c>
      <c r="AF1136" s="529">
        <f>P1136/O1136*100</f>
        <v>191.64487289070254</v>
      </c>
      <c r="AG1136" s="529">
        <f>Q1136/P1136*100</f>
        <v>102.30352303523036</v>
      </c>
      <c r="AH1136" s="529">
        <f>AC1136/Q1136*100</f>
        <v>98.807947019867555</v>
      </c>
      <c r="AI1136" s="507"/>
      <c r="AJ1136" s="507">
        <v>131500</v>
      </c>
      <c r="AK1136" s="507">
        <f t="shared" si="821"/>
        <v>94.796854346636053</v>
      </c>
      <c r="AL1136" s="507">
        <f t="shared" si="822"/>
        <v>170.70422535211267</v>
      </c>
      <c r="AM1136" s="507">
        <f t="shared" si="822"/>
        <v>108.4983498349835</v>
      </c>
      <c r="AN1136" s="509"/>
      <c r="AO1136" s="510"/>
      <c r="AP1136" s="510" t="e">
        <f t="shared" ca="1" si="828"/>
        <v>#NAME?</v>
      </c>
      <c r="AQ1136" s="532">
        <v>70381</v>
      </c>
      <c r="AR1136" s="533">
        <f t="shared" si="833"/>
        <v>94.796854346636053</v>
      </c>
      <c r="AS1136" s="533">
        <f t="shared" si="834"/>
        <v>100</v>
      </c>
      <c r="AT1136" s="533">
        <f t="shared" si="835"/>
        <v>94.796854346636053</v>
      </c>
      <c r="AU1136" s="533">
        <f>AQ1136/W1136*100</f>
        <v>99.128169014084506</v>
      </c>
      <c r="AV1136" s="533">
        <f>AQ1136/R1136*100</f>
        <v>93.970385996768897</v>
      </c>
      <c r="AW1136" s="612"/>
      <c r="AX1136" s="612"/>
      <c r="AY1136" s="612"/>
      <c r="AZ1136" s="612"/>
      <c r="BA1136" s="612"/>
      <c r="BB1136" s="612"/>
      <c r="BC1136" s="612"/>
      <c r="BD1136" s="612"/>
      <c r="BE1136" s="612"/>
      <c r="BF1136" s="612"/>
      <c r="BG1136" s="612"/>
      <c r="BH1136" s="612">
        <f t="shared" si="830"/>
        <v>0</v>
      </c>
      <c r="BI1136" s="612">
        <f t="shared" si="823"/>
        <v>0</v>
      </c>
      <c r="BJ1136" s="201"/>
    </row>
    <row r="1137" spans="1:62" ht="12" customHeight="1">
      <c r="A1137" s="25"/>
      <c r="B1137" s="25"/>
      <c r="C1137" s="25"/>
      <c r="D1137" s="25"/>
      <c r="E1137" s="25"/>
      <c r="F1137" s="25"/>
      <c r="G1137" s="25"/>
      <c r="H1137" s="285"/>
      <c r="I1137" s="349"/>
      <c r="J1137" s="211"/>
      <c r="K1137" s="3"/>
      <c r="L1137" s="111"/>
      <c r="M1137" s="111"/>
      <c r="N1137" s="112"/>
      <c r="O1137" s="112"/>
      <c r="P1137" s="113"/>
      <c r="Q1137" s="113"/>
      <c r="R1137" s="87"/>
      <c r="S1137" s="89"/>
      <c r="T1137" s="89"/>
      <c r="U1137" s="89"/>
      <c r="V1137" s="532"/>
      <c r="W1137" s="532"/>
      <c r="X1137" s="563"/>
      <c r="Y1137" s="562"/>
      <c r="Z1137" s="562"/>
      <c r="AA1137" s="562" t="e">
        <f t="shared" ca="1" si="827"/>
        <v>#NAME?</v>
      </c>
      <c r="AB1137" s="507"/>
      <c r="AC1137" s="508"/>
      <c r="AD1137" s="508"/>
      <c r="AE1137" s="529"/>
      <c r="AF1137" s="529"/>
      <c r="AG1137" s="529"/>
      <c r="AH1137" s="529"/>
      <c r="AI1137" s="507"/>
      <c r="AJ1137" s="562"/>
      <c r="AK1137" s="507"/>
      <c r="AL1137" s="507"/>
      <c r="AM1137" s="507"/>
      <c r="AN1137" s="509"/>
      <c r="AO1137" s="510"/>
      <c r="AP1137" s="510" t="e">
        <f t="shared" ca="1" si="828"/>
        <v>#NAME?</v>
      </c>
      <c r="AQ1137" s="532"/>
      <c r="AR1137" s="533"/>
      <c r="AS1137" s="533"/>
      <c r="AT1137" s="533"/>
      <c r="AU1137" s="533"/>
      <c r="AV1137" s="533"/>
      <c r="AW1137" s="612"/>
      <c r="AX1137" s="612"/>
      <c r="AY1137" s="612"/>
      <c r="AZ1137" s="612"/>
      <c r="BA1137" s="612"/>
      <c r="BB1137" s="612"/>
      <c r="BC1137" s="612"/>
      <c r="BD1137" s="612"/>
      <c r="BE1137" s="612"/>
      <c r="BF1137" s="612"/>
      <c r="BG1137" s="612"/>
      <c r="BH1137" s="612">
        <f t="shared" si="830"/>
        <v>0</v>
      </c>
      <c r="BI1137" s="612">
        <f t="shared" si="823"/>
        <v>0</v>
      </c>
      <c r="BJ1137" s="201"/>
    </row>
    <row r="1138" spans="1:62" ht="12" customHeight="1">
      <c r="A1138" s="61"/>
      <c r="B1138" s="61"/>
      <c r="C1138" s="61"/>
      <c r="D1138" s="61"/>
      <c r="E1138" s="61"/>
      <c r="F1138" s="61"/>
      <c r="G1138" s="61"/>
      <c r="H1138" s="230"/>
      <c r="I1138" s="348"/>
      <c r="J1138" s="229">
        <v>311</v>
      </c>
      <c r="K1138" s="20" t="s">
        <v>323</v>
      </c>
      <c r="L1138" s="111">
        <f t="shared" ref="L1138:Z1138" si="840">L1139</f>
        <v>267152</v>
      </c>
      <c r="M1138" s="111">
        <f t="shared" si="840"/>
        <v>35457.163713584181</v>
      </c>
      <c r="N1138" s="112">
        <f t="shared" si="840"/>
        <v>245188</v>
      </c>
      <c r="O1138" s="112">
        <f t="shared" si="840"/>
        <v>32542.039949565333</v>
      </c>
      <c r="P1138" s="113">
        <f t="shared" si="840"/>
        <v>62400</v>
      </c>
      <c r="Q1138" s="113">
        <f t="shared" si="840"/>
        <v>64000</v>
      </c>
      <c r="R1138" s="87">
        <f t="shared" si="840"/>
        <v>63517</v>
      </c>
      <c r="S1138" s="89">
        <f t="shared" si="840"/>
        <v>0</v>
      </c>
      <c r="T1138" s="89"/>
      <c r="U1138" s="89"/>
      <c r="V1138" s="532">
        <f>V1139</f>
        <v>60000</v>
      </c>
      <c r="W1138" s="532">
        <f t="shared" si="840"/>
        <v>60000</v>
      </c>
      <c r="X1138" s="506">
        <f t="shared" si="840"/>
        <v>98000</v>
      </c>
      <c r="Y1138" s="507">
        <f t="shared" si="840"/>
        <v>106000</v>
      </c>
      <c r="Z1138" s="507">
        <f t="shared" si="840"/>
        <v>0</v>
      </c>
      <c r="AA1138" s="562" t="e">
        <f t="shared" ca="1" si="827"/>
        <v>#NAME?</v>
      </c>
      <c r="AB1138" s="507"/>
      <c r="AC1138" s="508">
        <f>AC1139</f>
        <v>63000</v>
      </c>
      <c r="AD1138" s="508">
        <f>AD1139</f>
        <v>63000</v>
      </c>
      <c r="AE1138" s="529">
        <f>O1138/M1138*100</f>
        <v>91.778463196981491</v>
      </c>
      <c r="AF1138" s="529">
        <f>P1138/O1138*100</f>
        <v>191.75196175995563</v>
      </c>
      <c r="AG1138" s="529">
        <f>Q1138/P1138*100</f>
        <v>102.56410256410255</v>
      </c>
      <c r="AH1138" s="529">
        <f>AC1138/Q1138*100</f>
        <v>98.4375</v>
      </c>
      <c r="AI1138" s="507"/>
      <c r="AJ1138" s="507">
        <v>106000</v>
      </c>
      <c r="AK1138" s="507">
        <f t="shared" si="821"/>
        <v>94.462899696144348</v>
      </c>
      <c r="AL1138" s="507">
        <f t="shared" si="822"/>
        <v>163.33333333333334</v>
      </c>
      <c r="AM1138" s="507">
        <f t="shared" si="822"/>
        <v>108.16326530612245</v>
      </c>
      <c r="AN1138" s="509"/>
      <c r="AO1138" s="510"/>
      <c r="AP1138" s="510" t="e">
        <f t="shared" ca="1" si="828"/>
        <v>#NAME?</v>
      </c>
      <c r="AQ1138" s="532">
        <v>59211</v>
      </c>
      <c r="AR1138" s="533">
        <f t="shared" si="833"/>
        <v>94.462899696144348</v>
      </c>
      <c r="AS1138" s="533">
        <f t="shared" si="834"/>
        <v>100</v>
      </c>
      <c r="AT1138" s="533">
        <f t="shared" si="835"/>
        <v>94.462899696144348</v>
      </c>
      <c r="AU1138" s="533">
        <f>AQ1138/W1138*100</f>
        <v>98.685000000000002</v>
      </c>
      <c r="AV1138" s="533">
        <f>AQ1138/R1138*100</f>
        <v>93.220712565140047</v>
      </c>
      <c r="AW1138" s="612"/>
      <c r="AX1138" s="612"/>
      <c r="AY1138" s="612"/>
      <c r="AZ1138" s="612"/>
      <c r="BA1138" s="612"/>
      <c r="BB1138" s="612"/>
      <c r="BC1138" s="612"/>
      <c r="BD1138" s="612"/>
      <c r="BE1138" s="612"/>
      <c r="BF1138" s="612"/>
      <c r="BG1138" s="612"/>
      <c r="BH1138" s="612">
        <f t="shared" si="830"/>
        <v>0</v>
      </c>
      <c r="BI1138" s="612">
        <f t="shared" si="823"/>
        <v>9770</v>
      </c>
      <c r="BJ1138" s="201">
        <f>AQ1145-BI1138</f>
        <v>0</v>
      </c>
    </row>
    <row r="1139" spans="1:62" ht="12" customHeight="1">
      <c r="A1139" s="52"/>
      <c r="B1139" s="52"/>
      <c r="C1139" s="52"/>
      <c r="D1139" s="52"/>
      <c r="E1139" s="52"/>
      <c r="F1139" s="52"/>
      <c r="G1139" s="52"/>
      <c r="H1139" s="2">
        <v>210</v>
      </c>
      <c r="I1139" s="289">
        <v>820</v>
      </c>
      <c r="J1139" s="185">
        <v>3111</v>
      </c>
      <c r="K1139" s="19" t="s">
        <v>223</v>
      </c>
      <c r="L1139" s="129">
        <v>267152</v>
      </c>
      <c r="M1139" s="129">
        <f>267152/7.5345</f>
        <v>35457.163713584181</v>
      </c>
      <c r="N1139" s="130">
        <v>245188</v>
      </c>
      <c r="O1139" s="130">
        <f>N1139/7.5345</f>
        <v>32542.039949565333</v>
      </c>
      <c r="P1139" s="131">
        <v>62400</v>
      </c>
      <c r="Q1139" s="156">
        <v>64000</v>
      </c>
      <c r="R1139" s="153">
        <v>63517</v>
      </c>
      <c r="S1139" s="158"/>
      <c r="T1139" s="158"/>
      <c r="U1139" s="158"/>
      <c r="V1139" s="532">
        <v>60000</v>
      </c>
      <c r="W1139" s="532">
        <v>60000</v>
      </c>
      <c r="X1139" s="560">
        <v>98000</v>
      </c>
      <c r="Y1139" s="561">
        <v>106000</v>
      </c>
      <c r="Z1139" s="561"/>
      <c r="AA1139" s="562" t="e">
        <f t="shared" ca="1" si="827"/>
        <v>#NAME?</v>
      </c>
      <c r="AB1139" s="535"/>
      <c r="AC1139" s="529">
        <v>63000</v>
      </c>
      <c r="AD1139" s="529">
        <v>63000</v>
      </c>
      <c r="AE1139" s="529">
        <f>O1139/M1139*100</f>
        <v>91.778463196981491</v>
      </c>
      <c r="AF1139" s="529">
        <f>P1139/O1139*100</f>
        <v>191.75196175995563</v>
      </c>
      <c r="AG1139" s="529">
        <f>Q1139/P1139*100</f>
        <v>102.56410256410255</v>
      </c>
      <c r="AH1139" s="529">
        <f>AC1139/Q1139*100</f>
        <v>98.4375</v>
      </c>
      <c r="AI1139" s="535"/>
      <c r="AJ1139" s="561">
        <v>106000</v>
      </c>
      <c r="AK1139" s="507">
        <f t="shared" si="821"/>
        <v>94.462899696144348</v>
      </c>
      <c r="AL1139" s="507">
        <f t="shared" si="822"/>
        <v>163.33333333333334</v>
      </c>
      <c r="AM1139" s="507">
        <f t="shared" si="822"/>
        <v>108.16326530612245</v>
      </c>
      <c r="AN1139" s="556"/>
      <c r="AO1139" s="510"/>
      <c r="AP1139" s="510" t="e">
        <f t="shared" ca="1" si="828"/>
        <v>#NAME?</v>
      </c>
      <c r="AQ1139" s="532">
        <v>59211</v>
      </c>
      <c r="AR1139" s="533">
        <f t="shared" si="833"/>
        <v>94.462899696144348</v>
      </c>
      <c r="AS1139" s="533">
        <f t="shared" si="834"/>
        <v>100</v>
      </c>
      <c r="AT1139" s="533">
        <f t="shared" si="835"/>
        <v>94.462899696144348</v>
      </c>
      <c r="AU1139" s="533">
        <f>AQ1139/W1139*100</f>
        <v>98.685000000000002</v>
      </c>
      <c r="AV1139" s="533">
        <f>AQ1139/R1139*100</f>
        <v>93.220712565140047</v>
      </c>
      <c r="AW1139" s="612">
        <f>AQ1139-AX1139</f>
        <v>53646.58</v>
      </c>
      <c r="AX1139" s="612">
        <v>5564.42</v>
      </c>
      <c r="AY1139" s="612"/>
      <c r="AZ1139" s="612"/>
      <c r="BA1139" s="612"/>
      <c r="BB1139" s="612"/>
      <c r="BC1139" s="612"/>
      <c r="BD1139" s="612"/>
      <c r="BE1139" s="612"/>
      <c r="BF1139" s="612"/>
      <c r="BG1139" s="612"/>
      <c r="BH1139" s="612">
        <f t="shared" si="830"/>
        <v>59211</v>
      </c>
      <c r="BI1139" s="612">
        <f t="shared" si="823"/>
        <v>0</v>
      </c>
      <c r="BJ1139" s="201">
        <f>AQ1146-BI1139</f>
        <v>0</v>
      </c>
    </row>
    <row r="1140" spans="1:62" ht="12" customHeight="1">
      <c r="A1140" s="41"/>
      <c r="B1140" s="41"/>
      <c r="C1140" s="41"/>
      <c r="D1140" s="41"/>
      <c r="E1140" s="41"/>
      <c r="F1140" s="41"/>
      <c r="G1140" s="41"/>
      <c r="H1140" s="235"/>
      <c r="I1140" s="15"/>
      <c r="J1140" s="3"/>
      <c r="K1140" s="83"/>
      <c r="L1140" s="84"/>
      <c r="M1140" s="84"/>
      <c r="N1140" s="85"/>
      <c r="O1140" s="85"/>
      <c r="P1140" s="86"/>
      <c r="Q1140" s="86"/>
      <c r="R1140" s="154"/>
      <c r="S1140" s="155"/>
      <c r="T1140" s="155"/>
      <c r="U1140" s="155"/>
      <c r="V1140" s="532"/>
      <c r="W1140" s="532"/>
      <c r="X1140" s="568"/>
      <c r="Y1140" s="569"/>
      <c r="Z1140" s="569"/>
      <c r="AA1140" s="562" t="e">
        <f t="shared" ca="1" si="827"/>
        <v>#NAME?</v>
      </c>
      <c r="AB1140" s="537"/>
      <c r="AC1140" s="538"/>
      <c r="AD1140" s="538"/>
      <c r="AE1140" s="529"/>
      <c r="AF1140" s="529"/>
      <c r="AG1140" s="529"/>
      <c r="AH1140" s="529"/>
      <c r="AI1140" s="537"/>
      <c r="AJ1140" s="569"/>
      <c r="AK1140" s="507"/>
      <c r="AL1140" s="507"/>
      <c r="AM1140" s="507"/>
      <c r="AN1140" s="557"/>
      <c r="AO1140" s="510"/>
      <c r="AP1140" s="510" t="e">
        <f t="shared" ca="1" si="828"/>
        <v>#NAME?</v>
      </c>
      <c r="AQ1140" s="532"/>
      <c r="AR1140" s="533"/>
      <c r="AS1140" s="533"/>
      <c r="AT1140" s="533"/>
      <c r="AU1140" s="533"/>
      <c r="AV1140" s="533"/>
      <c r="AW1140" s="612"/>
      <c r="AX1140" s="612"/>
      <c r="AY1140" s="612"/>
      <c r="AZ1140" s="612"/>
      <c r="BA1140" s="612"/>
      <c r="BB1140" s="612"/>
      <c r="BC1140" s="612"/>
      <c r="BD1140" s="612"/>
      <c r="BE1140" s="612"/>
      <c r="BF1140" s="612"/>
      <c r="BG1140" s="612"/>
      <c r="BH1140" s="612">
        <f t="shared" si="830"/>
        <v>0</v>
      </c>
      <c r="BI1140" s="612">
        <f t="shared" si="823"/>
        <v>0</v>
      </c>
      <c r="BJ1140" s="201"/>
    </row>
    <row r="1141" spans="1:62" ht="12" customHeight="1">
      <c r="A1141" s="61"/>
      <c r="B1141" s="61"/>
      <c r="C1141" s="61"/>
      <c r="D1141" s="61"/>
      <c r="E1141" s="61"/>
      <c r="F1141" s="61"/>
      <c r="G1141" s="61"/>
      <c r="H1141" s="230"/>
      <c r="I1141" s="348"/>
      <c r="J1141" s="229">
        <v>312</v>
      </c>
      <c r="K1141" s="20" t="s">
        <v>327</v>
      </c>
      <c r="L1141" s="111">
        <f t="shared" ref="L1141:Z1141" si="841">L1142</f>
        <v>2000</v>
      </c>
      <c r="M1141" s="111">
        <f t="shared" si="841"/>
        <v>265.44561682925212</v>
      </c>
      <c r="N1141" s="112">
        <f t="shared" si="841"/>
        <v>4500</v>
      </c>
      <c r="O1141" s="112">
        <f t="shared" si="841"/>
        <v>597.25263786581718</v>
      </c>
      <c r="P1141" s="113">
        <f t="shared" si="841"/>
        <v>1100</v>
      </c>
      <c r="Q1141" s="113">
        <f t="shared" si="841"/>
        <v>900</v>
      </c>
      <c r="R1141" s="87">
        <f t="shared" si="841"/>
        <v>900</v>
      </c>
      <c r="S1141" s="89">
        <f t="shared" si="841"/>
        <v>0</v>
      </c>
      <c r="T1141" s="89"/>
      <c r="U1141" s="89"/>
      <c r="V1141" s="532">
        <f>V1142</f>
        <v>1200</v>
      </c>
      <c r="W1141" s="532">
        <f t="shared" si="841"/>
        <v>1200</v>
      </c>
      <c r="X1141" s="506">
        <f t="shared" si="841"/>
        <v>7000</v>
      </c>
      <c r="Y1141" s="507">
        <f t="shared" si="841"/>
        <v>8000</v>
      </c>
      <c r="Z1141" s="507">
        <f t="shared" si="841"/>
        <v>0</v>
      </c>
      <c r="AA1141" s="562" t="e">
        <f t="shared" ca="1" si="827"/>
        <v>#NAME?</v>
      </c>
      <c r="AB1141" s="507"/>
      <c r="AC1141" s="508">
        <f>AC1142</f>
        <v>1200</v>
      </c>
      <c r="AD1141" s="508">
        <f>AD1142</f>
        <v>1200</v>
      </c>
      <c r="AE1141" s="529">
        <f>O1141/M1141*100</f>
        <v>224.99999999999994</v>
      </c>
      <c r="AF1141" s="529">
        <f>P1141/O1141*100</f>
        <v>184.17666666666668</v>
      </c>
      <c r="AG1141" s="529">
        <f>Q1141/P1141*100</f>
        <v>81.818181818181827</v>
      </c>
      <c r="AH1141" s="529">
        <f>AC1141/Q1141*100</f>
        <v>133.33333333333331</v>
      </c>
      <c r="AI1141" s="507"/>
      <c r="AJ1141" s="507">
        <v>8000</v>
      </c>
      <c r="AK1141" s="507">
        <f t="shared" si="821"/>
        <v>133.33333333333331</v>
      </c>
      <c r="AL1141" s="507">
        <f t="shared" si="822"/>
        <v>583.33333333333326</v>
      </c>
      <c r="AM1141" s="507">
        <f t="shared" si="822"/>
        <v>114.28571428571428</v>
      </c>
      <c r="AN1141" s="509"/>
      <c r="AO1141" s="510"/>
      <c r="AP1141" s="510" t="e">
        <f t="shared" ca="1" si="828"/>
        <v>#NAME?</v>
      </c>
      <c r="AQ1141" s="532">
        <f>AQ1142</f>
        <v>1400</v>
      </c>
      <c r="AR1141" s="533">
        <f t="shared" si="833"/>
        <v>133.33333333333331</v>
      </c>
      <c r="AS1141" s="533">
        <f t="shared" si="834"/>
        <v>100</v>
      </c>
      <c r="AT1141" s="533">
        <f t="shared" si="835"/>
        <v>133.33333333333331</v>
      </c>
      <c r="AU1141" s="533">
        <f>AQ1141/W1141*100</f>
        <v>116.66666666666667</v>
      </c>
      <c r="AV1141" s="533">
        <f>AQ1141/R1141*100</f>
        <v>155.55555555555557</v>
      </c>
      <c r="AW1141" s="612"/>
      <c r="AX1141" s="612"/>
      <c r="AY1141" s="612"/>
      <c r="AZ1141" s="612"/>
      <c r="BA1141" s="612"/>
      <c r="BB1141" s="612"/>
      <c r="BC1141" s="612"/>
      <c r="BD1141" s="612"/>
      <c r="BE1141" s="612"/>
      <c r="BF1141" s="612"/>
      <c r="BG1141" s="612"/>
      <c r="BH1141" s="612">
        <f t="shared" si="830"/>
        <v>0</v>
      </c>
      <c r="BI1141" s="612">
        <f t="shared" si="823"/>
        <v>0</v>
      </c>
      <c r="BJ1141" s="201"/>
    </row>
    <row r="1142" spans="1:62" ht="12" customHeight="1">
      <c r="A1142" s="52"/>
      <c r="B1142" s="52"/>
      <c r="C1142" s="52"/>
      <c r="D1142" s="52"/>
      <c r="E1142" s="52"/>
      <c r="F1142" s="52"/>
      <c r="G1142" s="52"/>
      <c r="H1142" s="2">
        <v>211</v>
      </c>
      <c r="I1142" s="289">
        <v>820</v>
      </c>
      <c r="J1142" s="185">
        <v>3121</v>
      </c>
      <c r="K1142" s="19" t="s">
        <v>225</v>
      </c>
      <c r="L1142" s="129">
        <v>2000</v>
      </c>
      <c r="M1142" s="129">
        <f>2000/7.5345</f>
        <v>265.44561682925212</v>
      </c>
      <c r="N1142" s="130">
        <v>4500</v>
      </c>
      <c r="O1142" s="130">
        <f>N1142/7.5345</f>
        <v>597.25263786581718</v>
      </c>
      <c r="P1142" s="131">
        <v>1100</v>
      </c>
      <c r="Q1142" s="156">
        <v>900</v>
      </c>
      <c r="R1142" s="153">
        <v>900</v>
      </c>
      <c r="S1142" s="158"/>
      <c r="T1142" s="158"/>
      <c r="U1142" s="158"/>
      <c r="V1142" s="532">
        <v>1200</v>
      </c>
      <c r="W1142" s="532">
        <v>1200</v>
      </c>
      <c r="X1142" s="560">
        <v>7000</v>
      </c>
      <c r="Y1142" s="561">
        <v>8000</v>
      </c>
      <c r="Z1142" s="561"/>
      <c r="AA1142" s="562" t="e">
        <f t="shared" ca="1" si="827"/>
        <v>#NAME?</v>
      </c>
      <c r="AB1142" s="535"/>
      <c r="AC1142" s="529">
        <v>1200</v>
      </c>
      <c r="AD1142" s="529">
        <v>1200</v>
      </c>
      <c r="AE1142" s="529">
        <f>O1142/M1142*100</f>
        <v>224.99999999999994</v>
      </c>
      <c r="AF1142" s="529">
        <f>P1142/O1142*100</f>
        <v>184.17666666666668</v>
      </c>
      <c r="AG1142" s="529">
        <f>Q1142/P1142*100</f>
        <v>81.818181818181827</v>
      </c>
      <c r="AH1142" s="529">
        <f>AC1142/Q1142*100</f>
        <v>133.33333333333331</v>
      </c>
      <c r="AI1142" s="535"/>
      <c r="AJ1142" s="561">
        <v>8000</v>
      </c>
      <c r="AK1142" s="507">
        <f t="shared" si="821"/>
        <v>133.33333333333331</v>
      </c>
      <c r="AL1142" s="507">
        <f t="shared" si="822"/>
        <v>583.33333333333326</v>
      </c>
      <c r="AM1142" s="507">
        <f t="shared" si="822"/>
        <v>114.28571428571428</v>
      </c>
      <c r="AN1142" s="556"/>
      <c r="AO1142" s="510"/>
      <c r="AP1142" s="510" t="e">
        <f t="shared" ca="1" si="828"/>
        <v>#NAME?</v>
      </c>
      <c r="AQ1142" s="532">
        <v>1400</v>
      </c>
      <c r="AR1142" s="533">
        <f t="shared" si="833"/>
        <v>133.33333333333331</v>
      </c>
      <c r="AS1142" s="533">
        <f t="shared" si="834"/>
        <v>100</v>
      </c>
      <c r="AT1142" s="533">
        <f t="shared" si="835"/>
        <v>133.33333333333331</v>
      </c>
      <c r="AU1142" s="533">
        <f>AQ1142/W1142*100</f>
        <v>116.66666666666667</v>
      </c>
      <c r="AV1142" s="533">
        <f>AQ1142/R1142*100</f>
        <v>155.55555555555557</v>
      </c>
      <c r="AW1142" s="612">
        <f>AQ1142</f>
        <v>1400</v>
      </c>
      <c r="AX1142" s="612"/>
      <c r="AY1142" s="612"/>
      <c r="AZ1142" s="612"/>
      <c r="BA1142" s="612"/>
      <c r="BB1142" s="612"/>
      <c r="BC1142" s="612"/>
      <c r="BD1142" s="612"/>
      <c r="BE1142" s="612"/>
      <c r="BF1142" s="612"/>
      <c r="BG1142" s="612"/>
      <c r="BH1142" s="612">
        <f t="shared" si="830"/>
        <v>1400</v>
      </c>
      <c r="BI1142" s="612">
        <f t="shared" si="823"/>
        <v>0</v>
      </c>
      <c r="BJ1142" s="201"/>
    </row>
    <row r="1143" spans="1:62" ht="12" customHeight="1">
      <c r="A1143" s="52"/>
      <c r="B1143" s="52"/>
      <c r="C1143" s="52"/>
      <c r="D1143" s="52"/>
      <c r="E1143" s="52"/>
      <c r="F1143" s="52"/>
      <c r="G1143" s="52"/>
      <c r="H1143" s="2"/>
      <c r="I1143" s="289"/>
      <c r="J1143" s="185"/>
      <c r="K1143" s="19"/>
      <c r="L1143" s="118"/>
      <c r="M1143" s="118"/>
      <c r="N1143" s="119"/>
      <c r="O1143" s="119"/>
      <c r="P1143" s="120"/>
      <c r="Q1143" s="120"/>
      <c r="R1143" s="151"/>
      <c r="S1143" s="152"/>
      <c r="T1143" s="152"/>
      <c r="U1143" s="152"/>
      <c r="V1143" s="532"/>
      <c r="W1143" s="532"/>
      <c r="X1143" s="560"/>
      <c r="Y1143" s="561"/>
      <c r="Z1143" s="561"/>
      <c r="AA1143" s="562" t="e">
        <f t="shared" ca="1" si="827"/>
        <v>#NAME?</v>
      </c>
      <c r="AB1143" s="535"/>
      <c r="AC1143" s="529"/>
      <c r="AD1143" s="529"/>
      <c r="AE1143" s="529"/>
      <c r="AF1143" s="529"/>
      <c r="AG1143" s="529"/>
      <c r="AH1143" s="529"/>
      <c r="AI1143" s="535"/>
      <c r="AJ1143" s="561"/>
      <c r="AK1143" s="507"/>
      <c r="AL1143" s="507"/>
      <c r="AM1143" s="507"/>
      <c r="AN1143" s="556"/>
      <c r="AO1143" s="510"/>
      <c r="AP1143" s="510" t="e">
        <f t="shared" ca="1" si="828"/>
        <v>#NAME?</v>
      </c>
      <c r="AQ1143" s="532"/>
      <c r="AR1143" s="533"/>
      <c r="AS1143" s="533"/>
      <c r="AT1143" s="533"/>
      <c r="AU1143" s="533"/>
      <c r="AV1143" s="533"/>
      <c r="AW1143" s="612"/>
      <c r="AX1143" s="612"/>
      <c r="AY1143" s="612"/>
      <c r="AZ1143" s="612"/>
      <c r="BA1143" s="612"/>
      <c r="BB1143" s="612"/>
      <c r="BC1143" s="612"/>
      <c r="BD1143" s="612"/>
      <c r="BE1143" s="612"/>
      <c r="BF1143" s="612"/>
      <c r="BG1143" s="612"/>
      <c r="BH1143" s="612">
        <f t="shared" si="830"/>
        <v>0</v>
      </c>
      <c r="BI1143" s="612">
        <f t="shared" si="823"/>
        <v>965</v>
      </c>
      <c r="BJ1143" s="201">
        <f>AQ1150-BI1143</f>
        <v>0</v>
      </c>
    </row>
    <row r="1144" spans="1:62" ht="12" customHeight="1">
      <c r="A1144" s="61"/>
      <c r="B1144" s="61"/>
      <c r="C1144" s="61"/>
      <c r="D1144" s="61"/>
      <c r="E1144" s="61"/>
      <c r="F1144" s="61"/>
      <c r="G1144" s="61"/>
      <c r="H1144" s="230"/>
      <c r="I1144" s="348"/>
      <c r="J1144" s="229">
        <v>313</v>
      </c>
      <c r="K1144" s="20" t="s">
        <v>330</v>
      </c>
      <c r="L1144" s="111">
        <f t="shared" ref="L1144:S1144" si="842">L1145+L1146</f>
        <v>44080</v>
      </c>
      <c r="M1144" s="111">
        <f t="shared" si="842"/>
        <v>5850.4213949167161</v>
      </c>
      <c r="N1144" s="112">
        <f t="shared" si="842"/>
        <v>40456</v>
      </c>
      <c r="O1144" s="112">
        <f t="shared" si="842"/>
        <v>5369.4339372221111</v>
      </c>
      <c r="P1144" s="113">
        <f t="shared" si="842"/>
        <v>10300</v>
      </c>
      <c r="Q1144" s="113">
        <f t="shared" si="842"/>
        <v>10600</v>
      </c>
      <c r="R1144" s="87">
        <f t="shared" si="842"/>
        <v>10480</v>
      </c>
      <c r="S1144" s="89">
        <f t="shared" si="842"/>
        <v>0</v>
      </c>
      <c r="T1144" s="89"/>
      <c r="U1144" s="89"/>
      <c r="V1144" s="532">
        <f>V1145+V1146</f>
        <v>9800</v>
      </c>
      <c r="W1144" s="532">
        <f>W1145+W1146</f>
        <v>9800</v>
      </c>
      <c r="X1144" s="506">
        <f>X1145+X1146</f>
        <v>16200</v>
      </c>
      <c r="Y1144" s="507">
        <f>Y1145+Y1146</f>
        <v>17500</v>
      </c>
      <c r="Z1144" s="507">
        <f>Z1145+Z1146</f>
        <v>0</v>
      </c>
      <c r="AA1144" s="562" t="e">
        <f t="shared" ca="1" si="827"/>
        <v>#NAME?</v>
      </c>
      <c r="AB1144" s="507"/>
      <c r="AC1144" s="508">
        <f>AC1145+AC1146</f>
        <v>10400</v>
      </c>
      <c r="AD1144" s="508">
        <f>AD1145+AD1146</f>
        <v>10400</v>
      </c>
      <c r="AE1144" s="529">
        <f>O1144/M1144*100</f>
        <v>91.778584392014523</v>
      </c>
      <c r="AF1144" s="529">
        <f>P1144/O1144*100</f>
        <v>191.82655230373743</v>
      </c>
      <c r="AG1144" s="529">
        <f>Q1144/P1144*100</f>
        <v>102.91262135922329</v>
      </c>
      <c r="AH1144" s="529">
        <f>AC1144/Q1144*100</f>
        <v>98.113207547169807</v>
      </c>
      <c r="AI1144" s="507"/>
      <c r="AJ1144" s="507">
        <v>17500</v>
      </c>
      <c r="AK1144" s="507">
        <f t="shared" si="821"/>
        <v>93.511450381679381</v>
      </c>
      <c r="AL1144" s="507">
        <f t="shared" si="822"/>
        <v>165.30612244897961</v>
      </c>
      <c r="AM1144" s="507">
        <f t="shared" si="822"/>
        <v>108.02469135802468</v>
      </c>
      <c r="AN1144" s="509"/>
      <c r="AO1144" s="510"/>
      <c r="AP1144" s="510" t="e">
        <f t="shared" ca="1" si="828"/>
        <v>#NAME?</v>
      </c>
      <c r="AQ1144" s="532">
        <f>AQ1145+AQ1146</f>
        <v>9770</v>
      </c>
      <c r="AR1144" s="533">
        <f t="shared" si="833"/>
        <v>93.511450381679381</v>
      </c>
      <c r="AS1144" s="533">
        <f t="shared" si="834"/>
        <v>100</v>
      </c>
      <c r="AT1144" s="533">
        <f t="shared" si="835"/>
        <v>93.511450381679381</v>
      </c>
      <c r="AU1144" s="533">
        <f>AQ1144/W1144*100</f>
        <v>99.693877551020407</v>
      </c>
      <c r="AV1144" s="533">
        <f>AQ1144/R1144*100</f>
        <v>93.225190839694662</v>
      </c>
      <c r="AW1144" s="612"/>
      <c r="AX1144" s="612"/>
      <c r="AY1144" s="612"/>
      <c r="AZ1144" s="612"/>
      <c r="BA1144" s="612"/>
      <c r="BB1144" s="612"/>
      <c r="BC1144" s="612"/>
      <c r="BD1144" s="612"/>
      <c r="BE1144" s="612"/>
      <c r="BF1144" s="612"/>
      <c r="BG1144" s="612"/>
      <c r="BH1144" s="612">
        <f t="shared" si="830"/>
        <v>0</v>
      </c>
      <c r="BI1144" s="612">
        <f t="shared" si="823"/>
        <v>3951</v>
      </c>
      <c r="BJ1144" s="201">
        <f>AQ1151-BI1144</f>
        <v>0</v>
      </c>
    </row>
    <row r="1145" spans="1:62" ht="12" customHeight="1">
      <c r="A1145" s="52"/>
      <c r="B1145" s="52"/>
      <c r="C1145" s="52"/>
      <c r="D1145" s="52"/>
      <c r="E1145" s="52"/>
      <c r="F1145" s="52"/>
      <c r="G1145" s="52"/>
      <c r="H1145" s="2">
        <v>212</v>
      </c>
      <c r="I1145" s="289">
        <v>820</v>
      </c>
      <c r="J1145" s="185">
        <v>3132</v>
      </c>
      <c r="K1145" s="19" t="s">
        <v>331</v>
      </c>
      <c r="L1145" s="129">
        <v>44080</v>
      </c>
      <c r="M1145" s="129">
        <f>44080/7.5345</f>
        <v>5850.4213949167161</v>
      </c>
      <c r="N1145" s="130">
        <v>40456</v>
      </c>
      <c r="O1145" s="130">
        <f>N1145/7.5345</f>
        <v>5369.4339372221111</v>
      </c>
      <c r="P1145" s="131">
        <v>10300</v>
      </c>
      <c r="Q1145" s="156">
        <v>10600</v>
      </c>
      <c r="R1145" s="153">
        <v>10480</v>
      </c>
      <c r="S1145" s="158"/>
      <c r="T1145" s="158"/>
      <c r="U1145" s="158"/>
      <c r="V1145" s="532">
        <v>9800</v>
      </c>
      <c r="W1145" s="532">
        <v>9800</v>
      </c>
      <c r="X1145" s="560">
        <v>16200</v>
      </c>
      <c r="Y1145" s="561">
        <v>17500</v>
      </c>
      <c r="Z1145" s="561"/>
      <c r="AA1145" s="562" t="e">
        <f t="shared" ca="1" si="827"/>
        <v>#NAME?</v>
      </c>
      <c r="AB1145" s="535"/>
      <c r="AC1145" s="529">
        <v>10400</v>
      </c>
      <c r="AD1145" s="529">
        <v>10400</v>
      </c>
      <c r="AE1145" s="529">
        <f>O1145/M1145*100</f>
        <v>91.778584392014523</v>
      </c>
      <c r="AF1145" s="529">
        <f>P1145/O1145*100</f>
        <v>191.82655230373743</v>
      </c>
      <c r="AG1145" s="529">
        <f>Q1145/P1145*100</f>
        <v>102.91262135922329</v>
      </c>
      <c r="AH1145" s="529">
        <f>AC1145/Q1145*100</f>
        <v>98.113207547169807</v>
      </c>
      <c r="AI1145" s="535"/>
      <c r="AJ1145" s="561">
        <v>17500</v>
      </c>
      <c r="AK1145" s="507">
        <f t="shared" si="821"/>
        <v>93.511450381679381</v>
      </c>
      <c r="AL1145" s="507">
        <f t="shared" si="822"/>
        <v>165.30612244897961</v>
      </c>
      <c r="AM1145" s="507">
        <f t="shared" si="822"/>
        <v>108.02469135802468</v>
      </c>
      <c r="AN1145" s="556"/>
      <c r="AO1145" s="510"/>
      <c r="AP1145" s="510" t="e">
        <f t="shared" ca="1" si="828"/>
        <v>#NAME?</v>
      </c>
      <c r="AQ1145" s="532">
        <v>9770</v>
      </c>
      <c r="AR1145" s="533">
        <f t="shared" si="833"/>
        <v>93.511450381679381</v>
      </c>
      <c r="AS1145" s="533">
        <f t="shared" si="834"/>
        <v>100</v>
      </c>
      <c r="AT1145" s="533">
        <f t="shared" si="835"/>
        <v>93.511450381679381</v>
      </c>
      <c r="AU1145" s="533">
        <f>AQ1145/W1145*100</f>
        <v>99.693877551020407</v>
      </c>
      <c r="AV1145" s="533">
        <f>AQ1145/R1145*100</f>
        <v>93.225190839694662</v>
      </c>
      <c r="AW1145" s="612">
        <f>AQ1145</f>
        <v>9770</v>
      </c>
      <c r="AX1145" s="612"/>
      <c r="AY1145" s="612"/>
      <c r="AZ1145" s="612"/>
      <c r="BA1145" s="612"/>
      <c r="BB1145" s="612"/>
      <c r="BC1145" s="612"/>
      <c r="BD1145" s="612"/>
      <c r="BE1145" s="612"/>
      <c r="BF1145" s="612"/>
      <c r="BG1145" s="612"/>
      <c r="BH1145" s="612">
        <f t="shared" si="830"/>
        <v>9770</v>
      </c>
      <c r="BI1145" s="612">
        <f t="shared" si="823"/>
        <v>0</v>
      </c>
      <c r="BJ1145" s="201">
        <f>AQ1152-BI1145</f>
        <v>0</v>
      </c>
    </row>
    <row r="1146" spans="1:62" ht="12" customHeight="1">
      <c r="A1146" s="52"/>
      <c r="B1146" s="52"/>
      <c r="C1146" s="52"/>
      <c r="D1146" s="52"/>
      <c r="E1146" s="52"/>
      <c r="F1146" s="52"/>
      <c r="G1146" s="52"/>
      <c r="H1146" s="2">
        <v>213</v>
      </c>
      <c r="I1146" s="289">
        <v>820</v>
      </c>
      <c r="J1146" s="185">
        <v>3133</v>
      </c>
      <c r="K1146" s="19" t="s">
        <v>818</v>
      </c>
      <c r="L1146" s="129">
        <v>0</v>
      </c>
      <c r="M1146" s="129">
        <v>0</v>
      </c>
      <c r="N1146" s="130">
        <v>0</v>
      </c>
      <c r="O1146" s="130">
        <v>0</v>
      </c>
      <c r="P1146" s="131">
        <v>0</v>
      </c>
      <c r="Q1146" s="131">
        <v>0</v>
      </c>
      <c r="R1146" s="153">
        <v>0</v>
      </c>
      <c r="S1146" s="158"/>
      <c r="T1146" s="158"/>
      <c r="U1146" s="158"/>
      <c r="V1146" s="532"/>
      <c r="W1146" s="532"/>
      <c r="X1146" s="560"/>
      <c r="Y1146" s="561"/>
      <c r="Z1146" s="561"/>
      <c r="AA1146" s="562" t="e">
        <f t="shared" ca="1" si="827"/>
        <v>#NAME?</v>
      </c>
      <c r="AB1146" s="535"/>
      <c r="AC1146" s="529">
        <v>0</v>
      </c>
      <c r="AD1146" s="529">
        <v>0</v>
      </c>
      <c r="AE1146" s="529"/>
      <c r="AF1146" s="529"/>
      <c r="AG1146" s="529"/>
      <c r="AH1146" s="529"/>
      <c r="AI1146" s="535"/>
      <c r="AJ1146" s="561"/>
      <c r="AK1146" s="507"/>
      <c r="AL1146" s="507"/>
      <c r="AM1146" s="507"/>
      <c r="AN1146" s="556"/>
      <c r="AO1146" s="510"/>
      <c r="AP1146" s="510" t="e">
        <f t="shared" ca="1" si="828"/>
        <v>#NAME?</v>
      </c>
      <c r="AQ1146" s="532"/>
      <c r="AR1146" s="533"/>
      <c r="AS1146" s="533"/>
      <c r="AT1146" s="533"/>
      <c r="AU1146" s="533"/>
      <c r="AV1146" s="533"/>
      <c r="AW1146" s="612">
        <f>AQ1146</f>
        <v>0</v>
      </c>
      <c r="AX1146" s="612"/>
      <c r="AY1146" s="612"/>
      <c r="AZ1146" s="612"/>
      <c r="BA1146" s="612"/>
      <c r="BB1146" s="612"/>
      <c r="BC1146" s="612"/>
      <c r="BD1146" s="612"/>
      <c r="BE1146" s="612"/>
      <c r="BF1146" s="612"/>
      <c r="BG1146" s="612"/>
      <c r="BH1146" s="612">
        <f t="shared" si="830"/>
        <v>0</v>
      </c>
      <c r="BI1146" s="612">
        <f t="shared" si="823"/>
        <v>0</v>
      </c>
      <c r="BJ1146" s="201">
        <f>AQ1153-BI1146</f>
        <v>0</v>
      </c>
    </row>
    <row r="1147" spans="1:62" ht="12" customHeight="1">
      <c r="A1147" s="41"/>
      <c r="B1147" s="41"/>
      <c r="C1147" s="41"/>
      <c r="D1147" s="41"/>
      <c r="E1147" s="41"/>
      <c r="F1147" s="41"/>
      <c r="G1147" s="41"/>
      <c r="H1147" s="235"/>
      <c r="I1147" s="15"/>
      <c r="J1147" s="3"/>
      <c r="K1147" s="83"/>
      <c r="L1147" s="84">
        <v>1</v>
      </c>
      <c r="M1147" s="84">
        <v>2</v>
      </c>
      <c r="N1147" s="85">
        <v>3</v>
      </c>
      <c r="O1147" s="85">
        <v>4</v>
      </c>
      <c r="P1147" s="86">
        <v>5</v>
      </c>
      <c r="Q1147" s="86">
        <v>6</v>
      </c>
      <c r="R1147" s="154"/>
      <c r="S1147" s="155"/>
      <c r="T1147" s="155"/>
      <c r="U1147" s="155"/>
      <c r="V1147" s="532"/>
      <c r="W1147" s="532"/>
      <c r="X1147" s="568"/>
      <c r="Y1147" s="569"/>
      <c r="Z1147" s="569"/>
      <c r="AA1147" s="562" t="e">
        <f t="shared" ca="1" si="827"/>
        <v>#NAME?</v>
      </c>
      <c r="AB1147" s="537"/>
      <c r="AC1147" s="538">
        <v>7</v>
      </c>
      <c r="AD1147" s="538">
        <v>8</v>
      </c>
      <c r="AE1147" s="538">
        <v>9</v>
      </c>
      <c r="AF1147" s="538">
        <v>10</v>
      </c>
      <c r="AG1147" s="538">
        <v>11</v>
      </c>
      <c r="AH1147" s="538">
        <v>12</v>
      </c>
      <c r="AI1147" s="537"/>
      <c r="AJ1147" s="569"/>
      <c r="AK1147" s="507"/>
      <c r="AL1147" s="507"/>
      <c r="AM1147" s="507"/>
      <c r="AN1147" s="557"/>
      <c r="AO1147" s="510"/>
      <c r="AP1147" s="510" t="e">
        <f t="shared" ca="1" si="828"/>
        <v>#NAME?</v>
      </c>
      <c r="AQ1147" s="532"/>
      <c r="AR1147" s="533"/>
      <c r="AS1147" s="533"/>
      <c r="AT1147" s="533"/>
      <c r="AU1147" s="533"/>
      <c r="AV1147" s="533"/>
      <c r="AW1147" s="612"/>
      <c r="AX1147" s="612"/>
      <c r="AY1147" s="612"/>
      <c r="AZ1147" s="612"/>
      <c r="BA1147" s="612"/>
      <c r="BB1147" s="612"/>
      <c r="BC1147" s="612"/>
      <c r="BD1147" s="612"/>
      <c r="BE1147" s="612"/>
      <c r="BF1147" s="612"/>
      <c r="BG1147" s="612"/>
      <c r="BH1147" s="612">
        <f t="shared" si="830"/>
        <v>0</v>
      </c>
      <c r="BI1147" s="612">
        <f t="shared" si="823"/>
        <v>0</v>
      </c>
      <c r="BJ1147" s="201"/>
    </row>
    <row r="1148" spans="1:62" ht="12" customHeight="1">
      <c r="A1148" s="227"/>
      <c r="B1148" s="227"/>
      <c r="C1148" s="227"/>
      <c r="D1148" s="227"/>
      <c r="E1148" s="227"/>
      <c r="F1148" s="227"/>
      <c r="G1148" s="227"/>
      <c r="H1148" s="234"/>
      <c r="I1148" s="265"/>
      <c r="J1148" s="228">
        <v>32</v>
      </c>
      <c r="K1148" s="258" t="s">
        <v>229</v>
      </c>
      <c r="L1148" s="111">
        <f t="shared" ref="L1148:S1148" si="843">L1149+L1155+L1160+L1168</f>
        <v>215626</v>
      </c>
      <c r="M1148" s="111">
        <f t="shared" si="843"/>
        <v>28618.488287212156</v>
      </c>
      <c r="N1148" s="112">
        <f t="shared" si="843"/>
        <v>120337</v>
      </c>
      <c r="O1148" s="112">
        <f t="shared" si="843"/>
        <v>15971.464596190857</v>
      </c>
      <c r="P1148" s="113">
        <f t="shared" si="843"/>
        <v>28100</v>
      </c>
      <c r="Q1148" s="113">
        <f t="shared" si="843"/>
        <v>32300</v>
      </c>
      <c r="R1148" s="87">
        <f t="shared" si="843"/>
        <v>31698</v>
      </c>
      <c r="S1148" s="89">
        <f t="shared" si="843"/>
        <v>0</v>
      </c>
      <c r="T1148" s="89"/>
      <c r="U1148" s="89"/>
      <c r="V1148" s="532">
        <f>V1149+V1155+V1160+V1168</f>
        <v>99800</v>
      </c>
      <c r="W1148" s="532">
        <f>W1149+W1155+W1160+W1168</f>
        <v>99800</v>
      </c>
      <c r="X1148" s="506">
        <f>X1149+X1155+X1160+X1168</f>
        <v>114600</v>
      </c>
      <c r="Y1148" s="507">
        <f>Y1149+Y1155+Y1160+Y1168</f>
        <v>116200</v>
      </c>
      <c r="Z1148" s="507">
        <f>Z1149+Z1155+Z1160+Z1168</f>
        <v>0</v>
      </c>
      <c r="AA1148" s="562" t="e">
        <f t="shared" ca="1" si="827"/>
        <v>#NAME?</v>
      </c>
      <c r="AB1148" s="507"/>
      <c r="AC1148" s="508">
        <f>AC1149+AC1155+AC1160+AC1168</f>
        <v>29300</v>
      </c>
      <c r="AD1148" s="508">
        <f>AD1149+AD1155+AD1160+AD1168</f>
        <v>29300</v>
      </c>
      <c r="AE1148" s="529">
        <f>O1148/M1148*100</f>
        <v>55.808204947455323</v>
      </c>
      <c r="AF1148" s="529">
        <f t="shared" ref="AF1148:AG1151" si="844">P1148/O1148*100</f>
        <v>175.93878025877325</v>
      </c>
      <c r="AG1148" s="529">
        <f t="shared" si="844"/>
        <v>114.94661921708185</v>
      </c>
      <c r="AH1148" s="529">
        <f>AC1148/Q1148*100</f>
        <v>90.712074303405572</v>
      </c>
      <c r="AI1148" s="507"/>
      <c r="AJ1148" s="507">
        <v>116200</v>
      </c>
      <c r="AK1148" s="507">
        <f t="shared" si="821"/>
        <v>314.84636254653287</v>
      </c>
      <c r="AL1148" s="507">
        <f t="shared" si="822"/>
        <v>114.82965931863727</v>
      </c>
      <c r="AM1148" s="507">
        <f t="shared" si="822"/>
        <v>101.39616055846423</v>
      </c>
      <c r="AN1148" s="509"/>
      <c r="AO1148" s="510"/>
      <c r="AP1148" s="510" t="e">
        <f t="shared" ca="1" si="828"/>
        <v>#NAME?</v>
      </c>
      <c r="AQ1148" s="532">
        <f>AQ1149+AQ1155+AQ1160+AQ1168</f>
        <v>82434</v>
      </c>
      <c r="AR1148" s="533">
        <f t="shared" si="833"/>
        <v>314.84636254653287</v>
      </c>
      <c r="AS1148" s="533">
        <f t="shared" si="834"/>
        <v>100</v>
      </c>
      <c r="AT1148" s="533">
        <f t="shared" si="835"/>
        <v>314.84636254653287</v>
      </c>
      <c r="AU1148" s="533">
        <f>AQ1148/W1148*100</f>
        <v>82.599198396793582</v>
      </c>
      <c r="AV1148" s="533">
        <f>AQ1148/R1148*100</f>
        <v>260.06057164489874</v>
      </c>
      <c r="AW1148" s="612"/>
      <c r="AX1148" s="612"/>
      <c r="AY1148" s="612"/>
      <c r="AZ1148" s="612"/>
      <c r="BA1148" s="612"/>
      <c r="BB1148" s="612"/>
      <c r="BC1148" s="612"/>
      <c r="BD1148" s="612"/>
      <c r="BE1148" s="612"/>
      <c r="BF1148" s="612"/>
      <c r="BG1148" s="612"/>
      <c r="BH1148" s="612">
        <f t="shared" si="830"/>
        <v>0</v>
      </c>
      <c r="BI1148" s="612">
        <f t="shared" si="823"/>
        <v>0</v>
      </c>
      <c r="BJ1148" s="201"/>
    </row>
    <row r="1149" spans="1:62" ht="12" customHeight="1">
      <c r="A1149" s="61"/>
      <c r="B1149" s="61"/>
      <c r="C1149" s="61"/>
      <c r="D1149" s="61"/>
      <c r="E1149" s="61"/>
      <c r="F1149" s="61"/>
      <c r="G1149" s="61"/>
      <c r="H1149" s="230"/>
      <c r="I1149" s="348"/>
      <c r="J1149" s="229">
        <v>321</v>
      </c>
      <c r="K1149" s="20" t="s">
        <v>819</v>
      </c>
      <c r="L1149" s="111">
        <f t="shared" ref="L1149:S1149" si="845">L1150+L1151+L1152+L1153</f>
        <v>13742</v>
      </c>
      <c r="M1149" s="111">
        <f t="shared" si="845"/>
        <v>1823.8768332337911</v>
      </c>
      <c r="N1149" s="112">
        <f t="shared" si="845"/>
        <v>16580</v>
      </c>
      <c r="O1149" s="112">
        <f t="shared" si="845"/>
        <v>2200.5441635144998</v>
      </c>
      <c r="P1149" s="113">
        <f t="shared" si="845"/>
        <v>2900</v>
      </c>
      <c r="Q1149" s="113">
        <f t="shared" si="845"/>
        <v>5700</v>
      </c>
      <c r="R1149" s="87">
        <f t="shared" si="845"/>
        <v>4568</v>
      </c>
      <c r="S1149" s="89">
        <f t="shared" si="845"/>
        <v>0</v>
      </c>
      <c r="T1149" s="89"/>
      <c r="U1149" s="89"/>
      <c r="V1149" s="532">
        <f>V1150+V1151+V1152+V1153</f>
        <v>6400</v>
      </c>
      <c r="W1149" s="532">
        <f>W1150+W1151+W1152+W1153</f>
        <v>6400</v>
      </c>
      <c r="X1149" s="506">
        <f>X1150+X1151+X1152+X1153</f>
        <v>6900</v>
      </c>
      <c r="Y1149" s="507">
        <f>Y1150+Y1151+Y1152+Y1153</f>
        <v>8000</v>
      </c>
      <c r="Z1149" s="507">
        <f>Z1150+Z1151+Z1152+Z1153</f>
        <v>0</v>
      </c>
      <c r="AA1149" s="562" t="e">
        <f t="shared" ca="1" si="827"/>
        <v>#NAME?</v>
      </c>
      <c r="AB1149" s="507"/>
      <c r="AC1149" s="508">
        <f>AC1150+AC1151+AC1152+AC1153</f>
        <v>3500</v>
      </c>
      <c r="AD1149" s="508">
        <f>AD1150+AD1151+AD1152+AD1153</f>
        <v>3500</v>
      </c>
      <c r="AE1149" s="529">
        <f>O1149/M1149*100</f>
        <v>120.65201571823607</v>
      </c>
      <c r="AF1149" s="529">
        <f t="shared" si="844"/>
        <v>131.78558504221957</v>
      </c>
      <c r="AG1149" s="529">
        <f t="shared" si="844"/>
        <v>196.55172413793102</v>
      </c>
      <c r="AH1149" s="529">
        <f>AC1149/Q1149*100</f>
        <v>61.403508771929829</v>
      </c>
      <c r="AI1149" s="507"/>
      <c r="AJ1149" s="507">
        <v>8000</v>
      </c>
      <c r="AK1149" s="507">
        <f t="shared" si="821"/>
        <v>140.10507880910683</v>
      </c>
      <c r="AL1149" s="507">
        <f t="shared" si="822"/>
        <v>107.8125</v>
      </c>
      <c r="AM1149" s="507">
        <f t="shared" si="822"/>
        <v>115.94202898550725</v>
      </c>
      <c r="AN1149" s="509"/>
      <c r="AO1149" s="510"/>
      <c r="AP1149" s="510" t="e">
        <f t="shared" ca="1" si="828"/>
        <v>#NAME?</v>
      </c>
      <c r="AQ1149" s="532">
        <f>AQ1150+AQ1151+AQ1152+AQ1153</f>
        <v>4916</v>
      </c>
      <c r="AR1149" s="533">
        <f t="shared" si="833"/>
        <v>140.10507880910683</v>
      </c>
      <c r="AS1149" s="533">
        <f t="shared" si="834"/>
        <v>100</v>
      </c>
      <c r="AT1149" s="533">
        <f t="shared" si="835"/>
        <v>140.10507880910683</v>
      </c>
      <c r="AU1149" s="533">
        <f>AQ1149/W1149*100</f>
        <v>76.8125</v>
      </c>
      <c r="AV1149" s="533">
        <f>AQ1149/R1149*100</f>
        <v>107.61821366024517</v>
      </c>
      <c r="AW1149" s="612"/>
      <c r="AX1149" s="612"/>
      <c r="AY1149" s="612"/>
      <c r="AZ1149" s="612"/>
      <c r="BA1149" s="612"/>
      <c r="BB1149" s="612"/>
      <c r="BC1149" s="612"/>
      <c r="BD1149" s="612"/>
      <c r="BE1149" s="612"/>
      <c r="BF1149" s="612"/>
      <c r="BG1149" s="612"/>
      <c r="BH1149" s="612">
        <f t="shared" si="830"/>
        <v>0</v>
      </c>
      <c r="BI1149" s="612">
        <f t="shared" si="823"/>
        <v>1467</v>
      </c>
      <c r="BJ1149" s="201">
        <f>AQ1156-BI1149</f>
        <v>0</v>
      </c>
    </row>
    <row r="1150" spans="1:62" ht="12" customHeight="1">
      <c r="A1150" s="52"/>
      <c r="B1150" s="52"/>
      <c r="C1150" s="52"/>
      <c r="D1150" s="52"/>
      <c r="E1150" s="52"/>
      <c r="F1150" s="52"/>
      <c r="G1150" s="52"/>
      <c r="H1150" s="2">
        <v>214</v>
      </c>
      <c r="I1150" s="289">
        <v>820</v>
      </c>
      <c r="J1150" s="185">
        <v>3211</v>
      </c>
      <c r="K1150" s="19" t="s">
        <v>231</v>
      </c>
      <c r="L1150" s="129">
        <v>3273</v>
      </c>
      <c r="M1150" s="129">
        <f>3273/7.5345</f>
        <v>434.40175194107104</v>
      </c>
      <c r="N1150" s="130">
        <v>4372</v>
      </c>
      <c r="O1150" s="130">
        <f>N1150/7.5345</f>
        <v>580.26411838874503</v>
      </c>
      <c r="P1150" s="131">
        <v>400</v>
      </c>
      <c r="Q1150" s="156">
        <v>1300</v>
      </c>
      <c r="R1150" s="153">
        <v>1936</v>
      </c>
      <c r="S1150" s="158"/>
      <c r="T1150" s="158"/>
      <c r="U1150" s="158"/>
      <c r="V1150" s="532">
        <v>1300</v>
      </c>
      <c r="W1150" s="532">
        <v>1300</v>
      </c>
      <c r="X1150" s="560">
        <v>1300</v>
      </c>
      <c r="Y1150" s="561">
        <v>1500</v>
      </c>
      <c r="Z1150" s="561"/>
      <c r="AA1150" s="562" t="e">
        <f t="shared" ca="1" si="827"/>
        <v>#NAME?</v>
      </c>
      <c r="AB1150" s="535"/>
      <c r="AC1150" s="529">
        <v>500</v>
      </c>
      <c r="AD1150" s="529">
        <v>500</v>
      </c>
      <c r="AE1150" s="529">
        <f>O1150/M1150*100</f>
        <v>133.57775740910478</v>
      </c>
      <c r="AF1150" s="529">
        <f t="shared" si="844"/>
        <v>68.934126258005506</v>
      </c>
      <c r="AG1150" s="529">
        <f t="shared" si="844"/>
        <v>325</v>
      </c>
      <c r="AH1150" s="529">
        <f>AC1150/Q1150*100</f>
        <v>38.461538461538467</v>
      </c>
      <c r="AI1150" s="535"/>
      <c r="AJ1150" s="561">
        <v>1500</v>
      </c>
      <c r="AK1150" s="507">
        <f t="shared" si="821"/>
        <v>67.148760330578511</v>
      </c>
      <c r="AL1150" s="507">
        <f t="shared" si="822"/>
        <v>100</v>
      </c>
      <c r="AM1150" s="507">
        <f t="shared" si="822"/>
        <v>115.38461538461537</v>
      </c>
      <c r="AN1150" s="556"/>
      <c r="AO1150" s="510"/>
      <c r="AP1150" s="510" t="e">
        <f t="shared" ca="1" si="828"/>
        <v>#NAME?</v>
      </c>
      <c r="AQ1150" s="532">
        <v>965</v>
      </c>
      <c r="AR1150" s="533">
        <f t="shared" si="833"/>
        <v>67.148760330578511</v>
      </c>
      <c r="AS1150" s="533">
        <f t="shared" si="834"/>
        <v>100</v>
      </c>
      <c r="AT1150" s="533">
        <f t="shared" si="835"/>
        <v>67.148760330578511</v>
      </c>
      <c r="AU1150" s="533">
        <f>AQ1150/W1150*100</f>
        <v>74.230769230769226</v>
      </c>
      <c r="AV1150" s="533">
        <f>AQ1150/R1150*100</f>
        <v>49.845041322314046</v>
      </c>
      <c r="AW1150" s="612">
        <f>AQ1150</f>
        <v>965</v>
      </c>
      <c r="AX1150" s="612"/>
      <c r="AY1150" s="612"/>
      <c r="AZ1150" s="612"/>
      <c r="BA1150" s="612"/>
      <c r="BB1150" s="612"/>
      <c r="BC1150" s="612"/>
      <c r="BD1150" s="612"/>
      <c r="BE1150" s="612"/>
      <c r="BF1150" s="612"/>
      <c r="BG1150" s="612"/>
      <c r="BH1150" s="612">
        <f t="shared" si="830"/>
        <v>965</v>
      </c>
      <c r="BI1150" s="612">
        <f t="shared" si="823"/>
        <v>999</v>
      </c>
      <c r="BJ1150" s="201">
        <f>AQ1157-BI1150</f>
        <v>0</v>
      </c>
    </row>
    <row r="1151" spans="1:62" ht="12" customHeight="1">
      <c r="A1151" s="52"/>
      <c r="B1151" s="52"/>
      <c r="C1151" s="52"/>
      <c r="D1151" s="52"/>
      <c r="E1151" s="52"/>
      <c r="F1151" s="52"/>
      <c r="G1151" s="52"/>
      <c r="H1151" s="17" t="s">
        <v>851</v>
      </c>
      <c r="I1151" s="365">
        <v>820</v>
      </c>
      <c r="J1151" s="299">
        <v>3212</v>
      </c>
      <c r="K1151" s="304" t="s">
        <v>337</v>
      </c>
      <c r="L1151" s="305">
        <v>10469</v>
      </c>
      <c r="M1151" s="305">
        <f>10469/7.5345</f>
        <v>1389.47508129272</v>
      </c>
      <c r="N1151" s="306">
        <v>12208</v>
      </c>
      <c r="O1151" s="130">
        <f>N1151/7.5345</f>
        <v>1620.2800451257547</v>
      </c>
      <c r="P1151" s="307">
        <v>2000</v>
      </c>
      <c r="Q1151" s="384">
        <v>4200</v>
      </c>
      <c r="R1151" s="312">
        <v>2632</v>
      </c>
      <c r="S1151" s="311"/>
      <c r="T1151" s="311"/>
      <c r="U1151" s="311"/>
      <c r="V1151" s="532">
        <v>4600</v>
      </c>
      <c r="W1151" s="532">
        <v>4600</v>
      </c>
      <c r="X1151" s="584">
        <v>4600</v>
      </c>
      <c r="Y1151" s="585">
        <v>4800</v>
      </c>
      <c r="Z1151" s="585"/>
      <c r="AA1151" s="562" t="e">
        <f t="shared" ca="1" si="827"/>
        <v>#NAME?</v>
      </c>
      <c r="AB1151" s="586"/>
      <c r="AC1151" s="587">
        <v>2500</v>
      </c>
      <c r="AD1151" s="587">
        <v>2500</v>
      </c>
      <c r="AE1151" s="529">
        <f>O1151/M1151*100</f>
        <v>116.61094660426019</v>
      </c>
      <c r="AF1151" s="529">
        <f t="shared" si="844"/>
        <v>123.43545216251638</v>
      </c>
      <c r="AG1151" s="529">
        <f t="shared" si="844"/>
        <v>210</v>
      </c>
      <c r="AH1151" s="529">
        <f>AC1151/Q1151*100</f>
        <v>59.523809523809526</v>
      </c>
      <c r="AI1151" s="586"/>
      <c r="AJ1151" s="585">
        <v>4800</v>
      </c>
      <c r="AK1151" s="507">
        <f t="shared" si="821"/>
        <v>174.77203647416414</v>
      </c>
      <c r="AL1151" s="507">
        <f t="shared" si="822"/>
        <v>100</v>
      </c>
      <c r="AM1151" s="507">
        <f t="shared" si="822"/>
        <v>104.34782608695652</v>
      </c>
      <c r="AN1151" s="588"/>
      <c r="AO1151" s="510"/>
      <c r="AP1151" s="510" t="e">
        <f t="shared" ca="1" si="828"/>
        <v>#NAME?</v>
      </c>
      <c r="AQ1151" s="532">
        <v>3951</v>
      </c>
      <c r="AR1151" s="533">
        <f t="shared" si="833"/>
        <v>174.77203647416414</v>
      </c>
      <c r="AS1151" s="533">
        <f t="shared" si="834"/>
        <v>100</v>
      </c>
      <c r="AT1151" s="533">
        <f t="shared" si="835"/>
        <v>174.77203647416414</v>
      </c>
      <c r="AU1151" s="533">
        <f>AQ1151/W1151*100</f>
        <v>85.891304347826093</v>
      </c>
      <c r="AV1151" s="533">
        <f>AQ1151/R1151*100</f>
        <v>150.11398176291792</v>
      </c>
      <c r="AW1151" s="612">
        <f>AQ1151</f>
        <v>3951</v>
      </c>
      <c r="AX1151" s="612"/>
      <c r="AY1151" s="612"/>
      <c r="AZ1151" s="612"/>
      <c r="BA1151" s="612"/>
      <c r="BB1151" s="612"/>
      <c r="BC1151" s="612"/>
      <c r="BD1151" s="612"/>
      <c r="BE1151" s="612"/>
      <c r="BF1151" s="612"/>
      <c r="BG1151" s="612"/>
      <c r="BH1151" s="612">
        <f t="shared" si="830"/>
        <v>3951</v>
      </c>
      <c r="BI1151" s="612">
        <f t="shared" si="823"/>
        <v>22</v>
      </c>
      <c r="BJ1151" s="201">
        <f>AQ1158-BI1151</f>
        <v>0</v>
      </c>
    </row>
    <row r="1152" spans="1:62" ht="12" customHeight="1">
      <c r="A1152" s="52"/>
      <c r="B1152" s="52"/>
      <c r="C1152" s="52"/>
      <c r="D1152" s="52"/>
      <c r="E1152" s="52"/>
      <c r="F1152" s="52"/>
      <c r="G1152" s="52"/>
      <c r="H1152" s="17" t="s">
        <v>852</v>
      </c>
      <c r="I1152" s="365">
        <v>820</v>
      </c>
      <c r="J1152" s="299">
        <v>3213</v>
      </c>
      <c r="K1152" s="304" t="s">
        <v>233</v>
      </c>
      <c r="L1152" s="305">
        <v>0</v>
      </c>
      <c r="M1152" s="305">
        <v>0</v>
      </c>
      <c r="N1152" s="306">
        <v>0</v>
      </c>
      <c r="O1152" s="130">
        <f>N1152/7.5345</f>
        <v>0</v>
      </c>
      <c r="P1152" s="307">
        <v>300</v>
      </c>
      <c r="Q1152" s="384">
        <v>0</v>
      </c>
      <c r="R1152" s="312">
        <v>0</v>
      </c>
      <c r="S1152" s="311"/>
      <c r="T1152" s="311"/>
      <c r="U1152" s="311"/>
      <c r="V1152" s="532">
        <v>0</v>
      </c>
      <c r="W1152" s="532">
        <v>0</v>
      </c>
      <c r="X1152" s="584">
        <v>0</v>
      </c>
      <c r="Y1152" s="585">
        <v>500</v>
      </c>
      <c r="Z1152" s="585"/>
      <c r="AA1152" s="562" t="e">
        <f t="shared" ca="1" si="827"/>
        <v>#NAME?</v>
      </c>
      <c r="AB1152" s="586"/>
      <c r="AC1152" s="587">
        <v>300</v>
      </c>
      <c r="AD1152" s="587">
        <v>300</v>
      </c>
      <c r="AE1152" s="529"/>
      <c r="AF1152" s="529"/>
      <c r="AG1152" s="529"/>
      <c r="AH1152" s="529"/>
      <c r="AI1152" s="586"/>
      <c r="AJ1152" s="585">
        <v>500</v>
      </c>
      <c r="AK1152" s="507"/>
      <c r="AL1152" s="507"/>
      <c r="AM1152" s="507"/>
      <c r="AN1152" s="588"/>
      <c r="AO1152" s="510"/>
      <c r="AP1152" s="510" t="e">
        <f t="shared" ca="1" si="828"/>
        <v>#NAME?</v>
      </c>
      <c r="AQ1152" s="532"/>
      <c r="AR1152" s="533"/>
      <c r="AS1152" s="533"/>
      <c r="AT1152" s="533"/>
      <c r="AU1152" s="533"/>
      <c r="AV1152" s="533"/>
      <c r="AW1152" s="612">
        <f>AQ1152</f>
        <v>0</v>
      </c>
      <c r="AX1152" s="612"/>
      <c r="AY1152" s="612"/>
      <c r="AZ1152" s="612"/>
      <c r="BA1152" s="612"/>
      <c r="BB1152" s="612"/>
      <c r="BC1152" s="612"/>
      <c r="BD1152" s="612"/>
      <c r="BE1152" s="612"/>
      <c r="BF1152" s="612"/>
      <c r="BG1152" s="612"/>
      <c r="BH1152" s="612">
        <f t="shared" si="830"/>
        <v>0</v>
      </c>
      <c r="BI1152" s="612">
        <f t="shared" si="823"/>
        <v>0</v>
      </c>
      <c r="BJ1152" s="201"/>
    </row>
    <row r="1153" spans="1:62" ht="12" customHeight="1">
      <c r="A1153" s="52"/>
      <c r="B1153" s="52"/>
      <c r="C1153" s="52"/>
      <c r="D1153" s="52"/>
      <c r="E1153" s="52"/>
      <c r="F1153" s="52"/>
      <c r="G1153" s="52"/>
      <c r="H1153" s="17" t="s">
        <v>853</v>
      </c>
      <c r="I1153" s="365">
        <v>820</v>
      </c>
      <c r="J1153" s="299">
        <v>3214</v>
      </c>
      <c r="K1153" s="304" t="s">
        <v>339</v>
      </c>
      <c r="L1153" s="305">
        <v>0</v>
      </c>
      <c r="M1153" s="305">
        <v>0</v>
      </c>
      <c r="N1153" s="306">
        <v>0</v>
      </c>
      <c r="O1153" s="130">
        <f>N1153/7.5345</f>
        <v>0</v>
      </c>
      <c r="P1153" s="307">
        <v>200</v>
      </c>
      <c r="Q1153" s="307">
        <v>200</v>
      </c>
      <c r="R1153" s="312">
        <v>0</v>
      </c>
      <c r="S1153" s="311"/>
      <c r="T1153" s="311"/>
      <c r="U1153" s="311"/>
      <c r="V1153" s="532">
        <v>500</v>
      </c>
      <c r="W1153" s="532">
        <v>500</v>
      </c>
      <c r="X1153" s="584">
        <v>1000</v>
      </c>
      <c r="Y1153" s="585">
        <v>1200</v>
      </c>
      <c r="Z1153" s="585"/>
      <c r="AA1153" s="562" t="e">
        <f t="shared" ca="1" si="827"/>
        <v>#NAME?</v>
      </c>
      <c r="AB1153" s="586"/>
      <c r="AC1153" s="587">
        <v>200</v>
      </c>
      <c r="AD1153" s="587">
        <v>200</v>
      </c>
      <c r="AE1153" s="529"/>
      <c r="AF1153" s="529"/>
      <c r="AG1153" s="529"/>
      <c r="AH1153" s="529"/>
      <c r="AI1153" s="586"/>
      <c r="AJ1153" s="585">
        <v>1200</v>
      </c>
      <c r="AK1153" s="507"/>
      <c r="AL1153" s="507">
        <f t="shared" si="822"/>
        <v>200</v>
      </c>
      <c r="AM1153" s="507">
        <f t="shared" si="822"/>
        <v>120</v>
      </c>
      <c r="AN1153" s="588"/>
      <c r="AO1153" s="510"/>
      <c r="AP1153" s="510" t="e">
        <f t="shared" ca="1" si="828"/>
        <v>#NAME?</v>
      </c>
      <c r="AQ1153" s="532"/>
      <c r="AR1153" s="533"/>
      <c r="AS1153" s="533">
        <f t="shared" si="834"/>
        <v>100</v>
      </c>
      <c r="AT1153" s="533"/>
      <c r="AU1153" s="533">
        <f>AQ1153/W1153*100</f>
        <v>0</v>
      </c>
      <c r="AV1153" s="533"/>
      <c r="AW1153" s="612">
        <f>AQ1153</f>
        <v>0</v>
      </c>
      <c r="AX1153" s="612"/>
      <c r="AY1153" s="612"/>
      <c r="AZ1153" s="612"/>
      <c r="BA1153" s="612"/>
      <c r="BB1153" s="612"/>
      <c r="BC1153" s="612"/>
      <c r="BD1153" s="612"/>
      <c r="BE1153" s="612"/>
      <c r="BF1153" s="612"/>
      <c r="BG1153" s="612"/>
      <c r="BH1153" s="612">
        <f t="shared" si="830"/>
        <v>0</v>
      </c>
      <c r="BI1153" s="612">
        <f t="shared" si="823"/>
        <v>0</v>
      </c>
      <c r="BJ1153" s="201"/>
    </row>
    <row r="1154" spans="1:62" ht="12" customHeight="1">
      <c r="A1154" s="68"/>
      <c r="B1154" s="68"/>
      <c r="C1154" s="68"/>
      <c r="D1154" s="68"/>
      <c r="E1154" s="68"/>
      <c r="F1154" s="68"/>
      <c r="G1154" s="68"/>
      <c r="H1154" s="444"/>
      <c r="I1154" s="448"/>
      <c r="J1154" s="449"/>
      <c r="K1154" s="449"/>
      <c r="L1154" s="450"/>
      <c r="M1154" s="450"/>
      <c r="N1154" s="451"/>
      <c r="O1154" s="451"/>
      <c r="P1154" s="452"/>
      <c r="Q1154" s="452"/>
      <c r="R1154" s="453"/>
      <c r="S1154" s="454"/>
      <c r="T1154" s="454"/>
      <c r="U1154" s="454"/>
      <c r="V1154" s="532"/>
      <c r="W1154" s="532"/>
      <c r="X1154" s="601"/>
      <c r="Y1154" s="602"/>
      <c r="Z1154" s="602"/>
      <c r="AA1154" s="562" t="e">
        <f t="shared" ca="1" si="827"/>
        <v>#NAME?</v>
      </c>
      <c r="AB1154" s="565"/>
      <c r="AC1154" s="566"/>
      <c r="AD1154" s="566"/>
      <c r="AE1154" s="529"/>
      <c r="AF1154" s="529"/>
      <c r="AG1154" s="529"/>
      <c r="AH1154" s="529"/>
      <c r="AI1154" s="565"/>
      <c r="AJ1154" s="602"/>
      <c r="AK1154" s="507"/>
      <c r="AL1154" s="507"/>
      <c r="AM1154" s="507"/>
      <c r="AN1154" s="567"/>
      <c r="AO1154" s="510"/>
      <c r="AP1154" s="510" t="e">
        <f t="shared" ca="1" si="828"/>
        <v>#NAME?</v>
      </c>
      <c r="AQ1154" s="532"/>
      <c r="AR1154" s="533"/>
      <c r="AS1154" s="533"/>
      <c r="AT1154" s="533"/>
      <c r="AU1154" s="533"/>
      <c r="AV1154" s="533"/>
      <c r="AW1154" s="612"/>
      <c r="AX1154" s="612"/>
      <c r="AY1154" s="612"/>
      <c r="AZ1154" s="612"/>
      <c r="BA1154" s="612"/>
      <c r="BB1154" s="612"/>
      <c r="BC1154" s="612"/>
      <c r="BD1154" s="612"/>
      <c r="BE1154" s="612"/>
      <c r="BF1154" s="612"/>
      <c r="BG1154" s="612"/>
      <c r="BH1154" s="612">
        <f t="shared" si="830"/>
        <v>0</v>
      </c>
      <c r="BI1154" s="612">
        <f t="shared" si="823"/>
        <v>1174</v>
      </c>
      <c r="BJ1154" s="201">
        <f>AQ1161-BI1154</f>
        <v>0</v>
      </c>
    </row>
    <row r="1155" spans="1:62" ht="12" customHeight="1">
      <c r="A1155" s="61"/>
      <c r="B1155" s="61"/>
      <c r="C1155" s="61"/>
      <c r="D1155" s="61"/>
      <c r="E1155" s="61"/>
      <c r="F1155" s="61"/>
      <c r="G1155" s="61"/>
      <c r="H1155" s="280"/>
      <c r="I1155" s="422"/>
      <c r="J1155" s="291">
        <v>322</v>
      </c>
      <c r="K1155" s="292" t="s">
        <v>570</v>
      </c>
      <c r="L1155" s="250">
        <f t="shared" ref="L1155:S1155" si="846">L1156+L1157+L1158</f>
        <v>3618</v>
      </c>
      <c r="M1155" s="250">
        <f t="shared" si="846"/>
        <v>480.19112084411699</v>
      </c>
      <c r="N1155" s="251">
        <f t="shared" si="846"/>
        <v>6244</v>
      </c>
      <c r="O1155" s="251">
        <f t="shared" si="846"/>
        <v>828.721215740925</v>
      </c>
      <c r="P1155" s="252">
        <f t="shared" si="846"/>
        <v>2100</v>
      </c>
      <c r="Q1155" s="252">
        <f t="shared" si="846"/>
        <v>2800</v>
      </c>
      <c r="R1155" s="272">
        <f t="shared" si="846"/>
        <v>2455</v>
      </c>
      <c r="S1155" s="273">
        <f t="shared" si="846"/>
        <v>0</v>
      </c>
      <c r="T1155" s="273"/>
      <c r="U1155" s="273"/>
      <c r="V1155" s="532">
        <f>V1156+V1157+V1158</f>
        <v>3900</v>
      </c>
      <c r="W1155" s="532">
        <f>W1156+W1157+W1158</f>
        <v>3900</v>
      </c>
      <c r="X1155" s="564">
        <f>X1156+X1157+X1158</f>
        <v>5400</v>
      </c>
      <c r="Y1155" s="565">
        <f>Y1156+Y1157+Y1158</f>
        <v>5700</v>
      </c>
      <c r="Z1155" s="565">
        <f>Z1156+Z1157+Z1158</f>
        <v>0</v>
      </c>
      <c r="AA1155" s="562" t="e">
        <f t="shared" ca="1" si="827"/>
        <v>#NAME?</v>
      </c>
      <c r="AB1155" s="565"/>
      <c r="AC1155" s="566">
        <f>AC1156+AC1157+AC1158</f>
        <v>2300</v>
      </c>
      <c r="AD1155" s="566">
        <f>AD1156+AD1157+AD1158</f>
        <v>2300</v>
      </c>
      <c r="AE1155" s="529">
        <f>O1155/M1155*100</f>
        <v>172.58153676064126</v>
      </c>
      <c r="AF1155" s="529">
        <f t="shared" ref="AF1155:AG1157" si="847">P1155/O1155*100</f>
        <v>253.40246636771303</v>
      </c>
      <c r="AG1155" s="529">
        <f t="shared" si="847"/>
        <v>133.33333333333331</v>
      </c>
      <c r="AH1155" s="529">
        <f>AC1155/Q1155*100</f>
        <v>82.142857142857139</v>
      </c>
      <c r="AI1155" s="565"/>
      <c r="AJ1155" s="565">
        <v>5700</v>
      </c>
      <c r="AK1155" s="507">
        <f t="shared" si="821"/>
        <v>158.85947046843177</v>
      </c>
      <c r="AL1155" s="507">
        <f t="shared" si="822"/>
        <v>138.46153846153845</v>
      </c>
      <c r="AM1155" s="507">
        <f t="shared" si="822"/>
        <v>105.55555555555556</v>
      </c>
      <c r="AN1155" s="567"/>
      <c r="AO1155" s="510"/>
      <c r="AP1155" s="510" t="e">
        <f t="shared" ca="1" si="828"/>
        <v>#NAME?</v>
      </c>
      <c r="AQ1155" s="532">
        <f>AQ1156+AQ1157+AQ1158</f>
        <v>2488</v>
      </c>
      <c r="AR1155" s="533">
        <f t="shared" si="833"/>
        <v>158.85947046843177</v>
      </c>
      <c r="AS1155" s="533">
        <f t="shared" si="834"/>
        <v>100</v>
      </c>
      <c r="AT1155" s="533">
        <f t="shared" si="835"/>
        <v>158.85947046843177</v>
      </c>
      <c r="AU1155" s="533">
        <f>AQ1155/W1155*100</f>
        <v>63.794871794871796</v>
      </c>
      <c r="AV1155" s="533">
        <f>AQ1155/R1155*100</f>
        <v>101.34419551934828</v>
      </c>
      <c r="AW1155" s="612"/>
      <c r="AX1155" s="612"/>
      <c r="AY1155" s="612"/>
      <c r="AZ1155" s="612"/>
      <c r="BA1155" s="612"/>
      <c r="BB1155" s="612"/>
      <c r="BC1155" s="612"/>
      <c r="BD1155" s="612"/>
      <c r="BE1155" s="612"/>
      <c r="BF1155" s="612"/>
      <c r="BG1155" s="612"/>
      <c r="BH1155" s="612">
        <f t="shared" si="830"/>
        <v>0</v>
      </c>
      <c r="BI1155" s="612">
        <f t="shared" si="823"/>
        <v>1428</v>
      </c>
      <c r="BJ1155" s="201">
        <f>AQ1162-BI1155</f>
        <v>0</v>
      </c>
    </row>
    <row r="1156" spans="1:62" ht="12" customHeight="1">
      <c r="A1156" s="52"/>
      <c r="B1156" s="52"/>
      <c r="C1156" s="52"/>
      <c r="D1156" s="52"/>
      <c r="E1156" s="52"/>
      <c r="F1156" s="52"/>
      <c r="G1156" s="52"/>
      <c r="H1156" s="2">
        <v>217</v>
      </c>
      <c r="I1156" s="289">
        <v>820</v>
      </c>
      <c r="J1156" s="185">
        <v>3221</v>
      </c>
      <c r="K1156" s="19" t="s">
        <v>820</v>
      </c>
      <c r="L1156" s="129">
        <v>2826</v>
      </c>
      <c r="M1156" s="129">
        <f>2826/7.5345</f>
        <v>375.07465657973319</v>
      </c>
      <c r="N1156" s="130">
        <v>1039</v>
      </c>
      <c r="O1156" s="130">
        <f>N1156/7.5345</f>
        <v>137.89899794279646</v>
      </c>
      <c r="P1156" s="131">
        <v>700</v>
      </c>
      <c r="Q1156" s="131">
        <v>700</v>
      </c>
      <c r="R1156" s="153">
        <v>850</v>
      </c>
      <c r="S1156" s="158"/>
      <c r="T1156" s="158"/>
      <c r="U1156" s="158"/>
      <c r="V1156" s="532">
        <v>1300</v>
      </c>
      <c r="W1156" s="532">
        <v>1300</v>
      </c>
      <c r="X1156" s="560">
        <v>1300</v>
      </c>
      <c r="Y1156" s="561">
        <v>1500</v>
      </c>
      <c r="Z1156" s="561"/>
      <c r="AA1156" s="562" t="e">
        <f t="shared" ca="1" si="827"/>
        <v>#NAME?</v>
      </c>
      <c r="AB1156" s="535"/>
      <c r="AC1156" s="529">
        <v>800</v>
      </c>
      <c r="AD1156" s="529">
        <v>800</v>
      </c>
      <c r="AE1156" s="529">
        <f>O1156/M1156*100</f>
        <v>36.765746638358102</v>
      </c>
      <c r="AF1156" s="529">
        <f t="shared" si="847"/>
        <v>507.61790182868145</v>
      </c>
      <c r="AG1156" s="529">
        <f t="shared" si="847"/>
        <v>100</v>
      </c>
      <c r="AH1156" s="529">
        <f>AC1156/Q1156*100</f>
        <v>114.28571428571428</v>
      </c>
      <c r="AI1156" s="535"/>
      <c r="AJ1156" s="561">
        <v>1500</v>
      </c>
      <c r="AK1156" s="507">
        <f t="shared" si="821"/>
        <v>152.94117647058823</v>
      </c>
      <c r="AL1156" s="507">
        <f t="shared" si="822"/>
        <v>100</v>
      </c>
      <c r="AM1156" s="507">
        <f t="shared" si="822"/>
        <v>115.38461538461537</v>
      </c>
      <c r="AN1156" s="556"/>
      <c r="AO1156" s="510"/>
      <c r="AP1156" s="510" t="e">
        <f t="shared" ca="1" si="828"/>
        <v>#NAME?</v>
      </c>
      <c r="AQ1156" s="532">
        <v>1467</v>
      </c>
      <c r="AR1156" s="533">
        <f t="shared" si="833"/>
        <v>152.94117647058823</v>
      </c>
      <c r="AS1156" s="533">
        <f t="shared" si="834"/>
        <v>100</v>
      </c>
      <c r="AT1156" s="533">
        <f t="shared" si="835"/>
        <v>152.94117647058823</v>
      </c>
      <c r="AU1156" s="533">
        <f>AQ1156/W1156*100</f>
        <v>112.84615384615384</v>
      </c>
      <c r="AV1156" s="533">
        <f>AQ1156/R1156*100</f>
        <v>172.58823529411765</v>
      </c>
      <c r="AW1156" s="612">
        <f>AQ1156</f>
        <v>1467</v>
      </c>
      <c r="AX1156" s="612"/>
      <c r="AY1156" s="612"/>
      <c r="AZ1156" s="612"/>
      <c r="BA1156" s="612"/>
      <c r="BB1156" s="612"/>
      <c r="BC1156" s="612"/>
      <c r="BD1156" s="612"/>
      <c r="BE1156" s="612"/>
      <c r="BF1156" s="612"/>
      <c r="BG1156" s="612"/>
      <c r="BH1156" s="612">
        <f t="shared" si="830"/>
        <v>1467</v>
      </c>
      <c r="BI1156" s="612">
        <f t="shared" si="823"/>
        <v>112</v>
      </c>
      <c r="BJ1156" s="201"/>
    </row>
    <row r="1157" spans="1:62" ht="12" customHeight="1">
      <c r="A1157" s="52"/>
      <c r="B1157" s="52"/>
      <c r="C1157" s="52"/>
      <c r="D1157" s="52"/>
      <c r="E1157" s="52"/>
      <c r="F1157" s="52"/>
      <c r="G1157" s="52"/>
      <c r="H1157" s="2">
        <v>219</v>
      </c>
      <c r="I1157" s="289">
        <v>820</v>
      </c>
      <c r="J1157" s="185">
        <v>3224</v>
      </c>
      <c r="K1157" s="19" t="s">
        <v>854</v>
      </c>
      <c r="L1157" s="129">
        <v>792</v>
      </c>
      <c r="M1157" s="129">
        <f>792/7.5345</f>
        <v>105.11646426438382</v>
      </c>
      <c r="N1157" s="130">
        <v>2823</v>
      </c>
      <c r="O1157" s="130">
        <f>N1157/7.5345</f>
        <v>374.67648815448933</v>
      </c>
      <c r="P1157" s="131">
        <v>700</v>
      </c>
      <c r="Q1157" s="156">
        <v>1000</v>
      </c>
      <c r="R1157" s="153">
        <v>1580</v>
      </c>
      <c r="S1157" s="158"/>
      <c r="T1157" s="158"/>
      <c r="U1157" s="158"/>
      <c r="V1157" s="532">
        <v>1600</v>
      </c>
      <c r="W1157" s="532">
        <v>1600</v>
      </c>
      <c r="X1157" s="560">
        <v>1600</v>
      </c>
      <c r="Y1157" s="561">
        <v>1700</v>
      </c>
      <c r="Z1157" s="561"/>
      <c r="AA1157" s="562" t="e">
        <f t="shared" ca="1" si="827"/>
        <v>#NAME?</v>
      </c>
      <c r="AB1157" s="535"/>
      <c r="AC1157" s="529">
        <v>700</v>
      </c>
      <c r="AD1157" s="529">
        <v>700</v>
      </c>
      <c r="AE1157" s="529">
        <f>O1157/M1157*100</f>
        <v>356.43939393939399</v>
      </c>
      <c r="AF1157" s="529">
        <f t="shared" si="847"/>
        <v>186.82784272051009</v>
      </c>
      <c r="AG1157" s="529">
        <f t="shared" si="847"/>
        <v>142.85714285714286</v>
      </c>
      <c r="AH1157" s="529">
        <f>AC1157/Q1157*100</f>
        <v>70</v>
      </c>
      <c r="AI1157" s="535"/>
      <c r="AJ1157" s="561">
        <v>1700</v>
      </c>
      <c r="AK1157" s="507">
        <f t="shared" si="821"/>
        <v>101.26582278481013</v>
      </c>
      <c r="AL1157" s="507">
        <f t="shared" si="822"/>
        <v>100</v>
      </c>
      <c r="AM1157" s="507">
        <f t="shared" si="822"/>
        <v>106.25</v>
      </c>
      <c r="AN1157" s="556"/>
      <c r="AO1157" s="510"/>
      <c r="AP1157" s="510" t="e">
        <f t="shared" ca="1" si="828"/>
        <v>#NAME?</v>
      </c>
      <c r="AQ1157" s="532">
        <v>999</v>
      </c>
      <c r="AR1157" s="533">
        <f t="shared" si="833"/>
        <v>101.26582278481013</v>
      </c>
      <c r="AS1157" s="533">
        <f t="shared" si="834"/>
        <v>100</v>
      </c>
      <c r="AT1157" s="533">
        <f t="shared" si="835"/>
        <v>101.26582278481013</v>
      </c>
      <c r="AU1157" s="533">
        <f>AQ1157/W1157*100</f>
        <v>62.4375</v>
      </c>
      <c r="AV1157" s="533">
        <f>AQ1157/R1157*100</f>
        <v>63.227848101265828</v>
      </c>
      <c r="AW1157" s="612">
        <f>AQ1157</f>
        <v>999</v>
      </c>
      <c r="AX1157" s="612"/>
      <c r="AY1157" s="612"/>
      <c r="AZ1157" s="612"/>
      <c r="BA1157" s="612"/>
      <c r="BB1157" s="612"/>
      <c r="BC1157" s="612"/>
      <c r="BD1157" s="612"/>
      <c r="BE1157" s="612"/>
      <c r="BF1157" s="612"/>
      <c r="BG1157" s="612"/>
      <c r="BH1157" s="612">
        <f t="shared" si="830"/>
        <v>999</v>
      </c>
      <c r="BI1157" s="612">
        <f t="shared" si="823"/>
        <v>37893</v>
      </c>
      <c r="BJ1157" s="201">
        <f>AQ1164-BI1157</f>
        <v>0</v>
      </c>
    </row>
    <row r="1158" spans="1:62" ht="12" customHeight="1">
      <c r="A1158" s="68"/>
      <c r="B1158" s="68"/>
      <c r="C1158" s="68"/>
      <c r="D1158" s="68"/>
      <c r="E1158" s="68"/>
      <c r="F1158" s="68"/>
      <c r="G1158" s="68"/>
      <c r="H1158" s="2" t="s">
        <v>855</v>
      </c>
      <c r="I1158" s="289">
        <v>820</v>
      </c>
      <c r="J1158" s="185">
        <v>3225</v>
      </c>
      <c r="K1158" s="19" t="s">
        <v>343</v>
      </c>
      <c r="L1158" s="136">
        <v>0</v>
      </c>
      <c r="M1158" s="136">
        <v>0</v>
      </c>
      <c r="N1158" s="137">
        <v>2382</v>
      </c>
      <c r="O1158" s="130">
        <f>N1158/7.5345</f>
        <v>316.14572964363924</v>
      </c>
      <c r="P1158" s="138">
        <v>700</v>
      </c>
      <c r="Q1158" s="309">
        <v>1100</v>
      </c>
      <c r="R1158" s="136">
        <v>25</v>
      </c>
      <c r="S1158" s="138"/>
      <c r="T1158" s="138"/>
      <c r="U1158" s="138"/>
      <c r="V1158" s="532">
        <v>1000</v>
      </c>
      <c r="W1158" s="532">
        <v>1000</v>
      </c>
      <c r="X1158" s="574">
        <v>2500</v>
      </c>
      <c r="Y1158" s="575">
        <v>2500</v>
      </c>
      <c r="Z1158" s="575"/>
      <c r="AA1158" s="562" t="e">
        <f t="shared" ca="1" si="827"/>
        <v>#NAME?</v>
      </c>
      <c r="AB1158" s="540"/>
      <c r="AC1158" s="541">
        <v>800</v>
      </c>
      <c r="AD1158" s="541">
        <v>800</v>
      </c>
      <c r="AE1158" s="529"/>
      <c r="AF1158" s="529"/>
      <c r="AG1158" s="529"/>
      <c r="AH1158" s="529"/>
      <c r="AI1158" s="540"/>
      <c r="AJ1158" s="575">
        <v>2500</v>
      </c>
      <c r="AK1158" s="507">
        <f t="shared" si="821"/>
        <v>4000</v>
      </c>
      <c r="AL1158" s="507">
        <f t="shared" si="822"/>
        <v>250</v>
      </c>
      <c r="AM1158" s="507">
        <f t="shared" si="822"/>
        <v>100</v>
      </c>
      <c r="AN1158" s="558"/>
      <c r="AO1158" s="510"/>
      <c r="AP1158" s="510" t="e">
        <f t="shared" ca="1" si="828"/>
        <v>#NAME?</v>
      </c>
      <c r="AQ1158" s="532">
        <v>22</v>
      </c>
      <c r="AR1158" s="533">
        <f t="shared" si="833"/>
        <v>4000</v>
      </c>
      <c r="AS1158" s="533">
        <f t="shared" si="834"/>
        <v>100</v>
      </c>
      <c r="AT1158" s="533">
        <f t="shared" si="835"/>
        <v>4000</v>
      </c>
      <c r="AU1158" s="533">
        <f>AQ1158/W1158*100</f>
        <v>2.1999999999999997</v>
      </c>
      <c r="AV1158" s="533">
        <f>AQ1158/R1158*100</f>
        <v>88</v>
      </c>
      <c r="AW1158" s="612">
        <f>AQ1158</f>
        <v>22</v>
      </c>
      <c r="AX1158" s="612"/>
      <c r="AY1158" s="612"/>
      <c r="AZ1158" s="612"/>
      <c r="BA1158" s="612"/>
      <c r="BB1158" s="612"/>
      <c r="BC1158" s="612"/>
      <c r="BD1158" s="612"/>
      <c r="BE1158" s="612"/>
      <c r="BF1158" s="612"/>
      <c r="BG1158" s="612"/>
      <c r="BH1158" s="612">
        <f t="shared" si="830"/>
        <v>22</v>
      </c>
      <c r="BI1158" s="612">
        <f t="shared" si="823"/>
        <v>1573</v>
      </c>
      <c r="BJ1158" s="201">
        <f>AQ1165-BI1158</f>
        <v>0</v>
      </c>
    </row>
    <row r="1159" spans="1:62" ht="12" customHeight="1">
      <c r="A1159" s="68"/>
      <c r="B1159" s="68"/>
      <c r="C1159" s="68"/>
      <c r="D1159" s="68"/>
      <c r="E1159" s="68"/>
      <c r="F1159" s="68"/>
      <c r="G1159" s="68"/>
      <c r="H1159" s="2"/>
      <c r="I1159" s="289"/>
      <c r="J1159" s="185"/>
      <c r="K1159" s="19"/>
      <c r="L1159" s="136"/>
      <c r="M1159" s="136"/>
      <c r="N1159" s="137"/>
      <c r="O1159" s="137"/>
      <c r="P1159" s="138"/>
      <c r="Q1159" s="138"/>
      <c r="R1159" s="136"/>
      <c r="S1159" s="138"/>
      <c r="T1159" s="138"/>
      <c r="U1159" s="138"/>
      <c r="V1159" s="532"/>
      <c r="W1159" s="532"/>
      <c r="X1159" s="574"/>
      <c r="Y1159" s="575"/>
      <c r="Z1159" s="575"/>
      <c r="AA1159" s="562" t="e">
        <f t="shared" ca="1" si="827"/>
        <v>#NAME?</v>
      </c>
      <c r="AB1159" s="540"/>
      <c r="AC1159" s="541"/>
      <c r="AD1159" s="541"/>
      <c r="AE1159" s="529"/>
      <c r="AF1159" s="529"/>
      <c r="AG1159" s="529"/>
      <c r="AH1159" s="529"/>
      <c r="AI1159" s="540"/>
      <c r="AJ1159" s="575"/>
      <c r="AK1159" s="507"/>
      <c r="AL1159" s="507"/>
      <c r="AM1159" s="507"/>
      <c r="AN1159" s="558"/>
      <c r="AO1159" s="510"/>
      <c r="AP1159" s="510" t="e">
        <f t="shared" ca="1" si="828"/>
        <v>#NAME?</v>
      </c>
      <c r="AQ1159" s="532"/>
      <c r="AR1159" s="533"/>
      <c r="AS1159" s="533"/>
      <c r="AT1159" s="533"/>
      <c r="AU1159" s="533"/>
      <c r="AV1159" s="533"/>
      <c r="AW1159" s="612"/>
      <c r="AX1159" s="612"/>
      <c r="AY1159" s="612"/>
      <c r="AZ1159" s="612"/>
      <c r="BA1159" s="612"/>
      <c r="BB1159" s="612"/>
      <c r="BC1159" s="612"/>
      <c r="BD1159" s="612"/>
      <c r="BE1159" s="612"/>
      <c r="BF1159" s="612"/>
      <c r="BG1159" s="612"/>
      <c r="BH1159" s="612">
        <f t="shared" si="830"/>
        <v>0</v>
      </c>
      <c r="BI1159" s="612">
        <f t="shared" si="823"/>
        <v>23800</v>
      </c>
      <c r="BJ1159" s="201">
        <f>AQ1166-BI1159</f>
        <v>0</v>
      </c>
    </row>
    <row r="1160" spans="1:62" ht="12" customHeight="1">
      <c r="A1160" s="61"/>
      <c r="B1160" s="61"/>
      <c r="C1160" s="61"/>
      <c r="D1160" s="61"/>
      <c r="E1160" s="61"/>
      <c r="F1160" s="61"/>
      <c r="G1160" s="61"/>
      <c r="H1160" s="230"/>
      <c r="I1160" s="348"/>
      <c r="J1160" s="229">
        <v>323</v>
      </c>
      <c r="K1160" s="20" t="s">
        <v>346</v>
      </c>
      <c r="L1160" s="111">
        <f t="shared" ref="L1160:S1160" si="848">L1161+L1162+L1163+L1164+L1165+L1166</f>
        <v>120891</v>
      </c>
      <c r="M1160" s="111">
        <f t="shared" si="848"/>
        <v>16044.993032052558</v>
      </c>
      <c r="N1160" s="112">
        <f t="shared" si="848"/>
        <v>73587</v>
      </c>
      <c r="O1160" s="112">
        <f t="shared" si="848"/>
        <v>9766.6733028070885</v>
      </c>
      <c r="P1160" s="113">
        <f t="shared" si="848"/>
        <v>16400</v>
      </c>
      <c r="Q1160" s="113">
        <f t="shared" si="848"/>
        <v>18900</v>
      </c>
      <c r="R1160" s="87">
        <f t="shared" si="848"/>
        <v>17566</v>
      </c>
      <c r="S1160" s="89">
        <f t="shared" si="848"/>
        <v>0</v>
      </c>
      <c r="T1160" s="89"/>
      <c r="U1160" s="89"/>
      <c r="V1160" s="532">
        <f>V1161+V1162+V1163+V1164+V1165+V1166</f>
        <v>81600</v>
      </c>
      <c r="W1160" s="532">
        <f>W1161+W1162+W1163+W1164+W1165+W1166</f>
        <v>81600</v>
      </c>
      <c r="X1160" s="506">
        <f>X1161+X1162+X1163+X1164+X1165+X1166</f>
        <v>90300</v>
      </c>
      <c r="Y1160" s="507">
        <f>Y1161+Y1162+Y1163+Y1164+Y1165+Y1166</f>
        <v>90400</v>
      </c>
      <c r="Z1160" s="507">
        <f>Z1161+Z1162+Z1163+Z1164+Z1165+Z1166</f>
        <v>0</v>
      </c>
      <c r="AA1160" s="562" t="e">
        <f t="shared" ca="1" si="827"/>
        <v>#NAME?</v>
      </c>
      <c r="AB1160" s="507"/>
      <c r="AC1160" s="508">
        <f>AC1161+AC1162+AC1163+AC1164+AC1165+AC1166</f>
        <v>16800</v>
      </c>
      <c r="AD1160" s="508">
        <f>AD1161+AD1162+AD1163+AD1164+AD1165+AD1166</f>
        <v>16800</v>
      </c>
      <c r="AE1160" s="529">
        <f>O1160/M1160*100</f>
        <v>60.870536268208561</v>
      </c>
      <c r="AF1160" s="529">
        <f>P1160/O1160*100</f>
        <v>167.91797464226016</v>
      </c>
      <c r="AG1160" s="529">
        <f>Q1160/P1160*100</f>
        <v>115.24390243902438</v>
      </c>
      <c r="AH1160" s="529">
        <f>AC1160/Q1160*100</f>
        <v>88.888888888888886</v>
      </c>
      <c r="AI1160" s="507"/>
      <c r="AJ1160" s="507">
        <v>90400</v>
      </c>
      <c r="AK1160" s="507">
        <f t="shared" si="821"/>
        <v>464.53375839690307</v>
      </c>
      <c r="AL1160" s="507">
        <f t="shared" si="822"/>
        <v>110.66176470588236</v>
      </c>
      <c r="AM1160" s="507">
        <f t="shared" si="822"/>
        <v>100.11074197120709</v>
      </c>
      <c r="AN1160" s="509"/>
      <c r="AO1160" s="510"/>
      <c r="AP1160" s="510" t="e">
        <f t="shared" ca="1" si="828"/>
        <v>#NAME?</v>
      </c>
      <c r="AQ1160" s="532">
        <f>AQ1161+AQ1162+AQ1163+AQ1164+AQ1165+AQ1166</f>
        <v>65980</v>
      </c>
      <c r="AR1160" s="533">
        <f t="shared" si="833"/>
        <v>464.53375839690307</v>
      </c>
      <c r="AS1160" s="533">
        <f t="shared" si="834"/>
        <v>100</v>
      </c>
      <c r="AT1160" s="533">
        <f t="shared" si="835"/>
        <v>464.53375839690307</v>
      </c>
      <c r="AU1160" s="533">
        <f t="shared" ref="AU1160:AU1166" si="849">AQ1160/W1160*100</f>
        <v>80.857843137254903</v>
      </c>
      <c r="AV1160" s="533">
        <f t="shared" ref="AV1160:AV1166" si="850">AQ1160/R1160*100</f>
        <v>375.61197768416258</v>
      </c>
      <c r="AW1160" s="612"/>
      <c r="AX1160" s="612"/>
      <c r="AY1160" s="612"/>
      <c r="AZ1160" s="612"/>
      <c r="BA1160" s="612"/>
      <c r="BB1160" s="612"/>
      <c r="BC1160" s="612"/>
      <c r="BD1160" s="612"/>
      <c r="BE1160" s="612"/>
      <c r="BF1160" s="612"/>
      <c r="BG1160" s="612"/>
      <c r="BH1160" s="612">
        <f t="shared" si="830"/>
        <v>0</v>
      </c>
      <c r="BI1160" s="612">
        <f t="shared" si="823"/>
        <v>0</v>
      </c>
      <c r="BJ1160" s="201"/>
    </row>
    <row r="1161" spans="1:62" ht="12" customHeight="1">
      <c r="A1161" s="52"/>
      <c r="B1161" s="52"/>
      <c r="C1161" s="52"/>
      <c r="D1161" s="52"/>
      <c r="E1161" s="52"/>
      <c r="F1161" s="52"/>
      <c r="G1161" s="52"/>
      <c r="H1161" s="2">
        <v>221</v>
      </c>
      <c r="I1161" s="289">
        <v>820</v>
      </c>
      <c r="J1161" s="185">
        <v>3231</v>
      </c>
      <c r="K1161" s="19" t="s">
        <v>824</v>
      </c>
      <c r="L1161" s="129">
        <v>6733</v>
      </c>
      <c r="M1161" s="129">
        <f>6733/7.5345</f>
        <v>893.62266905567719</v>
      </c>
      <c r="N1161" s="130">
        <v>7436</v>
      </c>
      <c r="O1161" s="130">
        <f t="shared" ref="O1161:O1166" si="851">N1161/7.5345</f>
        <v>986.92680337115928</v>
      </c>
      <c r="P1161" s="131">
        <v>1100</v>
      </c>
      <c r="Q1161" s="131">
        <v>1100</v>
      </c>
      <c r="R1161" s="153">
        <v>1067</v>
      </c>
      <c r="S1161" s="158"/>
      <c r="T1161" s="158"/>
      <c r="U1161" s="158"/>
      <c r="V1161" s="532">
        <v>1500</v>
      </c>
      <c r="W1161" s="532">
        <v>1500</v>
      </c>
      <c r="X1161" s="560">
        <v>1600</v>
      </c>
      <c r="Y1161" s="561">
        <v>1600</v>
      </c>
      <c r="Z1161" s="561"/>
      <c r="AA1161" s="562" t="e">
        <f t="shared" ca="1" si="827"/>
        <v>#NAME?</v>
      </c>
      <c r="AB1161" s="535"/>
      <c r="AC1161" s="529">
        <v>1200</v>
      </c>
      <c r="AD1161" s="529">
        <v>1200</v>
      </c>
      <c r="AE1161" s="529">
        <f>O1161/M1161*100</f>
        <v>110.44111094608644</v>
      </c>
      <c r="AF1161" s="529">
        <f>P1161/O1161*100</f>
        <v>111.45710059171599</v>
      </c>
      <c r="AG1161" s="529">
        <f>Q1161/P1161*100</f>
        <v>100</v>
      </c>
      <c r="AH1161" s="529">
        <f>AC1161/Q1161*100</f>
        <v>109.09090909090908</v>
      </c>
      <c r="AI1161" s="535"/>
      <c r="AJ1161" s="561">
        <v>1600</v>
      </c>
      <c r="AK1161" s="507">
        <f t="shared" si="821"/>
        <v>140.58106841611996</v>
      </c>
      <c r="AL1161" s="507">
        <f t="shared" si="822"/>
        <v>106.66666666666667</v>
      </c>
      <c r="AM1161" s="507">
        <f t="shared" si="822"/>
        <v>100</v>
      </c>
      <c r="AN1161" s="556"/>
      <c r="AO1161" s="510"/>
      <c r="AP1161" s="510" t="e">
        <f t="shared" ca="1" si="828"/>
        <v>#NAME?</v>
      </c>
      <c r="AQ1161" s="532">
        <v>1174</v>
      </c>
      <c r="AR1161" s="533">
        <f t="shared" si="833"/>
        <v>140.58106841611996</v>
      </c>
      <c r="AS1161" s="533">
        <f t="shared" si="834"/>
        <v>100</v>
      </c>
      <c r="AT1161" s="533">
        <f t="shared" si="835"/>
        <v>140.58106841611996</v>
      </c>
      <c r="AU1161" s="533">
        <f t="shared" si="849"/>
        <v>78.266666666666666</v>
      </c>
      <c r="AV1161" s="533">
        <f t="shared" si="850"/>
        <v>110.02811621368322</v>
      </c>
      <c r="AW1161" s="612">
        <f t="shared" ref="AW1161:AW1166" si="852">AQ1161</f>
        <v>1174</v>
      </c>
      <c r="AX1161" s="612"/>
      <c r="AY1161" s="612"/>
      <c r="AZ1161" s="612"/>
      <c r="BA1161" s="612"/>
      <c r="BB1161" s="612"/>
      <c r="BC1161" s="612"/>
      <c r="BD1161" s="612"/>
      <c r="BE1161" s="612"/>
      <c r="BF1161" s="612"/>
      <c r="BG1161" s="612"/>
      <c r="BH1161" s="612">
        <f t="shared" si="830"/>
        <v>1174</v>
      </c>
      <c r="BI1161" s="612">
        <f t="shared" si="823"/>
        <v>0</v>
      </c>
      <c r="BJ1161" s="201"/>
    </row>
    <row r="1162" spans="1:62" ht="12" customHeight="1">
      <c r="A1162" s="52"/>
      <c r="B1162" s="52"/>
      <c r="C1162" s="52"/>
      <c r="D1162" s="52"/>
      <c r="E1162" s="52"/>
      <c r="F1162" s="52"/>
      <c r="G1162" s="52"/>
      <c r="H1162" s="2">
        <v>222</v>
      </c>
      <c r="I1162" s="289">
        <v>820</v>
      </c>
      <c r="J1162" s="185">
        <v>3232</v>
      </c>
      <c r="K1162" s="19" t="s">
        <v>825</v>
      </c>
      <c r="L1162" s="129">
        <v>0</v>
      </c>
      <c r="M1162" s="129">
        <v>0</v>
      </c>
      <c r="N1162" s="130">
        <v>0</v>
      </c>
      <c r="O1162" s="130">
        <f t="shared" si="851"/>
        <v>0</v>
      </c>
      <c r="P1162" s="131">
        <v>300</v>
      </c>
      <c r="Q1162" s="131">
        <v>300</v>
      </c>
      <c r="R1162" s="153">
        <v>751</v>
      </c>
      <c r="S1162" s="158"/>
      <c r="T1162" s="158"/>
      <c r="U1162" s="158"/>
      <c r="V1162" s="532">
        <v>300</v>
      </c>
      <c r="W1162" s="532">
        <v>300</v>
      </c>
      <c r="X1162" s="560">
        <v>400</v>
      </c>
      <c r="Y1162" s="561">
        <v>500</v>
      </c>
      <c r="Z1162" s="561"/>
      <c r="AA1162" s="562" t="e">
        <f t="shared" ca="1" si="827"/>
        <v>#NAME?</v>
      </c>
      <c r="AB1162" s="535"/>
      <c r="AC1162" s="529">
        <v>400</v>
      </c>
      <c r="AD1162" s="529">
        <v>400</v>
      </c>
      <c r="AE1162" s="529"/>
      <c r="AF1162" s="529"/>
      <c r="AG1162" s="529"/>
      <c r="AH1162" s="529"/>
      <c r="AI1162" s="535"/>
      <c r="AJ1162" s="561">
        <v>500</v>
      </c>
      <c r="AK1162" s="507">
        <f t="shared" si="821"/>
        <v>39.946737683089211</v>
      </c>
      <c r="AL1162" s="507">
        <f t="shared" si="822"/>
        <v>133.33333333333331</v>
      </c>
      <c r="AM1162" s="507">
        <f t="shared" si="822"/>
        <v>125</v>
      </c>
      <c r="AN1162" s="556"/>
      <c r="AO1162" s="510"/>
      <c r="AP1162" s="510" t="e">
        <f t="shared" ca="1" si="828"/>
        <v>#NAME?</v>
      </c>
      <c r="AQ1162" s="532">
        <v>1428</v>
      </c>
      <c r="AR1162" s="533">
        <f t="shared" si="833"/>
        <v>39.946737683089211</v>
      </c>
      <c r="AS1162" s="533">
        <f t="shared" si="834"/>
        <v>100</v>
      </c>
      <c r="AT1162" s="533">
        <f t="shared" si="835"/>
        <v>39.946737683089211</v>
      </c>
      <c r="AU1162" s="533">
        <f t="shared" si="849"/>
        <v>476</v>
      </c>
      <c r="AV1162" s="533">
        <f t="shared" si="850"/>
        <v>190.14647137150467</v>
      </c>
      <c r="AW1162" s="612">
        <f t="shared" si="852"/>
        <v>1428</v>
      </c>
      <c r="AX1162" s="612"/>
      <c r="AY1162" s="612"/>
      <c r="AZ1162" s="612"/>
      <c r="BA1162" s="612"/>
      <c r="BB1162" s="612"/>
      <c r="BC1162" s="612"/>
      <c r="BD1162" s="612"/>
      <c r="BE1162" s="612"/>
      <c r="BF1162" s="612"/>
      <c r="BG1162" s="612"/>
      <c r="BH1162" s="612">
        <f t="shared" si="830"/>
        <v>1428</v>
      </c>
      <c r="BI1162" s="612">
        <f t="shared" si="823"/>
        <v>1055</v>
      </c>
      <c r="BJ1162" s="201">
        <f>AQ1169-BI1162</f>
        <v>0</v>
      </c>
    </row>
    <row r="1163" spans="1:62" ht="12" customHeight="1">
      <c r="A1163" s="52"/>
      <c r="B1163" s="52"/>
      <c r="C1163" s="52"/>
      <c r="D1163" s="52"/>
      <c r="E1163" s="52"/>
      <c r="F1163" s="52"/>
      <c r="G1163" s="52"/>
      <c r="H1163" s="2"/>
      <c r="I1163" s="289">
        <v>820</v>
      </c>
      <c r="J1163" s="185">
        <v>3234</v>
      </c>
      <c r="K1163" s="19" t="s">
        <v>246</v>
      </c>
      <c r="L1163" s="129">
        <v>0</v>
      </c>
      <c r="M1163" s="129">
        <v>0</v>
      </c>
      <c r="N1163" s="130">
        <v>0</v>
      </c>
      <c r="O1163" s="130">
        <f t="shared" si="851"/>
        <v>0</v>
      </c>
      <c r="P1163" s="131">
        <v>200</v>
      </c>
      <c r="Q1163" s="131">
        <v>200</v>
      </c>
      <c r="R1163" s="153">
        <v>121</v>
      </c>
      <c r="S1163" s="158"/>
      <c r="T1163" s="158"/>
      <c r="U1163" s="158"/>
      <c r="V1163" s="532">
        <v>200</v>
      </c>
      <c r="W1163" s="532">
        <v>200</v>
      </c>
      <c r="X1163" s="560">
        <v>300</v>
      </c>
      <c r="Y1163" s="561">
        <v>300</v>
      </c>
      <c r="Z1163" s="561"/>
      <c r="AA1163" s="562" t="e">
        <f t="shared" ca="1" si="827"/>
        <v>#NAME?</v>
      </c>
      <c r="AB1163" s="535"/>
      <c r="AC1163" s="529">
        <v>300</v>
      </c>
      <c r="AD1163" s="529">
        <v>300</v>
      </c>
      <c r="AE1163" s="529"/>
      <c r="AF1163" s="529"/>
      <c r="AG1163" s="529"/>
      <c r="AH1163" s="529"/>
      <c r="AI1163" s="535"/>
      <c r="AJ1163" s="561">
        <v>300</v>
      </c>
      <c r="AK1163" s="507">
        <f t="shared" si="821"/>
        <v>165.28925619834712</v>
      </c>
      <c r="AL1163" s="507">
        <f t="shared" si="822"/>
        <v>150</v>
      </c>
      <c r="AM1163" s="507">
        <f t="shared" si="822"/>
        <v>100</v>
      </c>
      <c r="AN1163" s="556"/>
      <c r="AO1163" s="510"/>
      <c r="AP1163" s="510" t="e">
        <f t="shared" ca="1" si="828"/>
        <v>#NAME?</v>
      </c>
      <c r="AQ1163" s="532">
        <v>112</v>
      </c>
      <c r="AR1163" s="533">
        <f t="shared" si="833"/>
        <v>165.28925619834712</v>
      </c>
      <c r="AS1163" s="533">
        <f t="shared" si="834"/>
        <v>100</v>
      </c>
      <c r="AT1163" s="533">
        <f t="shared" si="835"/>
        <v>165.28925619834712</v>
      </c>
      <c r="AU1163" s="533">
        <f t="shared" si="849"/>
        <v>56.000000000000007</v>
      </c>
      <c r="AV1163" s="533">
        <f t="shared" si="850"/>
        <v>92.561983471074385</v>
      </c>
      <c r="AW1163" s="612">
        <f t="shared" si="852"/>
        <v>112</v>
      </c>
      <c r="AX1163" s="612"/>
      <c r="AY1163" s="612"/>
      <c r="AZ1163" s="612"/>
      <c r="BA1163" s="612"/>
      <c r="BB1163" s="612"/>
      <c r="BC1163" s="612"/>
      <c r="BD1163" s="612"/>
      <c r="BE1163" s="612"/>
      <c r="BF1163" s="612"/>
      <c r="BG1163" s="612"/>
      <c r="BH1163" s="612">
        <f t="shared" si="830"/>
        <v>112</v>
      </c>
      <c r="BI1163" s="612">
        <f t="shared" si="823"/>
        <v>411</v>
      </c>
      <c r="BJ1163" s="201">
        <f>AQ1170-BI1163</f>
        <v>0</v>
      </c>
    </row>
    <row r="1164" spans="1:62" ht="12" customHeight="1">
      <c r="A1164" s="52"/>
      <c r="B1164" s="52"/>
      <c r="C1164" s="52"/>
      <c r="D1164" s="52"/>
      <c r="E1164" s="52"/>
      <c r="F1164" s="52"/>
      <c r="G1164" s="52"/>
      <c r="H1164" s="2">
        <v>227</v>
      </c>
      <c r="I1164" s="289">
        <v>820</v>
      </c>
      <c r="J1164" s="185">
        <v>3237</v>
      </c>
      <c r="K1164" s="19" t="s">
        <v>249</v>
      </c>
      <c r="L1164" s="129">
        <v>84734</v>
      </c>
      <c r="M1164" s="129">
        <f>84734/7.5345</f>
        <v>11246.134448204923</v>
      </c>
      <c r="N1164" s="130">
        <v>44853</v>
      </c>
      <c r="O1164" s="130">
        <f t="shared" si="851"/>
        <v>5953.016125821222</v>
      </c>
      <c r="P1164" s="131">
        <v>10700</v>
      </c>
      <c r="Q1164" s="131">
        <v>10700</v>
      </c>
      <c r="R1164" s="153">
        <v>9141</v>
      </c>
      <c r="S1164" s="158"/>
      <c r="T1164" s="158"/>
      <c r="U1164" s="158"/>
      <c r="V1164" s="532">
        <v>50000</v>
      </c>
      <c r="W1164" s="532">
        <v>50000</v>
      </c>
      <c r="X1164" s="560">
        <v>50000</v>
      </c>
      <c r="Y1164" s="561">
        <v>50000</v>
      </c>
      <c r="Z1164" s="561"/>
      <c r="AA1164" s="562" t="e">
        <f t="shared" ca="1" si="827"/>
        <v>#NAME?</v>
      </c>
      <c r="AB1164" s="535"/>
      <c r="AC1164" s="529">
        <v>10500</v>
      </c>
      <c r="AD1164" s="529">
        <v>10500</v>
      </c>
      <c r="AE1164" s="529">
        <f>O1164/M1164*100</f>
        <v>52.933887223546627</v>
      </c>
      <c r="AF1164" s="529">
        <f t="shared" ref="AF1164:AG1166" si="853">P1164/O1164*100</f>
        <v>179.74082001203934</v>
      </c>
      <c r="AG1164" s="529">
        <f t="shared" si="853"/>
        <v>100</v>
      </c>
      <c r="AH1164" s="529">
        <f>AC1164/Q1164*100</f>
        <v>98.130841121495322</v>
      </c>
      <c r="AI1164" s="535"/>
      <c r="AJ1164" s="561">
        <v>50000</v>
      </c>
      <c r="AK1164" s="507">
        <f t="shared" si="821"/>
        <v>546.9861065528936</v>
      </c>
      <c r="AL1164" s="507">
        <f t="shared" si="822"/>
        <v>100</v>
      </c>
      <c r="AM1164" s="507">
        <f t="shared" si="822"/>
        <v>100</v>
      </c>
      <c r="AN1164" s="556"/>
      <c r="AO1164" s="510"/>
      <c r="AP1164" s="510" t="e">
        <f t="shared" ca="1" si="828"/>
        <v>#NAME?</v>
      </c>
      <c r="AQ1164" s="532">
        <v>37893</v>
      </c>
      <c r="AR1164" s="533">
        <f t="shared" si="833"/>
        <v>546.9861065528936</v>
      </c>
      <c r="AS1164" s="533">
        <f t="shared" si="834"/>
        <v>100</v>
      </c>
      <c r="AT1164" s="533">
        <f t="shared" si="835"/>
        <v>546.9861065528936</v>
      </c>
      <c r="AU1164" s="533">
        <f t="shared" si="849"/>
        <v>75.786000000000001</v>
      </c>
      <c r="AV1164" s="533">
        <f t="shared" si="850"/>
        <v>414.53889071217588</v>
      </c>
      <c r="AW1164" s="612">
        <f t="shared" si="852"/>
        <v>37893</v>
      </c>
      <c r="AX1164" s="612"/>
      <c r="AY1164" s="612"/>
      <c r="AZ1164" s="612"/>
      <c r="BA1164" s="612"/>
      <c r="BB1164" s="612"/>
      <c r="BC1164" s="612"/>
      <c r="BD1164" s="612"/>
      <c r="BE1164" s="612"/>
      <c r="BF1164" s="612"/>
      <c r="BG1164" s="612"/>
      <c r="BH1164" s="612">
        <f t="shared" si="830"/>
        <v>37893</v>
      </c>
      <c r="BI1164" s="612">
        <f t="shared" si="823"/>
        <v>7584</v>
      </c>
      <c r="BJ1164" s="201">
        <f>AQ1171-BI1164</f>
        <v>0</v>
      </c>
    </row>
    <row r="1165" spans="1:62" ht="12" customHeight="1">
      <c r="A1165" s="52"/>
      <c r="B1165" s="52"/>
      <c r="C1165" s="52"/>
      <c r="D1165" s="52"/>
      <c r="E1165" s="52"/>
      <c r="F1165" s="52"/>
      <c r="G1165" s="52"/>
      <c r="H1165" s="2">
        <v>228</v>
      </c>
      <c r="I1165" s="289">
        <v>820</v>
      </c>
      <c r="J1165" s="185">
        <v>3238</v>
      </c>
      <c r="K1165" s="19" t="s">
        <v>250</v>
      </c>
      <c r="L1165" s="129">
        <v>9420</v>
      </c>
      <c r="M1165" s="129">
        <f>9420/7.5345</f>
        <v>1250.2488552657774</v>
      </c>
      <c r="N1165" s="130">
        <v>9919</v>
      </c>
      <c r="O1165" s="130">
        <f t="shared" si="851"/>
        <v>1316.4775366646757</v>
      </c>
      <c r="P1165" s="131">
        <v>1400</v>
      </c>
      <c r="Q1165" s="156">
        <v>1600</v>
      </c>
      <c r="R1165" s="153">
        <v>1573</v>
      </c>
      <c r="S1165" s="158"/>
      <c r="T1165" s="158"/>
      <c r="U1165" s="158"/>
      <c r="V1165" s="532">
        <v>4600</v>
      </c>
      <c r="W1165" s="532">
        <v>4600</v>
      </c>
      <c r="X1165" s="560">
        <v>3000</v>
      </c>
      <c r="Y1165" s="561">
        <v>3000</v>
      </c>
      <c r="Z1165" s="561"/>
      <c r="AA1165" s="562" t="e">
        <f t="shared" ca="1" si="827"/>
        <v>#NAME?</v>
      </c>
      <c r="AB1165" s="535"/>
      <c r="AC1165" s="529">
        <v>1500</v>
      </c>
      <c r="AD1165" s="529">
        <v>1500</v>
      </c>
      <c r="AE1165" s="529">
        <f>O1165/M1165*100</f>
        <v>105.29723991507429</v>
      </c>
      <c r="AF1165" s="529">
        <f t="shared" si="853"/>
        <v>106.34438955539873</v>
      </c>
      <c r="AG1165" s="529">
        <f t="shared" si="853"/>
        <v>114.28571428571428</v>
      </c>
      <c r="AH1165" s="529">
        <f>AC1165/Q1165*100</f>
        <v>93.75</v>
      </c>
      <c r="AI1165" s="535"/>
      <c r="AJ1165" s="561">
        <v>3000</v>
      </c>
      <c r="AK1165" s="507">
        <f t="shared" si="821"/>
        <v>292.43483788938335</v>
      </c>
      <c r="AL1165" s="507">
        <f t="shared" si="822"/>
        <v>65.217391304347828</v>
      </c>
      <c r="AM1165" s="507">
        <f t="shared" si="822"/>
        <v>100</v>
      </c>
      <c r="AN1165" s="556"/>
      <c r="AO1165" s="510"/>
      <c r="AP1165" s="510" t="e">
        <f t="shared" ca="1" si="828"/>
        <v>#NAME?</v>
      </c>
      <c r="AQ1165" s="532">
        <v>1573</v>
      </c>
      <c r="AR1165" s="533">
        <f t="shared" si="833"/>
        <v>292.43483788938335</v>
      </c>
      <c r="AS1165" s="533">
        <f t="shared" si="834"/>
        <v>100</v>
      </c>
      <c r="AT1165" s="533">
        <f t="shared" si="835"/>
        <v>292.43483788938335</v>
      </c>
      <c r="AU1165" s="533">
        <f t="shared" si="849"/>
        <v>34.195652173913047</v>
      </c>
      <c r="AV1165" s="533">
        <f t="shared" si="850"/>
        <v>100</v>
      </c>
      <c r="AW1165" s="612">
        <f t="shared" si="852"/>
        <v>1573</v>
      </c>
      <c r="AX1165" s="612"/>
      <c r="AY1165" s="612"/>
      <c r="AZ1165" s="612"/>
      <c r="BA1165" s="612"/>
      <c r="BB1165" s="612"/>
      <c r="BC1165" s="612"/>
      <c r="BD1165" s="612"/>
      <c r="BE1165" s="612"/>
      <c r="BF1165" s="612"/>
      <c r="BG1165" s="612"/>
      <c r="BH1165" s="612">
        <f t="shared" si="830"/>
        <v>1573</v>
      </c>
      <c r="BI1165" s="612">
        <f t="shared" si="823"/>
        <v>0</v>
      </c>
      <c r="BJ1165" s="201"/>
    </row>
    <row r="1166" spans="1:62" ht="12" customHeight="1">
      <c r="A1166" s="52"/>
      <c r="B1166" s="52"/>
      <c r="C1166" s="52"/>
      <c r="D1166" s="52"/>
      <c r="E1166" s="52"/>
      <c r="F1166" s="52"/>
      <c r="G1166" s="52"/>
      <c r="H1166" s="2">
        <v>229</v>
      </c>
      <c r="I1166" s="260">
        <v>820</v>
      </c>
      <c r="J1166" s="185">
        <v>3239</v>
      </c>
      <c r="K1166" s="340" t="s">
        <v>251</v>
      </c>
      <c r="L1166" s="129">
        <v>20004</v>
      </c>
      <c r="M1166" s="129">
        <f>20004/7.5345</f>
        <v>2654.9870595261796</v>
      </c>
      <c r="N1166" s="130">
        <v>11379</v>
      </c>
      <c r="O1166" s="130">
        <f t="shared" si="851"/>
        <v>1510.2528369500299</v>
      </c>
      <c r="P1166" s="131">
        <v>2700</v>
      </c>
      <c r="Q1166" s="156">
        <v>5000</v>
      </c>
      <c r="R1166" s="153">
        <v>4913</v>
      </c>
      <c r="S1166" s="158"/>
      <c r="T1166" s="158"/>
      <c r="U1166" s="158"/>
      <c r="V1166" s="532">
        <v>25000</v>
      </c>
      <c r="W1166" s="532">
        <v>25000</v>
      </c>
      <c r="X1166" s="560">
        <v>35000</v>
      </c>
      <c r="Y1166" s="561">
        <v>35000</v>
      </c>
      <c r="Z1166" s="561"/>
      <c r="AA1166" s="562" t="e">
        <f t="shared" ca="1" si="827"/>
        <v>#NAME?</v>
      </c>
      <c r="AB1166" s="535"/>
      <c r="AC1166" s="529">
        <v>2900</v>
      </c>
      <c r="AD1166" s="529">
        <v>2900</v>
      </c>
      <c r="AE1166" s="529">
        <f>O1166/M1166*100</f>
        <v>56.883623275344931</v>
      </c>
      <c r="AF1166" s="529">
        <f t="shared" si="853"/>
        <v>178.77801212760346</v>
      </c>
      <c r="AG1166" s="529">
        <f t="shared" si="853"/>
        <v>185.18518518518519</v>
      </c>
      <c r="AH1166" s="529">
        <f>AC1166/Q1166*100</f>
        <v>57.999999999999993</v>
      </c>
      <c r="AI1166" s="535"/>
      <c r="AJ1166" s="561">
        <v>35000</v>
      </c>
      <c r="AK1166" s="507">
        <f t="shared" si="821"/>
        <v>508.854060655404</v>
      </c>
      <c r="AL1166" s="507">
        <f t="shared" si="822"/>
        <v>140</v>
      </c>
      <c r="AM1166" s="507">
        <f t="shared" si="822"/>
        <v>100</v>
      </c>
      <c r="AN1166" s="556"/>
      <c r="AO1166" s="510"/>
      <c r="AP1166" s="510" t="e">
        <f t="shared" ca="1" si="828"/>
        <v>#NAME?</v>
      </c>
      <c r="AQ1166" s="532">
        <v>23800</v>
      </c>
      <c r="AR1166" s="533">
        <f t="shared" si="833"/>
        <v>508.854060655404</v>
      </c>
      <c r="AS1166" s="533">
        <f t="shared" si="834"/>
        <v>100</v>
      </c>
      <c r="AT1166" s="533">
        <f t="shared" si="835"/>
        <v>508.854060655404</v>
      </c>
      <c r="AU1166" s="533">
        <f t="shared" si="849"/>
        <v>95.199999999999989</v>
      </c>
      <c r="AV1166" s="533">
        <f t="shared" si="850"/>
        <v>484.42906574394459</v>
      </c>
      <c r="AW1166" s="612">
        <f t="shared" si="852"/>
        <v>23800</v>
      </c>
      <c r="AX1166" s="612"/>
      <c r="AY1166" s="612"/>
      <c r="AZ1166" s="612"/>
      <c r="BA1166" s="612"/>
      <c r="BB1166" s="612"/>
      <c r="BC1166" s="612"/>
      <c r="BD1166" s="612"/>
      <c r="BE1166" s="612"/>
      <c r="BF1166" s="612"/>
      <c r="BG1166" s="612"/>
      <c r="BH1166" s="612">
        <f t="shared" si="830"/>
        <v>23800</v>
      </c>
      <c r="BI1166" s="612">
        <f t="shared" si="823"/>
        <v>0</v>
      </c>
      <c r="BJ1166" s="201"/>
    </row>
    <row r="1167" spans="1:62" ht="12" customHeight="1">
      <c r="A1167" s="41"/>
      <c r="B1167" s="41"/>
      <c r="C1167" s="41"/>
      <c r="D1167" s="41"/>
      <c r="E1167" s="41"/>
      <c r="F1167" s="41"/>
      <c r="G1167" s="41"/>
      <c r="H1167" s="235"/>
      <c r="I1167" s="15"/>
      <c r="J1167" s="3"/>
      <c r="K1167" s="83"/>
      <c r="L1167" s="84"/>
      <c r="M1167" s="84"/>
      <c r="N1167" s="85"/>
      <c r="O1167" s="85"/>
      <c r="P1167" s="86"/>
      <c r="Q1167" s="86"/>
      <c r="R1167" s="154"/>
      <c r="S1167" s="155"/>
      <c r="T1167" s="155"/>
      <c r="U1167" s="155"/>
      <c r="V1167" s="532"/>
      <c r="W1167" s="532"/>
      <c r="X1167" s="568"/>
      <c r="Y1167" s="569"/>
      <c r="Z1167" s="569"/>
      <c r="AA1167" s="562" t="e">
        <f t="shared" ca="1" si="827"/>
        <v>#NAME?</v>
      </c>
      <c r="AB1167" s="537"/>
      <c r="AC1167" s="538"/>
      <c r="AD1167" s="538"/>
      <c r="AE1167" s="529"/>
      <c r="AF1167" s="529"/>
      <c r="AG1167" s="529"/>
      <c r="AH1167" s="529"/>
      <c r="AI1167" s="537"/>
      <c r="AJ1167" s="569"/>
      <c r="AK1167" s="507"/>
      <c r="AL1167" s="507"/>
      <c r="AM1167" s="507"/>
      <c r="AN1167" s="557"/>
      <c r="AO1167" s="510"/>
      <c r="AP1167" s="510" t="e">
        <f t="shared" ca="1" si="828"/>
        <v>#NAME?</v>
      </c>
      <c r="AQ1167" s="532"/>
      <c r="AR1167" s="533"/>
      <c r="AS1167" s="533"/>
      <c r="AT1167" s="533"/>
      <c r="AU1167" s="533"/>
      <c r="AV1167" s="533"/>
      <c r="AW1167" s="612"/>
      <c r="AX1167" s="612"/>
      <c r="AY1167" s="612"/>
      <c r="AZ1167" s="612"/>
      <c r="BA1167" s="612"/>
      <c r="BB1167" s="612"/>
      <c r="BC1167" s="612"/>
      <c r="BD1167" s="612"/>
      <c r="BE1167" s="612"/>
      <c r="BF1167" s="612"/>
      <c r="BG1167" s="612"/>
      <c r="BH1167" s="612">
        <f t="shared" si="830"/>
        <v>0</v>
      </c>
      <c r="BI1167" s="612">
        <f t="shared" si="823"/>
        <v>0</v>
      </c>
      <c r="BJ1167" s="201"/>
    </row>
    <row r="1168" spans="1:62" ht="12" customHeight="1">
      <c r="A1168" s="61"/>
      <c r="B1168" s="61"/>
      <c r="C1168" s="61"/>
      <c r="D1168" s="61"/>
      <c r="E1168" s="61"/>
      <c r="F1168" s="61"/>
      <c r="G1168" s="61"/>
      <c r="H1168" s="230"/>
      <c r="I1168" s="348"/>
      <c r="J1168" s="229">
        <v>329</v>
      </c>
      <c r="K1168" s="20" t="s">
        <v>829</v>
      </c>
      <c r="L1168" s="111">
        <f t="shared" ref="L1168:S1168" si="854">L1169+L1170+L1171</f>
        <v>77375</v>
      </c>
      <c r="M1168" s="111">
        <f t="shared" si="854"/>
        <v>10269.427301081691</v>
      </c>
      <c r="N1168" s="112">
        <f t="shared" si="854"/>
        <v>23926</v>
      </c>
      <c r="O1168" s="112">
        <f t="shared" si="854"/>
        <v>3175.5259141283432</v>
      </c>
      <c r="P1168" s="113">
        <f t="shared" si="854"/>
        <v>6700</v>
      </c>
      <c r="Q1168" s="113">
        <f t="shared" si="854"/>
        <v>4900</v>
      </c>
      <c r="R1168" s="87">
        <f t="shared" si="854"/>
        <v>7109</v>
      </c>
      <c r="S1168" s="89">
        <f t="shared" si="854"/>
        <v>0</v>
      </c>
      <c r="T1168" s="89"/>
      <c r="U1168" s="89"/>
      <c r="V1168" s="532">
        <f>V1169+V1170+V1171</f>
        <v>7900</v>
      </c>
      <c r="W1168" s="532">
        <f>W1169+W1170+W1171</f>
        <v>7900</v>
      </c>
      <c r="X1168" s="506">
        <f>X1169+X1170+X1171</f>
        <v>12000</v>
      </c>
      <c r="Y1168" s="507">
        <f>Y1169+Y1170+Y1171</f>
        <v>12100</v>
      </c>
      <c r="Z1168" s="507">
        <f>Z1169+Z1170+Z1171</f>
        <v>0</v>
      </c>
      <c r="AA1168" s="562" t="e">
        <f t="shared" ca="1" si="827"/>
        <v>#NAME?</v>
      </c>
      <c r="AB1168" s="507"/>
      <c r="AC1168" s="508">
        <f>AC1169+AC1170+AC1171</f>
        <v>6700</v>
      </c>
      <c r="AD1168" s="508">
        <f>AD1169+AD1170+AD1171</f>
        <v>6700</v>
      </c>
      <c r="AE1168" s="529">
        <f>O1168/M1168*100</f>
        <v>30.922132471728599</v>
      </c>
      <c r="AF1168" s="529">
        <f t="shared" ref="AF1168:AG1170" si="855">P1168/O1168*100</f>
        <v>210.98867340967985</v>
      </c>
      <c r="AG1168" s="529">
        <f t="shared" si="855"/>
        <v>73.134328358208961</v>
      </c>
      <c r="AH1168" s="529">
        <f>AC1168/Q1168*100</f>
        <v>136.73469387755102</v>
      </c>
      <c r="AI1168" s="507"/>
      <c r="AJ1168" s="507">
        <v>12100</v>
      </c>
      <c r="AK1168" s="507">
        <f t="shared" si="821"/>
        <v>111.1267407511605</v>
      </c>
      <c r="AL1168" s="507">
        <f t="shared" si="822"/>
        <v>151.8987341772152</v>
      </c>
      <c r="AM1168" s="507">
        <f t="shared" si="822"/>
        <v>100.83333333333333</v>
      </c>
      <c r="AN1168" s="509"/>
      <c r="AO1168" s="510"/>
      <c r="AP1168" s="510" t="e">
        <f t="shared" ca="1" si="828"/>
        <v>#NAME?</v>
      </c>
      <c r="AQ1168" s="532">
        <f>AQ1169+AQ1170+AQ1171</f>
        <v>9050</v>
      </c>
      <c r="AR1168" s="533">
        <f t="shared" si="833"/>
        <v>111.1267407511605</v>
      </c>
      <c r="AS1168" s="533">
        <f t="shared" si="834"/>
        <v>100</v>
      </c>
      <c r="AT1168" s="533">
        <f t="shared" si="835"/>
        <v>111.1267407511605</v>
      </c>
      <c r="AU1168" s="533">
        <f>AQ1168/W1168*100</f>
        <v>114.55696202531647</v>
      </c>
      <c r="AV1168" s="533">
        <f>AQ1168/R1168*100</f>
        <v>127.30341820227879</v>
      </c>
      <c r="AW1168" s="612"/>
      <c r="AX1168" s="612"/>
      <c r="AY1168" s="612"/>
      <c r="AZ1168" s="612"/>
      <c r="BA1168" s="612"/>
      <c r="BB1168" s="612"/>
      <c r="BC1168" s="612"/>
      <c r="BD1168" s="612"/>
      <c r="BE1168" s="612"/>
      <c r="BF1168" s="612"/>
      <c r="BG1168" s="612"/>
      <c r="BH1168" s="612">
        <f t="shared" si="830"/>
        <v>0</v>
      </c>
      <c r="BI1168" s="612">
        <f t="shared" si="823"/>
        <v>459</v>
      </c>
      <c r="BJ1168" s="201">
        <f>AQ1175-BI1168</f>
        <v>0</v>
      </c>
    </row>
    <row r="1169" spans="1:62" ht="12" customHeight="1">
      <c r="A1169" s="52"/>
      <c r="B1169" s="52"/>
      <c r="C1169" s="52"/>
      <c r="D1169" s="52"/>
      <c r="E1169" s="52"/>
      <c r="F1169" s="52"/>
      <c r="G1169" s="52"/>
      <c r="H1169" s="2" t="s">
        <v>856</v>
      </c>
      <c r="I1169" s="289">
        <v>820</v>
      </c>
      <c r="J1169" s="185">
        <v>3292</v>
      </c>
      <c r="K1169" s="19" t="s">
        <v>857</v>
      </c>
      <c r="L1169" s="129">
        <v>6200</v>
      </c>
      <c r="M1169" s="129">
        <f>6200/7.5345</f>
        <v>822.88141217068153</v>
      </c>
      <c r="N1169" s="130">
        <v>3542</v>
      </c>
      <c r="O1169" s="130">
        <f>N1169/7.5345</f>
        <v>470.10418740460545</v>
      </c>
      <c r="P1169" s="131">
        <v>1300</v>
      </c>
      <c r="Q1169" s="156">
        <v>500</v>
      </c>
      <c r="R1169" s="153">
        <v>470</v>
      </c>
      <c r="S1169" s="158"/>
      <c r="T1169" s="158"/>
      <c r="U1169" s="158"/>
      <c r="V1169" s="532">
        <v>1000</v>
      </c>
      <c r="W1169" s="532">
        <v>1000</v>
      </c>
      <c r="X1169" s="560">
        <v>1500</v>
      </c>
      <c r="Y1169" s="561">
        <v>1600</v>
      </c>
      <c r="Z1169" s="561"/>
      <c r="AA1169" s="562" t="e">
        <f t="shared" ca="1" si="827"/>
        <v>#NAME?</v>
      </c>
      <c r="AB1169" s="535"/>
      <c r="AC1169" s="529">
        <v>1300</v>
      </c>
      <c r="AD1169" s="529">
        <v>1300</v>
      </c>
      <c r="AE1169" s="529">
        <f>O1169/M1169*100</f>
        <v>57.129032258064512</v>
      </c>
      <c r="AF1169" s="529">
        <f t="shared" si="855"/>
        <v>276.53444381705253</v>
      </c>
      <c r="AG1169" s="529">
        <f t="shared" si="855"/>
        <v>38.461538461538467</v>
      </c>
      <c r="AH1169" s="529">
        <f>AC1169/Q1169*100</f>
        <v>260</v>
      </c>
      <c r="AI1169" s="535"/>
      <c r="AJ1169" s="561">
        <v>1600</v>
      </c>
      <c r="AK1169" s="507">
        <f t="shared" si="821"/>
        <v>212.7659574468085</v>
      </c>
      <c r="AL1169" s="507">
        <f t="shared" si="822"/>
        <v>150</v>
      </c>
      <c r="AM1169" s="507">
        <f t="shared" si="822"/>
        <v>106.66666666666667</v>
      </c>
      <c r="AN1169" s="556"/>
      <c r="AO1169" s="510"/>
      <c r="AP1169" s="510" t="e">
        <f t="shared" ca="1" si="828"/>
        <v>#NAME?</v>
      </c>
      <c r="AQ1169" s="532">
        <v>1055</v>
      </c>
      <c r="AR1169" s="533">
        <f t="shared" si="833"/>
        <v>212.7659574468085</v>
      </c>
      <c r="AS1169" s="533">
        <f t="shared" si="834"/>
        <v>100</v>
      </c>
      <c r="AT1169" s="533">
        <f t="shared" si="835"/>
        <v>212.7659574468085</v>
      </c>
      <c r="AU1169" s="533">
        <f>AQ1169/W1169*100</f>
        <v>105.5</v>
      </c>
      <c r="AV1169" s="533">
        <f>AQ1169/R1169*100</f>
        <v>224.468085106383</v>
      </c>
      <c r="AW1169" s="612">
        <f>AQ1169</f>
        <v>1055</v>
      </c>
      <c r="AX1169" s="612"/>
      <c r="AY1169" s="612"/>
      <c r="AZ1169" s="612"/>
      <c r="BA1169" s="612"/>
      <c r="BB1169" s="612"/>
      <c r="BC1169" s="612"/>
      <c r="BD1169" s="612"/>
      <c r="BE1169" s="612"/>
      <c r="BF1169" s="612"/>
      <c r="BG1169" s="612"/>
      <c r="BH1169" s="612">
        <f t="shared" si="830"/>
        <v>1055</v>
      </c>
      <c r="BI1169" s="612">
        <f t="shared" si="823"/>
        <v>0</v>
      </c>
      <c r="BJ1169" s="201"/>
    </row>
    <row r="1170" spans="1:62" ht="12" customHeight="1">
      <c r="A1170" s="52"/>
      <c r="B1170" s="52"/>
      <c r="C1170" s="52"/>
      <c r="D1170" s="52"/>
      <c r="E1170" s="52"/>
      <c r="F1170" s="52"/>
      <c r="G1170" s="52"/>
      <c r="H1170" s="2" t="s">
        <v>858</v>
      </c>
      <c r="I1170" s="289">
        <v>820</v>
      </c>
      <c r="J1170" s="185">
        <v>3293</v>
      </c>
      <c r="K1170" s="19" t="s">
        <v>256</v>
      </c>
      <c r="L1170" s="129">
        <v>2207</v>
      </c>
      <c r="M1170" s="129">
        <f>2207/7.5345</f>
        <v>292.91923817107966</v>
      </c>
      <c r="N1170" s="130">
        <v>3226</v>
      </c>
      <c r="O1170" s="130">
        <f>N1170/7.5345</f>
        <v>428.1637799455836</v>
      </c>
      <c r="P1170" s="131">
        <v>400</v>
      </c>
      <c r="Q1170" s="131">
        <v>400</v>
      </c>
      <c r="R1170" s="153">
        <v>437</v>
      </c>
      <c r="S1170" s="158"/>
      <c r="T1170" s="158"/>
      <c r="U1170" s="158"/>
      <c r="V1170" s="532">
        <v>400</v>
      </c>
      <c r="W1170" s="532">
        <v>400</v>
      </c>
      <c r="X1170" s="560">
        <v>500</v>
      </c>
      <c r="Y1170" s="561">
        <v>500</v>
      </c>
      <c r="Z1170" s="561"/>
      <c r="AA1170" s="562" t="e">
        <f t="shared" ca="1" si="827"/>
        <v>#NAME?</v>
      </c>
      <c r="AB1170" s="535"/>
      <c r="AC1170" s="529">
        <v>400</v>
      </c>
      <c r="AD1170" s="529">
        <v>400</v>
      </c>
      <c r="AE1170" s="529">
        <f>O1170/M1170*100</f>
        <v>146.17127322156776</v>
      </c>
      <c r="AF1170" s="529">
        <f t="shared" si="855"/>
        <v>93.422194668319918</v>
      </c>
      <c r="AG1170" s="529">
        <f t="shared" si="855"/>
        <v>100</v>
      </c>
      <c r="AH1170" s="529">
        <f>AC1170/Q1170*100</f>
        <v>100</v>
      </c>
      <c r="AI1170" s="535"/>
      <c r="AJ1170" s="561">
        <v>500</v>
      </c>
      <c r="AK1170" s="507">
        <f t="shared" si="821"/>
        <v>91.533180778032047</v>
      </c>
      <c r="AL1170" s="507">
        <f t="shared" si="822"/>
        <v>125</v>
      </c>
      <c r="AM1170" s="507">
        <f t="shared" si="822"/>
        <v>100</v>
      </c>
      <c r="AN1170" s="556"/>
      <c r="AO1170" s="510"/>
      <c r="AP1170" s="510" t="e">
        <f t="shared" ca="1" si="828"/>
        <v>#NAME?</v>
      </c>
      <c r="AQ1170" s="532">
        <v>411</v>
      </c>
      <c r="AR1170" s="533">
        <f t="shared" si="833"/>
        <v>91.533180778032047</v>
      </c>
      <c r="AS1170" s="533">
        <f t="shared" si="834"/>
        <v>100</v>
      </c>
      <c r="AT1170" s="533">
        <f t="shared" si="835"/>
        <v>91.533180778032047</v>
      </c>
      <c r="AU1170" s="533">
        <f>AQ1170/W1170*100</f>
        <v>102.75000000000001</v>
      </c>
      <c r="AV1170" s="533">
        <f>AQ1170/R1170*100</f>
        <v>94.050343249427911</v>
      </c>
      <c r="AW1170" s="612">
        <f>AQ1170</f>
        <v>411</v>
      </c>
      <c r="AX1170" s="612"/>
      <c r="AY1170" s="612"/>
      <c r="AZ1170" s="612"/>
      <c r="BA1170" s="612"/>
      <c r="BB1170" s="612"/>
      <c r="BC1170" s="612"/>
      <c r="BD1170" s="612"/>
      <c r="BE1170" s="612"/>
      <c r="BF1170" s="612"/>
      <c r="BG1170" s="612"/>
      <c r="BH1170" s="612">
        <f t="shared" si="830"/>
        <v>411</v>
      </c>
      <c r="BI1170" s="612">
        <f t="shared" si="823"/>
        <v>0</v>
      </c>
      <c r="BJ1170" s="201"/>
    </row>
    <row r="1171" spans="1:62" ht="12" customHeight="1">
      <c r="A1171" s="52"/>
      <c r="B1171" s="52"/>
      <c r="C1171" s="52"/>
      <c r="D1171" s="52"/>
      <c r="E1171" s="52"/>
      <c r="F1171" s="52"/>
      <c r="G1171" s="52"/>
      <c r="H1171" s="2">
        <v>230</v>
      </c>
      <c r="I1171" s="289">
        <v>820</v>
      </c>
      <c r="J1171" s="185">
        <v>3299</v>
      </c>
      <c r="K1171" s="19" t="s">
        <v>805</v>
      </c>
      <c r="L1171" s="129">
        <v>68968</v>
      </c>
      <c r="M1171" s="129">
        <f>68968/7.5345</f>
        <v>9153.6266507399287</v>
      </c>
      <c r="N1171" s="130">
        <v>17158</v>
      </c>
      <c r="O1171" s="130">
        <f>N1171/7.5345</f>
        <v>2277.2579467781538</v>
      </c>
      <c r="P1171" s="131">
        <v>5000</v>
      </c>
      <c r="Q1171" s="156">
        <v>4000</v>
      </c>
      <c r="R1171" s="153">
        <v>6202</v>
      </c>
      <c r="S1171" s="158"/>
      <c r="T1171" s="158"/>
      <c r="U1171" s="158"/>
      <c r="V1171" s="532">
        <v>6500</v>
      </c>
      <c r="W1171" s="532">
        <v>6500</v>
      </c>
      <c r="X1171" s="560">
        <v>10000</v>
      </c>
      <c r="Y1171" s="561">
        <v>10000</v>
      </c>
      <c r="Z1171" s="561"/>
      <c r="AA1171" s="562" t="e">
        <f t="shared" ca="1" si="827"/>
        <v>#NAME?</v>
      </c>
      <c r="AB1171" s="535"/>
      <c r="AC1171" s="529">
        <v>5000</v>
      </c>
      <c r="AD1171" s="529">
        <v>5000</v>
      </c>
      <c r="AE1171" s="529">
        <f>O1171/M1171*100</f>
        <v>24.878204384642157</v>
      </c>
      <c r="AF1171" s="529"/>
      <c r="AG1171" s="529"/>
      <c r="AH1171" s="529"/>
      <c r="AI1171" s="535"/>
      <c r="AJ1171" s="561">
        <v>10000</v>
      </c>
      <c r="AK1171" s="507">
        <f t="shared" si="821"/>
        <v>104.80490164463076</v>
      </c>
      <c r="AL1171" s="507">
        <f t="shared" si="822"/>
        <v>153.84615384615387</v>
      </c>
      <c r="AM1171" s="507">
        <f t="shared" si="822"/>
        <v>100</v>
      </c>
      <c r="AN1171" s="556"/>
      <c r="AO1171" s="510"/>
      <c r="AP1171" s="510" t="e">
        <f t="shared" ca="1" si="828"/>
        <v>#NAME?</v>
      </c>
      <c r="AQ1171" s="532">
        <v>7584</v>
      </c>
      <c r="AR1171" s="533">
        <f t="shared" si="833"/>
        <v>104.80490164463076</v>
      </c>
      <c r="AS1171" s="533">
        <f t="shared" si="834"/>
        <v>100</v>
      </c>
      <c r="AT1171" s="533">
        <f t="shared" si="835"/>
        <v>104.80490164463076</v>
      </c>
      <c r="AU1171" s="533">
        <f>AQ1171/W1171*100</f>
        <v>116.67692307692307</v>
      </c>
      <c r="AV1171" s="533">
        <f>AQ1171/R1171*100</f>
        <v>122.28313447275072</v>
      </c>
      <c r="AW1171" s="612">
        <f>AQ1171</f>
        <v>7584</v>
      </c>
      <c r="AX1171" s="612"/>
      <c r="AY1171" s="612"/>
      <c r="AZ1171" s="612"/>
      <c r="BA1171" s="612"/>
      <c r="BB1171" s="612"/>
      <c r="BC1171" s="612"/>
      <c r="BD1171" s="612"/>
      <c r="BE1171" s="612"/>
      <c r="BF1171" s="612"/>
      <c r="BG1171" s="612"/>
      <c r="BH1171" s="612">
        <f t="shared" si="830"/>
        <v>7584</v>
      </c>
      <c r="BI1171" s="612">
        <f t="shared" si="823"/>
        <v>0</v>
      </c>
      <c r="BJ1171" s="201"/>
    </row>
    <row r="1172" spans="1:62" ht="12" customHeight="1">
      <c r="A1172" s="41"/>
      <c r="B1172" s="41"/>
      <c r="C1172" s="41"/>
      <c r="D1172" s="41"/>
      <c r="E1172" s="41"/>
      <c r="F1172" s="41"/>
      <c r="G1172" s="41"/>
      <c r="H1172" s="235"/>
      <c r="I1172" s="15"/>
      <c r="J1172" s="3"/>
      <c r="K1172" s="211"/>
      <c r="L1172" s="84"/>
      <c r="M1172" s="84"/>
      <c r="N1172" s="85"/>
      <c r="O1172" s="85"/>
      <c r="P1172" s="86"/>
      <c r="Q1172" s="86"/>
      <c r="R1172" s="154"/>
      <c r="S1172" s="155"/>
      <c r="T1172" s="155"/>
      <c r="U1172" s="155"/>
      <c r="V1172" s="532"/>
      <c r="W1172" s="532"/>
      <c r="X1172" s="568"/>
      <c r="Y1172" s="569"/>
      <c r="Z1172" s="569"/>
      <c r="AA1172" s="562" t="e">
        <f t="shared" ca="1" si="827"/>
        <v>#NAME?</v>
      </c>
      <c r="AB1172" s="537"/>
      <c r="AC1172" s="538"/>
      <c r="AD1172" s="538"/>
      <c r="AE1172" s="529"/>
      <c r="AF1172" s="529"/>
      <c r="AG1172" s="529"/>
      <c r="AH1172" s="529"/>
      <c r="AI1172" s="537"/>
      <c r="AJ1172" s="569"/>
      <c r="AK1172" s="507"/>
      <c r="AL1172" s="507"/>
      <c r="AM1172" s="507"/>
      <c r="AN1172" s="557"/>
      <c r="AO1172" s="510"/>
      <c r="AP1172" s="510" t="e">
        <f t="shared" ca="1" si="828"/>
        <v>#NAME?</v>
      </c>
      <c r="AQ1172" s="532"/>
      <c r="AR1172" s="533"/>
      <c r="AS1172" s="533"/>
      <c r="AT1172" s="533"/>
      <c r="AU1172" s="533"/>
      <c r="AV1172" s="533"/>
      <c r="AW1172" s="612"/>
      <c r="AX1172" s="612"/>
      <c r="AY1172" s="612"/>
      <c r="AZ1172" s="612"/>
      <c r="BA1172" s="612"/>
      <c r="BB1172" s="612"/>
      <c r="BC1172" s="612"/>
      <c r="BD1172" s="612"/>
      <c r="BE1172" s="612"/>
      <c r="BF1172" s="612"/>
      <c r="BG1172" s="612"/>
      <c r="BH1172" s="612">
        <f t="shared" si="830"/>
        <v>0</v>
      </c>
      <c r="BI1172" s="612">
        <f t="shared" si="823"/>
        <v>0</v>
      </c>
      <c r="BJ1172" s="201"/>
    </row>
    <row r="1173" spans="1:62" ht="12" customHeight="1">
      <c r="A1173" s="227"/>
      <c r="B1173" s="227"/>
      <c r="C1173" s="227"/>
      <c r="D1173" s="227"/>
      <c r="E1173" s="227"/>
      <c r="F1173" s="227"/>
      <c r="G1173" s="227"/>
      <c r="H1173" s="442"/>
      <c r="I1173" s="445"/>
      <c r="J1173" s="446">
        <v>34</v>
      </c>
      <c r="K1173" s="447" t="s">
        <v>260</v>
      </c>
      <c r="L1173" s="250">
        <f t="shared" ref="L1173:AD1174" si="856">L1174</f>
        <v>3379</v>
      </c>
      <c r="M1173" s="250">
        <f t="shared" si="856"/>
        <v>448.47036963302139</v>
      </c>
      <c r="N1173" s="251">
        <f t="shared" si="856"/>
        <v>2930</v>
      </c>
      <c r="O1173" s="251">
        <f t="shared" si="856"/>
        <v>388.87782865485434</v>
      </c>
      <c r="P1173" s="252">
        <f t="shared" si="856"/>
        <v>500</v>
      </c>
      <c r="Q1173" s="252">
        <f t="shared" si="856"/>
        <v>700</v>
      </c>
      <c r="R1173" s="272">
        <f t="shared" si="856"/>
        <v>509</v>
      </c>
      <c r="S1173" s="273">
        <f t="shared" si="856"/>
        <v>0</v>
      </c>
      <c r="T1173" s="273"/>
      <c r="U1173" s="273"/>
      <c r="V1173" s="532">
        <f>V1174</f>
        <v>700</v>
      </c>
      <c r="W1173" s="532">
        <f t="shared" si="856"/>
        <v>700</v>
      </c>
      <c r="X1173" s="564">
        <f t="shared" si="856"/>
        <v>750</v>
      </c>
      <c r="Y1173" s="565">
        <f t="shared" si="856"/>
        <v>750</v>
      </c>
      <c r="Z1173" s="565">
        <f t="shared" si="856"/>
        <v>0</v>
      </c>
      <c r="AA1173" s="562" t="e">
        <f t="shared" ca="1" si="827"/>
        <v>#NAME?</v>
      </c>
      <c r="AB1173" s="565"/>
      <c r="AC1173" s="566">
        <f t="shared" si="856"/>
        <v>500</v>
      </c>
      <c r="AD1173" s="566">
        <f t="shared" si="856"/>
        <v>500</v>
      </c>
      <c r="AE1173" s="529">
        <f>O1173/M1173*100</f>
        <v>86.712044983723004</v>
      </c>
      <c r="AF1173" s="529">
        <f t="shared" ref="AF1173:AG1175" si="857">P1173/O1173*100</f>
        <v>128.57508532423208</v>
      </c>
      <c r="AG1173" s="529">
        <f t="shared" si="857"/>
        <v>140</v>
      </c>
      <c r="AH1173" s="529">
        <f>AC1173/Q1173*100</f>
        <v>71.428571428571431</v>
      </c>
      <c r="AI1173" s="565"/>
      <c r="AJ1173" s="565">
        <v>750</v>
      </c>
      <c r="AK1173" s="507">
        <f t="shared" si="821"/>
        <v>137.52455795677801</v>
      </c>
      <c r="AL1173" s="507">
        <f t="shared" si="822"/>
        <v>107.14285714285714</v>
      </c>
      <c r="AM1173" s="507">
        <f t="shared" si="822"/>
        <v>100</v>
      </c>
      <c r="AN1173" s="567"/>
      <c r="AO1173" s="510"/>
      <c r="AP1173" s="510" t="e">
        <f t="shared" ca="1" si="828"/>
        <v>#NAME?</v>
      </c>
      <c r="AQ1173" s="532">
        <f>AQ1174</f>
        <v>459</v>
      </c>
      <c r="AR1173" s="533">
        <f t="shared" si="833"/>
        <v>137.52455795677801</v>
      </c>
      <c r="AS1173" s="533">
        <f t="shared" si="834"/>
        <v>100</v>
      </c>
      <c r="AT1173" s="533">
        <f t="shared" si="835"/>
        <v>137.52455795677801</v>
      </c>
      <c r="AU1173" s="533">
        <f>AQ1173/W1173*100</f>
        <v>65.571428571428569</v>
      </c>
      <c r="AV1173" s="533">
        <f>AQ1173/R1173*100</f>
        <v>90.176817288801573</v>
      </c>
      <c r="AW1173" s="612"/>
      <c r="AX1173" s="612"/>
      <c r="AY1173" s="612"/>
      <c r="AZ1173" s="612"/>
      <c r="BA1173" s="612"/>
      <c r="BB1173" s="612"/>
      <c r="BC1173" s="612"/>
      <c r="BD1173" s="612"/>
      <c r="BE1173" s="612"/>
      <c r="BF1173" s="612"/>
      <c r="BG1173" s="612"/>
      <c r="BH1173" s="612">
        <f t="shared" si="830"/>
        <v>0</v>
      </c>
      <c r="BI1173" s="612">
        <f t="shared" si="823"/>
        <v>0</v>
      </c>
      <c r="BJ1173" s="201"/>
    </row>
    <row r="1174" spans="1:62" ht="12" customHeight="1">
      <c r="A1174" s="61"/>
      <c r="B1174" s="61"/>
      <c r="C1174" s="61"/>
      <c r="D1174" s="61"/>
      <c r="E1174" s="61"/>
      <c r="F1174" s="61"/>
      <c r="G1174" s="61"/>
      <c r="H1174" s="230"/>
      <c r="I1174" s="348"/>
      <c r="J1174" s="229">
        <v>343</v>
      </c>
      <c r="K1174" s="20" t="s">
        <v>425</v>
      </c>
      <c r="L1174" s="111">
        <f t="shared" si="856"/>
        <v>3379</v>
      </c>
      <c r="M1174" s="111">
        <f t="shared" si="856"/>
        <v>448.47036963302139</v>
      </c>
      <c r="N1174" s="112">
        <f t="shared" si="856"/>
        <v>2930</v>
      </c>
      <c r="O1174" s="112">
        <f t="shared" si="856"/>
        <v>388.87782865485434</v>
      </c>
      <c r="P1174" s="113">
        <f t="shared" si="856"/>
        <v>500</v>
      </c>
      <c r="Q1174" s="113">
        <f t="shared" si="856"/>
        <v>700</v>
      </c>
      <c r="R1174" s="87">
        <f t="shared" si="856"/>
        <v>509</v>
      </c>
      <c r="S1174" s="89">
        <f t="shared" si="856"/>
        <v>0</v>
      </c>
      <c r="T1174" s="89"/>
      <c r="U1174" s="89"/>
      <c r="V1174" s="532">
        <f>V1175</f>
        <v>700</v>
      </c>
      <c r="W1174" s="532">
        <f t="shared" si="856"/>
        <v>700</v>
      </c>
      <c r="X1174" s="506">
        <f t="shared" si="856"/>
        <v>750</v>
      </c>
      <c r="Y1174" s="507">
        <f t="shared" si="856"/>
        <v>750</v>
      </c>
      <c r="Z1174" s="507">
        <f t="shared" si="856"/>
        <v>0</v>
      </c>
      <c r="AA1174" s="562" t="e">
        <f t="shared" ca="1" si="827"/>
        <v>#NAME?</v>
      </c>
      <c r="AB1174" s="507"/>
      <c r="AC1174" s="508">
        <f t="shared" si="856"/>
        <v>500</v>
      </c>
      <c r="AD1174" s="508">
        <f t="shared" si="856"/>
        <v>500</v>
      </c>
      <c r="AE1174" s="529">
        <f>O1174/M1174*100</f>
        <v>86.712044983723004</v>
      </c>
      <c r="AF1174" s="529">
        <f t="shared" si="857"/>
        <v>128.57508532423208</v>
      </c>
      <c r="AG1174" s="529">
        <f t="shared" si="857"/>
        <v>140</v>
      </c>
      <c r="AH1174" s="529">
        <f>AC1174/Q1174*100</f>
        <v>71.428571428571431</v>
      </c>
      <c r="AI1174" s="507"/>
      <c r="AJ1174" s="507">
        <v>750</v>
      </c>
      <c r="AK1174" s="507">
        <f t="shared" si="821"/>
        <v>137.52455795677801</v>
      </c>
      <c r="AL1174" s="507">
        <f t="shared" si="822"/>
        <v>107.14285714285714</v>
      </c>
      <c r="AM1174" s="507">
        <f t="shared" si="822"/>
        <v>100</v>
      </c>
      <c r="AN1174" s="509"/>
      <c r="AO1174" s="510"/>
      <c r="AP1174" s="510" t="e">
        <f t="shared" ca="1" si="828"/>
        <v>#NAME?</v>
      </c>
      <c r="AQ1174" s="532">
        <f>AQ1175</f>
        <v>459</v>
      </c>
      <c r="AR1174" s="533">
        <f t="shared" si="833"/>
        <v>137.52455795677801</v>
      </c>
      <c r="AS1174" s="533">
        <f t="shared" si="834"/>
        <v>100</v>
      </c>
      <c r="AT1174" s="533">
        <f t="shared" si="835"/>
        <v>137.52455795677801</v>
      </c>
      <c r="AU1174" s="533">
        <f>AQ1174/W1174*100</f>
        <v>65.571428571428569</v>
      </c>
      <c r="AV1174" s="533">
        <f>AQ1174/R1174*100</f>
        <v>90.176817288801573</v>
      </c>
      <c r="AW1174" s="612"/>
      <c r="AX1174" s="612"/>
      <c r="AY1174" s="612"/>
      <c r="AZ1174" s="612"/>
      <c r="BA1174" s="612"/>
      <c r="BB1174" s="612"/>
      <c r="BC1174" s="612"/>
      <c r="BD1174" s="612"/>
      <c r="BE1174" s="612"/>
      <c r="BF1174" s="612"/>
      <c r="BG1174" s="612"/>
      <c r="BH1174" s="612">
        <f t="shared" si="830"/>
        <v>0</v>
      </c>
      <c r="BI1174" s="612">
        <f t="shared" si="823"/>
        <v>0</v>
      </c>
      <c r="BJ1174" s="201"/>
    </row>
    <row r="1175" spans="1:62" ht="12" customHeight="1">
      <c r="A1175" s="52"/>
      <c r="B1175" s="52"/>
      <c r="C1175" s="52"/>
      <c r="D1175" s="52"/>
      <c r="E1175" s="52"/>
      <c r="F1175" s="52"/>
      <c r="G1175" s="52"/>
      <c r="H1175" s="2">
        <v>233</v>
      </c>
      <c r="I1175" s="289">
        <v>820</v>
      </c>
      <c r="J1175" s="185">
        <v>3431</v>
      </c>
      <c r="K1175" s="19" t="s">
        <v>832</v>
      </c>
      <c r="L1175" s="129">
        <v>3379</v>
      </c>
      <c r="M1175" s="129">
        <f>3379/7.5345</f>
        <v>448.47036963302139</v>
      </c>
      <c r="N1175" s="130">
        <v>2930</v>
      </c>
      <c r="O1175" s="130">
        <f>N1175/7.5345</f>
        <v>388.87782865485434</v>
      </c>
      <c r="P1175" s="131">
        <v>500</v>
      </c>
      <c r="Q1175" s="156">
        <v>700</v>
      </c>
      <c r="R1175" s="153">
        <v>509</v>
      </c>
      <c r="S1175" s="158"/>
      <c r="T1175" s="158"/>
      <c r="U1175" s="158"/>
      <c r="V1175" s="532">
        <v>700</v>
      </c>
      <c r="W1175" s="532">
        <v>700</v>
      </c>
      <c r="X1175" s="560">
        <v>750</v>
      </c>
      <c r="Y1175" s="561">
        <v>750</v>
      </c>
      <c r="Z1175" s="561"/>
      <c r="AA1175" s="562" t="e">
        <f t="shared" ca="1" si="827"/>
        <v>#NAME?</v>
      </c>
      <c r="AB1175" s="535"/>
      <c r="AC1175" s="529">
        <v>500</v>
      </c>
      <c r="AD1175" s="529">
        <v>500</v>
      </c>
      <c r="AE1175" s="529">
        <f>O1175/M1175*100</f>
        <v>86.712044983723004</v>
      </c>
      <c r="AF1175" s="529">
        <f t="shared" si="857"/>
        <v>128.57508532423208</v>
      </c>
      <c r="AG1175" s="529">
        <f t="shared" si="857"/>
        <v>140</v>
      </c>
      <c r="AH1175" s="529">
        <f>AC1175/Q1175*100</f>
        <v>71.428571428571431</v>
      </c>
      <c r="AI1175" s="535"/>
      <c r="AJ1175" s="561">
        <v>750</v>
      </c>
      <c r="AK1175" s="507">
        <f t="shared" si="821"/>
        <v>137.52455795677801</v>
      </c>
      <c r="AL1175" s="507">
        <f t="shared" si="822"/>
        <v>107.14285714285714</v>
      </c>
      <c r="AM1175" s="507">
        <f t="shared" si="822"/>
        <v>100</v>
      </c>
      <c r="AN1175" s="556"/>
      <c r="AO1175" s="510"/>
      <c r="AP1175" s="510" t="e">
        <f t="shared" ca="1" si="828"/>
        <v>#NAME?</v>
      </c>
      <c r="AQ1175" s="532">
        <v>459</v>
      </c>
      <c r="AR1175" s="533">
        <f t="shared" si="833"/>
        <v>137.52455795677801</v>
      </c>
      <c r="AS1175" s="533">
        <f t="shared" si="834"/>
        <v>100</v>
      </c>
      <c r="AT1175" s="533">
        <f t="shared" si="835"/>
        <v>137.52455795677801</v>
      </c>
      <c r="AU1175" s="533">
        <f>AQ1175/W1175*100</f>
        <v>65.571428571428569</v>
      </c>
      <c r="AV1175" s="533">
        <f>AQ1175/R1175*100</f>
        <v>90.176817288801573</v>
      </c>
      <c r="AW1175" s="612">
        <f>AQ1175</f>
        <v>459</v>
      </c>
      <c r="AX1175" s="612"/>
      <c r="AY1175" s="612"/>
      <c r="AZ1175" s="612"/>
      <c r="BA1175" s="612"/>
      <c r="BB1175" s="612"/>
      <c r="BC1175" s="612"/>
      <c r="BD1175" s="612"/>
      <c r="BE1175" s="612"/>
      <c r="BF1175" s="612"/>
      <c r="BG1175" s="612"/>
      <c r="BH1175" s="612">
        <f t="shared" si="830"/>
        <v>459</v>
      </c>
      <c r="BI1175" s="612">
        <f t="shared" si="823"/>
        <v>0</v>
      </c>
      <c r="BJ1175" s="201">
        <f>AQ1182-BI1175</f>
        <v>0</v>
      </c>
    </row>
    <row r="1176" spans="1:62" ht="12" customHeight="1">
      <c r="A1176" s="52"/>
      <c r="B1176" s="52"/>
      <c r="C1176" s="52"/>
      <c r="D1176" s="52"/>
      <c r="E1176" s="52"/>
      <c r="F1176" s="52"/>
      <c r="G1176" s="52"/>
      <c r="H1176" s="2"/>
      <c r="I1176" s="289"/>
      <c r="J1176" s="185"/>
      <c r="K1176" s="19"/>
      <c r="L1176" s="129"/>
      <c r="M1176" s="129"/>
      <c r="N1176" s="130"/>
      <c r="O1176" s="130"/>
      <c r="P1176" s="131"/>
      <c r="Q1176" s="131"/>
      <c r="R1176" s="153"/>
      <c r="S1176" s="158"/>
      <c r="T1176" s="158"/>
      <c r="U1176" s="158"/>
      <c r="V1176" s="532"/>
      <c r="W1176" s="532"/>
      <c r="X1176" s="560"/>
      <c r="Y1176" s="561"/>
      <c r="Z1176" s="561"/>
      <c r="AA1176" s="562" t="e">
        <f t="shared" ca="1" si="827"/>
        <v>#NAME?</v>
      </c>
      <c r="AB1176" s="535"/>
      <c r="AC1176" s="529"/>
      <c r="AD1176" s="529"/>
      <c r="AE1176" s="529"/>
      <c r="AF1176" s="529"/>
      <c r="AG1176" s="529"/>
      <c r="AH1176" s="529"/>
      <c r="AI1176" s="535"/>
      <c r="AJ1176" s="561"/>
      <c r="AK1176" s="507"/>
      <c r="AL1176" s="507"/>
      <c r="AM1176" s="507"/>
      <c r="AN1176" s="556"/>
      <c r="AO1176" s="510"/>
      <c r="AP1176" s="510" t="e">
        <f t="shared" ca="1" si="828"/>
        <v>#NAME?</v>
      </c>
      <c r="AQ1176" s="532"/>
      <c r="AR1176" s="533"/>
      <c r="AS1176" s="533"/>
      <c r="AT1176" s="533"/>
      <c r="AU1176" s="533"/>
      <c r="AV1176" s="533"/>
      <c r="AW1176" s="612"/>
      <c r="AX1176" s="612"/>
      <c r="AY1176" s="612"/>
      <c r="AZ1176" s="612"/>
      <c r="BA1176" s="612"/>
      <c r="BB1176" s="612"/>
      <c r="BC1176" s="612"/>
      <c r="BD1176" s="612"/>
      <c r="BE1176" s="612"/>
      <c r="BF1176" s="612"/>
      <c r="BG1176" s="612"/>
      <c r="BH1176" s="612">
        <f t="shared" si="830"/>
        <v>0</v>
      </c>
      <c r="BI1176" s="612">
        <f t="shared" si="823"/>
        <v>45995</v>
      </c>
      <c r="BJ1176" s="201">
        <f>AQ1183-BI1176</f>
        <v>0</v>
      </c>
    </row>
    <row r="1177" spans="1:62" ht="12" customHeight="1">
      <c r="A1177" s="282" t="s">
        <v>356</v>
      </c>
      <c r="B1177" s="283"/>
      <c r="C1177" s="283"/>
      <c r="D1177" s="283"/>
      <c r="E1177" s="283"/>
      <c r="F1177" s="283"/>
      <c r="G1177" s="283"/>
      <c r="H1177" s="318"/>
      <c r="I1177" s="366" t="s">
        <v>859</v>
      </c>
      <c r="J1177" s="367"/>
      <c r="K1177" s="368"/>
      <c r="L1177" s="250">
        <f t="shared" ref="L1177:S1177" si="858">L1179</f>
        <v>0</v>
      </c>
      <c r="M1177" s="250">
        <f t="shared" si="858"/>
        <v>0</v>
      </c>
      <c r="N1177" s="251">
        <f t="shared" si="858"/>
        <v>50000</v>
      </c>
      <c r="O1177" s="251">
        <f t="shared" si="858"/>
        <v>6636.1404207313026</v>
      </c>
      <c r="P1177" s="252">
        <f t="shared" si="858"/>
        <v>6700</v>
      </c>
      <c r="Q1177" s="252">
        <f t="shared" si="858"/>
        <v>39400</v>
      </c>
      <c r="R1177" s="272">
        <f t="shared" si="858"/>
        <v>38371</v>
      </c>
      <c r="S1177" s="273">
        <f t="shared" si="858"/>
        <v>0</v>
      </c>
      <c r="T1177" s="273"/>
      <c r="U1177" s="273"/>
      <c r="V1177" s="532">
        <f>V1179</f>
        <v>46000</v>
      </c>
      <c r="W1177" s="532">
        <f>W1179</f>
        <v>46000</v>
      </c>
      <c r="X1177" s="564">
        <f>X1179</f>
        <v>50000</v>
      </c>
      <c r="Y1177" s="565">
        <f>Y1179</f>
        <v>50000</v>
      </c>
      <c r="Z1177" s="565">
        <f>Z1179</f>
        <v>0</v>
      </c>
      <c r="AA1177" s="562" t="e">
        <f t="shared" ca="1" si="827"/>
        <v>#NAME?</v>
      </c>
      <c r="AB1177" s="565"/>
      <c r="AC1177" s="566">
        <f>AC1179</f>
        <v>10000</v>
      </c>
      <c r="AD1177" s="566">
        <f>AD1179</f>
        <v>10000</v>
      </c>
      <c r="AE1177" s="529"/>
      <c r="AF1177" s="529">
        <f>P1177/O1177*100</f>
        <v>100.9623</v>
      </c>
      <c r="AG1177" s="529">
        <f>Q1177/P1177*100</f>
        <v>588.05970149253733</v>
      </c>
      <c r="AH1177" s="529">
        <f>AC1177/Q1177*100</f>
        <v>25.380710659898476</v>
      </c>
      <c r="AI1177" s="565"/>
      <c r="AJ1177" s="565">
        <v>50000</v>
      </c>
      <c r="AK1177" s="507">
        <f t="shared" si="821"/>
        <v>119.88220270516796</v>
      </c>
      <c r="AL1177" s="507">
        <f t="shared" si="822"/>
        <v>108.69565217391303</v>
      </c>
      <c r="AM1177" s="507">
        <f t="shared" si="822"/>
        <v>100</v>
      </c>
      <c r="AN1177" s="567"/>
      <c r="AO1177" s="510"/>
      <c r="AP1177" s="510" t="e">
        <f t="shared" ca="1" si="828"/>
        <v>#NAME?</v>
      </c>
      <c r="AQ1177" s="532">
        <f>AQ1179</f>
        <v>45995</v>
      </c>
      <c r="AR1177" s="533">
        <f t="shared" si="833"/>
        <v>119.88220270516796</v>
      </c>
      <c r="AS1177" s="533">
        <f t="shared" si="834"/>
        <v>100</v>
      </c>
      <c r="AT1177" s="533">
        <f t="shared" si="835"/>
        <v>119.88220270516796</v>
      </c>
      <c r="AU1177" s="533">
        <f>AQ1177/W1177*100</f>
        <v>99.989130434782609</v>
      </c>
      <c r="AV1177" s="533">
        <f>AQ1177/R1177*100</f>
        <v>119.86917203096088</v>
      </c>
      <c r="AW1177" s="612"/>
      <c r="AX1177" s="612"/>
      <c r="AY1177" s="612"/>
      <c r="AZ1177" s="612"/>
      <c r="BA1177" s="612"/>
      <c r="BB1177" s="612"/>
      <c r="BC1177" s="612"/>
      <c r="BD1177" s="612"/>
      <c r="BE1177" s="612"/>
      <c r="BF1177" s="612"/>
      <c r="BG1177" s="612"/>
      <c r="BH1177" s="612">
        <f t="shared" si="830"/>
        <v>0</v>
      </c>
      <c r="BI1177" s="612">
        <f t="shared" ref="BI1177:BI1218" si="859">SUM(AW1184:BG1184)</f>
        <v>0</v>
      </c>
      <c r="BJ1177" s="201">
        <f>AQ1184-BI1177</f>
        <v>0</v>
      </c>
    </row>
    <row r="1178" spans="1:62" ht="12" customHeight="1">
      <c r="A1178" s="52"/>
      <c r="B1178" s="52"/>
      <c r="C1178" s="52"/>
      <c r="D1178" s="52"/>
      <c r="E1178" s="52"/>
      <c r="F1178" s="52"/>
      <c r="G1178" s="52"/>
      <c r="H1178" s="2"/>
      <c r="I1178" s="289"/>
      <c r="J1178" s="185"/>
      <c r="K1178" s="19"/>
      <c r="L1178" s="350"/>
      <c r="M1178" s="350"/>
      <c r="N1178" s="351"/>
      <c r="O1178" s="351"/>
      <c r="P1178" s="352"/>
      <c r="Q1178" s="352"/>
      <c r="R1178" s="212"/>
      <c r="S1178" s="180"/>
      <c r="T1178" s="180"/>
      <c r="U1178" s="180"/>
      <c r="V1178" s="532"/>
      <c r="W1178" s="532"/>
      <c r="X1178" s="563"/>
      <c r="Y1178" s="562"/>
      <c r="Z1178" s="562"/>
      <c r="AA1178" s="562" t="e">
        <f t="shared" ca="1" si="827"/>
        <v>#NAME?</v>
      </c>
      <c r="AB1178" s="507"/>
      <c r="AC1178" s="508"/>
      <c r="AD1178" s="508"/>
      <c r="AE1178" s="529"/>
      <c r="AF1178" s="529"/>
      <c r="AG1178" s="529"/>
      <c r="AH1178" s="529"/>
      <c r="AI1178" s="507"/>
      <c r="AJ1178" s="562"/>
      <c r="AK1178" s="507"/>
      <c r="AL1178" s="507"/>
      <c r="AM1178" s="507"/>
      <c r="AN1178" s="509"/>
      <c r="AO1178" s="510"/>
      <c r="AP1178" s="510" t="e">
        <f t="shared" ca="1" si="828"/>
        <v>#NAME?</v>
      </c>
      <c r="AQ1178" s="532"/>
      <c r="AR1178" s="533"/>
      <c r="AS1178" s="533"/>
      <c r="AT1178" s="533"/>
      <c r="AU1178" s="533"/>
      <c r="AV1178" s="533"/>
      <c r="AW1178" s="612"/>
      <c r="AX1178" s="612"/>
      <c r="AY1178" s="612"/>
      <c r="AZ1178" s="612"/>
      <c r="BA1178" s="612"/>
      <c r="BB1178" s="612"/>
      <c r="BC1178" s="612"/>
      <c r="BD1178" s="612"/>
      <c r="BE1178" s="612"/>
      <c r="BF1178" s="612"/>
      <c r="BG1178" s="612"/>
      <c r="BH1178" s="612">
        <f t="shared" si="830"/>
        <v>0</v>
      </c>
      <c r="BI1178" s="612">
        <f t="shared" si="859"/>
        <v>0</v>
      </c>
      <c r="BJ1178" s="201">
        <f>AQ1185-BI1178</f>
        <v>0</v>
      </c>
    </row>
    <row r="1179" spans="1:62" ht="12" customHeight="1">
      <c r="A1179" s="25"/>
      <c r="B1179" s="25"/>
      <c r="C1179" s="25"/>
      <c r="D1179" s="25"/>
      <c r="E1179" s="25"/>
      <c r="F1179" s="25"/>
      <c r="G1179" s="25"/>
      <c r="H1179" s="285"/>
      <c r="I1179" s="349"/>
      <c r="J1179" s="211">
        <v>3</v>
      </c>
      <c r="K1179" s="3" t="s">
        <v>220</v>
      </c>
      <c r="L1179" s="111">
        <f t="shared" ref="L1179:AD1180" si="860">L1180</f>
        <v>0</v>
      </c>
      <c r="M1179" s="111">
        <f t="shared" si="860"/>
        <v>0</v>
      </c>
      <c r="N1179" s="112">
        <f t="shared" si="860"/>
        <v>50000</v>
      </c>
      <c r="O1179" s="112">
        <f t="shared" si="860"/>
        <v>6636.1404207313026</v>
      </c>
      <c r="P1179" s="113">
        <f t="shared" si="860"/>
        <v>6700</v>
      </c>
      <c r="Q1179" s="113">
        <f t="shared" si="860"/>
        <v>39400</v>
      </c>
      <c r="R1179" s="87">
        <f t="shared" si="860"/>
        <v>38371</v>
      </c>
      <c r="S1179" s="89">
        <f t="shared" si="860"/>
        <v>0</v>
      </c>
      <c r="T1179" s="89"/>
      <c r="U1179" s="89"/>
      <c r="V1179" s="532">
        <f>V1180</f>
        <v>46000</v>
      </c>
      <c r="W1179" s="532">
        <f t="shared" si="860"/>
        <v>46000</v>
      </c>
      <c r="X1179" s="506">
        <f t="shared" si="860"/>
        <v>50000</v>
      </c>
      <c r="Y1179" s="507">
        <f t="shared" si="860"/>
        <v>50000</v>
      </c>
      <c r="Z1179" s="507">
        <f t="shared" si="860"/>
        <v>0</v>
      </c>
      <c r="AA1179" s="562" t="e">
        <f t="shared" ca="1" si="827"/>
        <v>#NAME?</v>
      </c>
      <c r="AB1179" s="507"/>
      <c r="AC1179" s="508">
        <f t="shared" si="860"/>
        <v>10000</v>
      </c>
      <c r="AD1179" s="508">
        <f t="shared" si="860"/>
        <v>10000</v>
      </c>
      <c r="AE1179" s="529"/>
      <c r="AF1179" s="529">
        <f t="shared" ref="AF1179:AG1181" si="861">P1179/O1179*100</f>
        <v>100.9623</v>
      </c>
      <c r="AG1179" s="529">
        <f t="shared" si="861"/>
        <v>588.05970149253733</v>
      </c>
      <c r="AH1179" s="529">
        <f>AC1179/Q1179*100</f>
        <v>25.380710659898476</v>
      </c>
      <c r="AI1179" s="507"/>
      <c r="AJ1179" s="507">
        <v>50000</v>
      </c>
      <c r="AK1179" s="507">
        <f t="shared" ref="AK1179:AK1223" si="862">W1179/R1179*100</f>
        <v>119.88220270516796</v>
      </c>
      <c r="AL1179" s="507">
        <f t="shared" ref="AL1179:AM1216" si="863">X1179/W1179*100</f>
        <v>108.69565217391303</v>
      </c>
      <c r="AM1179" s="507">
        <f t="shared" si="863"/>
        <v>100</v>
      </c>
      <c r="AN1179" s="509"/>
      <c r="AO1179" s="510"/>
      <c r="AP1179" s="510" t="e">
        <f t="shared" ca="1" si="828"/>
        <v>#NAME?</v>
      </c>
      <c r="AQ1179" s="532">
        <f>AQ1180</f>
        <v>45995</v>
      </c>
      <c r="AR1179" s="533">
        <f t="shared" si="833"/>
        <v>119.88220270516796</v>
      </c>
      <c r="AS1179" s="533">
        <f t="shared" si="834"/>
        <v>100</v>
      </c>
      <c r="AT1179" s="533">
        <f t="shared" si="835"/>
        <v>119.88220270516796</v>
      </c>
      <c r="AU1179" s="533">
        <f>AQ1179/W1179*100</f>
        <v>99.989130434782609</v>
      </c>
      <c r="AV1179" s="533">
        <f>AQ1179/R1179*100</f>
        <v>119.86917203096088</v>
      </c>
      <c r="AW1179" s="612"/>
      <c r="AX1179" s="612"/>
      <c r="AY1179" s="612"/>
      <c r="AZ1179" s="612"/>
      <c r="BA1179" s="612"/>
      <c r="BB1179" s="612"/>
      <c r="BC1179" s="612"/>
      <c r="BD1179" s="612"/>
      <c r="BE1179" s="612"/>
      <c r="BF1179" s="612"/>
      <c r="BG1179" s="612"/>
      <c r="BH1179" s="612">
        <f t="shared" si="830"/>
        <v>0</v>
      </c>
      <c r="BI1179" s="612">
        <f t="shared" si="859"/>
        <v>0</v>
      </c>
      <c r="BJ1179" s="201"/>
    </row>
    <row r="1180" spans="1:62" ht="12" customHeight="1">
      <c r="A1180" s="227"/>
      <c r="B1180" s="227"/>
      <c r="C1180" s="227"/>
      <c r="D1180" s="227"/>
      <c r="E1180" s="227"/>
      <c r="F1180" s="227"/>
      <c r="G1180" s="227"/>
      <c r="H1180" s="234"/>
      <c r="I1180" s="265"/>
      <c r="J1180" s="228">
        <v>32</v>
      </c>
      <c r="K1180" s="258" t="s">
        <v>229</v>
      </c>
      <c r="L1180" s="111">
        <f t="shared" si="860"/>
        <v>0</v>
      </c>
      <c r="M1180" s="111">
        <f t="shared" si="860"/>
        <v>0</v>
      </c>
      <c r="N1180" s="112">
        <f t="shared" si="860"/>
        <v>50000</v>
      </c>
      <c r="O1180" s="112">
        <f t="shared" si="860"/>
        <v>6636.1404207313026</v>
      </c>
      <c r="P1180" s="113">
        <f t="shared" si="860"/>
        <v>6700</v>
      </c>
      <c r="Q1180" s="113">
        <f t="shared" si="860"/>
        <v>39400</v>
      </c>
      <c r="R1180" s="87">
        <f t="shared" si="860"/>
        <v>38371</v>
      </c>
      <c r="S1180" s="89">
        <f t="shared" si="860"/>
        <v>0</v>
      </c>
      <c r="T1180" s="89"/>
      <c r="U1180" s="89"/>
      <c r="V1180" s="532">
        <f>V1181</f>
        <v>46000</v>
      </c>
      <c r="W1180" s="532">
        <f t="shared" si="860"/>
        <v>46000</v>
      </c>
      <c r="X1180" s="506">
        <f t="shared" si="860"/>
        <v>50000</v>
      </c>
      <c r="Y1180" s="507">
        <f t="shared" si="860"/>
        <v>50000</v>
      </c>
      <c r="Z1180" s="507">
        <f t="shared" si="860"/>
        <v>0</v>
      </c>
      <c r="AA1180" s="562" t="e">
        <f t="shared" ca="1" si="827"/>
        <v>#NAME?</v>
      </c>
      <c r="AB1180" s="507"/>
      <c r="AC1180" s="508">
        <f t="shared" si="860"/>
        <v>10000</v>
      </c>
      <c r="AD1180" s="508">
        <f t="shared" si="860"/>
        <v>10000</v>
      </c>
      <c r="AE1180" s="529"/>
      <c r="AF1180" s="529">
        <f t="shared" si="861"/>
        <v>100.9623</v>
      </c>
      <c r="AG1180" s="529">
        <f t="shared" si="861"/>
        <v>588.05970149253733</v>
      </c>
      <c r="AH1180" s="529">
        <f>AC1180/Q1180*100</f>
        <v>25.380710659898476</v>
      </c>
      <c r="AI1180" s="507"/>
      <c r="AJ1180" s="507">
        <v>50000</v>
      </c>
      <c r="AK1180" s="507">
        <f t="shared" si="862"/>
        <v>119.88220270516796</v>
      </c>
      <c r="AL1180" s="507">
        <f t="shared" si="863"/>
        <v>108.69565217391303</v>
      </c>
      <c r="AM1180" s="507">
        <f t="shared" si="863"/>
        <v>100</v>
      </c>
      <c r="AN1180" s="509"/>
      <c r="AO1180" s="510"/>
      <c r="AP1180" s="510" t="e">
        <f t="shared" ca="1" si="828"/>
        <v>#NAME?</v>
      </c>
      <c r="AQ1180" s="532">
        <f>AQ1181</f>
        <v>45995</v>
      </c>
      <c r="AR1180" s="533">
        <f t="shared" si="833"/>
        <v>119.88220270516796</v>
      </c>
      <c r="AS1180" s="533">
        <f t="shared" si="834"/>
        <v>100</v>
      </c>
      <c r="AT1180" s="533">
        <f t="shared" si="835"/>
        <v>119.88220270516796</v>
      </c>
      <c r="AU1180" s="533">
        <f>AQ1180/W1180*100</f>
        <v>99.989130434782609</v>
      </c>
      <c r="AV1180" s="533">
        <f>AQ1180/R1180*100</f>
        <v>119.86917203096088</v>
      </c>
      <c r="AW1180" s="612"/>
      <c r="AX1180" s="612"/>
      <c r="AY1180" s="612"/>
      <c r="AZ1180" s="612"/>
      <c r="BA1180" s="612"/>
      <c r="BB1180" s="612"/>
      <c r="BC1180" s="612"/>
      <c r="BD1180" s="612"/>
      <c r="BE1180" s="612"/>
      <c r="BF1180" s="612"/>
      <c r="BG1180" s="612"/>
      <c r="BH1180" s="612">
        <f t="shared" si="830"/>
        <v>0</v>
      </c>
      <c r="BI1180" s="612">
        <f t="shared" si="859"/>
        <v>0</v>
      </c>
      <c r="BJ1180" s="201"/>
    </row>
    <row r="1181" spans="1:62" ht="12" customHeight="1">
      <c r="A1181" s="61"/>
      <c r="B1181" s="61"/>
      <c r="C1181" s="61"/>
      <c r="D1181" s="61">
        <v>4</v>
      </c>
      <c r="E1181" s="61"/>
      <c r="F1181" s="61"/>
      <c r="G1181" s="61"/>
      <c r="H1181" s="230"/>
      <c r="I1181" s="348"/>
      <c r="J1181" s="229">
        <v>323</v>
      </c>
      <c r="K1181" s="20" t="s">
        <v>346</v>
      </c>
      <c r="L1181" s="111">
        <f t="shared" ref="L1181:S1181" si="864">L1182+L1183+L1184+L1185</f>
        <v>0</v>
      </c>
      <c r="M1181" s="111">
        <f t="shared" si="864"/>
        <v>0</v>
      </c>
      <c r="N1181" s="112">
        <f t="shared" si="864"/>
        <v>50000</v>
      </c>
      <c r="O1181" s="112">
        <f t="shared" si="864"/>
        <v>6636.1404207313026</v>
      </c>
      <c r="P1181" s="113">
        <f t="shared" si="864"/>
        <v>6700</v>
      </c>
      <c r="Q1181" s="113">
        <f t="shared" si="864"/>
        <v>39400</v>
      </c>
      <c r="R1181" s="87">
        <f t="shared" si="864"/>
        <v>38371</v>
      </c>
      <c r="S1181" s="89">
        <f t="shared" si="864"/>
        <v>0</v>
      </c>
      <c r="T1181" s="89"/>
      <c r="U1181" s="89"/>
      <c r="V1181" s="532">
        <f>V1182+V1183+V1184+V1185</f>
        <v>46000</v>
      </c>
      <c r="W1181" s="532">
        <f>W1182+W1183+W1184+W1185</f>
        <v>46000</v>
      </c>
      <c r="X1181" s="506">
        <f>X1182+X1183+X1184+X1185</f>
        <v>50000</v>
      </c>
      <c r="Y1181" s="507">
        <f>Y1182+Y1183+Y1184+Y1185</f>
        <v>50000</v>
      </c>
      <c r="Z1181" s="507">
        <f>Z1182+Z1183+Z1184+Z1185</f>
        <v>0</v>
      </c>
      <c r="AA1181" s="562" t="e">
        <f t="shared" ca="1" si="827"/>
        <v>#NAME?</v>
      </c>
      <c r="AB1181" s="507"/>
      <c r="AC1181" s="508">
        <f>AC1182+AC1183+AC1184+AC1185</f>
        <v>10000</v>
      </c>
      <c r="AD1181" s="508">
        <f>AD1182+AD1183+AD1184+AD1185</f>
        <v>10000</v>
      </c>
      <c r="AE1181" s="529"/>
      <c r="AF1181" s="529">
        <f t="shared" si="861"/>
        <v>100.9623</v>
      </c>
      <c r="AG1181" s="529">
        <f t="shared" si="861"/>
        <v>588.05970149253733</v>
      </c>
      <c r="AH1181" s="529">
        <f>AC1181/Q1181*100</f>
        <v>25.380710659898476</v>
      </c>
      <c r="AI1181" s="507"/>
      <c r="AJ1181" s="507">
        <v>50000</v>
      </c>
      <c r="AK1181" s="507">
        <f t="shared" si="862"/>
        <v>119.88220270516796</v>
      </c>
      <c r="AL1181" s="507">
        <f t="shared" si="863"/>
        <v>108.69565217391303</v>
      </c>
      <c r="AM1181" s="507">
        <f t="shared" si="863"/>
        <v>100</v>
      </c>
      <c r="AN1181" s="509"/>
      <c r="AO1181" s="510"/>
      <c r="AP1181" s="510" t="e">
        <f t="shared" ca="1" si="828"/>
        <v>#NAME?</v>
      </c>
      <c r="AQ1181" s="532">
        <f>AQ1182+AQ1183+AQ1184+AQ1185</f>
        <v>45995</v>
      </c>
      <c r="AR1181" s="533">
        <f t="shared" si="833"/>
        <v>119.88220270516796</v>
      </c>
      <c r="AS1181" s="533">
        <f t="shared" si="834"/>
        <v>100</v>
      </c>
      <c r="AT1181" s="533">
        <f t="shared" si="835"/>
        <v>119.88220270516796</v>
      </c>
      <c r="AU1181" s="533">
        <f>AQ1181/W1181*100</f>
        <v>99.989130434782609</v>
      </c>
      <c r="AV1181" s="533">
        <f>AQ1181/R1181*100</f>
        <v>119.86917203096088</v>
      </c>
      <c r="AW1181" s="612"/>
      <c r="AX1181" s="612"/>
      <c r="AY1181" s="612"/>
      <c r="AZ1181" s="612"/>
      <c r="BA1181" s="612"/>
      <c r="BB1181" s="612"/>
      <c r="BC1181" s="612"/>
      <c r="BD1181" s="612"/>
      <c r="BE1181" s="612"/>
      <c r="BF1181" s="612"/>
      <c r="BG1181" s="612"/>
      <c r="BH1181" s="612">
        <f t="shared" si="830"/>
        <v>0</v>
      </c>
      <c r="BI1181" s="612">
        <f t="shared" si="859"/>
        <v>0</v>
      </c>
      <c r="BJ1181" s="201"/>
    </row>
    <row r="1182" spans="1:62" ht="12" customHeight="1">
      <c r="A1182" s="52"/>
      <c r="B1182" s="52"/>
      <c r="C1182" s="52"/>
      <c r="D1182" s="52"/>
      <c r="E1182" s="52"/>
      <c r="F1182" s="52"/>
      <c r="G1182" s="52"/>
      <c r="H1182" s="2">
        <v>240</v>
      </c>
      <c r="I1182" s="289">
        <v>820</v>
      </c>
      <c r="J1182" s="185">
        <v>3232</v>
      </c>
      <c r="K1182" s="19" t="s">
        <v>860</v>
      </c>
      <c r="L1182" s="129">
        <v>0</v>
      </c>
      <c r="M1182" s="129">
        <v>0</v>
      </c>
      <c r="N1182" s="130">
        <v>0</v>
      </c>
      <c r="O1182" s="130">
        <f>N1182/7.5345</f>
        <v>0</v>
      </c>
      <c r="P1182" s="131">
        <v>4000</v>
      </c>
      <c r="Q1182" s="156">
        <v>0</v>
      </c>
      <c r="R1182" s="153">
        <v>0</v>
      </c>
      <c r="S1182" s="158"/>
      <c r="T1182" s="158"/>
      <c r="U1182" s="158"/>
      <c r="V1182" s="532"/>
      <c r="W1182" s="532"/>
      <c r="X1182" s="560"/>
      <c r="Y1182" s="561"/>
      <c r="Z1182" s="561"/>
      <c r="AA1182" s="562" t="e">
        <f t="shared" ca="1" si="827"/>
        <v>#NAME?</v>
      </c>
      <c r="AB1182" s="535"/>
      <c r="AC1182" s="529">
        <v>5000</v>
      </c>
      <c r="AD1182" s="529">
        <v>5000</v>
      </c>
      <c r="AE1182" s="529"/>
      <c r="AF1182" s="529"/>
      <c r="AG1182" s="529"/>
      <c r="AH1182" s="529"/>
      <c r="AI1182" s="535"/>
      <c r="AJ1182" s="561"/>
      <c r="AK1182" s="507"/>
      <c r="AL1182" s="507"/>
      <c r="AM1182" s="507"/>
      <c r="AN1182" s="556"/>
      <c r="AO1182" s="510"/>
      <c r="AP1182" s="510" t="e">
        <f t="shared" ca="1" si="828"/>
        <v>#NAME?</v>
      </c>
      <c r="AQ1182" s="532"/>
      <c r="AR1182" s="533"/>
      <c r="AS1182" s="533"/>
      <c r="AT1182" s="533"/>
      <c r="AU1182" s="533"/>
      <c r="AV1182" s="533"/>
      <c r="AW1182" s="612">
        <f>AQ1182</f>
        <v>0</v>
      </c>
      <c r="AX1182" s="612"/>
      <c r="AY1182" s="612"/>
      <c r="AZ1182" s="612"/>
      <c r="BA1182" s="612"/>
      <c r="BB1182" s="612"/>
      <c r="BC1182" s="612"/>
      <c r="BD1182" s="612"/>
      <c r="BE1182" s="612"/>
      <c r="BF1182" s="612"/>
      <c r="BG1182" s="612"/>
      <c r="BH1182" s="612">
        <f t="shared" si="830"/>
        <v>0</v>
      </c>
      <c r="BI1182" s="612">
        <f t="shared" si="859"/>
        <v>0</v>
      </c>
      <c r="BJ1182" s="201"/>
    </row>
    <row r="1183" spans="1:62" ht="12" customHeight="1">
      <c r="A1183" s="52"/>
      <c r="B1183" s="52"/>
      <c r="C1183" s="52"/>
      <c r="D1183" s="52"/>
      <c r="E1183" s="52"/>
      <c r="F1183" s="52"/>
      <c r="G1183" s="52"/>
      <c r="H1183" s="2">
        <v>241</v>
      </c>
      <c r="I1183" s="289">
        <v>820</v>
      </c>
      <c r="J1183" s="185">
        <v>3232</v>
      </c>
      <c r="K1183" s="19" t="s">
        <v>861</v>
      </c>
      <c r="L1183" s="129">
        <v>0</v>
      </c>
      <c r="M1183" s="129">
        <v>0</v>
      </c>
      <c r="N1183" s="130">
        <v>0</v>
      </c>
      <c r="O1183" s="130">
        <f>N1183/7.5345</f>
        <v>0</v>
      </c>
      <c r="P1183" s="131">
        <v>2700</v>
      </c>
      <c r="Q1183" s="156">
        <v>39400</v>
      </c>
      <c r="R1183" s="153">
        <v>38371</v>
      </c>
      <c r="S1183" s="158"/>
      <c r="T1183" s="158"/>
      <c r="U1183" s="158"/>
      <c r="V1183" s="532">
        <v>46000</v>
      </c>
      <c r="W1183" s="532">
        <v>46000</v>
      </c>
      <c r="X1183" s="560">
        <v>50000</v>
      </c>
      <c r="Y1183" s="561">
        <v>50000</v>
      </c>
      <c r="Z1183" s="561"/>
      <c r="AA1183" s="562" t="e">
        <f t="shared" ca="1" si="827"/>
        <v>#NAME?</v>
      </c>
      <c r="AB1183" s="535"/>
      <c r="AC1183" s="529">
        <v>5000</v>
      </c>
      <c r="AD1183" s="529">
        <v>5000</v>
      </c>
      <c r="AE1183" s="529"/>
      <c r="AF1183" s="529"/>
      <c r="AG1183" s="529"/>
      <c r="AH1183" s="529">
        <f>AC1183/Q1183*100</f>
        <v>12.690355329949238</v>
      </c>
      <c r="AI1183" s="535"/>
      <c r="AJ1183" s="561">
        <v>50000</v>
      </c>
      <c r="AK1183" s="507">
        <f t="shared" si="862"/>
        <v>119.88220270516796</v>
      </c>
      <c r="AL1183" s="507">
        <f t="shared" si="863"/>
        <v>108.69565217391303</v>
      </c>
      <c r="AM1183" s="507">
        <f t="shared" si="863"/>
        <v>100</v>
      </c>
      <c r="AN1183" s="556"/>
      <c r="AO1183" s="510"/>
      <c r="AP1183" s="510" t="e">
        <f t="shared" ca="1" si="828"/>
        <v>#NAME?</v>
      </c>
      <c r="AQ1183" s="532">
        <v>45995</v>
      </c>
      <c r="AR1183" s="533">
        <f t="shared" si="833"/>
        <v>119.88220270516796</v>
      </c>
      <c r="AS1183" s="533">
        <f t="shared" si="834"/>
        <v>100</v>
      </c>
      <c r="AT1183" s="533">
        <f t="shared" si="835"/>
        <v>119.88220270516796</v>
      </c>
      <c r="AU1183" s="533">
        <f>AQ1183/W1183*100</f>
        <v>99.989130434782609</v>
      </c>
      <c r="AV1183" s="533">
        <f>AQ1183/R1183*100</f>
        <v>119.86917203096088</v>
      </c>
      <c r="AW1183" s="612">
        <f>AQ1183</f>
        <v>45995</v>
      </c>
      <c r="AX1183" s="612"/>
      <c r="AY1183" s="612"/>
      <c r="AZ1183" s="612"/>
      <c r="BA1183" s="612"/>
      <c r="BB1183" s="612"/>
      <c r="BC1183" s="612"/>
      <c r="BD1183" s="612"/>
      <c r="BE1183" s="612"/>
      <c r="BF1183" s="612"/>
      <c r="BG1183" s="612"/>
      <c r="BH1183" s="612">
        <f t="shared" si="830"/>
        <v>45995</v>
      </c>
      <c r="BI1183" s="612">
        <f t="shared" si="859"/>
        <v>0</v>
      </c>
      <c r="BJ1183" s="201"/>
    </row>
    <row r="1184" spans="1:62" ht="12" customHeight="1">
      <c r="A1184" s="52"/>
      <c r="B1184" s="52"/>
      <c r="C1184" s="52"/>
      <c r="D1184" s="52"/>
      <c r="E1184" s="52"/>
      <c r="F1184" s="52"/>
      <c r="G1184" s="52"/>
      <c r="H1184" s="2">
        <v>242</v>
      </c>
      <c r="I1184" s="289">
        <v>820</v>
      </c>
      <c r="J1184" s="185">
        <v>3239</v>
      </c>
      <c r="K1184" s="19" t="s">
        <v>862</v>
      </c>
      <c r="L1184" s="129">
        <v>0</v>
      </c>
      <c r="M1184" s="129">
        <v>0</v>
      </c>
      <c r="N1184" s="130">
        <v>0</v>
      </c>
      <c r="O1184" s="130">
        <f>N1184/7.5345</f>
        <v>0</v>
      </c>
      <c r="P1184" s="131">
        <v>0</v>
      </c>
      <c r="Q1184" s="131">
        <v>0</v>
      </c>
      <c r="R1184" s="153">
        <v>0</v>
      </c>
      <c r="S1184" s="158"/>
      <c r="T1184" s="158"/>
      <c r="U1184" s="158"/>
      <c r="V1184" s="532"/>
      <c r="W1184" s="532"/>
      <c r="X1184" s="560"/>
      <c r="Y1184" s="561"/>
      <c r="Z1184" s="561"/>
      <c r="AA1184" s="562" t="e">
        <f t="shared" ca="1" si="827"/>
        <v>#NAME?</v>
      </c>
      <c r="AB1184" s="535"/>
      <c r="AC1184" s="529">
        <v>0</v>
      </c>
      <c r="AD1184" s="529">
        <v>0</v>
      </c>
      <c r="AE1184" s="529"/>
      <c r="AF1184" s="529"/>
      <c r="AG1184" s="529"/>
      <c r="AH1184" s="529"/>
      <c r="AI1184" s="535"/>
      <c r="AJ1184" s="561"/>
      <c r="AK1184" s="507"/>
      <c r="AL1184" s="507"/>
      <c r="AM1184" s="507"/>
      <c r="AN1184" s="556"/>
      <c r="AO1184" s="510"/>
      <c r="AP1184" s="510" t="e">
        <f t="shared" ca="1" si="828"/>
        <v>#NAME?</v>
      </c>
      <c r="AQ1184" s="532"/>
      <c r="AR1184" s="533"/>
      <c r="AS1184" s="533"/>
      <c r="AT1184" s="533"/>
      <c r="AU1184" s="533"/>
      <c r="AV1184" s="533"/>
      <c r="AW1184" s="612">
        <f>AQ1184</f>
        <v>0</v>
      </c>
      <c r="AX1184" s="612"/>
      <c r="AY1184" s="612"/>
      <c r="AZ1184" s="612"/>
      <c r="BA1184" s="612"/>
      <c r="BB1184" s="612"/>
      <c r="BC1184" s="612"/>
      <c r="BD1184" s="612"/>
      <c r="BE1184" s="612"/>
      <c r="BF1184" s="612"/>
      <c r="BG1184" s="612"/>
      <c r="BH1184" s="612">
        <f t="shared" si="830"/>
        <v>0</v>
      </c>
      <c r="BI1184" s="612">
        <f t="shared" si="859"/>
        <v>0</v>
      </c>
      <c r="BJ1184" s="201"/>
    </row>
    <row r="1185" spans="1:62" ht="12" customHeight="1">
      <c r="A1185" s="52"/>
      <c r="B1185" s="52"/>
      <c r="C1185" s="52"/>
      <c r="D1185" s="52"/>
      <c r="E1185" s="52"/>
      <c r="F1185" s="52"/>
      <c r="G1185" s="52"/>
      <c r="H1185" s="2">
        <v>243</v>
      </c>
      <c r="I1185" s="289">
        <v>820</v>
      </c>
      <c r="J1185" s="185">
        <v>3239</v>
      </c>
      <c r="K1185" s="19" t="s">
        <v>863</v>
      </c>
      <c r="L1185" s="129">
        <v>0</v>
      </c>
      <c r="M1185" s="129">
        <v>0</v>
      </c>
      <c r="N1185" s="130">
        <v>50000</v>
      </c>
      <c r="O1185" s="130">
        <f>N1185/7.5345</f>
        <v>6636.1404207313026</v>
      </c>
      <c r="P1185" s="131">
        <v>0</v>
      </c>
      <c r="Q1185" s="131">
        <v>0</v>
      </c>
      <c r="R1185" s="153">
        <v>0</v>
      </c>
      <c r="S1185" s="158"/>
      <c r="T1185" s="158"/>
      <c r="U1185" s="158"/>
      <c r="V1185" s="532"/>
      <c r="W1185" s="532"/>
      <c r="X1185" s="560"/>
      <c r="Y1185" s="561"/>
      <c r="Z1185" s="561"/>
      <c r="AA1185" s="562" t="e">
        <f t="shared" ca="1" si="827"/>
        <v>#NAME?</v>
      </c>
      <c r="AB1185" s="535"/>
      <c r="AC1185" s="529">
        <v>0</v>
      </c>
      <c r="AD1185" s="529">
        <v>0</v>
      </c>
      <c r="AE1185" s="529"/>
      <c r="AF1185" s="529"/>
      <c r="AG1185" s="529"/>
      <c r="AH1185" s="529"/>
      <c r="AI1185" s="535"/>
      <c r="AJ1185" s="561"/>
      <c r="AK1185" s="507"/>
      <c r="AL1185" s="507"/>
      <c r="AM1185" s="507"/>
      <c r="AN1185" s="556"/>
      <c r="AO1185" s="510"/>
      <c r="AP1185" s="510" t="e">
        <f t="shared" ca="1" si="828"/>
        <v>#NAME?</v>
      </c>
      <c r="AQ1185" s="532"/>
      <c r="AR1185" s="533"/>
      <c r="AS1185" s="533"/>
      <c r="AT1185" s="533"/>
      <c r="AU1185" s="533"/>
      <c r="AV1185" s="533"/>
      <c r="AW1185" s="612">
        <f>AQ1185</f>
        <v>0</v>
      </c>
      <c r="AX1185" s="612"/>
      <c r="AY1185" s="612"/>
      <c r="AZ1185" s="612"/>
      <c r="BA1185" s="612"/>
      <c r="BB1185" s="612"/>
      <c r="BC1185" s="612"/>
      <c r="BD1185" s="612"/>
      <c r="BE1185" s="612"/>
      <c r="BF1185" s="612"/>
      <c r="BG1185" s="612"/>
      <c r="BH1185" s="612">
        <f t="shared" si="830"/>
        <v>0</v>
      </c>
      <c r="BI1185" s="612">
        <f t="shared" si="859"/>
        <v>0</v>
      </c>
      <c r="BJ1185" s="201">
        <f>AQ1192-BI1185</f>
        <v>0</v>
      </c>
    </row>
    <row r="1186" spans="1:62" ht="12" customHeight="1">
      <c r="A1186" s="41"/>
      <c r="B1186" s="41"/>
      <c r="C1186" s="41"/>
      <c r="D1186" s="41"/>
      <c r="E1186" s="41"/>
      <c r="F1186" s="41"/>
      <c r="G1186" s="41"/>
      <c r="H1186" s="235"/>
      <c r="I1186" s="15"/>
      <c r="J1186" s="3"/>
      <c r="K1186" s="83"/>
      <c r="L1186" s="84">
        <v>1</v>
      </c>
      <c r="M1186" s="84">
        <v>2</v>
      </c>
      <c r="N1186" s="85">
        <v>3</v>
      </c>
      <c r="O1186" s="85">
        <v>4</v>
      </c>
      <c r="P1186" s="86">
        <v>5</v>
      </c>
      <c r="Q1186" s="86">
        <v>6</v>
      </c>
      <c r="R1186" s="154"/>
      <c r="S1186" s="155"/>
      <c r="T1186" s="155"/>
      <c r="U1186" s="155"/>
      <c r="V1186" s="532"/>
      <c r="W1186" s="532"/>
      <c r="X1186" s="568"/>
      <c r="Y1186" s="569"/>
      <c r="Z1186" s="569"/>
      <c r="AA1186" s="562" t="e">
        <f t="shared" ref="AA1186:AA1223" ca="1" si="865">__xlfn.ISFORMULA(R1186)</f>
        <v>#NAME?</v>
      </c>
      <c r="AB1186" s="537"/>
      <c r="AC1186" s="538">
        <v>7</v>
      </c>
      <c r="AD1186" s="538">
        <v>8</v>
      </c>
      <c r="AE1186" s="538">
        <v>9</v>
      </c>
      <c r="AF1186" s="538">
        <v>10</v>
      </c>
      <c r="AG1186" s="538">
        <v>11</v>
      </c>
      <c r="AH1186" s="538">
        <v>12</v>
      </c>
      <c r="AI1186" s="537"/>
      <c r="AJ1186" s="569"/>
      <c r="AK1186" s="507"/>
      <c r="AL1186" s="507"/>
      <c r="AM1186" s="507"/>
      <c r="AN1186" s="557"/>
      <c r="AO1186" s="510"/>
      <c r="AP1186" s="510" t="e">
        <f t="shared" ref="AP1186:AP1225" ca="1" si="866">__xlfn.ISFORMULA(X1186)</f>
        <v>#NAME?</v>
      </c>
      <c r="AQ1186" s="532"/>
      <c r="AR1186" s="533"/>
      <c r="AS1186" s="533"/>
      <c r="AT1186" s="533"/>
      <c r="AU1186" s="533"/>
      <c r="AV1186" s="533"/>
      <c r="AW1186" s="612"/>
      <c r="AX1186" s="612"/>
      <c r="AY1186" s="612"/>
      <c r="AZ1186" s="612"/>
      <c r="BA1186" s="612"/>
      <c r="BB1186" s="612"/>
      <c r="BC1186" s="612"/>
      <c r="BD1186" s="612"/>
      <c r="BE1186" s="612"/>
      <c r="BF1186" s="612"/>
      <c r="BG1186" s="612"/>
      <c r="BH1186" s="612">
        <f t="shared" si="830"/>
        <v>0</v>
      </c>
      <c r="BI1186" s="612">
        <f t="shared" si="859"/>
        <v>0</v>
      </c>
      <c r="BJ1186" s="201">
        <f>AQ1193-BI1186</f>
        <v>0</v>
      </c>
    </row>
    <row r="1187" spans="1:62" ht="12" customHeight="1">
      <c r="A1187" s="282" t="s">
        <v>568</v>
      </c>
      <c r="B1187" s="283"/>
      <c r="C1187" s="283"/>
      <c r="D1187" s="283"/>
      <c r="E1187" s="283"/>
      <c r="F1187" s="283"/>
      <c r="G1187" s="283"/>
      <c r="H1187" s="318"/>
      <c r="I1187" s="366" t="s">
        <v>864</v>
      </c>
      <c r="J1187" s="367"/>
      <c r="K1187" s="368"/>
      <c r="L1187" s="250">
        <f t="shared" ref="L1187:S1187" si="867">L1189</f>
        <v>15000</v>
      </c>
      <c r="M1187" s="250">
        <f t="shared" si="867"/>
        <v>1990.8421262193906</v>
      </c>
      <c r="N1187" s="251">
        <f t="shared" si="867"/>
        <v>20000</v>
      </c>
      <c r="O1187" s="251">
        <f t="shared" si="867"/>
        <v>2654.4561682925209</v>
      </c>
      <c r="P1187" s="252">
        <f t="shared" si="867"/>
        <v>4100</v>
      </c>
      <c r="Q1187" s="252">
        <f t="shared" si="867"/>
        <v>9400</v>
      </c>
      <c r="R1187" s="272">
        <f t="shared" si="867"/>
        <v>9314</v>
      </c>
      <c r="S1187" s="273">
        <f t="shared" si="867"/>
        <v>0</v>
      </c>
      <c r="T1187" s="273"/>
      <c r="U1187" s="273"/>
      <c r="V1187" s="532">
        <f>V1189</f>
        <v>0</v>
      </c>
      <c r="W1187" s="532">
        <f>W1189</f>
        <v>0</v>
      </c>
      <c r="X1187" s="564">
        <f>X1189</f>
        <v>0</v>
      </c>
      <c r="Y1187" s="565">
        <f>Y1189</f>
        <v>0</v>
      </c>
      <c r="Z1187" s="565">
        <f>Z1189</f>
        <v>0</v>
      </c>
      <c r="AA1187" s="562" t="e">
        <f t="shared" ca="1" si="865"/>
        <v>#NAME?</v>
      </c>
      <c r="AB1187" s="565"/>
      <c r="AC1187" s="566">
        <f>AC1189</f>
        <v>5000</v>
      </c>
      <c r="AD1187" s="566">
        <f>AD1189</f>
        <v>5000</v>
      </c>
      <c r="AE1187" s="529">
        <f>O1187/M1187*100</f>
        <v>133.33333333333334</v>
      </c>
      <c r="AF1187" s="529">
        <f>P1187/O1187*100</f>
        <v>154.45725000000002</v>
      </c>
      <c r="AG1187" s="529">
        <f>Q1187/P1187*100</f>
        <v>229.26829268292681</v>
      </c>
      <c r="AH1187" s="529">
        <f>AC1187/Q1187*100</f>
        <v>53.191489361702125</v>
      </c>
      <c r="AI1187" s="565"/>
      <c r="AJ1187" s="565">
        <v>0</v>
      </c>
      <c r="AK1187" s="507">
        <f t="shared" si="862"/>
        <v>0</v>
      </c>
      <c r="AL1187" s="507"/>
      <c r="AM1187" s="507"/>
      <c r="AN1187" s="567"/>
      <c r="AO1187" s="510"/>
      <c r="AP1187" s="510" t="e">
        <f t="shared" ca="1" si="866"/>
        <v>#NAME?</v>
      </c>
      <c r="AQ1187" s="532">
        <f>AQ1189</f>
        <v>5323</v>
      </c>
      <c r="AR1187" s="533">
        <f t="shared" si="833"/>
        <v>0</v>
      </c>
      <c r="AS1187" s="533"/>
      <c r="AT1187" s="533">
        <f t="shared" si="835"/>
        <v>0</v>
      </c>
      <c r="AU1187" s="533"/>
      <c r="AV1187" s="533">
        <f>AQ1187/R1187*100</f>
        <v>57.150526089757356</v>
      </c>
      <c r="AW1187" s="612"/>
      <c r="AX1187" s="612"/>
      <c r="AY1187" s="612"/>
      <c r="AZ1187" s="612"/>
      <c r="BA1187" s="612"/>
      <c r="BB1187" s="612"/>
      <c r="BC1187" s="612"/>
      <c r="BD1187" s="612"/>
      <c r="BE1187" s="612"/>
      <c r="BF1187" s="612"/>
      <c r="BG1187" s="612"/>
      <c r="BH1187" s="612">
        <f t="shared" si="830"/>
        <v>0</v>
      </c>
      <c r="BI1187" s="612">
        <f t="shared" si="859"/>
        <v>0</v>
      </c>
      <c r="BJ1187" s="201">
        <f>AQ1194-BI1187</f>
        <v>0</v>
      </c>
    </row>
    <row r="1188" spans="1:62" ht="12" customHeight="1">
      <c r="A1188" s="52"/>
      <c r="B1188" s="52"/>
      <c r="C1188" s="52"/>
      <c r="D1188" s="52"/>
      <c r="E1188" s="52"/>
      <c r="F1188" s="52"/>
      <c r="G1188" s="52"/>
      <c r="H1188" s="2"/>
      <c r="I1188" s="289"/>
      <c r="J1188" s="185"/>
      <c r="K1188" s="19"/>
      <c r="L1188" s="129"/>
      <c r="M1188" s="129"/>
      <c r="N1188" s="130"/>
      <c r="O1188" s="130"/>
      <c r="P1188" s="131"/>
      <c r="Q1188" s="131"/>
      <c r="R1188" s="153"/>
      <c r="S1188" s="158"/>
      <c r="T1188" s="158"/>
      <c r="U1188" s="158"/>
      <c r="V1188" s="532"/>
      <c r="W1188" s="532"/>
      <c r="X1188" s="560"/>
      <c r="Y1188" s="561"/>
      <c r="Z1188" s="561"/>
      <c r="AA1188" s="562" t="e">
        <f t="shared" ca="1" si="865"/>
        <v>#NAME?</v>
      </c>
      <c r="AB1188" s="535"/>
      <c r="AC1188" s="529"/>
      <c r="AD1188" s="529"/>
      <c r="AE1188" s="529"/>
      <c r="AF1188" s="529"/>
      <c r="AG1188" s="529"/>
      <c r="AH1188" s="529"/>
      <c r="AI1188" s="535"/>
      <c r="AJ1188" s="561"/>
      <c r="AK1188" s="507"/>
      <c r="AL1188" s="507"/>
      <c r="AM1188" s="507"/>
      <c r="AN1188" s="556"/>
      <c r="AO1188" s="510"/>
      <c r="AP1188" s="510" t="e">
        <f t="shared" ca="1" si="866"/>
        <v>#NAME?</v>
      </c>
      <c r="AQ1188" s="532"/>
      <c r="AR1188" s="533"/>
      <c r="AS1188" s="533"/>
      <c r="AT1188" s="533"/>
      <c r="AU1188" s="533"/>
      <c r="AV1188" s="533"/>
      <c r="AW1188" s="612"/>
      <c r="AX1188" s="612"/>
      <c r="AY1188" s="612"/>
      <c r="AZ1188" s="612"/>
      <c r="BA1188" s="612"/>
      <c r="BB1188" s="612"/>
      <c r="BC1188" s="612"/>
      <c r="BD1188" s="612"/>
      <c r="BE1188" s="612"/>
      <c r="BF1188" s="612"/>
      <c r="BG1188" s="612"/>
      <c r="BH1188" s="612">
        <f t="shared" si="830"/>
        <v>0</v>
      </c>
      <c r="BI1188" s="612">
        <f t="shared" si="859"/>
        <v>5323</v>
      </c>
      <c r="BJ1188" s="201">
        <f>AQ1195-BI1188</f>
        <v>0</v>
      </c>
    </row>
    <row r="1189" spans="1:62" ht="12" customHeight="1">
      <c r="A1189" s="25"/>
      <c r="B1189" s="25"/>
      <c r="C1189" s="25"/>
      <c r="D1189" s="25"/>
      <c r="E1189" s="25"/>
      <c r="F1189" s="25"/>
      <c r="G1189" s="25"/>
      <c r="H1189" s="285"/>
      <c r="I1189" s="349"/>
      <c r="J1189" s="211">
        <v>3</v>
      </c>
      <c r="K1189" s="3" t="s">
        <v>220</v>
      </c>
      <c r="L1189" s="111">
        <f t="shared" ref="L1189:AD1190" si="868">L1190</f>
        <v>15000</v>
      </c>
      <c r="M1189" s="111">
        <f t="shared" si="868"/>
        <v>1990.8421262193906</v>
      </c>
      <c r="N1189" s="112">
        <f t="shared" si="868"/>
        <v>20000</v>
      </c>
      <c r="O1189" s="112">
        <f t="shared" si="868"/>
        <v>2654.4561682925209</v>
      </c>
      <c r="P1189" s="113">
        <f t="shared" si="868"/>
        <v>4100</v>
      </c>
      <c r="Q1189" s="113">
        <f t="shared" si="868"/>
        <v>9400</v>
      </c>
      <c r="R1189" s="87">
        <f t="shared" si="868"/>
        <v>9314</v>
      </c>
      <c r="S1189" s="89">
        <f t="shared" si="868"/>
        <v>0</v>
      </c>
      <c r="T1189" s="89"/>
      <c r="U1189" s="89"/>
      <c r="V1189" s="532">
        <f>V1190</f>
        <v>0</v>
      </c>
      <c r="W1189" s="532">
        <f t="shared" si="868"/>
        <v>0</v>
      </c>
      <c r="X1189" s="506">
        <f t="shared" si="868"/>
        <v>0</v>
      </c>
      <c r="Y1189" s="507">
        <f t="shared" si="868"/>
        <v>0</v>
      </c>
      <c r="Z1189" s="507">
        <f t="shared" si="868"/>
        <v>0</v>
      </c>
      <c r="AA1189" s="562" t="e">
        <f t="shared" ca="1" si="865"/>
        <v>#NAME?</v>
      </c>
      <c r="AB1189" s="507"/>
      <c r="AC1189" s="508">
        <f t="shared" si="868"/>
        <v>5000</v>
      </c>
      <c r="AD1189" s="508">
        <f t="shared" si="868"/>
        <v>5000</v>
      </c>
      <c r="AE1189" s="529">
        <f>O1189/M1189*100</f>
        <v>133.33333333333334</v>
      </c>
      <c r="AF1189" s="529">
        <f t="shared" ref="AF1189:AG1191" si="869">P1189/O1189*100</f>
        <v>154.45725000000002</v>
      </c>
      <c r="AG1189" s="529">
        <f t="shared" si="869"/>
        <v>229.26829268292681</v>
      </c>
      <c r="AH1189" s="529">
        <f>AC1189/Q1189*100</f>
        <v>53.191489361702125</v>
      </c>
      <c r="AI1189" s="507"/>
      <c r="AJ1189" s="507">
        <v>0</v>
      </c>
      <c r="AK1189" s="507">
        <f t="shared" si="862"/>
        <v>0</v>
      </c>
      <c r="AL1189" s="507"/>
      <c r="AM1189" s="507"/>
      <c r="AN1189" s="509"/>
      <c r="AO1189" s="510"/>
      <c r="AP1189" s="510" t="e">
        <f t="shared" ca="1" si="866"/>
        <v>#NAME?</v>
      </c>
      <c r="AQ1189" s="532">
        <f>AQ1190</f>
        <v>5323</v>
      </c>
      <c r="AR1189" s="533">
        <f t="shared" si="833"/>
        <v>0</v>
      </c>
      <c r="AS1189" s="533"/>
      <c r="AT1189" s="533">
        <f t="shared" si="835"/>
        <v>0</v>
      </c>
      <c r="AU1189" s="533"/>
      <c r="AV1189" s="533">
        <f>AQ1189/R1189*100</f>
        <v>57.150526089757356</v>
      </c>
      <c r="AW1189" s="612"/>
      <c r="AX1189" s="612"/>
      <c r="AY1189" s="612"/>
      <c r="AZ1189" s="612"/>
      <c r="BA1189" s="612"/>
      <c r="BB1189" s="612"/>
      <c r="BC1189" s="612"/>
      <c r="BD1189" s="612"/>
      <c r="BE1189" s="612"/>
      <c r="BF1189" s="612"/>
      <c r="BG1189" s="612"/>
      <c r="BH1189" s="612">
        <f t="shared" ref="BH1189:BH1225" si="870">SUM(AW1189:BG1189)</f>
        <v>0</v>
      </c>
      <c r="BI1189" s="612">
        <f t="shared" si="859"/>
        <v>0</v>
      </c>
      <c r="BJ1189" s="201"/>
    </row>
    <row r="1190" spans="1:62" ht="12" customHeight="1">
      <c r="A1190" s="227"/>
      <c r="B1190" s="227"/>
      <c r="C1190" s="227"/>
      <c r="D1190" s="227"/>
      <c r="E1190" s="227"/>
      <c r="F1190" s="227"/>
      <c r="G1190" s="227"/>
      <c r="H1190" s="234"/>
      <c r="I1190" s="265"/>
      <c r="J1190" s="228">
        <v>32</v>
      </c>
      <c r="K1190" s="258" t="s">
        <v>229</v>
      </c>
      <c r="L1190" s="111">
        <f t="shared" si="868"/>
        <v>15000</v>
      </c>
      <c r="M1190" s="111">
        <f t="shared" si="868"/>
        <v>1990.8421262193906</v>
      </c>
      <c r="N1190" s="112">
        <f t="shared" si="868"/>
        <v>20000</v>
      </c>
      <c r="O1190" s="112">
        <f t="shared" si="868"/>
        <v>2654.4561682925209</v>
      </c>
      <c r="P1190" s="113">
        <f t="shared" si="868"/>
        <v>4100</v>
      </c>
      <c r="Q1190" s="113">
        <f t="shared" si="868"/>
        <v>9400</v>
      </c>
      <c r="R1190" s="87">
        <f t="shared" si="868"/>
        <v>9314</v>
      </c>
      <c r="S1190" s="89">
        <f t="shared" si="868"/>
        <v>0</v>
      </c>
      <c r="T1190" s="89"/>
      <c r="U1190" s="89"/>
      <c r="V1190" s="532">
        <f>V1191</f>
        <v>0</v>
      </c>
      <c r="W1190" s="532">
        <f t="shared" si="868"/>
        <v>0</v>
      </c>
      <c r="X1190" s="506">
        <f t="shared" si="868"/>
        <v>0</v>
      </c>
      <c r="Y1190" s="507">
        <f t="shared" si="868"/>
        <v>0</v>
      </c>
      <c r="Z1190" s="507">
        <f t="shared" si="868"/>
        <v>0</v>
      </c>
      <c r="AA1190" s="562" t="e">
        <f t="shared" ca="1" si="865"/>
        <v>#NAME?</v>
      </c>
      <c r="AB1190" s="507"/>
      <c r="AC1190" s="508">
        <f t="shared" si="868"/>
        <v>5000</v>
      </c>
      <c r="AD1190" s="508">
        <f t="shared" si="868"/>
        <v>5000</v>
      </c>
      <c r="AE1190" s="529">
        <f>O1190/M1190*100</f>
        <v>133.33333333333334</v>
      </c>
      <c r="AF1190" s="529">
        <f t="shared" si="869"/>
        <v>154.45725000000002</v>
      </c>
      <c r="AG1190" s="529">
        <f t="shared" si="869"/>
        <v>229.26829268292681</v>
      </c>
      <c r="AH1190" s="529">
        <f>AC1190/Q1190*100</f>
        <v>53.191489361702125</v>
      </c>
      <c r="AI1190" s="507"/>
      <c r="AJ1190" s="507">
        <v>0</v>
      </c>
      <c r="AK1190" s="507">
        <f t="shared" si="862"/>
        <v>0</v>
      </c>
      <c r="AL1190" s="507"/>
      <c r="AM1190" s="507"/>
      <c r="AN1190" s="509"/>
      <c r="AO1190" s="510"/>
      <c r="AP1190" s="510" t="e">
        <f t="shared" ca="1" si="866"/>
        <v>#NAME?</v>
      </c>
      <c r="AQ1190" s="532">
        <f>AQ1191</f>
        <v>5323</v>
      </c>
      <c r="AR1190" s="533">
        <f t="shared" si="833"/>
        <v>0</v>
      </c>
      <c r="AS1190" s="533"/>
      <c r="AT1190" s="533">
        <f t="shared" si="835"/>
        <v>0</v>
      </c>
      <c r="AU1190" s="533"/>
      <c r="AV1190" s="533">
        <f>AQ1190/R1190*100</f>
        <v>57.150526089757356</v>
      </c>
      <c r="AW1190" s="612"/>
      <c r="AX1190" s="612"/>
      <c r="AY1190" s="612"/>
      <c r="AZ1190" s="612"/>
      <c r="BA1190" s="612"/>
      <c r="BB1190" s="612"/>
      <c r="BC1190" s="612"/>
      <c r="BD1190" s="612"/>
      <c r="BE1190" s="612"/>
      <c r="BF1190" s="612"/>
      <c r="BG1190" s="612"/>
      <c r="BH1190" s="612">
        <f t="shared" si="870"/>
        <v>0</v>
      </c>
      <c r="BI1190" s="612">
        <f t="shared" si="859"/>
        <v>0</v>
      </c>
      <c r="BJ1190" s="201"/>
    </row>
    <row r="1191" spans="1:62" ht="12" customHeight="1">
      <c r="A1191" s="61"/>
      <c r="B1191" s="61"/>
      <c r="C1191" s="61"/>
      <c r="D1191" s="61">
        <v>4</v>
      </c>
      <c r="E1191" s="61"/>
      <c r="F1191" s="61"/>
      <c r="G1191" s="61"/>
      <c r="H1191" s="230"/>
      <c r="I1191" s="348"/>
      <c r="J1191" s="229">
        <v>323</v>
      </c>
      <c r="K1191" s="20" t="s">
        <v>346</v>
      </c>
      <c r="L1191" s="111">
        <f t="shared" ref="L1191:S1191" si="871">L1192+L1193+L1194+L1195</f>
        <v>15000</v>
      </c>
      <c r="M1191" s="111">
        <f t="shared" si="871"/>
        <v>1990.8421262193906</v>
      </c>
      <c r="N1191" s="112">
        <f t="shared" si="871"/>
        <v>20000</v>
      </c>
      <c r="O1191" s="112">
        <f t="shared" si="871"/>
        <v>2654.4561682925209</v>
      </c>
      <c r="P1191" s="113">
        <f t="shared" si="871"/>
        <v>4100</v>
      </c>
      <c r="Q1191" s="113">
        <f t="shared" si="871"/>
        <v>9400</v>
      </c>
      <c r="R1191" s="87">
        <f t="shared" si="871"/>
        <v>9314</v>
      </c>
      <c r="S1191" s="89">
        <f t="shared" si="871"/>
        <v>0</v>
      </c>
      <c r="T1191" s="89"/>
      <c r="U1191" s="89"/>
      <c r="V1191" s="532">
        <f>V1192+V1193+V1194+V1195</f>
        <v>0</v>
      </c>
      <c r="W1191" s="532">
        <f>W1192+W1193+W1194+W1195</f>
        <v>0</v>
      </c>
      <c r="X1191" s="506">
        <f>X1192+X1193+X1194+X1195</f>
        <v>0</v>
      </c>
      <c r="Y1191" s="507">
        <f>Y1192+Y1193+Y1194+Y1195</f>
        <v>0</v>
      </c>
      <c r="Z1191" s="507">
        <f>Z1192+Z1193+Z1194+Z1195</f>
        <v>0</v>
      </c>
      <c r="AA1191" s="562" t="e">
        <f t="shared" ca="1" si="865"/>
        <v>#NAME?</v>
      </c>
      <c r="AB1191" s="507"/>
      <c r="AC1191" s="508">
        <f>AC1192+AC1193+AC1194+AC1195</f>
        <v>5000</v>
      </c>
      <c r="AD1191" s="508">
        <f>AD1192+AD1193+AD1194+AD1195</f>
        <v>5000</v>
      </c>
      <c r="AE1191" s="529">
        <f>O1191/M1191*100</f>
        <v>133.33333333333334</v>
      </c>
      <c r="AF1191" s="529">
        <f t="shared" si="869"/>
        <v>154.45725000000002</v>
      </c>
      <c r="AG1191" s="529">
        <f t="shared" si="869"/>
        <v>229.26829268292681</v>
      </c>
      <c r="AH1191" s="529">
        <f>AC1191/Q1191*100</f>
        <v>53.191489361702125</v>
      </c>
      <c r="AI1191" s="507"/>
      <c r="AJ1191" s="507">
        <v>0</v>
      </c>
      <c r="AK1191" s="507">
        <f t="shared" si="862"/>
        <v>0</v>
      </c>
      <c r="AL1191" s="507"/>
      <c r="AM1191" s="507"/>
      <c r="AN1191" s="509"/>
      <c r="AO1191" s="510"/>
      <c r="AP1191" s="510" t="e">
        <f t="shared" ca="1" si="866"/>
        <v>#NAME?</v>
      </c>
      <c r="AQ1191" s="532">
        <f>AQ1192+AQ1193+AQ1194+AQ1195</f>
        <v>5323</v>
      </c>
      <c r="AR1191" s="533">
        <f t="shared" si="833"/>
        <v>0</v>
      </c>
      <c r="AS1191" s="533"/>
      <c r="AT1191" s="533">
        <f t="shared" si="835"/>
        <v>0</v>
      </c>
      <c r="AU1191" s="533"/>
      <c r="AV1191" s="533">
        <f>AQ1191/R1191*100</f>
        <v>57.150526089757356</v>
      </c>
      <c r="AW1191" s="612"/>
      <c r="AX1191" s="612"/>
      <c r="AY1191" s="612"/>
      <c r="AZ1191" s="612"/>
      <c r="BA1191" s="612"/>
      <c r="BB1191" s="612"/>
      <c r="BC1191" s="612"/>
      <c r="BD1191" s="612"/>
      <c r="BE1191" s="612"/>
      <c r="BF1191" s="612"/>
      <c r="BG1191" s="612"/>
      <c r="BH1191" s="612">
        <f t="shared" si="870"/>
        <v>0</v>
      </c>
      <c r="BI1191" s="612">
        <f t="shared" si="859"/>
        <v>0</v>
      </c>
      <c r="BJ1191" s="201"/>
    </row>
    <row r="1192" spans="1:62" ht="12" customHeight="1">
      <c r="A1192" s="52"/>
      <c r="B1192" s="52"/>
      <c r="C1192" s="52"/>
      <c r="D1192" s="52"/>
      <c r="E1192" s="52"/>
      <c r="F1192" s="52"/>
      <c r="G1192" s="52"/>
      <c r="H1192" s="2">
        <v>250</v>
      </c>
      <c r="I1192" s="289">
        <v>820</v>
      </c>
      <c r="J1192" s="185">
        <v>3239</v>
      </c>
      <c r="K1192" s="19" t="s">
        <v>865</v>
      </c>
      <c r="L1192" s="129"/>
      <c r="M1192" s="129"/>
      <c r="N1192" s="130"/>
      <c r="O1192" s="130"/>
      <c r="P1192" s="131"/>
      <c r="Q1192" s="131"/>
      <c r="R1192" s="153"/>
      <c r="S1192" s="158"/>
      <c r="T1192" s="158"/>
      <c r="U1192" s="158"/>
      <c r="V1192" s="532"/>
      <c r="W1192" s="532"/>
      <c r="X1192" s="560"/>
      <c r="Y1192" s="561"/>
      <c r="Z1192" s="561"/>
      <c r="AA1192" s="562" t="e">
        <f t="shared" ca="1" si="865"/>
        <v>#NAME?</v>
      </c>
      <c r="AB1192" s="535"/>
      <c r="AC1192" s="529"/>
      <c r="AD1192" s="529"/>
      <c r="AE1192" s="529"/>
      <c r="AF1192" s="529"/>
      <c r="AG1192" s="529"/>
      <c r="AH1192" s="529"/>
      <c r="AI1192" s="535"/>
      <c r="AJ1192" s="561"/>
      <c r="AK1192" s="507"/>
      <c r="AL1192" s="507"/>
      <c r="AM1192" s="507"/>
      <c r="AN1192" s="556"/>
      <c r="AO1192" s="510"/>
      <c r="AP1192" s="510" t="e">
        <f t="shared" ca="1" si="866"/>
        <v>#NAME?</v>
      </c>
      <c r="AQ1192" s="532"/>
      <c r="AR1192" s="533"/>
      <c r="AS1192" s="533"/>
      <c r="AT1192" s="533"/>
      <c r="AU1192" s="533"/>
      <c r="AV1192" s="533"/>
      <c r="AW1192" s="612">
        <f>AQ1192</f>
        <v>0</v>
      </c>
      <c r="AX1192" s="612"/>
      <c r="AY1192" s="612"/>
      <c r="AZ1192" s="612"/>
      <c r="BA1192" s="612"/>
      <c r="BB1192" s="612"/>
      <c r="BC1192" s="612"/>
      <c r="BD1192" s="612"/>
      <c r="BE1192" s="612"/>
      <c r="BF1192" s="612"/>
      <c r="BG1192" s="612"/>
      <c r="BH1192" s="612">
        <f t="shared" si="870"/>
        <v>0</v>
      </c>
      <c r="BI1192" s="612">
        <f t="shared" si="859"/>
        <v>0</v>
      </c>
      <c r="BJ1192" s="201"/>
    </row>
    <row r="1193" spans="1:62" ht="12" customHeight="1">
      <c r="A1193" s="52"/>
      <c r="B1193" s="52"/>
      <c r="C1193" s="52"/>
      <c r="D1193" s="52"/>
      <c r="E1193" s="52"/>
      <c r="F1193" s="52"/>
      <c r="G1193" s="52"/>
      <c r="H1193" s="2">
        <v>251</v>
      </c>
      <c r="I1193" s="289">
        <v>820</v>
      </c>
      <c r="J1193" s="185">
        <v>3239</v>
      </c>
      <c r="K1193" s="19" t="s">
        <v>866</v>
      </c>
      <c r="L1193" s="129"/>
      <c r="M1193" s="129"/>
      <c r="N1193" s="130"/>
      <c r="O1193" s="130"/>
      <c r="P1193" s="131"/>
      <c r="Q1193" s="131"/>
      <c r="R1193" s="153"/>
      <c r="S1193" s="158"/>
      <c r="T1193" s="158"/>
      <c r="U1193" s="158"/>
      <c r="V1193" s="532"/>
      <c r="W1193" s="532"/>
      <c r="X1193" s="560"/>
      <c r="Y1193" s="561"/>
      <c r="Z1193" s="561"/>
      <c r="AA1193" s="562" t="e">
        <f t="shared" ca="1" si="865"/>
        <v>#NAME?</v>
      </c>
      <c r="AB1193" s="535"/>
      <c r="AC1193" s="529"/>
      <c r="AD1193" s="529"/>
      <c r="AE1193" s="529"/>
      <c r="AF1193" s="529"/>
      <c r="AG1193" s="529"/>
      <c r="AH1193" s="529"/>
      <c r="AI1193" s="535"/>
      <c r="AJ1193" s="561"/>
      <c r="AK1193" s="507"/>
      <c r="AL1193" s="507"/>
      <c r="AM1193" s="507"/>
      <c r="AN1193" s="556"/>
      <c r="AO1193" s="510"/>
      <c r="AP1193" s="510" t="e">
        <f t="shared" ca="1" si="866"/>
        <v>#NAME?</v>
      </c>
      <c r="AQ1193" s="532"/>
      <c r="AR1193" s="533"/>
      <c r="AS1193" s="533"/>
      <c r="AT1193" s="533"/>
      <c r="AU1193" s="533"/>
      <c r="AV1193" s="533"/>
      <c r="AW1193" s="612">
        <f>AQ1193</f>
        <v>0</v>
      </c>
      <c r="AX1193" s="612"/>
      <c r="AY1193" s="612"/>
      <c r="AZ1193" s="612"/>
      <c r="BA1193" s="612"/>
      <c r="BB1193" s="612"/>
      <c r="BC1193" s="612"/>
      <c r="BD1193" s="612"/>
      <c r="BE1193" s="612"/>
      <c r="BF1193" s="612"/>
      <c r="BG1193" s="612"/>
      <c r="BH1193" s="612">
        <f t="shared" si="870"/>
        <v>0</v>
      </c>
      <c r="BI1193" s="612">
        <f t="shared" si="859"/>
        <v>0</v>
      </c>
      <c r="BJ1193" s="201"/>
    </row>
    <row r="1194" spans="1:62" ht="12" customHeight="1">
      <c r="A1194" s="52"/>
      <c r="B1194" s="52"/>
      <c r="C1194" s="52"/>
      <c r="D1194" s="52"/>
      <c r="E1194" s="52"/>
      <c r="F1194" s="52"/>
      <c r="G1194" s="52"/>
      <c r="H1194" s="2" t="s">
        <v>867</v>
      </c>
      <c r="I1194" s="289">
        <v>820</v>
      </c>
      <c r="J1194" s="185">
        <v>3239</v>
      </c>
      <c r="K1194" s="19" t="s">
        <v>868</v>
      </c>
      <c r="L1194" s="129">
        <v>15000</v>
      </c>
      <c r="M1194" s="129">
        <f>15000/7.5345</f>
        <v>1990.8421262193906</v>
      </c>
      <c r="N1194" s="130">
        <v>0</v>
      </c>
      <c r="O1194" s="130">
        <f>N1194/7.5345</f>
        <v>0</v>
      </c>
      <c r="P1194" s="131">
        <v>1400</v>
      </c>
      <c r="Q1194" s="156">
        <v>0</v>
      </c>
      <c r="R1194" s="153">
        <v>0</v>
      </c>
      <c r="S1194" s="158"/>
      <c r="T1194" s="158"/>
      <c r="U1194" s="158"/>
      <c r="V1194" s="532"/>
      <c r="W1194" s="532"/>
      <c r="X1194" s="560"/>
      <c r="Y1194" s="561"/>
      <c r="Z1194" s="561"/>
      <c r="AA1194" s="562" t="e">
        <f t="shared" ca="1" si="865"/>
        <v>#NAME?</v>
      </c>
      <c r="AB1194" s="535"/>
      <c r="AC1194" s="529">
        <v>5000</v>
      </c>
      <c r="AD1194" s="529">
        <v>5000</v>
      </c>
      <c r="AE1194" s="529">
        <f>O1194/M1194*100</f>
        <v>0</v>
      </c>
      <c r="AF1194" s="529"/>
      <c r="AG1194" s="529"/>
      <c r="AH1194" s="529"/>
      <c r="AI1194" s="535"/>
      <c r="AJ1194" s="561"/>
      <c r="AK1194" s="507"/>
      <c r="AL1194" s="507"/>
      <c r="AM1194" s="507"/>
      <c r="AN1194" s="556"/>
      <c r="AO1194" s="510"/>
      <c r="AP1194" s="510" t="e">
        <f t="shared" ca="1" si="866"/>
        <v>#NAME?</v>
      </c>
      <c r="AQ1194" s="532"/>
      <c r="AR1194" s="533"/>
      <c r="AS1194" s="533"/>
      <c r="AT1194" s="533"/>
      <c r="AU1194" s="533"/>
      <c r="AV1194" s="533"/>
      <c r="AW1194" s="612">
        <f>AQ1194</f>
        <v>0</v>
      </c>
      <c r="AX1194" s="612"/>
      <c r="AY1194" s="612"/>
      <c r="AZ1194" s="612"/>
      <c r="BA1194" s="612"/>
      <c r="BB1194" s="612"/>
      <c r="BC1194" s="612"/>
      <c r="BD1194" s="612"/>
      <c r="BE1194" s="612"/>
      <c r="BF1194" s="612"/>
      <c r="BG1194" s="612"/>
      <c r="BH1194" s="612">
        <f t="shared" si="870"/>
        <v>0</v>
      </c>
      <c r="BI1194" s="612">
        <f t="shared" si="859"/>
        <v>6693</v>
      </c>
      <c r="BJ1194" s="201">
        <f>AQ1201-BI1194</f>
        <v>0</v>
      </c>
    </row>
    <row r="1195" spans="1:62" ht="12" customHeight="1">
      <c r="A1195" s="52"/>
      <c r="B1195" s="52"/>
      <c r="C1195" s="52"/>
      <c r="D1195" s="52"/>
      <c r="E1195" s="52"/>
      <c r="F1195" s="52"/>
      <c r="G1195" s="52"/>
      <c r="H1195" s="17" t="s">
        <v>867</v>
      </c>
      <c r="I1195" s="365">
        <v>820</v>
      </c>
      <c r="J1195" s="299">
        <v>3237</v>
      </c>
      <c r="K1195" s="304" t="s">
        <v>868</v>
      </c>
      <c r="L1195" s="305"/>
      <c r="M1195" s="305"/>
      <c r="N1195" s="306">
        <v>20000</v>
      </c>
      <c r="O1195" s="130">
        <f>N1195/7.5345</f>
        <v>2654.4561682925209</v>
      </c>
      <c r="P1195" s="307">
        <v>2700</v>
      </c>
      <c r="Q1195" s="384">
        <v>9400</v>
      </c>
      <c r="R1195" s="312">
        <v>9314</v>
      </c>
      <c r="S1195" s="311"/>
      <c r="T1195" s="311"/>
      <c r="U1195" s="311"/>
      <c r="V1195" s="532"/>
      <c r="W1195" s="532"/>
      <c r="X1195" s="584"/>
      <c r="Y1195" s="585"/>
      <c r="Z1195" s="585"/>
      <c r="AA1195" s="562" t="e">
        <f t="shared" ca="1" si="865"/>
        <v>#NAME?</v>
      </c>
      <c r="AB1195" s="586"/>
      <c r="AC1195" s="587"/>
      <c r="AD1195" s="587"/>
      <c r="AE1195" s="529"/>
      <c r="AF1195" s="529"/>
      <c r="AG1195" s="529"/>
      <c r="AH1195" s="529"/>
      <c r="AI1195" s="586"/>
      <c r="AJ1195" s="585"/>
      <c r="AK1195" s="507">
        <f t="shared" si="862"/>
        <v>0</v>
      </c>
      <c r="AL1195" s="507"/>
      <c r="AM1195" s="507"/>
      <c r="AN1195" s="588"/>
      <c r="AO1195" s="510"/>
      <c r="AP1195" s="510" t="e">
        <f t="shared" ca="1" si="866"/>
        <v>#NAME?</v>
      </c>
      <c r="AQ1195" s="532">
        <v>5323</v>
      </c>
      <c r="AR1195" s="533">
        <f t="shared" ref="AR1195:AR1223" si="872">V1195/R1195*100</f>
        <v>0</v>
      </c>
      <c r="AS1195" s="533"/>
      <c r="AT1195" s="533">
        <f t="shared" ref="AT1195:AT1223" si="873">W1195/R1195*100</f>
        <v>0</v>
      </c>
      <c r="AU1195" s="533"/>
      <c r="AV1195" s="533">
        <f>AQ1195/R1195*100</f>
        <v>57.150526089757356</v>
      </c>
      <c r="AW1195" s="612">
        <f>AQ1195</f>
        <v>5323</v>
      </c>
      <c r="AX1195" s="612"/>
      <c r="AY1195" s="612"/>
      <c r="AZ1195" s="612"/>
      <c r="BA1195" s="612"/>
      <c r="BB1195" s="612"/>
      <c r="BC1195" s="612"/>
      <c r="BD1195" s="612"/>
      <c r="BE1195" s="612"/>
      <c r="BF1195" s="612"/>
      <c r="BG1195" s="612"/>
      <c r="BH1195" s="612">
        <f t="shared" si="870"/>
        <v>5323</v>
      </c>
      <c r="BI1195" s="612">
        <f t="shared" si="859"/>
        <v>5544</v>
      </c>
      <c r="BJ1195" s="201">
        <f>AQ1202-BI1195</f>
        <v>0</v>
      </c>
    </row>
    <row r="1196" spans="1:62" ht="12" customHeight="1">
      <c r="A1196" s="282" t="s">
        <v>679</v>
      </c>
      <c r="B1196" s="283"/>
      <c r="C1196" s="283"/>
      <c r="D1196" s="283"/>
      <c r="E1196" s="283"/>
      <c r="F1196" s="283"/>
      <c r="G1196" s="283"/>
      <c r="H1196" s="318"/>
      <c r="I1196" s="366" t="s">
        <v>869</v>
      </c>
      <c r="J1196" s="367"/>
      <c r="K1196" s="368"/>
      <c r="L1196" s="250">
        <f t="shared" ref="L1196:S1196" si="874">L1198</f>
        <v>87115</v>
      </c>
      <c r="M1196" s="250">
        <f t="shared" si="874"/>
        <v>11562.147455040147</v>
      </c>
      <c r="N1196" s="251">
        <f t="shared" si="874"/>
        <v>69187</v>
      </c>
      <c r="O1196" s="251">
        <f t="shared" si="874"/>
        <v>9182.6929457827318</v>
      </c>
      <c r="P1196" s="252">
        <f t="shared" si="874"/>
        <v>12700</v>
      </c>
      <c r="Q1196" s="252">
        <f t="shared" si="874"/>
        <v>12300</v>
      </c>
      <c r="R1196" s="272">
        <f t="shared" si="874"/>
        <v>10738</v>
      </c>
      <c r="S1196" s="273">
        <f t="shared" si="874"/>
        <v>0</v>
      </c>
      <c r="T1196" s="273"/>
      <c r="U1196" s="273"/>
      <c r="V1196" s="532">
        <f>V1198</f>
        <v>14000</v>
      </c>
      <c r="W1196" s="532">
        <f>W1198</f>
        <v>14000</v>
      </c>
      <c r="X1196" s="564">
        <f>X1198</f>
        <v>22000</v>
      </c>
      <c r="Y1196" s="565">
        <f>Y1198</f>
        <v>23000</v>
      </c>
      <c r="Z1196" s="565">
        <f>Z1198</f>
        <v>0</v>
      </c>
      <c r="AA1196" s="562" t="e">
        <f t="shared" ca="1" si="865"/>
        <v>#NAME?</v>
      </c>
      <c r="AB1196" s="565"/>
      <c r="AC1196" s="566">
        <f>AC1198</f>
        <v>13000</v>
      </c>
      <c r="AD1196" s="566">
        <f>AD1198</f>
        <v>13000</v>
      </c>
      <c r="AE1196" s="529">
        <f>O1196/M1196*100</f>
        <v>79.420306491419396</v>
      </c>
      <c r="AF1196" s="529">
        <f>P1196/O1196*100</f>
        <v>138.30365531096885</v>
      </c>
      <c r="AG1196" s="529">
        <f>Q1196/P1196*100</f>
        <v>96.850393700787393</v>
      </c>
      <c r="AH1196" s="529">
        <f>AC1196/Q1196*100</f>
        <v>105.6910569105691</v>
      </c>
      <c r="AI1196" s="565"/>
      <c r="AJ1196" s="565">
        <v>23000</v>
      </c>
      <c r="AK1196" s="507">
        <f t="shared" si="862"/>
        <v>130.3780964797914</v>
      </c>
      <c r="AL1196" s="507">
        <f t="shared" si="863"/>
        <v>157.14285714285714</v>
      </c>
      <c r="AM1196" s="507">
        <f t="shared" si="863"/>
        <v>104.54545454545455</v>
      </c>
      <c r="AN1196" s="567"/>
      <c r="AO1196" s="510"/>
      <c r="AP1196" s="510" t="e">
        <f t="shared" ca="1" si="866"/>
        <v>#NAME?</v>
      </c>
      <c r="AQ1196" s="532">
        <f>AQ1198</f>
        <v>13430</v>
      </c>
      <c r="AR1196" s="533">
        <f t="shared" si="872"/>
        <v>130.3780964797914</v>
      </c>
      <c r="AS1196" s="533">
        <f>W1196/V1196*100</f>
        <v>100</v>
      </c>
      <c r="AT1196" s="533">
        <f t="shared" si="873"/>
        <v>130.3780964797914</v>
      </c>
      <c r="AU1196" s="533">
        <f>AQ1196/W1196*100</f>
        <v>95.928571428571431</v>
      </c>
      <c r="AV1196" s="533">
        <f>AQ1196/R1196*100</f>
        <v>125.06984540882846</v>
      </c>
      <c r="AW1196" s="612"/>
      <c r="AX1196" s="612"/>
      <c r="AY1196" s="612"/>
      <c r="AZ1196" s="612"/>
      <c r="BA1196" s="612"/>
      <c r="BB1196" s="612"/>
      <c r="BC1196" s="612"/>
      <c r="BD1196" s="612"/>
      <c r="BE1196" s="612"/>
      <c r="BF1196" s="612"/>
      <c r="BG1196" s="612"/>
      <c r="BH1196" s="612">
        <f t="shared" si="870"/>
        <v>0</v>
      </c>
      <c r="BI1196" s="612">
        <f t="shared" si="859"/>
        <v>0</v>
      </c>
      <c r="BJ1196" s="201"/>
    </row>
    <row r="1197" spans="1:62" ht="12" customHeight="1">
      <c r="A1197" s="52"/>
      <c r="B1197" s="52"/>
      <c r="C1197" s="52"/>
      <c r="D1197" s="52"/>
      <c r="E1197" s="52"/>
      <c r="F1197" s="52"/>
      <c r="G1197" s="52"/>
      <c r="H1197" s="2"/>
      <c r="I1197" s="289"/>
      <c r="J1197" s="185"/>
      <c r="K1197" s="19"/>
      <c r="L1197" s="129"/>
      <c r="M1197" s="129"/>
      <c r="N1197" s="130"/>
      <c r="O1197" s="130"/>
      <c r="P1197" s="131"/>
      <c r="Q1197" s="131"/>
      <c r="R1197" s="153"/>
      <c r="S1197" s="158"/>
      <c r="T1197" s="158"/>
      <c r="U1197" s="158"/>
      <c r="V1197" s="532"/>
      <c r="W1197" s="532"/>
      <c r="X1197" s="560"/>
      <c r="Y1197" s="561"/>
      <c r="Z1197" s="561"/>
      <c r="AA1197" s="562" t="e">
        <f t="shared" ca="1" si="865"/>
        <v>#NAME?</v>
      </c>
      <c r="AB1197" s="535"/>
      <c r="AC1197" s="529"/>
      <c r="AD1197" s="529"/>
      <c r="AE1197" s="529"/>
      <c r="AF1197" s="529"/>
      <c r="AG1197" s="529"/>
      <c r="AH1197" s="529"/>
      <c r="AI1197" s="535"/>
      <c r="AJ1197" s="561"/>
      <c r="AK1197" s="507"/>
      <c r="AL1197" s="507"/>
      <c r="AM1197" s="507"/>
      <c r="AN1197" s="556"/>
      <c r="AO1197" s="510"/>
      <c r="AP1197" s="510" t="e">
        <f t="shared" ca="1" si="866"/>
        <v>#NAME?</v>
      </c>
      <c r="AQ1197" s="532"/>
      <c r="AR1197" s="533"/>
      <c r="AS1197" s="533"/>
      <c r="AT1197" s="533"/>
      <c r="AU1197" s="533"/>
      <c r="AV1197" s="533"/>
      <c r="AW1197" s="612"/>
      <c r="AX1197" s="612"/>
      <c r="AY1197" s="612"/>
      <c r="AZ1197" s="612"/>
      <c r="BA1197" s="612"/>
      <c r="BB1197" s="612"/>
      <c r="BC1197" s="612"/>
      <c r="BD1197" s="612"/>
      <c r="BE1197" s="612"/>
      <c r="BF1197" s="612"/>
      <c r="BG1197" s="612"/>
      <c r="BH1197" s="612">
        <f t="shared" si="870"/>
        <v>0</v>
      </c>
      <c r="BI1197" s="612">
        <f t="shared" si="859"/>
        <v>0</v>
      </c>
      <c r="BJ1197" s="201"/>
    </row>
    <row r="1198" spans="1:62" ht="12" customHeight="1">
      <c r="A1198" s="25"/>
      <c r="B1198" s="25"/>
      <c r="C1198" s="25"/>
      <c r="D1198" s="25"/>
      <c r="E1198" s="25"/>
      <c r="F1198" s="25"/>
      <c r="G1198" s="25"/>
      <c r="H1198" s="285"/>
      <c r="I1198" s="349"/>
      <c r="J1198" s="211">
        <v>3</v>
      </c>
      <c r="K1198" s="3" t="s">
        <v>220</v>
      </c>
      <c r="L1198" s="111">
        <f t="shared" ref="L1198:Z1198" si="875">L1199</f>
        <v>87115</v>
      </c>
      <c r="M1198" s="111">
        <f t="shared" si="875"/>
        <v>11562.147455040147</v>
      </c>
      <c r="N1198" s="112">
        <f t="shared" si="875"/>
        <v>69187</v>
      </c>
      <c r="O1198" s="112">
        <f t="shared" si="875"/>
        <v>9182.6929457827318</v>
      </c>
      <c r="P1198" s="113">
        <f t="shared" si="875"/>
        <v>12700</v>
      </c>
      <c r="Q1198" s="113">
        <f t="shared" si="875"/>
        <v>12300</v>
      </c>
      <c r="R1198" s="87">
        <f t="shared" si="875"/>
        <v>10738</v>
      </c>
      <c r="S1198" s="89">
        <f t="shared" si="875"/>
        <v>0</v>
      </c>
      <c r="T1198" s="89"/>
      <c r="U1198" s="89"/>
      <c r="V1198" s="532">
        <f>V1199</f>
        <v>14000</v>
      </c>
      <c r="W1198" s="532">
        <f t="shared" si="875"/>
        <v>14000</v>
      </c>
      <c r="X1198" s="506">
        <f t="shared" si="875"/>
        <v>22000</v>
      </c>
      <c r="Y1198" s="507">
        <f t="shared" si="875"/>
        <v>23000</v>
      </c>
      <c r="Z1198" s="507">
        <f t="shared" si="875"/>
        <v>0</v>
      </c>
      <c r="AA1198" s="562" t="e">
        <f t="shared" ca="1" si="865"/>
        <v>#NAME?</v>
      </c>
      <c r="AB1198" s="507"/>
      <c r="AC1198" s="508">
        <f>AC1199</f>
        <v>13000</v>
      </c>
      <c r="AD1198" s="508">
        <f>AD1199</f>
        <v>13000</v>
      </c>
      <c r="AE1198" s="529">
        <f>O1198/M1198*100</f>
        <v>79.420306491419396</v>
      </c>
      <c r="AF1198" s="529">
        <f t="shared" ref="AF1198:AG1202" si="876">P1198/O1198*100</f>
        <v>138.30365531096885</v>
      </c>
      <c r="AG1198" s="529">
        <f t="shared" si="876"/>
        <v>96.850393700787393</v>
      </c>
      <c r="AH1198" s="529">
        <f>AC1198/Q1198*100</f>
        <v>105.6910569105691</v>
      </c>
      <c r="AI1198" s="507"/>
      <c r="AJ1198" s="507">
        <v>23000</v>
      </c>
      <c r="AK1198" s="507">
        <f t="shared" si="862"/>
        <v>130.3780964797914</v>
      </c>
      <c r="AL1198" s="507">
        <f t="shared" si="863"/>
        <v>157.14285714285714</v>
      </c>
      <c r="AM1198" s="507">
        <f t="shared" si="863"/>
        <v>104.54545454545455</v>
      </c>
      <c r="AN1198" s="509"/>
      <c r="AO1198" s="510"/>
      <c r="AP1198" s="510" t="e">
        <f t="shared" ca="1" si="866"/>
        <v>#NAME?</v>
      </c>
      <c r="AQ1198" s="532">
        <f>AQ1199</f>
        <v>13430</v>
      </c>
      <c r="AR1198" s="533">
        <f t="shared" si="872"/>
        <v>130.3780964797914</v>
      </c>
      <c r="AS1198" s="533">
        <f>W1198/V1198*100</f>
        <v>100</v>
      </c>
      <c r="AT1198" s="533">
        <f t="shared" si="873"/>
        <v>130.3780964797914</v>
      </c>
      <c r="AU1198" s="533">
        <f>AQ1198/W1198*100</f>
        <v>95.928571428571431</v>
      </c>
      <c r="AV1198" s="533">
        <f>AQ1198/R1198*100</f>
        <v>125.06984540882846</v>
      </c>
      <c r="AW1198" s="612"/>
      <c r="AX1198" s="612"/>
      <c r="AY1198" s="612"/>
      <c r="AZ1198" s="612"/>
      <c r="BA1198" s="612"/>
      <c r="BB1198" s="612"/>
      <c r="BC1198" s="612"/>
      <c r="BD1198" s="612"/>
      <c r="BE1198" s="612"/>
      <c r="BF1198" s="612"/>
      <c r="BG1198" s="612"/>
      <c r="BH1198" s="612">
        <f t="shared" si="870"/>
        <v>0</v>
      </c>
      <c r="BI1198" s="612">
        <f t="shared" si="859"/>
        <v>1193</v>
      </c>
      <c r="BJ1198" s="201">
        <f>AQ1205-BI1198</f>
        <v>0</v>
      </c>
    </row>
    <row r="1199" spans="1:62" ht="12" customHeight="1">
      <c r="A1199" s="227"/>
      <c r="B1199" s="227"/>
      <c r="C1199" s="227"/>
      <c r="D1199" s="227"/>
      <c r="E1199" s="227"/>
      <c r="F1199" s="227"/>
      <c r="G1199" s="227"/>
      <c r="H1199" s="234"/>
      <c r="I1199" s="265"/>
      <c r="J1199" s="228">
        <v>32</v>
      </c>
      <c r="K1199" s="258" t="s">
        <v>229</v>
      </c>
      <c r="L1199" s="111">
        <f t="shared" ref="L1199:S1199" si="877">L1200+L1204</f>
        <v>87115</v>
      </c>
      <c r="M1199" s="111">
        <f t="shared" si="877"/>
        <v>11562.147455040147</v>
      </c>
      <c r="N1199" s="112">
        <f t="shared" si="877"/>
        <v>69187</v>
      </c>
      <c r="O1199" s="112">
        <f t="shared" si="877"/>
        <v>9182.6929457827318</v>
      </c>
      <c r="P1199" s="113">
        <f t="shared" si="877"/>
        <v>12700</v>
      </c>
      <c r="Q1199" s="113">
        <f t="shared" si="877"/>
        <v>12300</v>
      </c>
      <c r="R1199" s="87">
        <f t="shared" si="877"/>
        <v>10738</v>
      </c>
      <c r="S1199" s="89">
        <f t="shared" si="877"/>
        <v>0</v>
      </c>
      <c r="T1199" s="89"/>
      <c r="U1199" s="89"/>
      <c r="V1199" s="532">
        <f>V1200+V1204</f>
        <v>14000</v>
      </c>
      <c r="W1199" s="532">
        <f>W1200+W1204</f>
        <v>14000</v>
      </c>
      <c r="X1199" s="506">
        <f>X1200+X1204</f>
        <v>22000</v>
      </c>
      <c r="Y1199" s="507">
        <f>Y1200+Y1204</f>
        <v>23000</v>
      </c>
      <c r="Z1199" s="507">
        <f>Z1200+Z1204</f>
        <v>0</v>
      </c>
      <c r="AA1199" s="562" t="e">
        <f t="shared" ca="1" si="865"/>
        <v>#NAME?</v>
      </c>
      <c r="AB1199" s="507"/>
      <c r="AC1199" s="508">
        <f>AC1200+AC1204</f>
        <v>13000</v>
      </c>
      <c r="AD1199" s="508">
        <f>AD1200+AD1204</f>
        <v>13000</v>
      </c>
      <c r="AE1199" s="529">
        <f>O1199/M1199*100</f>
        <v>79.420306491419396</v>
      </c>
      <c r="AF1199" s="529">
        <f t="shared" si="876"/>
        <v>138.30365531096885</v>
      </c>
      <c r="AG1199" s="529">
        <f t="shared" si="876"/>
        <v>96.850393700787393</v>
      </c>
      <c r="AH1199" s="529">
        <f>AC1199/Q1199*100</f>
        <v>105.6910569105691</v>
      </c>
      <c r="AI1199" s="507"/>
      <c r="AJ1199" s="507">
        <v>23000</v>
      </c>
      <c r="AK1199" s="507">
        <f t="shared" si="862"/>
        <v>130.3780964797914</v>
      </c>
      <c r="AL1199" s="507">
        <f t="shared" si="863"/>
        <v>157.14285714285714</v>
      </c>
      <c r="AM1199" s="507">
        <f t="shared" si="863"/>
        <v>104.54545454545455</v>
      </c>
      <c r="AN1199" s="509"/>
      <c r="AO1199" s="510"/>
      <c r="AP1199" s="510" t="e">
        <f t="shared" ca="1" si="866"/>
        <v>#NAME?</v>
      </c>
      <c r="AQ1199" s="532">
        <f>AQ1200+AQ1204</f>
        <v>13430</v>
      </c>
      <c r="AR1199" s="533">
        <f t="shared" si="872"/>
        <v>130.3780964797914</v>
      </c>
      <c r="AS1199" s="533">
        <f>W1199/V1199*100</f>
        <v>100</v>
      </c>
      <c r="AT1199" s="533">
        <f t="shared" si="873"/>
        <v>130.3780964797914</v>
      </c>
      <c r="AU1199" s="533">
        <f>AQ1199/W1199*100</f>
        <v>95.928571428571431</v>
      </c>
      <c r="AV1199" s="533">
        <f>AQ1199/R1199*100</f>
        <v>125.06984540882846</v>
      </c>
      <c r="AW1199" s="612"/>
      <c r="AX1199" s="612"/>
      <c r="AY1199" s="612"/>
      <c r="AZ1199" s="612"/>
      <c r="BA1199" s="612"/>
      <c r="BB1199" s="612"/>
      <c r="BC1199" s="612"/>
      <c r="BD1199" s="612"/>
      <c r="BE1199" s="612"/>
      <c r="BF1199" s="612"/>
      <c r="BG1199" s="612"/>
      <c r="BH1199" s="612">
        <f t="shared" si="870"/>
        <v>0</v>
      </c>
      <c r="BI1199" s="612">
        <f t="shared" si="859"/>
        <v>0</v>
      </c>
      <c r="BJ1199" s="201"/>
    </row>
    <row r="1200" spans="1:62" ht="12" customHeight="1">
      <c r="A1200" s="61"/>
      <c r="B1200" s="61"/>
      <c r="C1200" s="61"/>
      <c r="D1200" s="61"/>
      <c r="E1200" s="61"/>
      <c r="F1200" s="61"/>
      <c r="G1200" s="61"/>
      <c r="H1200" s="230"/>
      <c r="I1200" s="348"/>
      <c r="J1200" s="229">
        <v>323</v>
      </c>
      <c r="K1200" s="20" t="s">
        <v>346</v>
      </c>
      <c r="L1200" s="111">
        <f t="shared" ref="L1200:S1200" si="878">L1201+L1202</f>
        <v>71775</v>
      </c>
      <c r="M1200" s="111">
        <f t="shared" si="878"/>
        <v>9526.1795739597837</v>
      </c>
      <c r="N1200" s="112">
        <f t="shared" si="878"/>
        <v>53631</v>
      </c>
      <c r="O1200" s="112">
        <f t="shared" si="878"/>
        <v>7118.0569380848101</v>
      </c>
      <c r="P1200" s="113">
        <f t="shared" si="878"/>
        <v>10000</v>
      </c>
      <c r="Q1200" s="113">
        <f t="shared" si="878"/>
        <v>7300</v>
      </c>
      <c r="R1200" s="87">
        <f t="shared" si="878"/>
        <v>7500</v>
      </c>
      <c r="S1200" s="89">
        <f t="shared" si="878"/>
        <v>0</v>
      </c>
      <c r="T1200" s="89"/>
      <c r="U1200" s="89"/>
      <c r="V1200" s="532">
        <f>V1201+V1202</f>
        <v>8000</v>
      </c>
      <c r="W1200" s="532">
        <f>W1201+W1202</f>
        <v>8000</v>
      </c>
      <c r="X1200" s="506">
        <f>X1201+X1202</f>
        <v>12000</v>
      </c>
      <c r="Y1200" s="507">
        <f>Y1201+Y1202</f>
        <v>12000</v>
      </c>
      <c r="Z1200" s="507">
        <f>Z1201+Z1202</f>
        <v>0</v>
      </c>
      <c r="AA1200" s="562" t="e">
        <f t="shared" ca="1" si="865"/>
        <v>#NAME?</v>
      </c>
      <c r="AB1200" s="507"/>
      <c r="AC1200" s="508">
        <f>AC1201+AC1202</f>
        <v>10000</v>
      </c>
      <c r="AD1200" s="508">
        <f>AD1201+AD1202</f>
        <v>10000</v>
      </c>
      <c r="AE1200" s="529">
        <f>O1200/M1200*100</f>
        <v>74.721003134796248</v>
      </c>
      <c r="AF1200" s="529">
        <f t="shared" si="876"/>
        <v>140.48777759131846</v>
      </c>
      <c r="AG1200" s="529">
        <f t="shared" si="876"/>
        <v>73</v>
      </c>
      <c r="AH1200" s="529">
        <f>AC1200/Q1200*100</f>
        <v>136.98630136986301</v>
      </c>
      <c r="AI1200" s="507"/>
      <c r="AJ1200" s="507">
        <v>12000</v>
      </c>
      <c r="AK1200" s="507">
        <f t="shared" si="862"/>
        <v>106.66666666666667</v>
      </c>
      <c r="AL1200" s="507">
        <f t="shared" si="863"/>
        <v>150</v>
      </c>
      <c r="AM1200" s="507">
        <f t="shared" si="863"/>
        <v>100</v>
      </c>
      <c r="AN1200" s="509"/>
      <c r="AO1200" s="510"/>
      <c r="AP1200" s="510" t="e">
        <f t="shared" ca="1" si="866"/>
        <v>#NAME?</v>
      </c>
      <c r="AQ1200" s="532">
        <f>AQ1201+AQ1202</f>
        <v>12237</v>
      </c>
      <c r="AR1200" s="533">
        <f t="shared" si="872"/>
        <v>106.66666666666667</v>
      </c>
      <c r="AS1200" s="533">
        <f>W1200/V1200*100</f>
        <v>100</v>
      </c>
      <c r="AT1200" s="533">
        <f t="shared" si="873"/>
        <v>106.66666666666667</v>
      </c>
      <c r="AU1200" s="533">
        <f>AQ1200/W1200*100</f>
        <v>152.96250000000001</v>
      </c>
      <c r="AV1200" s="533">
        <f>AQ1200/R1200*100</f>
        <v>163.16</v>
      </c>
      <c r="AW1200" s="612"/>
      <c r="AX1200" s="612"/>
      <c r="AY1200" s="612"/>
      <c r="AZ1200" s="612"/>
      <c r="BA1200" s="612"/>
      <c r="BB1200" s="612"/>
      <c r="BC1200" s="612"/>
      <c r="BD1200" s="612"/>
      <c r="BE1200" s="612"/>
      <c r="BF1200" s="612"/>
      <c r="BG1200" s="612"/>
      <c r="BH1200" s="612">
        <f t="shared" si="870"/>
        <v>0</v>
      </c>
      <c r="BI1200" s="612">
        <f t="shared" si="859"/>
        <v>0</v>
      </c>
      <c r="BJ1200" s="201"/>
    </row>
    <row r="1201" spans="1:62" ht="12" customHeight="1">
      <c r="A1201" s="52"/>
      <c r="B1201" s="52"/>
      <c r="C1201" s="52"/>
      <c r="D1201" s="52"/>
      <c r="E1201" s="52"/>
      <c r="F1201" s="52"/>
      <c r="G1201" s="52"/>
      <c r="H1201" s="2" t="s">
        <v>870</v>
      </c>
      <c r="I1201" s="289">
        <v>820</v>
      </c>
      <c r="J1201" s="185">
        <v>3237</v>
      </c>
      <c r="K1201" s="19" t="s">
        <v>249</v>
      </c>
      <c r="L1201" s="129">
        <v>34867</v>
      </c>
      <c r="M1201" s="129">
        <f>34867/7.5345</f>
        <v>4627.6461609927665</v>
      </c>
      <c r="N1201" s="130">
        <v>45362</v>
      </c>
      <c r="O1201" s="130">
        <f>N1201/7.5345</f>
        <v>6020.572035304267</v>
      </c>
      <c r="P1201" s="131">
        <v>5000</v>
      </c>
      <c r="Q1201" s="156">
        <v>1000</v>
      </c>
      <c r="R1201" s="153">
        <v>1099</v>
      </c>
      <c r="S1201" s="158"/>
      <c r="T1201" s="158"/>
      <c r="U1201" s="158"/>
      <c r="V1201" s="532">
        <v>1000</v>
      </c>
      <c r="W1201" s="532">
        <v>1000</v>
      </c>
      <c r="X1201" s="560">
        <v>2000</v>
      </c>
      <c r="Y1201" s="561">
        <v>2000</v>
      </c>
      <c r="Z1201" s="561"/>
      <c r="AA1201" s="562" t="e">
        <f t="shared" ca="1" si="865"/>
        <v>#NAME?</v>
      </c>
      <c r="AB1201" s="535"/>
      <c r="AC1201" s="529">
        <v>5000</v>
      </c>
      <c r="AD1201" s="529">
        <v>5000</v>
      </c>
      <c r="AE1201" s="529">
        <f>O1201/M1201*100</f>
        <v>130.10009464536668</v>
      </c>
      <c r="AF1201" s="529">
        <f t="shared" si="876"/>
        <v>83.048586922975176</v>
      </c>
      <c r="AG1201" s="529">
        <f t="shared" si="876"/>
        <v>20</v>
      </c>
      <c r="AH1201" s="529">
        <f>AC1201/Q1201*100</f>
        <v>500</v>
      </c>
      <c r="AI1201" s="535"/>
      <c r="AJ1201" s="561">
        <v>2000</v>
      </c>
      <c r="AK1201" s="507">
        <f t="shared" si="862"/>
        <v>90.99181073703366</v>
      </c>
      <c r="AL1201" s="507">
        <f t="shared" si="863"/>
        <v>200</v>
      </c>
      <c r="AM1201" s="507">
        <f t="shared" si="863"/>
        <v>100</v>
      </c>
      <c r="AN1201" s="556"/>
      <c r="AO1201" s="510"/>
      <c r="AP1201" s="510" t="e">
        <f t="shared" ca="1" si="866"/>
        <v>#NAME?</v>
      </c>
      <c r="AQ1201" s="532">
        <v>6693</v>
      </c>
      <c r="AR1201" s="533">
        <f t="shared" si="872"/>
        <v>90.99181073703366</v>
      </c>
      <c r="AS1201" s="533">
        <f>W1201/V1201*100</f>
        <v>100</v>
      </c>
      <c r="AT1201" s="533">
        <f t="shared" si="873"/>
        <v>90.99181073703366</v>
      </c>
      <c r="AU1201" s="533">
        <f>AQ1201/W1201*100</f>
        <v>669.3</v>
      </c>
      <c r="AV1201" s="533">
        <f>AQ1201/R1201*100</f>
        <v>609.00818926296631</v>
      </c>
      <c r="AW1201" s="612">
        <f>AQ1201</f>
        <v>6693</v>
      </c>
      <c r="AX1201" s="612"/>
      <c r="AY1201" s="612"/>
      <c r="AZ1201" s="612"/>
      <c r="BA1201" s="612"/>
      <c r="BB1201" s="612"/>
      <c r="BC1201" s="612"/>
      <c r="BD1201" s="612"/>
      <c r="BE1201" s="612"/>
      <c r="BF1201" s="612"/>
      <c r="BG1201" s="612"/>
      <c r="BH1201" s="612">
        <f t="shared" si="870"/>
        <v>6693</v>
      </c>
      <c r="BI1201" s="612">
        <f t="shared" si="859"/>
        <v>0</v>
      </c>
      <c r="BJ1201" s="201"/>
    </row>
    <row r="1202" spans="1:62" ht="12" customHeight="1">
      <c r="A1202" s="52"/>
      <c r="B1202" s="52"/>
      <c r="C1202" s="52"/>
      <c r="D1202" s="52"/>
      <c r="E1202" s="52"/>
      <c r="F1202" s="52"/>
      <c r="G1202" s="52"/>
      <c r="H1202" s="2">
        <v>252</v>
      </c>
      <c r="I1202" s="289">
        <v>820</v>
      </c>
      <c r="J1202" s="185">
        <v>3239</v>
      </c>
      <c r="K1202" s="19" t="s">
        <v>251</v>
      </c>
      <c r="L1202" s="129">
        <v>36908</v>
      </c>
      <c r="M1202" s="129">
        <f>36908/7.5345</f>
        <v>4898.5334129670182</v>
      </c>
      <c r="N1202" s="130">
        <v>8269</v>
      </c>
      <c r="O1202" s="130">
        <f>N1202/7.5345</f>
        <v>1097.4849027805428</v>
      </c>
      <c r="P1202" s="131">
        <v>5000</v>
      </c>
      <c r="Q1202" s="156">
        <v>6300</v>
      </c>
      <c r="R1202" s="153">
        <v>6401</v>
      </c>
      <c r="S1202" s="158"/>
      <c r="T1202" s="158"/>
      <c r="U1202" s="158"/>
      <c r="V1202" s="532">
        <v>7000</v>
      </c>
      <c r="W1202" s="532">
        <v>7000</v>
      </c>
      <c r="X1202" s="560">
        <v>10000</v>
      </c>
      <c r="Y1202" s="561">
        <v>10000</v>
      </c>
      <c r="Z1202" s="561"/>
      <c r="AA1202" s="562" t="e">
        <f t="shared" ca="1" si="865"/>
        <v>#NAME?</v>
      </c>
      <c r="AB1202" s="535"/>
      <c r="AC1202" s="529">
        <v>5000</v>
      </c>
      <c r="AD1202" s="529">
        <v>5000</v>
      </c>
      <c r="AE1202" s="529">
        <f>O1202/M1202*100</f>
        <v>22.404356779018102</v>
      </c>
      <c r="AF1202" s="529">
        <f t="shared" si="876"/>
        <v>455.58713266416737</v>
      </c>
      <c r="AG1202" s="529">
        <f t="shared" si="876"/>
        <v>126</v>
      </c>
      <c r="AH1202" s="529">
        <f>AC1202/Q1202*100</f>
        <v>79.365079365079367</v>
      </c>
      <c r="AI1202" s="535"/>
      <c r="AJ1202" s="561">
        <v>10000</v>
      </c>
      <c r="AK1202" s="507">
        <f t="shared" si="862"/>
        <v>109.35791282612092</v>
      </c>
      <c r="AL1202" s="507">
        <f t="shared" si="863"/>
        <v>142.85714285714286</v>
      </c>
      <c r="AM1202" s="507">
        <f t="shared" si="863"/>
        <v>100</v>
      </c>
      <c r="AN1202" s="556"/>
      <c r="AO1202" s="510"/>
      <c r="AP1202" s="510" t="e">
        <f t="shared" ca="1" si="866"/>
        <v>#NAME?</v>
      </c>
      <c r="AQ1202" s="532">
        <v>5544</v>
      </c>
      <c r="AR1202" s="533">
        <f t="shared" si="872"/>
        <v>109.35791282612092</v>
      </c>
      <c r="AS1202" s="533">
        <f>W1202/V1202*100</f>
        <v>100</v>
      </c>
      <c r="AT1202" s="533">
        <f t="shared" si="873"/>
        <v>109.35791282612092</v>
      </c>
      <c r="AU1202" s="533">
        <f>AQ1202/W1202*100</f>
        <v>79.2</v>
      </c>
      <c r="AV1202" s="533">
        <f>AQ1202/R1202*100</f>
        <v>86.611466958287764</v>
      </c>
      <c r="AW1202" s="612">
        <f>AQ1202</f>
        <v>5544</v>
      </c>
      <c r="AX1202" s="612"/>
      <c r="AY1202" s="612"/>
      <c r="AZ1202" s="612"/>
      <c r="BA1202" s="612"/>
      <c r="BB1202" s="612"/>
      <c r="BC1202" s="612"/>
      <c r="BD1202" s="612"/>
      <c r="BE1202" s="612"/>
      <c r="BF1202" s="612"/>
      <c r="BG1202" s="612"/>
      <c r="BH1202" s="612">
        <f t="shared" si="870"/>
        <v>5544</v>
      </c>
      <c r="BI1202" s="612">
        <f t="shared" si="859"/>
        <v>0</v>
      </c>
      <c r="BJ1202" s="201"/>
    </row>
    <row r="1203" spans="1:62" ht="12" customHeight="1">
      <c r="A1203" s="52"/>
      <c r="B1203" s="52"/>
      <c r="C1203" s="52"/>
      <c r="D1203" s="52"/>
      <c r="E1203" s="52"/>
      <c r="F1203" s="52"/>
      <c r="G1203" s="52"/>
      <c r="H1203" s="2"/>
      <c r="I1203" s="289"/>
      <c r="J1203" s="185"/>
      <c r="K1203" s="19"/>
      <c r="L1203" s="129"/>
      <c r="M1203" s="129"/>
      <c r="N1203" s="130"/>
      <c r="O1203" s="130"/>
      <c r="P1203" s="131"/>
      <c r="Q1203" s="131"/>
      <c r="R1203" s="153"/>
      <c r="S1203" s="158"/>
      <c r="T1203" s="158"/>
      <c r="U1203" s="158"/>
      <c r="V1203" s="532"/>
      <c r="W1203" s="532"/>
      <c r="X1203" s="560"/>
      <c r="Y1203" s="561"/>
      <c r="Z1203" s="561"/>
      <c r="AA1203" s="562" t="e">
        <f t="shared" ca="1" si="865"/>
        <v>#NAME?</v>
      </c>
      <c r="AB1203" s="535"/>
      <c r="AC1203" s="529"/>
      <c r="AD1203" s="529"/>
      <c r="AE1203" s="529"/>
      <c r="AF1203" s="529"/>
      <c r="AG1203" s="529"/>
      <c r="AH1203" s="529"/>
      <c r="AI1203" s="535"/>
      <c r="AJ1203" s="561"/>
      <c r="AK1203" s="507"/>
      <c r="AL1203" s="507"/>
      <c r="AM1203" s="507"/>
      <c r="AN1203" s="556"/>
      <c r="AO1203" s="510"/>
      <c r="AP1203" s="510" t="e">
        <f t="shared" ca="1" si="866"/>
        <v>#NAME?</v>
      </c>
      <c r="AQ1203" s="532"/>
      <c r="AR1203" s="533"/>
      <c r="AS1203" s="533"/>
      <c r="AT1203" s="533"/>
      <c r="AU1203" s="533"/>
      <c r="AV1203" s="533"/>
      <c r="AW1203" s="612"/>
      <c r="AX1203" s="612"/>
      <c r="AY1203" s="612"/>
      <c r="AZ1203" s="612"/>
      <c r="BA1203" s="612"/>
      <c r="BB1203" s="612"/>
      <c r="BC1203" s="612"/>
      <c r="BD1203" s="612"/>
      <c r="BE1203" s="612"/>
      <c r="BF1203" s="612"/>
      <c r="BG1203" s="612"/>
      <c r="BH1203" s="612">
        <f t="shared" si="870"/>
        <v>0</v>
      </c>
      <c r="BI1203" s="612">
        <f t="shared" si="859"/>
        <v>0</v>
      </c>
      <c r="BJ1203" s="201"/>
    </row>
    <row r="1204" spans="1:62" ht="12" customHeight="1">
      <c r="A1204" s="61"/>
      <c r="B1204" s="61"/>
      <c r="C1204" s="61"/>
      <c r="D1204" s="61"/>
      <c r="E1204" s="61"/>
      <c r="F1204" s="61"/>
      <c r="G1204" s="61"/>
      <c r="H1204" s="230"/>
      <c r="I1204" s="348"/>
      <c r="J1204" s="229">
        <v>329</v>
      </c>
      <c r="K1204" s="20" t="s">
        <v>623</v>
      </c>
      <c r="L1204" s="111">
        <f t="shared" ref="L1204:Z1204" si="879">L1205</f>
        <v>15340</v>
      </c>
      <c r="M1204" s="111">
        <f t="shared" si="879"/>
        <v>2035.9678810803634</v>
      </c>
      <c r="N1204" s="112">
        <f t="shared" si="879"/>
        <v>15556</v>
      </c>
      <c r="O1204" s="112">
        <f t="shared" si="879"/>
        <v>2064.6360076979227</v>
      </c>
      <c r="P1204" s="113">
        <f t="shared" si="879"/>
        <v>2700</v>
      </c>
      <c r="Q1204" s="113">
        <f t="shared" si="879"/>
        <v>5000</v>
      </c>
      <c r="R1204" s="87">
        <f t="shared" si="879"/>
        <v>3238</v>
      </c>
      <c r="S1204" s="89">
        <f t="shared" si="879"/>
        <v>0</v>
      </c>
      <c r="T1204" s="89"/>
      <c r="U1204" s="89"/>
      <c r="V1204" s="532">
        <f>V1205</f>
        <v>6000</v>
      </c>
      <c r="W1204" s="532">
        <f t="shared" si="879"/>
        <v>6000</v>
      </c>
      <c r="X1204" s="506">
        <f t="shared" si="879"/>
        <v>10000</v>
      </c>
      <c r="Y1204" s="507">
        <f t="shared" si="879"/>
        <v>11000</v>
      </c>
      <c r="Z1204" s="507">
        <f t="shared" si="879"/>
        <v>0</v>
      </c>
      <c r="AA1204" s="562" t="e">
        <f t="shared" ca="1" si="865"/>
        <v>#NAME?</v>
      </c>
      <c r="AB1204" s="507"/>
      <c r="AC1204" s="508">
        <f>AC1205</f>
        <v>3000</v>
      </c>
      <c r="AD1204" s="508">
        <f>AD1205</f>
        <v>3000</v>
      </c>
      <c r="AE1204" s="529">
        <f>O1204/M1204*100</f>
        <v>101.40808344198176</v>
      </c>
      <c r="AF1204" s="529">
        <f>P1204/O1204*100</f>
        <v>130.7736564669581</v>
      </c>
      <c r="AG1204" s="529">
        <f>Q1204/P1204*100</f>
        <v>185.18518518518519</v>
      </c>
      <c r="AH1204" s="529">
        <f>AC1204/Q1204*100</f>
        <v>60</v>
      </c>
      <c r="AI1204" s="507"/>
      <c r="AJ1204" s="507">
        <v>11000</v>
      </c>
      <c r="AK1204" s="507">
        <f t="shared" si="862"/>
        <v>185.2995676343422</v>
      </c>
      <c r="AL1204" s="507">
        <f t="shared" si="863"/>
        <v>166.66666666666669</v>
      </c>
      <c r="AM1204" s="507">
        <f t="shared" si="863"/>
        <v>110.00000000000001</v>
      </c>
      <c r="AN1204" s="509"/>
      <c r="AO1204" s="510"/>
      <c r="AP1204" s="510" t="e">
        <f t="shared" ca="1" si="866"/>
        <v>#NAME?</v>
      </c>
      <c r="AQ1204" s="532">
        <f>AQ1205</f>
        <v>1193</v>
      </c>
      <c r="AR1204" s="533">
        <f t="shared" si="872"/>
        <v>185.2995676343422</v>
      </c>
      <c r="AS1204" s="533">
        <f>W1204/V1204*100</f>
        <v>100</v>
      </c>
      <c r="AT1204" s="533">
        <f t="shared" si="873"/>
        <v>185.2995676343422</v>
      </c>
      <c r="AU1204" s="533">
        <f>AQ1204/W1204*100</f>
        <v>19.883333333333333</v>
      </c>
      <c r="AV1204" s="533">
        <f>AQ1204/R1204*100</f>
        <v>36.843730697961711</v>
      </c>
      <c r="AW1204" s="612"/>
      <c r="AX1204" s="612"/>
      <c r="AY1204" s="612"/>
      <c r="AZ1204" s="612"/>
      <c r="BA1204" s="612"/>
      <c r="BB1204" s="612"/>
      <c r="BC1204" s="612"/>
      <c r="BD1204" s="612"/>
      <c r="BE1204" s="612"/>
      <c r="BF1204" s="612"/>
      <c r="BG1204" s="612"/>
      <c r="BH1204" s="612">
        <f t="shared" si="870"/>
        <v>0</v>
      </c>
      <c r="BI1204" s="612">
        <f t="shared" si="859"/>
        <v>0</v>
      </c>
      <c r="BJ1204" s="201"/>
    </row>
    <row r="1205" spans="1:62" ht="12" customHeight="1">
      <c r="A1205" s="52"/>
      <c r="B1205" s="52"/>
      <c r="C1205" s="52"/>
      <c r="D1205" s="52"/>
      <c r="E1205" s="52"/>
      <c r="F1205" s="52"/>
      <c r="G1205" s="52"/>
      <c r="H1205" s="2" t="s">
        <v>871</v>
      </c>
      <c r="I1205" s="289">
        <v>820</v>
      </c>
      <c r="J1205" s="185">
        <v>3299</v>
      </c>
      <c r="K1205" s="19" t="s">
        <v>872</v>
      </c>
      <c r="L1205" s="129">
        <v>15340</v>
      </c>
      <c r="M1205" s="129">
        <f>15340/7.5345</f>
        <v>2035.9678810803634</v>
      </c>
      <c r="N1205" s="130">
        <v>15556</v>
      </c>
      <c r="O1205" s="130">
        <f>N1205/7.5345</f>
        <v>2064.6360076979227</v>
      </c>
      <c r="P1205" s="131">
        <v>2700</v>
      </c>
      <c r="Q1205" s="156">
        <v>5000</v>
      </c>
      <c r="R1205" s="153">
        <v>3238</v>
      </c>
      <c r="S1205" s="158"/>
      <c r="T1205" s="158"/>
      <c r="U1205" s="158"/>
      <c r="V1205" s="532">
        <v>6000</v>
      </c>
      <c r="W1205" s="532">
        <v>6000</v>
      </c>
      <c r="X1205" s="560">
        <v>10000</v>
      </c>
      <c r="Y1205" s="561">
        <v>11000</v>
      </c>
      <c r="Z1205" s="561"/>
      <c r="AA1205" s="562" t="e">
        <f t="shared" ca="1" si="865"/>
        <v>#NAME?</v>
      </c>
      <c r="AB1205" s="535"/>
      <c r="AC1205" s="529">
        <v>3000</v>
      </c>
      <c r="AD1205" s="529">
        <v>3000</v>
      </c>
      <c r="AE1205" s="529">
        <f>O1205/M1205*100</f>
        <v>101.40808344198176</v>
      </c>
      <c r="AF1205" s="529">
        <f>P1205/O1205*100</f>
        <v>130.7736564669581</v>
      </c>
      <c r="AG1205" s="529">
        <f>Q1205/P1205*100</f>
        <v>185.18518518518519</v>
      </c>
      <c r="AH1205" s="529">
        <f>AC1205/Q1205*100</f>
        <v>60</v>
      </c>
      <c r="AI1205" s="535"/>
      <c r="AJ1205" s="561">
        <v>11000</v>
      </c>
      <c r="AK1205" s="507">
        <f t="shared" si="862"/>
        <v>185.2995676343422</v>
      </c>
      <c r="AL1205" s="507">
        <f t="shared" si="863"/>
        <v>166.66666666666669</v>
      </c>
      <c r="AM1205" s="507">
        <f t="shared" si="863"/>
        <v>110.00000000000001</v>
      </c>
      <c r="AN1205" s="556"/>
      <c r="AO1205" s="510"/>
      <c r="AP1205" s="510" t="e">
        <f t="shared" ca="1" si="866"/>
        <v>#NAME?</v>
      </c>
      <c r="AQ1205" s="532">
        <v>1193</v>
      </c>
      <c r="AR1205" s="533">
        <f t="shared" si="872"/>
        <v>185.2995676343422</v>
      </c>
      <c r="AS1205" s="533">
        <f>W1205/V1205*100</f>
        <v>100</v>
      </c>
      <c r="AT1205" s="533">
        <f t="shared" si="873"/>
        <v>185.2995676343422</v>
      </c>
      <c r="AU1205" s="533">
        <f>AQ1205/W1205*100</f>
        <v>19.883333333333333</v>
      </c>
      <c r="AV1205" s="533">
        <f>AQ1205/R1205*100</f>
        <v>36.843730697961711</v>
      </c>
      <c r="AW1205" s="612">
        <f>AQ1205</f>
        <v>1193</v>
      </c>
      <c r="AX1205" s="612"/>
      <c r="AY1205" s="612"/>
      <c r="AZ1205" s="612"/>
      <c r="BA1205" s="612"/>
      <c r="BB1205" s="612"/>
      <c r="BC1205" s="612"/>
      <c r="BD1205" s="612"/>
      <c r="BE1205" s="612"/>
      <c r="BF1205" s="612"/>
      <c r="BG1205" s="612"/>
      <c r="BH1205" s="612">
        <f t="shared" si="870"/>
        <v>1193</v>
      </c>
      <c r="BI1205" s="612">
        <f t="shared" si="859"/>
        <v>0</v>
      </c>
      <c r="BJ1205" s="201"/>
    </row>
    <row r="1206" spans="1:62" ht="12" customHeight="1">
      <c r="A1206" s="52"/>
      <c r="B1206" s="52"/>
      <c r="C1206" s="52"/>
      <c r="D1206" s="52"/>
      <c r="E1206" s="52"/>
      <c r="F1206" s="52"/>
      <c r="G1206" s="52"/>
      <c r="H1206" s="2"/>
      <c r="I1206" s="289"/>
      <c r="J1206" s="185"/>
      <c r="K1206" s="19"/>
      <c r="L1206" s="129"/>
      <c r="M1206" s="129"/>
      <c r="N1206" s="130"/>
      <c r="O1206" s="130"/>
      <c r="P1206" s="131"/>
      <c r="Q1206" s="131"/>
      <c r="R1206" s="153"/>
      <c r="S1206" s="158"/>
      <c r="T1206" s="158"/>
      <c r="U1206" s="158"/>
      <c r="V1206" s="532"/>
      <c r="W1206" s="532"/>
      <c r="X1206" s="560"/>
      <c r="Y1206" s="561"/>
      <c r="Z1206" s="561"/>
      <c r="AA1206" s="562" t="e">
        <f t="shared" ca="1" si="865"/>
        <v>#NAME?</v>
      </c>
      <c r="AB1206" s="535"/>
      <c r="AC1206" s="529"/>
      <c r="AD1206" s="529"/>
      <c r="AE1206" s="529"/>
      <c r="AF1206" s="529"/>
      <c r="AG1206" s="529"/>
      <c r="AH1206" s="529"/>
      <c r="AI1206" s="535"/>
      <c r="AJ1206" s="561"/>
      <c r="AK1206" s="507"/>
      <c r="AL1206" s="507"/>
      <c r="AM1206" s="507"/>
      <c r="AN1206" s="556"/>
      <c r="AO1206" s="510"/>
      <c r="AP1206" s="510" t="e">
        <f t="shared" ca="1" si="866"/>
        <v>#NAME?</v>
      </c>
      <c r="AQ1206" s="532"/>
      <c r="AR1206" s="533"/>
      <c r="AS1206" s="533"/>
      <c r="AT1206" s="533"/>
      <c r="AU1206" s="533"/>
      <c r="AV1206" s="533"/>
      <c r="AW1206" s="612"/>
      <c r="AX1206" s="612"/>
      <c r="AY1206" s="612"/>
      <c r="AZ1206" s="612"/>
      <c r="BA1206" s="612"/>
      <c r="BB1206" s="612"/>
      <c r="BC1206" s="612"/>
      <c r="BD1206" s="612"/>
      <c r="BE1206" s="612"/>
      <c r="BF1206" s="612"/>
      <c r="BG1206" s="612"/>
      <c r="BH1206" s="612">
        <f t="shared" si="870"/>
        <v>0</v>
      </c>
      <c r="BI1206" s="612">
        <f t="shared" si="859"/>
        <v>0</v>
      </c>
      <c r="BJ1206" s="201">
        <f>AQ1213-BI1206</f>
        <v>0</v>
      </c>
    </row>
    <row r="1207" spans="1:62" ht="12" customHeight="1">
      <c r="A1207" s="282" t="s">
        <v>873</v>
      </c>
      <c r="B1207" s="283"/>
      <c r="C1207" s="283"/>
      <c r="D1207" s="283"/>
      <c r="E1207" s="283"/>
      <c r="F1207" s="283"/>
      <c r="G1207" s="283"/>
      <c r="H1207" s="284"/>
      <c r="I1207" s="369" t="s">
        <v>874</v>
      </c>
      <c r="J1207" s="370"/>
      <c r="K1207" s="226"/>
      <c r="L1207" s="111">
        <f t="shared" ref="L1207:S1207" si="880">L1209</f>
        <v>0</v>
      </c>
      <c r="M1207" s="111">
        <f t="shared" si="880"/>
        <v>0</v>
      </c>
      <c r="N1207" s="112">
        <f t="shared" si="880"/>
        <v>24933</v>
      </c>
      <c r="O1207" s="112">
        <f t="shared" si="880"/>
        <v>3309.1777822018712</v>
      </c>
      <c r="P1207" s="113">
        <f t="shared" si="880"/>
        <v>17400</v>
      </c>
      <c r="Q1207" s="113">
        <f t="shared" si="880"/>
        <v>16900</v>
      </c>
      <c r="R1207" s="87">
        <f t="shared" si="880"/>
        <v>16560</v>
      </c>
      <c r="S1207" s="89">
        <f t="shared" si="880"/>
        <v>0</v>
      </c>
      <c r="T1207" s="89"/>
      <c r="U1207" s="89"/>
      <c r="V1207" s="532">
        <f>V1209</f>
        <v>6000</v>
      </c>
      <c r="W1207" s="532">
        <f>W1209</f>
        <v>6000</v>
      </c>
      <c r="X1207" s="506">
        <f>X1209</f>
        <v>18000</v>
      </c>
      <c r="Y1207" s="507">
        <f>Y1209</f>
        <v>18000</v>
      </c>
      <c r="Z1207" s="507">
        <f>Z1209</f>
        <v>0</v>
      </c>
      <c r="AA1207" s="562" t="e">
        <f t="shared" ca="1" si="865"/>
        <v>#NAME?</v>
      </c>
      <c r="AB1207" s="507"/>
      <c r="AC1207" s="508">
        <f>AC1209</f>
        <v>4000</v>
      </c>
      <c r="AD1207" s="508">
        <f>AD1209</f>
        <v>4000</v>
      </c>
      <c r="AE1207" s="529"/>
      <c r="AF1207" s="529">
        <f>P1207/O1207*100</f>
        <v>525.81037179641442</v>
      </c>
      <c r="AG1207" s="529">
        <f>Q1207/P1207*100</f>
        <v>97.126436781609186</v>
      </c>
      <c r="AH1207" s="529">
        <f>AC1207/Q1207*100</f>
        <v>23.668639053254438</v>
      </c>
      <c r="AI1207" s="507"/>
      <c r="AJ1207" s="507">
        <v>18000</v>
      </c>
      <c r="AK1207" s="507">
        <f t="shared" si="862"/>
        <v>36.231884057971016</v>
      </c>
      <c r="AL1207" s="507">
        <f t="shared" si="863"/>
        <v>300</v>
      </c>
      <c r="AM1207" s="507">
        <f t="shared" si="863"/>
        <v>100</v>
      </c>
      <c r="AN1207" s="509"/>
      <c r="AO1207" s="510"/>
      <c r="AP1207" s="510" t="e">
        <f t="shared" ca="1" si="866"/>
        <v>#NAME?</v>
      </c>
      <c r="AQ1207" s="532">
        <f>AQ1209</f>
        <v>0</v>
      </c>
      <c r="AR1207" s="533">
        <f t="shared" si="872"/>
        <v>36.231884057971016</v>
      </c>
      <c r="AS1207" s="533">
        <f>W1207/V1207*100</f>
        <v>100</v>
      </c>
      <c r="AT1207" s="533">
        <f t="shared" si="873"/>
        <v>36.231884057971016</v>
      </c>
      <c r="AU1207" s="533">
        <f>AQ1207/W1207*100</f>
        <v>0</v>
      </c>
      <c r="AV1207" s="533">
        <f>AQ1207/R1207*100</f>
        <v>0</v>
      </c>
      <c r="AW1207" s="612"/>
      <c r="AX1207" s="612"/>
      <c r="AY1207" s="612"/>
      <c r="AZ1207" s="612"/>
      <c r="BA1207" s="612"/>
      <c r="BB1207" s="612"/>
      <c r="BC1207" s="612"/>
      <c r="BD1207" s="612"/>
      <c r="BE1207" s="612"/>
      <c r="BF1207" s="612"/>
      <c r="BG1207" s="612"/>
      <c r="BH1207" s="612">
        <f t="shared" si="870"/>
        <v>0</v>
      </c>
      <c r="BI1207" s="612">
        <f t="shared" si="859"/>
        <v>0</v>
      </c>
      <c r="BJ1207" s="201">
        <f>AQ1214-BI1207</f>
        <v>0</v>
      </c>
    </row>
    <row r="1208" spans="1:62" ht="12" customHeight="1">
      <c r="A1208" s="41"/>
      <c r="B1208" s="41"/>
      <c r="C1208" s="41"/>
      <c r="D1208" s="41"/>
      <c r="E1208" s="41"/>
      <c r="F1208" s="41"/>
      <c r="G1208" s="41"/>
      <c r="H1208" s="235"/>
      <c r="I1208" s="15"/>
      <c r="J1208" s="3"/>
      <c r="K1208" s="83"/>
      <c r="L1208" s="84"/>
      <c r="M1208" s="84"/>
      <c r="N1208" s="85"/>
      <c r="O1208" s="85"/>
      <c r="P1208" s="86"/>
      <c r="Q1208" s="86"/>
      <c r="R1208" s="154"/>
      <c r="S1208" s="155"/>
      <c r="T1208" s="155"/>
      <c r="U1208" s="155"/>
      <c r="V1208" s="532"/>
      <c r="W1208" s="532"/>
      <c r="X1208" s="568"/>
      <c r="Y1208" s="569"/>
      <c r="Z1208" s="569"/>
      <c r="AA1208" s="562" t="e">
        <f t="shared" ca="1" si="865"/>
        <v>#NAME?</v>
      </c>
      <c r="AB1208" s="537"/>
      <c r="AC1208" s="538"/>
      <c r="AD1208" s="538"/>
      <c r="AE1208" s="529"/>
      <c r="AF1208" s="529"/>
      <c r="AG1208" s="529"/>
      <c r="AH1208" s="529"/>
      <c r="AI1208" s="537"/>
      <c r="AJ1208" s="569"/>
      <c r="AK1208" s="507"/>
      <c r="AL1208" s="507"/>
      <c r="AM1208" s="507"/>
      <c r="AN1208" s="557"/>
      <c r="AO1208" s="510"/>
      <c r="AP1208" s="510" t="e">
        <f t="shared" ca="1" si="866"/>
        <v>#NAME?</v>
      </c>
      <c r="AQ1208" s="532"/>
      <c r="AR1208" s="533"/>
      <c r="AS1208" s="533"/>
      <c r="AT1208" s="533"/>
      <c r="AU1208" s="533"/>
      <c r="AV1208" s="533"/>
      <c r="AW1208" s="612"/>
      <c r="AX1208" s="612"/>
      <c r="AY1208" s="612"/>
      <c r="AZ1208" s="612"/>
      <c r="BA1208" s="612"/>
      <c r="BB1208" s="612"/>
      <c r="BC1208" s="612"/>
      <c r="BD1208" s="612"/>
      <c r="BE1208" s="612"/>
      <c r="BF1208" s="612"/>
      <c r="BG1208" s="612"/>
      <c r="BH1208" s="612">
        <f t="shared" si="870"/>
        <v>0</v>
      </c>
      <c r="BI1208" s="612">
        <f t="shared" si="859"/>
        <v>0</v>
      </c>
      <c r="BJ1208" s="201"/>
    </row>
    <row r="1209" spans="1:62" ht="12" customHeight="1">
      <c r="A1209" s="25"/>
      <c r="B1209" s="25"/>
      <c r="C1209" s="25"/>
      <c r="D1209" s="25"/>
      <c r="E1209" s="25"/>
      <c r="F1209" s="25"/>
      <c r="G1209" s="25"/>
      <c r="H1209" s="285"/>
      <c r="I1209" s="349"/>
      <c r="J1209" s="211">
        <v>4</v>
      </c>
      <c r="K1209" s="3" t="s">
        <v>407</v>
      </c>
      <c r="L1209" s="111">
        <f t="shared" ref="L1209:Z1209" si="881">L1210</f>
        <v>0</v>
      </c>
      <c r="M1209" s="111">
        <f t="shared" si="881"/>
        <v>0</v>
      </c>
      <c r="N1209" s="112">
        <f t="shared" si="881"/>
        <v>24933</v>
      </c>
      <c r="O1209" s="112">
        <f t="shared" si="881"/>
        <v>3309.1777822018712</v>
      </c>
      <c r="P1209" s="113">
        <f t="shared" si="881"/>
        <v>17400</v>
      </c>
      <c r="Q1209" s="113">
        <f t="shared" si="881"/>
        <v>16900</v>
      </c>
      <c r="R1209" s="87">
        <f t="shared" si="881"/>
        <v>16560</v>
      </c>
      <c r="S1209" s="89">
        <f t="shared" si="881"/>
        <v>0</v>
      </c>
      <c r="T1209" s="89"/>
      <c r="U1209" s="89"/>
      <c r="V1209" s="532">
        <f>V1210</f>
        <v>6000</v>
      </c>
      <c r="W1209" s="532">
        <f t="shared" si="881"/>
        <v>6000</v>
      </c>
      <c r="X1209" s="506">
        <f t="shared" si="881"/>
        <v>18000</v>
      </c>
      <c r="Y1209" s="507">
        <f t="shared" si="881"/>
        <v>18000</v>
      </c>
      <c r="Z1209" s="507">
        <f t="shared" si="881"/>
        <v>0</v>
      </c>
      <c r="AA1209" s="562" t="e">
        <f t="shared" ca="1" si="865"/>
        <v>#NAME?</v>
      </c>
      <c r="AB1209" s="507"/>
      <c r="AC1209" s="508">
        <f>AC1210</f>
        <v>4000</v>
      </c>
      <c r="AD1209" s="508">
        <f>AD1210</f>
        <v>4000</v>
      </c>
      <c r="AE1209" s="529"/>
      <c r="AF1209" s="529">
        <f>P1209/O1209*100</f>
        <v>525.81037179641442</v>
      </c>
      <c r="AG1209" s="529">
        <f>Q1209/P1209*100</f>
        <v>97.126436781609186</v>
      </c>
      <c r="AH1209" s="529">
        <f>AC1209/Q1209*100</f>
        <v>23.668639053254438</v>
      </c>
      <c r="AI1209" s="507"/>
      <c r="AJ1209" s="507">
        <v>18000</v>
      </c>
      <c r="AK1209" s="507">
        <f t="shared" si="862"/>
        <v>36.231884057971016</v>
      </c>
      <c r="AL1209" s="507">
        <f t="shared" si="863"/>
        <v>300</v>
      </c>
      <c r="AM1209" s="507">
        <f t="shared" si="863"/>
        <v>100</v>
      </c>
      <c r="AN1209" s="509"/>
      <c r="AO1209" s="510"/>
      <c r="AP1209" s="510" t="e">
        <f t="shared" ca="1" si="866"/>
        <v>#NAME?</v>
      </c>
      <c r="AQ1209" s="532">
        <f>AQ1210</f>
        <v>0</v>
      </c>
      <c r="AR1209" s="533">
        <f t="shared" si="872"/>
        <v>36.231884057971016</v>
      </c>
      <c r="AS1209" s="533">
        <f>W1209/V1209*100</f>
        <v>100</v>
      </c>
      <c r="AT1209" s="533">
        <f t="shared" si="873"/>
        <v>36.231884057971016</v>
      </c>
      <c r="AU1209" s="533">
        <f>AQ1209/W1209*100</f>
        <v>0</v>
      </c>
      <c r="AV1209" s="533">
        <f>AQ1209/R1209*100</f>
        <v>0</v>
      </c>
      <c r="AW1209" s="612"/>
      <c r="AX1209" s="612"/>
      <c r="AY1209" s="612"/>
      <c r="AZ1209" s="612"/>
      <c r="BA1209" s="612"/>
      <c r="BB1209" s="612"/>
      <c r="BC1209" s="612"/>
      <c r="BD1209" s="612"/>
      <c r="BE1209" s="612"/>
      <c r="BF1209" s="612"/>
      <c r="BG1209" s="612"/>
      <c r="BH1209" s="612">
        <f t="shared" si="870"/>
        <v>0</v>
      </c>
      <c r="BI1209" s="612">
        <f t="shared" si="859"/>
        <v>0</v>
      </c>
      <c r="BJ1209" s="201">
        <f>AQ1216-BI1209</f>
        <v>0</v>
      </c>
    </row>
    <row r="1210" spans="1:62" ht="12" customHeight="1">
      <c r="A1210" s="227"/>
      <c r="B1210" s="227"/>
      <c r="C1210" s="227"/>
      <c r="D1210" s="227"/>
      <c r="E1210" s="227"/>
      <c r="F1210" s="227"/>
      <c r="G1210" s="227"/>
      <c r="H1210" s="234"/>
      <c r="I1210" s="265"/>
      <c r="J1210" s="228">
        <v>42</v>
      </c>
      <c r="K1210" s="258" t="s">
        <v>834</v>
      </c>
      <c r="L1210" s="111">
        <f t="shared" ref="L1210:S1210" si="882">L1212+L1215</f>
        <v>0</v>
      </c>
      <c r="M1210" s="111">
        <f t="shared" si="882"/>
        <v>0</v>
      </c>
      <c r="N1210" s="112">
        <f t="shared" si="882"/>
        <v>24933</v>
      </c>
      <c r="O1210" s="112">
        <f t="shared" si="882"/>
        <v>3309.1777822018712</v>
      </c>
      <c r="P1210" s="113">
        <f t="shared" si="882"/>
        <v>17400</v>
      </c>
      <c r="Q1210" s="113">
        <f t="shared" si="882"/>
        <v>16900</v>
      </c>
      <c r="R1210" s="87">
        <f t="shared" si="882"/>
        <v>16560</v>
      </c>
      <c r="S1210" s="89">
        <f t="shared" si="882"/>
        <v>0</v>
      </c>
      <c r="T1210" s="89"/>
      <c r="U1210" s="89"/>
      <c r="V1210" s="532">
        <f>V1212+V1215</f>
        <v>6000</v>
      </c>
      <c r="W1210" s="532">
        <f>W1212+W1215</f>
        <v>6000</v>
      </c>
      <c r="X1210" s="506">
        <f>X1212+X1215</f>
        <v>18000</v>
      </c>
      <c r="Y1210" s="507">
        <f>Y1212+Y1215</f>
        <v>18000</v>
      </c>
      <c r="Z1210" s="507">
        <f>Z1212+Z1215</f>
        <v>0</v>
      </c>
      <c r="AA1210" s="562" t="e">
        <f t="shared" ca="1" si="865"/>
        <v>#NAME?</v>
      </c>
      <c r="AB1210" s="507"/>
      <c r="AC1210" s="508">
        <f>AC1212+AC1215</f>
        <v>4000</v>
      </c>
      <c r="AD1210" s="508">
        <f>AD1212+AD1215</f>
        <v>4000</v>
      </c>
      <c r="AE1210" s="529"/>
      <c r="AF1210" s="529">
        <f>P1210/O1210*100</f>
        <v>525.81037179641442</v>
      </c>
      <c r="AG1210" s="529">
        <f>Q1210/P1210*100</f>
        <v>97.126436781609186</v>
      </c>
      <c r="AH1210" s="529">
        <f>AC1210/Q1210*100</f>
        <v>23.668639053254438</v>
      </c>
      <c r="AI1210" s="507"/>
      <c r="AJ1210" s="507">
        <v>18000</v>
      </c>
      <c r="AK1210" s="507">
        <f t="shared" si="862"/>
        <v>36.231884057971016</v>
      </c>
      <c r="AL1210" s="507">
        <f t="shared" si="863"/>
        <v>300</v>
      </c>
      <c r="AM1210" s="507">
        <f t="shared" si="863"/>
        <v>100</v>
      </c>
      <c r="AN1210" s="509"/>
      <c r="AO1210" s="510"/>
      <c r="AP1210" s="510" t="e">
        <f t="shared" ca="1" si="866"/>
        <v>#NAME?</v>
      </c>
      <c r="AQ1210" s="532">
        <f>AQ1212+AQ1215</f>
        <v>0</v>
      </c>
      <c r="AR1210" s="533">
        <f t="shared" si="872"/>
        <v>36.231884057971016</v>
      </c>
      <c r="AS1210" s="533">
        <f>W1210/V1210*100</f>
        <v>100</v>
      </c>
      <c r="AT1210" s="533">
        <f t="shared" si="873"/>
        <v>36.231884057971016</v>
      </c>
      <c r="AU1210" s="533">
        <f>AQ1210/W1210*100</f>
        <v>0</v>
      </c>
      <c r="AV1210" s="533">
        <f>AQ1210/R1210*100</f>
        <v>0</v>
      </c>
      <c r="AW1210" s="612"/>
      <c r="AX1210" s="612"/>
      <c r="AY1210" s="612"/>
      <c r="AZ1210" s="612"/>
      <c r="BA1210" s="612"/>
      <c r="BB1210" s="612"/>
      <c r="BC1210" s="612"/>
      <c r="BD1210" s="612"/>
      <c r="BE1210" s="612"/>
      <c r="BF1210" s="612"/>
      <c r="BG1210" s="612"/>
      <c r="BH1210" s="612">
        <f t="shared" si="870"/>
        <v>0</v>
      </c>
      <c r="BI1210" s="612">
        <f t="shared" si="859"/>
        <v>0</v>
      </c>
      <c r="BJ1210" s="201"/>
    </row>
    <row r="1211" spans="1:62" ht="12" customHeight="1">
      <c r="A1211" s="41"/>
      <c r="B1211" s="41"/>
      <c r="C1211" s="41"/>
      <c r="D1211" s="41"/>
      <c r="E1211" s="41"/>
      <c r="F1211" s="41"/>
      <c r="G1211" s="41"/>
      <c r="H1211" s="235"/>
      <c r="I1211" s="15"/>
      <c r="J1211" s="3"/>
      <c r="K1211" s="83"/>
      <c r="L1211" s="84"/>
      <c r="M1211" s="84"/>
      <c r="N1211" s="85"/>
      <c r="O1211" s="85"/>
      <c r="P1211" s="86"/>
      <c r="Q1211" s="86"/>
      <c r="R1211" s="154"/>
      <c r="S1211" s="155"/>
      <c r="T1211" s="155"/>
      <c r="U1211" s="155"/>
      <c r="V1211" s="532"/>
      <c r="W1211" s="532"/>
      <c r="X1211" s="568"/>
      <c r="Y1211" s="569"/>
      <c r="Z1211" s="569"/>
      <c r="AA1211" s="562" t="e">
        <f t="shared" ca="1" si="865"/>
        <v>#NAME?</v>
      </c>
      <c r="AB1211" s="537"/>
      <c r="AC1211" s="538"/>
      <c r="AD1211" s="538"/>
      <c r="AE1211" s="529"/>
      <c r="AF1211" s="529"/>
      <c r="AG1211" s="529"/>
      <c r="AH1211" s="529"/>
      <c r="AI1211" s="537"/>
      <c r="AJ1211" s="569"/>
      <c r="AK1211" s="507"/>
      <c r="AL1211" s="507"/>
      <c r="AM1211" s="507"/>
      <c r="AN1211" s="557"/>
      <c r="AO1211" s="510"/>
      <c r="AP1211" s="510" t="e">
        <f t="shared" ca="1" si="866"/>
        <v>#NAME?</v>
      </c>
      <c r="AQ1211" s="532"/>
      <c r="AR1211" s="533"/>
      <c r="AS1211" s="533"/>
      <c r="AT1211" s="533"/>
      <c r="AU1211" s="533"/>
      <c r="AV1211" s="533"/>
      <c r="AW1211" s="612"/>
      <c r="AX1211" s="612"/>
      <c r="AY1211" s="612"/>
      <c r="AZ1211" s="612"/>
      <c r="BA1211" s="612"/>
      <c r="BB1211" s="612"/>
      <c r="BC1211" s="612"/>
      <c r="BD1211" s="612"/>
      <c r="BE1211" s="612"/>
      <c r="BF1211" s="612"/>
      <c r="BG1211" s="612"/>
      <c r="BH1211" s="612">
        <f t="shared" si="870"/>
        <v>0</v>
      </c>
      <c r="BI1211" s="612">
        <f t="shared" si="859"/>
        <v>0</v>
      </c>
      <c r="BJ1211" s="201"/>
    </row>
    <row r="1212" spans="1:62" ht="12" customHeight="1">
      <c r="A1212" s="357"/>
      <c r="B1212" s="357"/>
      <c r="C1212" s="357"/>
      <c r="D1212" s="357"/>
      <c r="E1212" s="357"/>
      <c r="F1212" s="357"/>
      <c r="G1212" s="357"/>
      <c r="H1212" s="230"/>
      <c r="I1212" s="348"/>
      <c r="J1212" s="229">
        <v>422</v>
      </c>
      <c r="K1212" s="20" t="s">
        <v>409</v>
      </c>
      <c r="L1212" s="111">
        <f t="shared" ref="L1212:S1212" si="883">L1213+L1214</f>
        <v>0</v>
      </c>
      <c r="M1212" s="111">
        <f t="shared" si="883"/>
        <v>0</v>
      </c>
      <c r="N1212" s="112">
        <f t="shared" si="883"/>
        <v>24933</v>
      </c>
      <c r="O1212" s="112">
        <f t="shared" si="883"/>
        <v>3309.1777822018712</v>
      </c>
      <c r="P1212" s="113">
        <f t="shared" si="883"/>
        <v>4700</v>
      </c>
      <c r="Q1212" s="113">
        <f t="shared" si="883"/>
        <v>4200</v>
      </c>
      <c r="R1212" s="87">
        <f t="shared" si="883"/>
        <v>3951</v>
      </c>
      <c r="S1212" s="89">
        <f t="shared" si="883"/>
        <v>0</v>
      </c>
      <c r="T1212" s="89"/>
      <c r="U1212" s="89"/>
      <c r="V1212" s="532">
        <f>V1213+V1214</f>
        <v>4000</v>
      </c>
      <c r="W1212" s="532">
        <f>W1213+W1214</f>
        <v>4000</v>
      </c>
      <c r="X1212" s="506">
        <f>X1213+X1214</f>
        <v>16000</v>
      </c>
      <c r="Y1212" s="507">
        <f>Y1213+Y1214</f>
        <v>16000</v>
      </c>
      <c r="Z1212" s="507">
        <f>Z1213+Z1214</f>
        <v>0</v>
      </c>
      <c r="AA1212" s="562" t="e">
        <f t="shared" ca="1" si="865"/>
        <v>#NAME?</v>
      </c>
      <c r="AB1212" s="507"/>
      <c r="AC1212" s="507">
        <f>AC1213+AC1214</f>
        <v>2000</v>
      </c>
      <c r="AD1212" s="507">
        <f>AD1213+AD1214</f>
        <v>2000</v>
      </c>
      <c r="AE1212" s="529"/>
      <c r="AF1212" s="529">
        <f>P1212/O1212*100</f>
        <v>142.02923835880159</v>
      </c>
      <c r="AG1212" s="529">
        <f>Q1212/P1212*100</f>
        <v>89.361702127659569</v>
      </c>
      <c r="AH1212" s="529">
        <f>AC1212/Q1212*100</f>
        <v>47.619047619047613</v>
      </c>
      <c r="AI1212" s="507"/>
      <c r="AJ1212" s="507">
        <v>16000</v>
      </c>
      <c r="AK1212" s="507">
        <f t="shared" si="862"/>
        <v>101.24019235636548</v>
      </c>
      <c r="AL1212" s="507">
        <f t="shared" si="863"/>
        <v>400</v>
      </c>
      <c r="AM1212" s="507">
        <f t="shared" si="863"/>
        <v>100</v>
      </c>
      <c r="AN1212" s="509"/>
      <c r="AO1212" s="510"/>
      <c r="AP1212" s="510" t="e">
        <f t="shared" ca="1" si="866"/>
        <v>#NAME?</v>
      </c>
      <c r="AQ1212" s="532">
        <f>AQ1213+AQ1214</f>
        <v>0</v>
      </c>
      <c r="AR1212" s="533">
        <f t="shared" si="872"/>
        <v>101.24019235636548</v>
      </c>
      <c r="AS1212" s="533">
        <f>W1212/V1212*100</f>
        <v>100</v>
      </c>
      <c r="AT1212" s="533">
        <f t="shared" si="873"/>
        <v>101.24019235636548</v>
      </c>
      <c r="AU1212" s="533">
        <f>AQ1212/W1212*100</f>
        <v>0</v>
      </c>
      <c r="AV1212" s="533">
        <f>AQ1212/R1212*100</f>
        <v>0</v>
      </c>
      <c r="AW1212" s="612"/>
      <c r="AX1212" s="612"/>
      <c r="AY1212" s="612"/>
      <c r="AZ1212" s="612"/>
      <c r="BA1212" s="612"/>
      <c r="BB1212" s="612"/>
      <c r="BC1212" s="612"/>
      <c r="BD1212" s="612"/>
      <c r="BE1212" s="612"/>
      <c r="BF1212" s="612"/>
      <c r="BG1212" s="612"/>
      <c r="BH1212" s="612">
        <f t="shared" si="870"/>
        <v>0</v>
      </c>
      <c r="BI1212" s="612">
        <f t="shared" si="859"/>
        <v>0</v>
      </c>
      <c r="BJ1212" s="201"/>
    </row>
    <row r="1213" spans="1:62" ht="12" customHeight="1">
      <c r="A1213" s="167"/>
      <c r="B1213" s="167"/>
      <c r="C1213" s="167"/>
      <c r="D1213" s="167"/>
      <c r="E1213" s="167"/>
      <c r="F1213" s="167"/>
      <c r="G1213" s="167"/>
      <c r="H1213" s="2">
        <v>235</v>
      </c>
      <c r="I1213" s="289">
        <v>820</v>
      </c>
      <c r="J1213" s="185">
        <v>4221</v>
      </c>
      <c r="K1213" s="19" t="s">
        <v>299</v>
      </c>
      <c r="L1213" s="129">
        <v>0</v>
      </c>
      <c r="M1213" s="129">
        <v>0</v>
      </c>
      <c r="N1213" s="130">
        <v>5026</v>
      </c>
      <c r="O1213" s="130">
        <f>N1213/7.5345</f>
        <v>667.06483509191048</v>
      </c>
      <c r="P1213" s="131">
        <v>0</v>
      </c>
      <c r="Q1213" s="131">
        <v>0</v>
      </c>
      <c r="R1213" s="153">
        <v>0</v>
      </c>
      <c r="S1213" s="158"/>
      <c r="T1213" s="158"/>
      <c r="U1213" s="158"/>
      <c r="V1213" s="532">
        <v>4000</v>
      </c>
      <c r="W1213" s="532">
        <v>4000</v>
      </c>
      <c r="X1213" s="560">
        <v>6000</v>
      </c>
      <c r="Y1213" s="561">
        <v>6000</v>
      </c>
      <c r="Z1213" s="561"/>
      <c r="AA1213" s="562" t="e">
        <f t="shared" ca="1" si="865"/>
        <v>#NAME?</v>
      </c>
      <c r="AB1213" s="535"/>
      <c r="AC1213" s="529">
        <v>2000</v>
      </c>
      <c r="AD1213" s="529">
        <v>2000</v>
      </c>
      <c r="AE1213" s="529"/>
      <c r="AF1213" s="529">
        <f>P1213/O1213*100</f>
        <v>0</v>
      </c>
      <c r="AG1213" s="529"/>
      <c r="AH1213" s="529"/>
      <c r="AI1213" s="535"/>
      <c r="AJ1213" s="561">
        <v>6000</v>
      </c>
      <c r="AK1213" s="507"/>
      <c r="AL1213" s="507">
        <f t="shared" si="863"/>
        <v>150</v>
      </c>
      <c r="AM1213" s="507">
        <f t="shared" si="863"/>
        <v>100</v>
      </c>
      <c r="AN1213" s="556"/>
      <c r="AO1213" s="510"/>
      <c r="AP1213" s="510" t="e">
        <f t="shared" ca="1" si="866"/>
        <v>#NAME?</v>
      </c>
      <c r="AQ1213" s="532"/>
      <c r="AR1213" s="533"/>
      <c r="AS1213" s="533">
        <f>W1213/V1213*100</f>
        <v>100</v>
      </c>
      <c r="AT1213" s="533"/>
      <c r="AU1213" s="533">
        <f>AQ1213/W1213*100</f>
        <v>0</v>
      </c>
      <c r="AV1213" s="533"/>
      <c r="AW1213" s="612">
        <f>AQ1213</f>
        <v>0</v>
      </c>
      <c r="AX1213" s="612"/>
      <c r="AY1213" s="612"/>
      <c r="AZ1213" s="612"/>
      <c r="BA1213" s="612"/>
      <c r="BB1213" s="612"/>
      <c r="BC1213" s="612"/>
      <c r="BD1213" s="612"/>
      <c r="BE1213" s="612"/>
      <c r="BF1213" s="612"/>
      <c r="BG1213" s="612"/>
      <c r="BH1213" s="612">
        <f t="shared" si="870"/>
        <v>0</v>
      </c>
      <c r="BI1213" s="612">
        <f t="shared" si="859"/>
        <v>0</v>
      </c>
      <c r="BJ1213" s="201"/>
    </row>
    <row r="1214" spans="1:62" ht="12" customHeight="1">
      <c r="A1214" s="456"/>
      <c r="B1214" s="456"/>
      <c r="C1214" s="456"/>
      <c r="D1214" s="456"/>
      <c r="E1214" s="456"/>
      <c r="F1214" s="456"/>
      <c r="G1214" s="456"/>
      <c r="H1214" s="457" t="s">
        <v>875</v>
      </c>
      <c r="I1214" s="459">
        <v>820</v>
      </c>
      <c r="J1214" s="460">
        <v>4227</v>
      </c>
      <c r="K1214" s="461" t="s">
        <v>876</v>
      </c>
      <c r="L1214" s="129">
        <v>0</v>
      </c>
      <c r="M1214" s="129">
        <v>0</v>
      </c>
      <c r="N1214" s="130">
        <v>19907</v>
      </c>
      <c r="O1214" s="130">
        <f>N1214/7.5345</f>
        <v>2642.1129471099607</v>
      </c>
      <c r="P1214" s="131">
        <v>4700</v>
      </c>
      <c r="Q1214" s="156">
        <v>4200</v>
      </c>
      <c r="R1214" s="153">
        <v>3951</v>
      </c>
      <c r="S1214" s="158"/>
      <c r="T1214" s="158"/>
      <c r="U1214" s="158"/>
      <c r="V1214" s="532">
        <v>0</v>
      </c>
      <c r="W1214" s="532">
        <v>0</v>
      </c>
      <c r="X1214" s="560">
        <v>10000</v>
      </c>
      <c r="Y1214" s="561">
        <v>10000</v>
      </c>
      <c r="Z1214" s="561"/>
      <c r="AA1214" s="562" t="e">
        <f t="shared" ca="1" si="865"/>
        <v>#NAME?</v>
      </c>
      <c r="AB1214" s="535"/>
      <c r="AC1214" s="508"/>
      <c r="AD1214" s="508"/>
      <c r="AE1214" s="529"/>
      <c r="AF1214" s="529"/>
      <c r="AG1214" s="529"/>
      <c r="AH1214" s="529"/>
      <c r="AI1214" s="535"/>
      <c r="AJ1214" s="561">
        <v>10000</v>
      </c>
      <c r="AK1214" s="507">
        <f t="shared" si="862"/>
        <v>0</v>
      </c>
      <c r="AL1214" s="507"/>
      <c r="AM1214" s="507">
        <f t="shared" si="863"/>
        <v>100</v>
      </c>
      <c r="AN1214" s="556"/>
      <c r="AO1214" s="510"/>
      <c r="AP1214" s="510" t="e">
        <f t="shared" ca="1" si="866"/>
        <v>#NAME?</v>
      </c>
      <c r="AQ1214" s="532"/>
      <c r="AR1214" s="533">
        <f t="shared" si="872"/>
        <v>0</v>
      </c>
      <c r="AS1214" s="533"/>
      <c r="AT1214" s="533">
        <f t="shared" si="873"/>
        <v>0</v>
      </c>
      <c r="AU1214" s="533"/>
      <c r="AV1214" s="533">
        <f>AQ1214/R1214*100</f>
        <v>0</v>
      </c>
      <c r="AW1214" s="612">
        <f>AQ1214</f>
        <v>0</v>
      </c>
      <c r="AX1214" s="612"/>
      <c r="AY1214" s="612"/>
      <c r="AZ1214" s="612"/>
      <c r="BA1214" s="612"/>
      <c r="BB1214" s="612"/>
      <c r="BC1214" s="612"/>
      <c r="BD1214" s="612"/>
      <c r="BE1214" s="612"/>
      <c r="BF1214" s="612"/>
      <c r="BG1214" s="612"/>
      <c r="BH1214" s="612">
        <f t="shared" si="870"/>
        <v>0</v>
      </c>
      <c r="BI1214" s="612">
        <f t="shared" si="859"/>
        <v>0</v>
      </c>
      <c r="BJ1214" s="201"/>
    </row>
    <row r="1215" spans="1:62" ht="12" customHeight="1">
      <c r="A1215" s="357"/>
      <c r="B1215" s="357"/>
      <c r="C1215" s="357"/>
      <c r="D1215" s="357"/>
      <c r="E1215" s="357"/>
      <c r="F1215" s="357"/>
      <c r="G1215" s="357"/>
      <c r="H1215" s="230"/>
      <c r="I1215" s="348"/>
      <c r="J1215" s="229">
        <v>426</v>
      </c>
      <c r="K1215" s="20" t="s">
        <v>877</v>
      </c>
      <c r="L1215" s="111">
        <f t="shared" ref="L1215:Z1215" si="884">L1216</f>
        <v>0</v>
      </c>
      <c r="M1215" s="111">
        <f t="shared" si="884"/>
        <v>0</v>
      </c>
      <c r="N1215" s="112">
        <f t="shared" si="884"/>
        <v>0</v>
      </c>
      <c r="O1215" s="112">
        <f t="shared" si="884"/>
        <v>0</v>
      </c>
      <c r="P1215" s="113">
        <f t="shared" si="884"/>
        <v>12700</v>
      </c>
      <c r="Q1215" s="113">
        <f t="shared" si="884"/>
        <v>12700</v>
      </c>
      <c r="R1215" s="87">
        <f t="shared" si="884"/>
        <v>12609</v>
      </c>
      <c r="S1215" s="89">
        <f t="shared" si="884"/>
        <v>0</v>
      </c>
      <c r="T1215" s="89"/>
      <c r="U1215" s="89"/>
      <c r="V1215" s="532">
        <f>V1216</f>
        <v>2000</v>
      </c>
      <c r="W1215" s="532">
        <f t="shared" si="884"/>
        <v>2000</v>
      </c>
      <c r="X1215" s="506">
        <f t="shared" si="884"/>
        <v>2000</v>
      </c>
      <c r="Y1215" s="507">
        <f t="shared" si="884"/>
        <v>2000</v>
      </c>
      <c r="Z1215" s="507">
        <f t="shared" si="884"/>
        <v>0</v>
      </c>
      <c r="AA1215" s="562" t="e">
        <f t="shared" ca="1" si="865"/>
        <v>#NAME?</v>
      </c>
      <c r="AB1215" s="507"/>
      <c r="AC1215" s="508">
        <f>AC1216</f>
        <v>2000</v>
      </c>
      <c r="AD1215" s="508">
        <f>AD1216</f>
        <v>2000</v>
      </c>
      <c r="AE1215" s="529"/>
      <c r="AF1215" s="529"/>
      <c r="AG1215" s="529"/>
      <c r="AH1215" s="529"/>
      <c r="AI1215" s="507"/>
      <c r="AJ1215" s="507">
        <v>2000</v>
      </c>
      <c r="AK1215" s="507">
        <f t="shared" si="862"/>
        <v>15.861686097232136</v>
      </c>
      <c r="AL1215" s="507">
        <f t="shared" si="863"/>
        <v>100</v>
      </c>
      <c r="AM1215" s="507">
        <f t="shared" si="863"/>
        <v>100</v>
      </c>
      <c r="AN1215" s="509"/>
      <c r="AO1215" s="510"/>
      <c r="AP1215" s="510" t="e">
        <f t="shared" ca="1" si="866"/>
        <v>#NAME?</v>
      </c>
      <c r="AQ1215" s="532">
        <f>AQ1216</f>
        <v>0</v>
      </c>
      <c r="AR1215" s="533">
        <f t="shared" si="872"/>
        <v>15.861686097232136</v>
      </c>
      <c r="AS1215" s="533">
        <f>W1215/V1215*100</f>
        <v>100</v>
      </c>
      <c r="AT1215" s="533">
        <f t="shared" si="873"/>
        <v>15.861686097232136</v>
      </c>
      <c r="AU1215" s="533">
        <f>AQ1215/W1215*100</f>
        <v>0</v>
      </c>
      <c r="AV1215" s="533">
        <f>AQ1215/R1215*100</f>
        <v>0</v>
      </c>
      <c r="AW1215" s="612"/>
      <c r="AX1215" s="612"/>
      <c r="AY1215" s="612"/>
      <c r="AZ1215" s="612"/>
      <c r="BA1215" s="612"/>
      <c r="BB1215" s="612"/>
      <c r="BC1215" s="612"/>
      <c r="BD1215" s="612"/>
      <c r="BE1215" s="612"/>
      <c r="BF1215" s="612"/>
      <c r="BG1215" s="612"/>
      <c r="BH1215" s="612">
        <f t="shared" si="870"/>
        <v>0</v>
      </c>
      <c r="BI1215" s="612">
        <f t="shared" si="859"/>
        <v>0</v>
      </c>
      <c r="BJ1215" s="201"/>
    </row>
    <row r="1216" spans="1:62" ht="12" customHeight="1">
      <c r="A1216" s="167"/>
      <c r="B1216" s="167"/>
      <c r="C1216" s="167"/>
      <c r="D1216" s="167"/>
      <c r="E1216" s="167"/>
      <c r="F1216" s="167"/>
      <c r="G1216" s="167"/>
      <c r="H1216" s="2">
        <v>236</v>
      </c>
      <c r="I1216" s="289">
        <v>820</v>
      </c>
      <c r="J1216" s="185">
        <v>4262</v>
      </c>
      <c r="K1216" s="19" t="s">
        <v>878</v>
      </c>
      <c r="L1216" s="129">
        <v>0</v>
      </c>
      <c r="M1216" s="129">
        <v>0</v>
      </c>
      <c r="N1216" s="130">
        <v>0</v>
      </c>
      <c r="O1216" s="130">
        <v>0</v>
      </c>
      <c r="P1216" s="131">
        <v>12700</v>
      </c>
      <c r="Q1216" s="131">
        <v>12700</v>
      </c>
      <c r="R1216" s="153">
        <v>12609</v>
      </c>
      <c r="S1216" s="158"/>
      <c r="T1216" s="158"/>
      <c r="U1216" s="158"/>
      <c r="V1216" s="532">
        <v>2000</v>
      </c>
      <c r="W1216" s="532">
        <v>2000</v>
      </c>
      <c r="X1216" s="560">
        <v>2000</v>
      </c>
      <c r="Y1216" s="561">
        <v>2000</v>
      </c>
      <c r="Z1216" s="561"/>
      <c r="AA1216" s="562" t="e">
        <f t="shared" ca="1" si="865"/>
        <v>#NAME?</v>
      </c>
      <c r="AB1216" s="535"/>
      <c r="AC1216" s="529">
        <v>2000</v>
      </c>
      <c r="AD1216" s="529">
        <v>2000</v>
      </c>
      <c r="AE1216" s="529"/>
      <c r="AF1216" s="529"/>
      <c r="AG1216" s="529"/>
      <c r="AH1216" s="529"/>
      <c r="AI1216" s="535"/>
      <c r="AJ1216" s="561">
        <v>2000</v>
      </c>
      <c r="AK1216" s="507">
        <f t="shared" si="862"/>
        <v>15.861686097232136</v>
      </c>
      <c r="AL1216" s="507">
        <f t="shared" si="863"/>
        <v>100</v>
      </c>
      <c r="AM1216" s="507">
        <f t="shared" si="863"/>
        <v>100</v>
      </c>
      <c r="AN1216" s="556"/>
      <c r="AO1216" s="510"/>
      <c r="AP1216" s="510" t="e">
        <f t="shared" ca="1" si="866"/>
        <v>#NAME?</v>
      </c>
      <c r="AQ1216" s="532"/>
      <c r="AR1216" s="533">
        <f t="shared" si="872"/>
        <v>15.861686097232136</v>
      </c>
      <c r="AS1216" s="533">
        <f>W1216/V1216*100</f>
        <v>100</v>
      </c>
      <c r="AT1216" s="533">
        <f t="shared" si="873"/>
        <v>15.861686097232136</v>
      </c>
      <c r="AU1216" s="533">
        <f>AQ1216/W1216*100</f>
        <v>0</v>
      </c>
      <c r="AV1216" s="533">
        <f>AQ1216/R1216*100</f>
        <v>0</v>
      </c>
      <c r="AW1216" s="612">
        <f>AQ1216</f>
        <v>0</v>
      </c>
      <c r="AX1216" s="612"/>
      <c r="AY1216" s="612"/>
      <c r="AZ1216" s="612"/>
      <c r="BA1216" s="612"/>
      <c r="BB1216" s="612"/>
      <c r="BC1216" s="612"/>
      <c r="BD1216" s="612"/>
      <c r="BE1216" s="612"/>
      <c r="BF1216" s="612"/>
      <c r="BG1216" s="612"/>
      <c r="BH1216" s="612">
        <f t="shared" si="870"/>
        <v>0</v>
      </c>
      <c r="BI1216" s="612">
        <f t="shared" si="859"/>
        <v>0</v>
      </c>
      <c r="BJ1216" s="201">
        <f>AQ1223-BI1216</f>
        <v>0</v>
      </c>
    </row>
    <row r="1217" spans="1:64" ht="12" customHeight="1">
      <c r="A1217" s="167"/>
      <c r="B1217" s="167"/>
      <c r="C1217" s="167"/>
      <c r="D1217" s="167"/>
      <c r="E1217" s="167"/>
      <c r="F1217" s="167"/>
      <c r="G1217" s="167"/>
      <c r="H1217" s="2"/>
      <c r="I1217" s="289"/>
      <c r="J1217" s="185"/>
      <c r="K1217" s="19"/>
      <c r="L1217" s="129"/>
      <c r="M1217" s="129"/>
      <c r="N1217" s="130"/>
      <c r="O1217" s="130"/>
      <c r="P1217" s="131"/>
      <c r="Q1217" s="131"/>
      <c r="R1217" s="153"/>
      <c r="S1217" s="158"/>
      <c r="T1217" s="158"/>
      <c r="U1217" s="158"/>
      <c r="V1217" s="532"/>
      <c r="W1217" s="532"/>
      <c r="X1217" s="560"/>
      <c r="Y1217" s="561"/>
      <c r="Z1217" s="561"/>
      <c r="AA1217" s="562" t="e">
        <f t="shared" ca="1" si="865"/>
        <v>#NAME?</v>
      </c>
      <c r="AB1217" s="535"/>
      <c r="AC1217" s="529"/>
      <c r="AD1217" s="529"/>
      <c r="AE1217" s="529"/>
      <c r="AF1217" s="529"/>
      <c r="AG1217" s="529"/>
      <c r="AH1217" s="529"/>
      <c r="AI1217" s="535"/>
      <c r="AJ1217" s="561"/>
      <c r="AK1217" s="507"/>
      <c r="AL1217" s="507"/>
      <c r="AM1217" s="507"/>
      <c r="AN1217" s="556"/>
      <c r="AO1217" s="510"/>
      <c r="AP1217" s="510" t="e">
        <f t="shared" ca="1" si="866"/>
        <v>#NAME?</v>
      </c>
      <c r="AQ1217" s="532"/>
      <c r="AR1217" s="533"/>
      <c r="AS1217" s="533"/>
      <c r="AT1217" s="533"/>
      <c r="AU1217" s="533"/>
      <c r="AV1217" s="533"/>
      <c r="AW1217" s="612"/>
      <c r="AX1217" s="612"/>
      <c r="AY1217" s="612"/>
      <c r="AZ1217" s="612"/>
      <c r="BA1217" s="612"/>
      <c r="BB1217" s="612"/>
      <c r="BC1217" s="612"/>
      <c r="BD1217" s="612"/>
      <c r="BE1217" s="612"/>
      <c r="BF1217" s="612"/>
      <c r="BG1217" s="612"/>
      <c r="BH1217" s="612">
        <f t="shared" si="870"/>
        <v>0</v>
      </c>
      <c r="BI1217" s="612">
        <f t="shared" si="859"/>
        <v>0</v>
      </c>
      <c r="BJ1217" s="201"/>
    </row>
    <row r="1218" spans="1:64" ht="12" customHeight="1">
      <c r="A1218" s="282" t="s">
        <v>879</v>
      </c>
      <c r="B1218" s="283"/>
      <c r="C1218" s="283"/>
      <c r="D1218" s="283"/>
      <c r="E1218" s="283"/>
      <c r="F1218" s="283"/>
      <c r="G1218" s="283"/>
      <c r="H1218" s="284"/>
      <c r="I1218" s="369" t="s">
        <v>880</v>
      </c>
      <c r="J1218" s="370"/>
      <c r="K1218" s="226"/>
      <c r="L1218" s="111">
        <f t="shared" ref="L1218:S1218" si="885">L1220</f>
        <v>2476635</v>
      </c>
      <c r="M1218" s="111">
        <f t="shared" si="885"/>
        <v>328705.95261795737</v>
      </c>
      <c r="N1218" s="112">
        <f t="shared" si="885"/>
        <v>622963</v>
      </c>
      <c r="O1218" s="112">
        <f t="shared" si="885"/>
        <v>82681.398898400686</v>
      </c>
      <c r="P1218" s="113">
        <f t="shared" si="885"/>
        <v>0</v>
      </c>
      <c r="Q1218" s="113">
        <f t="shared" si="885"/>
        <v>23360</v>
      </c>
      <c r="R1218" s="87">
        <f t="shared" si="885"/>
        <v>25870</v>
      </c>
      <c r="S1218" s="89">
        <f t="shared" si="885"/>
        <v>0</v>
      </c>
      <c r="T1218" s="89"/>
      <c r="U1218" s="89"/>
      <c r="V1218" s="532">
        <f>V1220</f>
        <v>0</v>
      </c>
      <c r="W1218" s="532">
        <f>W1220</f>
        <v>0</v>
      </c>
      <c r="X1218" s="506">
        <f>X1220</f>
        <v>150000</v>
      </c>
      <c r="Y1218" s="507">
        <f>Y1220</f>
        <v>100000</v>
      </c>
      <c r="Z1218" s="507">
        <f>Z1220</f>
        <v>0</v>
      </c>
      <c r="AA1218" s="562" t="e">
        <f t="shared" ca="1" si="865"/>
        <v>#NAME?</v>
      </c>
      <c r="AB1218" s="507"/>
      <c r="AC1218" s="508">
        <f>AC1220</f>
        <v>0</v>
      </c>
      <c r="AD1218" s="508">
        <f>AD1220</f>
        <v>0</v>
      </c>
      <c r="AE1218" s="529">
        <f>O1218/M1218*100</f>
        <v>25.153605597918144</v>
      </c>
      <c r="AF1218" s="529">
        <f>P1218/O1218*100</f>
        <v>0</v>
      </c>
      <c r="AG1218" s="529"/>
      <c r="AH1218" s="529"/>
      <c r="AI1218" s="507"/>
      <c r="AJ1218" s="507">
        <v>100000</v>
      </c>
      <c r="AK1218" s="507">
        <f t="shared" si="862"/>
        <v>0</v>
      </c>
      <c r="AL1218" s="507"/>
      <c r="AM1218" s="507">
        <f t="shared" ref="AM1218:AM1225" si="886">Y1218/X1218*100</f>
        <v>66.666666666666657</v>
      </c>
      <c r="AN1218" s="509"/>
      <c r="AO1218" s="510"/>
      <c r="AP1218" s="510" t="e">
        <f t="shared" ca="1" si="866"/>
        <v>#NAME?</v>
      </c>
      <c r="AQ1218" s="532">
        <f>AQ1220</f>
        <v>0</v>
      </c>
      <c r="AR1218" s="533">
        <f t="shared" si="872"/>
        <v>0</v>
      </c>
      <c r="AS1218" s="533"/>
      <c r="AT1218" s="533">
        <f t="shared" si="873"/>
        <v>0</v>
      </c>
      <c r="AU1218" s="533"/>
      <c r="AV1218" s="533">
        <f>AQ1218/R1218*100</f>
        <v>0</v>
      </c>
      <c r="AW1218" s="612"/>
      <c r="AX1218" s="612"/>
      <c r="AY1218" s="612"/>
      <c r="AZ1218" s="612"/>
      <c r="BA1218" s="612"/>
      <c r="BB1218" s="612"/>
      <c r="BC1218" s="612"/>
      <c r="BD1218" s="612"/>
      <c r="BE1218" s="612"/>
      <c r="BF1218" s="612"/>
      <c r="BG1218" s="612"/>
      <c r="BH1218" s="612">
        <f t="shared" si="870"/>
        <v>0</v>
      </c>
      <c r="BI1218" s="612">
        <f t="shared" si="859"/>
        <v>0</v>
      </c>
      <c r="BJ1218" s="201"/>
      <c r="BK1218" s="201">
        <f>SUM(BI1125:BI1218)</f>
        <v>218022</v>
      </c>
      <c r="BL1218" s="455" t="s">
        <v>887</v>
      </c>
    </row>
    <row r="1219" spans="1:64" ht="12" customHeight="1">
      <c r="A1219" s="68"/>
      <c r="B1219" s="68"/>
      <c r="C1219" s="68"/>
      <c r="D1219" s="68"/>
      <c r="E1219" s="68"/>
      <c r="F1219" s="68"/>
      <c r="G1219" s="68"/>
      <c r="H1219" s="458"/>
      <c r="I1219" s="256"/>
      <c r="J1219" s="211"/>
      <c r="K1219" s="69"/>
      <c r="L1219" s="175"/>
      <c r="M1219" s="175"/>
      <c r="N1219" s="176"/>
      <c r="O1219" s="176"/>
      <c r="P1219" s="177"/>
      <c r="Q1219" s="177"/>
      <c r="R1219" s="212"/>
      <c r="S1219" s="180"/>
      <c r="T1219" s="180"/>
      <c r="U1219" s="180"/>
      <c r="V1219" s="532"/>
      <c r="W1219" s="532"/>
      <c r="X1219" s="563"/>
      <c r="Y1219" s="562"/>
      <c r="Z1219" s="562"/>
      <c r="AA1219" s="562" t="e">
        <f t="shared" ca="1" si="865"/>
        <v>#NAME?</v>
      </c>
      <c r="AB1219" s="507"/>
      <c r="AC1219" s="508"/>
      <c r="AD1219" s="508"/>
      <c r="AE1219" s="529"/>
      <c r="AF1219" s="529"/>
      <c r="AG1219" s="529"/>
      <c r="AH1219" s="529"/>
      <c r="AI1219" s="507"/>
      <c r="AJ1219" s="562"/>
      <c r="AK1219" s="507"/>
      <c r="AL1219" s="507"/>
      <c r="AM1219" s="507"/>
      <c r="AN1219" s="509"/>
      <c r="AO1219" s="510"/>
      <c r="AP1219" s="510" t="e">
        <f t="shared" ca="1" si="866"/>
        <v>#NAME?</v>
      </c>
      <c r="AQ1219" s="532"/>
      <c r="AR1219" s="533"/>
      <c r="AS1219" s="533"/>
      <c r="AT1219" s="533"/>
      <c r="AU1219" s="533"/>
      <c r="AV1219" s="533"/>
      <c r="AW1219" s="612"/>
      <c r="AX1219" s="612"/>
      <c r="AY1219" s="612"/>
      <c r="AZ1219" s="612"/>
      <c r="BA1219" s="612"/>
      <c r="BB1219" s="612"/>
      <c r="BC1219" s="612"/>
      <c r="BD1219" s="612"/>
      <c r="BE1219" s="612"/>
      <c r="BF1219" s="612"/>
      <c r="BG1219" s="612"/>
      <c r="BH1219" s="612">
        <f t="shared" si="870"/>
        <v>0</v>
      </c>
      <c r="BI1219" s="616">
        <f>SUM(BI361:BI1218)</f>
        <v>7050549.4300000016</v>
      </c>
      <c r="BJ1219" s="201">
        <f>SUM(BJ353:BJ1218)</f>
        <v>7864065.3099999987</v>
      </c>
    </row>
    <row r="1220" spans="1:64" ht="12" customHeight="1">
      <c r="A1220" s="25"/>
      <c r="B1220" s="25"/>
      <c r="C1220" s="25"/>
      <c r="D1220" s="25"/>
      <c r="E1220" s="25"/>
      <c r="F1220" s="25"/>
      <c r="G1220" s="25"/>
      <c r="H1220" s="285"/>
      <c r="I1220" s="349"/>
      <c r="J1220" s="211">
        <v>4</v>
      </c>
      <c r="K1220" s="3" t="s">
        <v>407</v>
      </c>
      <c r="L1220" s="111">
        <f t="shared" ref="L1220:Z1220" si="887">L1221</f>
        <v>2476635</v>
      </c>
      <c r="M1220" s="111">
        <f t="shared" si="887"/>
        <v>328705.95261795737</v>
      </c>
      <c r="N1220" s="112">
        <f t="shared" si="887"/>
        <v>622963</v>
      </c>
      <c r="O1220" s="112">
        <f t="shared" si="887"/>
        <v>82681.398898400686</v>
      </c>
      <c r="P1220" s="113">
        <f t="shared" si="887"/>
        <v>0</v>
      </c>
      <c r="Q1220" s="113">
        <f t="shared" si="887"/>
        <v>23360</v>
      </c>
      <c r="R1220" s="87">
        <f t="shared" si="887"/>
        <v>25870</v>
      </c>
      <c r="S1220" s="89">
        <f t="shared" si="887"/>
        <v>0</v>
      </c>
      <c r="T1220" s="89"/>
      <c r="U1220" s="89"/>
      <c r="V1220" s="532">
        <f>V1221</f>
        <v>0</v>
      </c>
      <c r="W1220" s="532">
        <f t="shared" si="887"/>
        <v>0</v>
      </c>
      <c r="X1220" s="506">
        <f t="shared" si="887"/>
        <v>150000</v>
      </c>
      <c r="Y1220" s="507">
        <f t="shared" si="887"/>
        <v>100000</v>
      </c>
      <c r="Z1220" s="507">
        <f t="shared" si="887"/>
        <v>0</v>
      </c>
      <c r="AA1220" s="562" t="e">
        <f t="shared" ca="1" si="865"/>
        <v>#NAME?</v>
      </c>
      <c r="AB1220" s="507"/>
      <c r="AC1220" s="508">
        <f t="shared" ref="AC1220:AD1222" si="888">AC1221</f>
        <v>0</v>
      </c>
      <c r="AD1220" s="508">
        <f t="shared" si="888"/>
        <v>0</v>
      </c>
      <c r="AE1220" s="529">
        <f>O1220/M1220*100</f>
        <v>25.153605597918144</v>
      </c>
      <c r="AF1220" s="529">
        <f>P1220/O1220*100</f>
        <v>0</v>
      </c>
      <c r="AG1220" s="529"/>
      <c r="AH1220" s="529"/>
      <c r="AI1220" s="507"/>
      <c r="AJ1220" s="507">
        <v>100000</v>
      </c>
      <c r="AK1220" s="507">
        <f t="shared" si="862"/>
        <v>0</v>
      </c>
      <c r="AL1220" s="507"/>
      <c r="AM1220" s="507">
        <f t="shared" si="886"/>
        <v>66.666666666666657</v>
      </c>
      <c r="AN1220" s="509"/>
      <c r="AO1220" s="510"/>
      <c r="AP1220" s="510" t="e">
        <f t="shared" ca="1" si="866"/>
        <v>#NAME?</v>
      </c>
      <c r="AQ1220" s="532">
        <f>AQ1221</f>
        <v>0</v>
      </c>
      <c r="AR1220" s="533">
        <f t="shared" si="872"/>
        <v>0</v>
      </c>
      <c r="AS1220" s="533"/>
      <c r="AT1220" s="533">
        <f t="shared" si="873"/>
        <v>0</v>
      </c>
      <c r="AU1220" s="533"/>
      <c r="AV1220" s="533">
        <f>AQ1220/R1220*100</f>
        <v>0</v>
      </c>
      <c r="AW1220" s="612"/>
      <c r="AX1220" s="612"/>
      <c r="AY1220" s="612"/>
      <c r="AZ1220" s="612"/>
      <c r="BA1220" s="612"/>
      <c r="BB1220" s="612"/>
      <c r="BC1220" s="612"/>
      <c r="BD1220" s="612"/>
      <c r="BE1220" s="612"/>
      <c r="BF1220" s="612"/>
      <c r="BG1220" s="612"/>
      <c r="BH1220" s="612">
        <f t="shared" si="870"/>
        <v>0</v>
      </c>
      <c r="BI1220" s="616"/>
    </row>
    <row r="1221" spans="1:64" ht="12" customHeight="1">
      <c r="A1221" s="227"/>
      <c r="B1221" s="227"/>
      <c r="C1221" s="227"/>
      <c r="D1221" s="227"/>
      <c r="E1221" s="227"/>
      <c r="F1221" s="227"/>
      <c r="G1221" s="227"/>
      <c r="H1221" s="234"/>
      <c r="I1221" s="265"/>
      <c r="J1221" s="228">
        <v>45</v>
      </c>
      <c r="K1221" s="258" t="s">
        <v>881</v>
      </c>
      <c r="L1221" s="111">
        <f t="shared" ref="L1221:Q1221" si="889">L1222+L1226</f>
        <v>2476635</v>
      </c>
      <c r="M1221" s="111">
        <f t="shared" si="889"/>
        <v>328705.95261795737</v>
      </c>
      <c r="N1221" s="112">
        <f t="shared" si="889"/>
        <v>622963</v>
      </c>
      <c r="O1221" s="112">
        <f t="shared" si="889"/>
        <v>82681.398898400686</v>
      </c>
      <c r="P1221" s="113">
        <f t="shared" si="889"/>
        <v>0</v>
      </c>
      <c r="Q1221" s="113">
        <f t="shared" si="889"/>
        <v>23360</v>
      </c>
      <c r="R1221" s="87">
        <f t="shared" ref="R1221:W1221" si="890">R1222+R1225</f>
        <v>25870</v>
      </c>
      <c r="S1221" s="89">
        <f t="shared" si="890"/>
        <v>0</v>
      </c>
      <c r="T1221" s="89"/>
      <c r="U1221" s="89"/>
      <c r="V1221" s="532">
        <f t="shared" si="890"/>
        <v>0</v>
      </c>
      <c r="W1221" s="532">
        <f t="shared" si="890"/>
        <v>0</v>
      </c>
      <c r="X1221" s="506">
        <f>X1222</f>
        <v>150000</v>
      </c>
      <c r="Y1221" s="507">
        <f>Y1222+Y1225</f>
        <v>100000</v>
      </c>
      <c r="Z1221" s="507">
        <f>Z1222+Z1225</f>
        <v>0</v>
      </c>
      <c r="AA1221" s="562" t="e">
        <f t="shared" ca="1" si="865"/>
        <v>#NAME?</v>
      </c>
      <c r="AB1221" s="507"/>
      <c r="AC1221" s="508">
        <f t="shared" si="888"/>
        <v>0</v>
      </c>
      <c r="AD1221" s="508">
        <f t="shared" si="888"/>
        <v>0</v>
      </c>
      <c r="AE1221" s="529">
        <f>O1221/M1221*100</f>
        <v>25.153605597918144</v>
      </c>
      <c r="AF1221" s="529">
        <f>P1221/O1221*100</f>
        <v>0</v>
      </c>
      <c r="AG1221" s="529"/>
      <c r="AH1221" s="529"/>
      <c r="AI1221" s="507"/>
      <c r="AJ1221" s="507">
        <v>100000</v>
      </c>
      <c r="AK1221" s="507">
        <f t="shared" si="862"/>
        <v>0</v>
      </c>
      <c r="AL1221" s="507"/>
      <c r="AM1221" s="507">
        <f t="shared" si="886"/>
        <v>66.666666666666657</v>
      </c>
      <c r="AN1221" s="509"/>
      <c r="AO1221" s="510"/>
      <c r="AP1221" s="510" t="e">
        <f t="shared" ca="1" si="866"/>
        <v>#NAME?</v>
      </c>
      <c r="AQ1221" s="532">
        <f>AQ1222</f>
        <v>0</v>
      </c>
      <c r="AR1221" s="533">
        <f t="shared" si="872"/>
        <v>0</v>
      </c>
      <c r="AS1221" s="533"/>
      <c r="AT1221" s="533">
        <f t="shared" si="873"/>
        <v>0</v>
      </c>
      <c r="AU1221" s="533"/>
      <c r="AV1221" s="533">
        <f>AQ1221/R1221*100</f>
        <v>0</v>
      </c>
      <c r="AW1221" s="612"/>
      <c r="AX1221" s="612"/>
      <c r="AY1221" s="612"/>
      <c r="AZ1221" s="612"/>
      <c r="BA1221" s="612"/>
      <c r="BB1221" s="612"/>
      <c r="BC1221" s="612"/>
      <c r="BD1221" s="612"/>
      <c r="BE1221" s="612"/>
      <c r="BF1221" s="612"/>
      <c r="BG1221" s="612"/>
      <c r="BH1221" s="612">
        <f t="shared" si="870"/>
        <v>0</v>
      </c>
      <c r="BI1221" s="616"/>
    </row>
    <row r="1222" spans="1:64" ht="12" customHeight="1">
      <c r="A1222" s="357"/>
      <c r="B1222" s="357"/>
      <c r="C1222" s="357"/>
      <c r="D1222" s="357">
        <v>4</v>
      </c>
      <c r="E1222" s="357"/>
      <c r="F1222" s="357"/>
      <c r="G1222" s="357"/>
      <c r="H1222" s="230"/>
      <c r="I1222" s="348"/>
      <c r="J1222" s="229">
        <v>451</v>
      </c>
      <c r="K1222" s="20" t="s">
        <v>882</v>
      </c>
      <c r="L1222" s="111">
        <f t="shared" ref="L1222:Z1222" si="891">L1223</f>
        <v>2476635</v>
      </c>
      <c r="M1222" s="111">
        <f t="shared" si="891"/>
        <v>328705.95261795737</v>
      </c>
      <c r="N1222" s="112">
        <f t="shared" si="891"/>
        <v>622963</v>
      </c>
      <c r="O1222" s="112">
        <f t="shared" si="891"/>
        <v>82681.398898400686</v>
      </c>
      <c r="P1222" s="113">
        <f t="shared" si="891"/>
        <v>0</v>
      </c>
      <c r="Q1222" s="113">
        <f t="shared" si="891"/>
        <v>23360</v>
      </c>
      <c r="R1222" s="87">
        <f t="shared" si="891"/>
        <v>25870</v>
      </c>
      <c r="S1222" s="89">
        <f t="shared" si="891"/>
        <v>0</v>
      </c>
      <c r="T1222" s="89"/>
      <c r="U1222" s="89"/>
      <c r="V1222" s="532">
        <f>V1223</f>
        <v>0</v>
      </c>
      <c r="W1222" s="532">
        <f t="shared" si="891"/>
        <v>0</v>
      </c>
      <c r="X1222" s="506">
        <f>X1223+X1224+X1225</f>
        <v>150000</v>
      </c>
      <c r="Y1222" s="507">
        <f t="shared" si="891"/>
        <v>50000</v>
      </c>
      <c r="Z1222" s="507">
        <f t="shared" si="891"/>
        <v>0</v>
      </c>
      <c r="AA1222" s="562" t="e">
        <f t="shared" ca="1" si="865"/>
        <v>#NAME?</v>
      </c>
      <c r="AB1222" s="507"/>
      <c r="AC1222" s="508">
        <f t="shared" si="888"/>
        <v>0</v>
      </c>
      <c r="AD1222" s="508">
        <f t="shared" si="888"/>
        <v>0</v>
      </c>
      <c r="AE1222" s="529">
        <f>O1222/M1222*100</f>
        <v>25.153605597918144</v>
      </c>
      <c r="AF1222" s="529">
        <f>P1222/O1222*100</f>
        <v>0</v>
      </c>
      <c r="AG1222" s="529"/>
      <c r="AH1222" s="529"/>
      <c r="AI1222" s="507"/>
      <c r="AJ1222" s="507">
        <v>50000</v>
      </c>
      <c r="AK1222" s="507">
        <f t="shared" si="862"/>
        <v>0</v>
      </c>
      <c r="AL1222" s="507"/>
      <c r="AM1222" s="507">
        <f t="shared" si="886"/>
        <v>33.333333333333329</v>
      </c>
      <c r="AN1222" s="509"/>
      <c r="AO1222" s="510"/>
      <c r="AP1222" s="510" t="e">
        <f t="shared" ca="1" si="866"/>
        <v>#NAME?</v>
      </c>
      <c r="AQ1222" s="532">
        <f>AQ1223+AQ1224+AQ1225</f>
        <v>0</v>
      </c>
      <c r="AR1222" s="533">
        <f t="shared" si="872"/>
        <v>0</v>
      </c>
      <c r="AS1222" s="533"/>
      <c r="AT1222" s="533">
        <f t="shared" si="873"/>
        <v>0</v>
      </c>
      <c r="AU1222" s="533"/>
      <c r="AV1222" s="533">
        <f>AQ1222/R1222*100</f>
        <v>0</v>
      </c>
      <c r="AW1222" s="612"/>
      <c r="AX1222" s="612"/>
      <c r="AY1222" s="612"/>
      <c r="AZ1222" s="612"/>
      <c r="BA1222" s="612"/>
      <c r="BB1222" s="612"/>
      <c r="BC1222" s="612"/>
      <c r="BD1222" s="612"/>
      <c r="BE1222" s="612"/>
      <c r="BF1222" s="612"/>
      <c r="BG1222" s="612"/>
      <c r="BH1222" s="612">
        <f t="shared" si="870"/>
        <v>0</v>
      </c>
      <c r="BI1222" s="616"/>
    </row>
    <row r="1223" spans="1:64" ht="12" customHeight="1">
      <c r="A1223" s="167"/>
      <c r="B1223" s="167"/>
      <c r="C1223" s="167"/>
      <c r="D1223" s="167"/>
      <c r="E1223" s="167"/>
      <c r="F1223" s="167"/>
      <c r="G1223" s="167"/>
      <c r="H1223" s="236">
        <v>240</v>
      </c>
      <c r="I1223" s="423">
        <v>820</v>
      </c>
      <c r="J1223" s="267">
        <v>4511</v>
      </c>
      <c r="K1223" s="268" t="s">
        <v>883</v>
      </c>
      <c r="L1223" s="269">
        <v>2476635</v>
      </c>
      <c r="M1223" s="269">
        <f>2476635/7.5345</f>
        <v>328705.95261795737</v>
      </c>
      <c r="N1223" s="270">
        <v>622963</v>
      </c>
      <c r="O1223" s="270">
        <f>N1223/7.5345</f>
        <v>82681.398898400686</v>
      </c>
      <c r="P1223" s="271">
        <v>0</v>
      </c>
      <c r="Q1223" s="271">
        <v>23360</v>
      </c>
      <c r="R1223" s="275">
        <v>25870</v>
      </c>
      <c r="S1223" s="276"/>
      <c r="T1223" s="276"/>
      <c r="U1223" s="276"/>
      <c r="V1223" s="532">
        <v>0</v>
      </c>
      <c r="W1223" s="532">
        <v>0</v>
      </c>
      <c r="X1223" s="576">
        <v>25000</v>
      </c>
      <c r="Y1223" s="577">
        <v>50000</v>
      </c>
      <c r="Z1223" s="577"/>
      <c r="AA1223" s="600" t="e">
        <f t="shared" ca="1" si="865"/>
        <v>#NAME?</v>
      </c>
      <c r="AB1223" s="543"/>
      <c r="AC1223" s="529">
        <v>0</v>
      </c>
      <c r="AD1223" s="529">
        <v>0</v>
      </c>
      <c r="AE1223" s="529">
        <f>O1223/M1223*100</f>
        <v>25.153605597918144</v>
      </c>
      <c r="AF1223" s="529">
        <f>P1223/O1223*100</f>
        <v>0</v>
      </c>
      <c r="AG1223" s="529"/>
      <c r="AH1223" s="529"/>
      <c r="AI1223" s="543"/>
      <c r="AJ1223" s="577">
        <v>50000</v>
      </c>
      <c r="AK1223" s="507">
        <f t="shared" si="862"/>
        <v>0</v>
      </c>
      <c r="AL1223" s="507"/>
      <c r="AM1223" s="507">
        <f t="shared" si="886"/>
        <v>200</v>
      </c>
      <c r="AN1223" s="578"/>
      <c r="AO1223" s="510"/>
      <c r="AP1223" s="510" t="e">
        <f t="shared" ca="1" si="866"/>
        <v>#NAME?</v>
      </c>
      <c r="AQ1223" s="532"/>
      <c r="AR1223" s="533">
        <f t="shared" si="872"/>
        <v>0</v>
      </c>
      <c r="AS1223" s="533"/>
      <c r="AT1223" s="533">
        <f t="shared" si="873"/>
        <v>0</v>
      </c>
      <c r="AU1223" s="533"/>
      <c r="AV1223" s="533">
        <f>AQ1223/R1223*100</f>
        <v>0</v>
      </c>
      <c r="AW1223" s="612"/>
      <c r="AX1223" s="612"/>
      <c r="AY1223" s="612"/>
      <c r="AZ1223" s="612"/>
      <c r="BA1223" s="612"/>
      <c r="BB1223" s="612"/>
      <c r="BC1223" s="612"/>
      <c r="BD1223" s="612"/>
      <c r="BE1223" s="612"/>
      <c r="BF1223" s="612"/>
      <c r="BG1223" s="612"/>
      <c r="BH1223" s="612">
        <f t="shared" si="870"/>
        <v>0</v>
      </c>
      <c r="BI1223" s="616"/>
      <c r="BL1223" s="201">
        <f>SUM(AW1139:AW1223)</f>
        <v>212457.58000000002</v>
      </c>
    </row>
    <row r="1224" spans="1:64" ht="12" customHeight="1">
      <c r="A1224" s="167"/>
      <c r="B1224" s="167"/>
      <c r="C1224" s="167"/>
      <c r="D1224" s="167"/>
      <c r="E1224" s="167"/>
      <c r="F1224" s="167"/>
      <c r="G1224" s="167"/>
      <c r="H1224" s="24"/>
      <c r="I1224" s="289">
        <v>820</v>
      </c>
      <c r="J1224" s="185">
        <v>4511</v>
      </c>
      <c r="K1224" s="185" t="s">
        <v>884</v>
      </c>
      <c r="L1224" s="156"/>
      <c r="M1224" s="156"/>
      <c r="N1224" s="156"/>
      <c r="O1224" s="156"/>
      <c r="P1224" s="156"/>
      <c r="Q1224" s="156"/>
      <c r="R1224" s="153"/>
      <c r="S1224" s="313"/>
      <c r="T1224" s="313"/>
      <c r="U1224" s="313"/>
      <c r="V1224" s="532">
        <v>0</v>
      </c>
      <c r="W1224" s="532">
        <v>0</v>
      </c>
      <c r="X1224" s="534">
        <v>100000</v>
      </c>
      <c r="Y1224" s="535">
        <v>200000</v>
      </c>
      <c r="Z1224" s="535"/>
      <c r="AA1224" s="535"/>
      <c r="AB1224" s="535"/>
      <c r="AC1224" s="603"/>
      <c r="AD1224" s="603"/>
      <c r="AE1224" s="603"/>
      <c r="AF1224" s="603"/>
      <c r="AG1224" s="603"/>
      <c r="AH1224" s="603"/>
      <c r="AI1224" s="596"/>
      <c r="AJ1224" s="535">
        <v>200000</v>
      </c>
      <c r="AK1224" s="507"/>
      <c r="AL1224" s="507"/>
      <c r="AM1224" s="507">
        <f t="shared" si="886"/>
        <v>200</v>
      </c>
      <c r="AN1224" s="604"/>
      <c r="AO1224" s="510"/>
      <c r="AP1224" s="510" t="e">
        <f t="shared" ca="1" si="866"/>
        <v>#NAME?</v>
      </c>
      <c r="AQ1224" s="532"/>
      <c r="AR1224" s="533"/>
      <c r="AS1224" s="533"/>
      <c r="AT1224" s="533"/>
      <c r="AU1224" s="533"/>
      <c r="AV1224" s="533"/>
      <c r="AW1224" s="612"/>
      <c r="AX1224" s="612"/>
      <c r="AY1224" s="612"/>
      <c r="AZ1224" s="612"/>
      <c r="BA1224" s="612"/>
      <c r="BB1224" s="612"/>
      <c r="BC1224" s="612"/>
      <c r="BD1224" s="612"/>
      <c r="BE1224" s="612"/>
      <c r="BF1224" s="612"/>
      <c r="BG1224" s="612"/>
      <c r="BH1224" s="612">
        <f t="shared" si="870"/>
        <v>0</v>
      </c>
      <c r="BI1224" s="616"/>
    </row>
    <row r="1225" spans="1:64" ht="12" customHeight="1">
      <c r="A1225" s="462"/>
      <c r="B1225" s="7"/>
      <c r="C1225" s="167"/>
      <c r="D1225" s="167"/>
      <c r="E1225" s="167"/>
      <c r="F1225" s="167"/>
      <c r="G1225" s="167"/>
      <c r="H1225" s="426"/>
      <c r="I1225" s="289">
        <v>820</v>
      </c>
      <c r="J1225" s="185">
        <v>4511</v>
      </c>
      <c r="K1225" s="185" t="s">
        <v>885</v>
      </c>
      <c r="L1225" s="156"/>
      <c r="M1225" s="156"/>
      <c r="N1225" s="156"/>
      <c r="O1225" s="156"/>
      <c r="P1225" s="156"/>
      <c r="Q1225" s="156"/>
      <c r="R1225" s="153"/>
      <c r="S1225" s="313"/>
      <c r="T1225" s="313"/>
      <c r="U1225" s="313"/>
      <c r="V1225" s="532">
        <v>0</v>
      </c>
      <c r="W1225" s="532">
        <v>0</v>
      </c>
      <c r="X1225" s="534">
        <v>25000</v>
      </c>
      <c r="Y1225" s="535">
        <v>50000</v>
      </c>
      <c r="Z1225" s="535"/>
      <c r="AA1225" s="535"/>
      <c r="AB1225" s="535"/>
      <c r="AC1225" s="520" t="s">
        <v>886</v>
      </c>
      <c r="AD1225" s="520"/>
      <c r="AE1225" s="603"/>
      <c r="AF1225" s="603"/>
      <c r="AG1225" s="603"/>
      <c r="AH1225" s="603"/>
      <c r="AI1225" s="596"/>
      <c r="AJ1225" s="535">
        <v>50000</v>
      </c>
      <c r="AK1225" s="507"/>
      <c r="AL1225" s="507"/>
      <c r="AM1225" s="507">
        <f t="shared" si="886"/>
        <v>200</v>
      </c>
      <c r="AN1225" s="604"/>
      <c r="AO1225" s="510"/>
      <c r="AP1225" s="510" t="e">
        <f t="shared" ca="1" si="866"/>
        <v>#NAME?</v>
      </c>
      <c r="AQ1225" s="532"/>
      <c r="AR1225" s="533"/>
      <c r="AS1225" s="533"/>
      <c r="AT1225" s="533"/>
      <c r="AU1225" s="533"/>
      <c r="AV1225" s="533"/>
      <c r="AW1225" s="619"/>
      <c r="AX1225" s="619"/>
      <c r="AY1225" s="619"/>
      <c r="AZ1225" s="619"/>
      <c r="BA1225" s="619"/>
      <c r="BB1225" s="619"/>
      <c r="BC1225" s="619"/>
      <c r="BD1225" s="619"/>
      <c r="BE1225" s="619"/>
      <c r="BF1225" s="619"/>
      <c r="BG1225" s="619"/>
      <c r="BH1225" s="619">
        <f t="shared" si="870"/>
        <v>0</v>
      </c>
      <c r="BI1225" s="616"/>
    </row>
    <row r="1226" spans="1:64" ht="12" customHeight="1">
      <c r="A1226" s="278"/>
      <c r="B1226" s="278"/>
      <c r="C1226" s="278"/>
      <c r="D1226" s="278"/>
      <c r="E1226" s="278"/>
      <c r="F1226" s="278"/>
      <c r="G1226" s="278"/>
      <c r="H1226" s="278"/>
      <c r="I1226" s="278"/>
      <c r="J1226" s="278"/>
      <c r="K1226" s="278"/>
      <c r="L1226" s="278"/>
      <c r="M1226" s="278"/>
      <c r="N1226" s="278"/>
      <c r="O1226" s="278"/>
      <c r="P1226" s="278"/>
      <c r="Q1226" s="278"/>
      <c r="R1226" s="278"/>
      <c r="S1226" s="278"/>
      <c r="T1226" s="278"/>
      <c r="U1226" s="278"/>
      <c r="V1226" s="497"/>
      <c r="W1226" s="497"/>
      <c r="X1226" s="497"/>
      <c r="Y1226" s="497"/>
      <c r="Z1226" s="497"/>
      <c r="AA1226" s="497"/>
      <c r="AB1226" s="497"/>
      <c r="AC1226" s="497"/>
      <c r="AD1226" s="497"/>
      <c r="AE1226" s="497"/>
      <c r="AF1226" s="497"/>
      <c r="AG1226" s="497"/>
      <c r="AH1226" s="497"/>
      <c r="AI1226" s="497"/>
      <c r="AJ1226" s="497"/>
      <c r="AK1226" s="497"/>
      <c r="AL1226" s="497"/>
      <c r="AM1226" s="497"/>
      <c r="AN1226" s="498"/>
      <c r="AO1226" s="490"/>
      <c r="AP1226" s="490"/>
      <c r="AQ1226" s="497"/>
      <c r="AR1226" s="491"/>
      <c r="AS1226" s="491"/>
      <c r="AT1226" s="491"/>
      <c r="AU1226" s="491"/>
      <c r="AV1226" s="491"/>
      <c r="AW1226" s="618"/>
      <c r="AX1226" s="618"/>
      <c r="AY1226" s="618"/>
      <c r="AZ1226" s="618"/>
      <c r="BA1226" s="618"/>
      <c r="BB1226" s="618"/>
      <c r="BC1226" s="618"/>
      <c r="BD1226" s="618"/>
      <c r="BE1226" s="618"/>
      <c r="BF1226" s="618"/>
      <c r="BG1226" s="618"/>
      <c r="BH1226" s="618"/>
      <c r="BI1226" s="616"/>
    </row>
    <row r="1227" spans="1:64" ht="12" customHeight="1">
      <c r="A1227" s="278"/>
      <c r="B1227" s="278"/>
      <c r="C1227" s="278"/>
      <c r="D1227" s="278"/>
      <c r="E1227" s="278"/>
      <c r="F1227" s="278"/>
      <c r="G1227" s="278"/>
      <c r="H1227" s="278"/>
      <c r="I1227" s="278"/>
      <c r="J1227" s="278"/>
      <c r="K1227" s="278"/>
      <c r="L1227" s="278"/>
      <c r="M1227" s="278"/>
      <c r="N1227" s="278"/>
      <c r="O1227" s="278"/>
      <c r="P1227" s="278"/>
      <c r="Q1227" s="278"/>
      <c r="R1227" s="278"/>
      <c r="S1227" s="278"/>
      <c r="T1227" s="278"/>
      <c r="U1227" s="278"/>
      <c r="V1227" s="497"/>
      <c r="W1227" s="497"/>
      <c r="X1227" s="497"/>
      <c r="Y1227" s="497"/>
      <c r="Z1227" s="497"/>
      <c r="AA1227" s="497"/>
      <c r="AB1227" s="497"/>
      <c r="AC1227" s="497"/>
      <c r="AD1227" s="497"/>
      <c r="AE1227" s="497"/>
      <c r="AF1227" s="497"/>
      <c r="AG1227" s="497"/>
      <c r="AH1227" s="497"/>
      <c r="AI1227" s="497"/>
      <c r="AJ1227" s="497"/>
      <c r="AK1227" s="497"/>
      <c r="AL1227" s="497"/>
      <c r="AM1227" s="497"/>
      <c r="AN1227" s="605"/>
      <c r="AO1227" s="490"/>
      <c r="AP1227" s="490"/>
      <c r="AQ1227" s="497"/>
      <c r="AR1227" s="491"/>
      <c r="AS1227" s="491"/>
      <c r="AT1227" s="491"/>
      <c r="AU1227" s="491"/>
      <c r="AV1227" s="491"/>
      <c r="AW1227" s="618"/>
      <c r="AX1227" s="618"/>
      <c r="AY1227" s="618"/>
      <c r="AZ1227" s="618"/>
      <c r="BA1227" s="618"/>
      <c r="BB1227" s="618"/>
      <c r="BC1227" s="618"/>
      <c r="BD1227" s="618"/>
      <c r="BE1227" s="618"/>
      <c r="BF1227" s="618"/>
      <c r="BG1227" s="618"/>
      <c r="BH1227" s="618"/>
      <c r="BI1227" s="616"/>
      <c r="BJ1227" s="201"/>
    </row>
    <row r="1228" spans="1:64" ht="12" customHeight="1">
      <c r="A1228" s="278"/>
      <c r="B1228" s="278"/>
      <c r="C1228" s="278"/>
      <c r="D1228" s="278"/>
      <c r="E1228" s="278"/>
      <c r="F1228" s="278"/>
      <c r="G1228" s="278"/>
      <c r="H1228" s="278"/>
      <c r="I1228" s="278"/>
      <c r="J1228" s="278"/>
      <c r="K1228" s="278"/>
      <c r="L1228" s="278"/>
      <c r="M1228" s="278"/>
      <c r="N1228" s="278"/>
      <c r="O1228" s="278"/>
      <c r="P1228" s="278"/>
      <c r="Q1228" s="278"/>
      <c r="R1228" s="278"/>
      <c r="S1228" s="278"/>
      <c r="T1228" s="278"/>
      <c r="U1228" s="278"/>
      <c r="V1228" s="497"/>
      <c r="W1228" s="606"/>
      <c r="X1228" s="607"/>
      <c r="Y1228" s="607"/>
      <c r="Z1228" s="497"/>
      <c r="AA1228" s="497"/>
      <c r="AB1228" s="497"/>
      <c r="AC1228" s="497"/>
      <c r="AD1228" s="497"/>
      <c r="AE1228" s="497"/>
      <c r="AF1228" s="497"/>
      <c r="AG1228" s="497"/>
      <c r="AH1228" s="497"/>
      <c r="AI1228" s="497"/>
      <c r="AJ1228" s="497"/>
      <c r="AK1228" s="497"/>
      <c r="AL1228" s="497"/>
      <c r="AM1228" s="497"/>
      <c r="AN1228" s="605"/>
      <c r="AO1228" s="490"/>
      <c r="AP1228" s="490"/>
      <c r="AQ1228" s="606"/>
      <c r="AR1228" s="491"/>
      <c r="AS1228" s="491"/>
      <c r="AT1228" s="491"/>
      <c r="AU1228" s="491"/>
      <c r="AV1228" s="491"/>
      <c r="AW1228" s="618"/>
      <c r="AX1228" s="618"/>
      <c r="AY1228" s="618"/>
      <c r="AZ1228" s="618"/>
      <c r="BA1228" s="618"/>
      <c r="BB1228" s="618"/>
      <c r="BC1228" s="618"/>
      <c r="BD1228" s="618"/>
      <c r="BE1228" s="618"/>
      <c r="BF1228" s="618"/>
      <c r="BG1228" s="618"/>
      <c r="BH1228" s="618"/>
      <c r="BI1228" s="616"/>
    </row>
    <row r="1229" spans="1:64" ht="12" customHeight="1">
      <c r="A1229" s="278"/>
      <c r="B1229" s="278"/>
      <c r="C1229" s="278"/>
      <c r="D1229" s="278"/>
      <c r="E1229" s="278"/>
      <c r="F1229" s="278"/>
      <c r="G1229" s="278"/>
      <c r="H1229" s="278"/>
      <c r="I1229" s="278"/>
      <c r="J1229" s="278"/>
      <c r="K1229" s="278"/>
      <c r="L1229" s="278"/>
      <c r="M1229" s="278"/>
      <c r="N1229" s="278"/>
      <c r="O1229" s="278"/>
      <c r="P1229" s="278"/>
      <c r="Q1229" s="278"/>
      <c r="R1229" s="278"/>
      <c r="S1229" s="278"/>
      <c r="T1229" s="278"/>
      <c r="U1229" s="278"/>
      <c r="V1229" s="497"/>
      <c r="W1229" s="608"/>
      <c r="X1229" s="607"/>
      <c r="Y1229" s="607"/>
      <c r="Z1229" s="497"/>
      <c r="AA1229" s="497"/>
      <c r="AB1229" s="497"/>
      <c r="AC1229" s="497"/>
      <c r="AD1229" s="497"/>
      <c r="AE1229" s="497"/>
      <c r="AF1229" s="497"/>
      <c r="AG1229" s="497"/>
      <c r="AH1229" s="497"/>
      <c r="AI1229" s="497"/>
      <c r="AJ1229" s="497"/>
      <c r="AK1229" s="497"/>
      <c r="AL1229" s="497"/>
      <c r="AM1229" s="497"/>
      <c r="AN1229" s="605"/>
      <c r="AO1229" s="490"/>
      <c r="AP1229" s="490"/>
      <c r="AQ1229" s="608"/>
      <c r="AR1229" s="491"/>
      <c r="AS1229" s="491"/>
      <c r="AT1229" s="491"/>
      <c r="AU1229" s="491"/>
      <c r="AV1229" s="491"/>
      <c r="AW1229" s="618"/>
      <c r="AX1229" s="618"/>
      <c r="AY1229" s="618"/>
      <c r="AZ1229" s="618"/>
      <c r="BA1229" s="618"/>
      <c r="BB1229" s="618"/>
      <c r="BC1229" s="618"/>
      <c r="BD1229" s="618"/>
      <c r="BE1229" s="618"/>
      <c r="BF1229" s="618"/>
      <c r="BG1229" s="618"/>
      <c r="BH1229" s="618"/>
      <c r="BI1229" s="616"/>
    </row>
    <row r="1230" spans="1:64" ht="12" customHeight="1">
      <c r="A1230" s="278"/>
      <c r="B1230" s="278"/>
      <c r="C1230" s="278"/>
      <c r="D1230" s="278"/>
      <c r="E1230" s="278"/>
      <c r="F1230" s="278"/>
      <c r="G1230" s="278"/>
      <c r="H1230" s="278"/>
      <c r="I1230" s="278"/>
      <c r="J1230" s="278"/>
      <c r="K1230" s="278"/>
      <c r="L1230" s="278"/>
      <c r="M1230" s="278"/>
      <c r="N1230" s="278"/>
      <c r="O1230" s="278"/>
      <c r="P1230" s="278"/>
      <c r="Q1230" s="278"/>
      <c r="R1230" s="278"/>
      <c r="S1230" s="278"/>
      <c r="T1230" s="278"/>
      <c r="U1230" s="278"/>
      <c r="V1230" s="497"/>
      <c r="W1230" s="608"/>
      <c r="X1230" s="607"/>
      <c r="Y1230" s="607"/>
      <c r="Z1230" s="497"/>
      <c r="AA1230" s="497"/>
      <c r="AB1230" s="497"/>
      <c r="AC1230" s="497"/>
      <c r="AD1230" s="497"/>
      <c r="AE1230" s="497"/>
      <c r="AF1230" s="497"/>
      <c r="AG1230" s="497"/>
      <c r="AH1230" s="497"/>
      <c r="AI1230" s="497"/>
      <c r="AJ1230" s="497"/>
      <c r="AK1230" s="497"/>
      <c r="AL1230" s="497"/>
      <c r="AM1230" s="497"/>
      <c r="AN1230" s="605"/>
      <c r="AO1230" s="490"/>
      <c r="AP1230" s="490"/>
      <c r="AQ1230" s="608"/>
      <c r="AR1230" s="491"/>
      <c r="AS1230" s="491"/>
      <c r="AT1230" s="491"/>
      <c r="AU1230" s="491"/>
      <c r="AV1230" s="491"/>
      <c r="AW1230" s="618"/>
      <c r="AX1230" s="618"/>
      <c r="AY1230" s="618"/>
      <c r="AZ1230" s="618"/>
      <c r="BA1230" s="618"/>
      <c r="BB1230" s="618"/>
      <c r="BC1230" s="618"/>
      <c r="BD1230" s="618"/>
      <c r="BE1230" s="618"/>
      <c r="BF1230" s="618"/>
      <c r="BG1230" s="618"/>
      <c r="BH1230" s="618"/>
      <c r="BI1230" s="616"/>
    </row>
    <row r="1231" spans="1:64" ht="12" customHeight="1">
      <c r="A1231" s="200"/>
      <c r="B1231" s="241"/>
      <c r="C1231" s="28"/>
      <c r="D1231" s="28"/>
      <c r="E1231" s="28"/>
      <c r="F1231" s="28"/>
      <c r="G1231" s="28"/>
      <c r="H1231" s="463"/>
      <c r="I1231" s="466"/>
      <c r="J1231" s="214"/>
      <c r="K1231" s="29"/>
      <c r="L1231" s="467"/>
      <c r="M1231" s="467"/>
      <c r="N1231" s="467"/>
      <c r="O1231" s="467"/>
      <c r="P1231" s="467"/>
      <c r="Q1231" s="475" t="s">
        <v>886</v>
      </c>
      <c r="R1231" s="475"/>
      <c r="S1231" s="476"/>
      <c r="T1231" s="476"/>
      <c r="U1231" s="476"/>
      <c r="V1231" s="497"/>
      <c r="W1231" s="490"/>
      <c r="X1231" s="607"/>
      <c r="Y1231" s="607"/>
      <c r="Z1231" s="497"/>
      <c r="AA1231" s="497"/>
      <c r="AB1231" s="497"/>
      <c r="AC1231" s="497"/>
      <c r="AD1231" s="497"/>
      <c r="AE1231" s="497"/>
      <c r="AF1231" s="497"/>
      <c r="AG1231" s="497"/>
      <c r="AH1231" s="497"/>
      <c r="AI1231" s="497"/>
      <c r="AJ1231" s="497"/>
      <c r="AK1231" s="497"/>
      <c r="AL1231" s="497"/>
      <c r="AM1231" s="497"/>
      <c r="AN1231" s="605"/>
      <c r="AO1231" s="490"/>
      <c r="AP1231" s="490"/>
      <c r="AQ1231" s="490"/>
      <c r="AR1231" s="491"/>
      <c r="AS1231" s="491"/>
      <c r="AT1231" s="491"/>
      <c r="AU1231" s="491"/>
      <c r="AV1231" s="491"/>
      <c r="AW1231" s="618"/>
      <c r="AX1231" s="618"/>
      <c r="AY1231" s="618"/>
      <c r="AZ1231" s="618"/>
      <c r="BA1231" s="618"/>
      <c r="BB1231" s="618"/>
      <c r="BC1231" s="618"/>
      <c r="BD1231" s="618"/>
      <c r="BE1231" s="618"/>
      <c r="BF1231" s="618"/>
      <c r="BG1231" s="618"/>
      <c r="BH1231" s="618"/>
      <c r="BI1231" s="616"/>
    </row>
    <row r="1232" spans="1:64" ht="12" customHeight="1">
      <c r="A1232" s="464"/>
      <c r="B1232" s="241"/>
      <c r="C1232" s="28"/>
      <c r="D1232" s="28"/>
      <c r="E1232" s="28"/>
      <c r="F1232" s="28"/>
      <c r="G1232" s="28"/>
      <c r="H1232" s="463"/>
      <c r="I1232" s="466"/>
      <c r="J1232" s="214"/>
      <c r="K1232" s="29"/>
      <c r="L1232" s="467"/>
      <c r="M1232" s="467"/>
      <c r="N1232" s="467"/>
      <c r="O1232" s="467"/>
      <c r="P1232" s="467"/>
      <c r="Q1232" s="477" t="s">
        <v>888</v>
      </c>
      <c r="R1232" s="477"/>
      <c r="S1232" s="476"/>
      <c r="T1232" s="476"/>
      <c r="U1232" s="476"/>
      <c r="V1232" s="606"/>
      <c r="W1232" s="490"/>
      <c r="X1232" s="607"/>
      <c r="Y1232" s="607"/>
      <c r="Z1232" s="497"/>
      <c r="AA1232" s="497"/>
      <c r="AB1232" s="497"/>
      <c r="AC1232" s="497"/>
      <c r="AD1232" s="497"/>
      <c r="AE1232" s="497"/>
      <c r="AF1232" s="497"/>
      <c r="AG1232" s="497"/>
      <c r="AH1232" s="497"/>
      <c r="AI1232" s="497"/>
      <c r="AJ1232" s="497"/>
      <c r="AK1232" s="497"/>
      <c r="AL1232" s="497"/>
      <c r="AM1232" s="497"/>
      <c r="AN1232" s="605"/>
      <c r="AO1232" s="490"/>
      <c r="AP1232" s="490"/>
      <c r="AQ1232" s="490"/>
      <c r="AR1232" s="491"/>
      <c r="AS1232" s="491"/>
      <c r="AT1232" s="491"/>
      <c r="AU1232" s="491"/>
      <c r="AV1232" s="491"/>
      <c r="AW1232" s="618"/>
      <c r="AX1232" s="618"/>
      <c r="AY1232" s="618"/>
      <c r="AZ1232" s="618"/>
      <c r="BA1232" s="618"/>
      <c r="BB1232" s="618"/>
      <c r="BC1232" s="618"/>
      <c r="BD1232" s="618"/>
      <c r="BE1232" s="618"/>
      <c r="BF1232" s="618"/>
      <c r="BG1232" s="618"/>
      <c r="BH1232" s="618"/>
      <c r="BI1232" s="616"/>
    </row>
    <row r="1233" spans="1:61" ht="12" customHeight="1">
      <c r="A1233" s="464"/>
      <c r="B1233" s="241"/>
      <c r="C1233" s="28"/>
      <c r="D1233" s="28"/>
      <c r="E1233" s="28"/>
      <c r="F1233" s="28"/>
      <c r="G1233" s="28"/>
      <c r="H1233" s="463"/>
      <c r="I1233" s="466"/>
      <c r="J1233" s="214"/>
      <c r="K1233" s="29"/>
      <c r="L1233" s="467"/>
      <c r="M1233" s="467"/>
      <c r="N1233" s="467"/>
      <c r="O1233" s="467"/>
      <c r="P1233" s="467"/>
      <c r="Q1233" s="477" t="s">
        <v>889</v>
      </c>
      <c r="R1233" s="477"/>
      <c r="S1233" s="476"/>
      <c r="T1233" s="476"/>
      <c r="U1233" s="476"/>
      <c r="V1233" s="608"/>
      <c r="W1233" s="490"/>
      <c r="X1233" s="607"/>
      <c r="Y1233" s="607"/>
      <c r="Z1233" s="497"/>
      <c r="AA1233" s="497"/>
      <c r="AB1233" s="497"/>
      <c r="AC1233" s="497"/>
      <c r="AD1233" s="497"/>
      <c r="AE1233" s="497"/>
      <c r="AF1233" s="497"/>
      <c r="AG1233" s="497"/>
      <c r="AH1233" s="497"/>
      <c r="AI1233" s="497"/>
      <c r="AJ1233" s="497"/>
      <c r="AK1233" s="497"/>
      <c r="AL1233" s="497"/>
      <c r="AM1233" s="497"/>
      <c r="AN1233" s="605"/>
      <c r="AO1233" s="490"/>
      <c r="AP1233" s="490"/>
      <c r="AQ1233" s="490"/>
      <c r="AR1233" s="491"/>
      <c r="AS1233" s="491"/>
      <c r="AT1233" s="491"/>
      <c r="AU1233" s="491"/>
      <c r="AV1233" s="491"/>
      <c r="AW1233" s="618"/>
      <c r="AX1233" s="618"/>
      <c r="AY1233" s="618"/>
      <c r="AZ1233" s="618"/>
      <c r="BA1233" s="618"/>
      <c r="BB1233" s="618"/>
      <c r="BC1233" s="618"/>
      <c r="BD1233" s="618"/>
      <c r="BE1233" s="618"/>
      <c r="BF1233" s="618"/>
      <c r="BG1233" s="618"/>
      <c r="BH1233" s="618"/>
      <c r="BI1233" s="616"/>
    </row>
    <row r="1234" spans="1:61" ht="12" customHeight="1">
      <c r="A1234" s="464"/>
      <c r="B1234" s="241"/>
      <c r="C1234" s="28"/>
      <c r="D1234" s="28"/>
      <c r="E1234" s="28"/>
      <c r="F1234" s="28"/>
      <c r="G1234" s="28"/>
      <c r="H1234" s="463"/>
      <c r="I1234" s="466"/>
      <c r="J1234" s="214"/>
      <c r="K1234" s="34"/>
      <c r="L1234" s="468"/>
      <c r="M1234" s="468"/>
      <c r="N1234" s="468"/>
      <c r="O1234" s="468"/>
      <c r="P1234" s="468"/>
      <c r="Q1234" s="473" t="s">
        <v>890</v>
      </c>
      <c r="S1234" s="476"/>
      <c r="T1234" s="476"/>
      <c r="U1234" s="476"/>
      <c r="V1234" s="608"/>
      <c r="W1234" s="490"/>
      <c r="X1234" s="609"/>
      <c r="Y1234" s="609"/>
      <c r="Z1234" s="497"/>
      <c r="AA1234" s="497"/>
      <c r="AB1234" s="497"/>
      <c r="AC1234" s="497"/>
      <c r="AD1234" s="497"/>
      <c r="AE1234" s="497"/>
      <c r="AF1234" s="497"/>
      <c r="AG1234" s="497"/>
      <c r="AH1234" s="497"/>
      <c r="AI1234" s="497"/>
      <c r="AJ1234" s="497"/>
      <c r="AK1234" s="497"/>
      <c r="AL1234" s="497"/>
      <c r="AM1234" s="497"/>
      <c r="AN1234" s="605"/>
      <c r="AO1234" s="490"/>
      <c r="AP1234" s="490"/>
      <c r="AQ1234" s="490"/>
      <c r="AR1234" s="491"/>
      <c r="AS1234" s="491"/>
      <c r="AT1234" s="491"/>
      <c r="AU1234" s="491"/>
      <c r="AV1234" s="491"/>
      <c r="AW1234" s="618"/>
      <c r="AX1234" s="618"/>
      <c r="AY1234" s="618"/>
      <c r="AZ1234" s="618"/>
      <c r="BA1234" s="618"/>
      <c r="BB1234" s="618"/>
      <c r="BC1234" s="618"/>
      <c r="BD1234" s="618"/>
      <c r="BE1234" s="618"/>
      <c r="BF1234" s="618"/>
      <c r="BG1234" s="618"/>
      <c r="BH1234" s="618"/>
      <c r="BI1234" s="616"/>
    </row>
    <row r="1235" spans="1:61" ht="12" customHeight="1">
      <c r="A1235" s="464"/>
      <c r="B1235" s="241"/>
      <c r="C1235" s="28"/>
      <c r="D1235" s="28"/>
      <c r="E1235" s="28"/>
      <c r="F1235" s="28"/>
      <c r="G1235" s="28"/>
      <c r="H1235" s="463"/>
      <c r="I1235" s="466"/>
      <c r="J1235" s="214"/>
      <c r="K1235" s="34"/>
      <c r="L1235" s="468"/>
      <c r="M1235" s="468"/>
      <c r="N1235" s="468"/>
      <c r="O1235" s="468"/>
      <c r="P1235" s="468"/>
      <c r="Q1235" s="473" t="s">
        <v>891</v>
      </c>
      <c r="S1235" s="476"/>
      <c r="T1235" s="476"/>
      <c r="U1235" s="476"/>
      <c r="V1235" s="490"/>
      <c r="W1235" s="490"/>
      <c r="X1235" s="489"/>
      <c r="Y1235" s="489"/>
      <c r="Z1235" s="497"/>
      <c r="AA1235" s="497"/>
      <c r="AB1235" s="497"/>
      <c r="AC1235" s="497"/>
      <c r="AD1235" s="497"/>
      <c r="AE1235" s="497"/>
      <c r="AF1235" s="497"/>
      <c r="AG1235" s="497"/>
      <c r="AH1235" s="497"/>
      <c r="AI1235" s="497"/>
      <c r="AJ1235" s="497"/>
      <c r="AK1235" s="497"/>
      <c r="AL1235" s="497"/>
      <c r="AM1235" s="497"/>
      <c r="AN1235" s="605"/>
      <c r="AO1235" s="490"/>
      <c r="AP1235" s="490"/>
      <c r="AQ1235" s="490"/>
      <c r="AR1235" s="491"/>
      <c r="AS1235" s="491"/>
      <c r="AT1235" s="491"/>
      <c r="AU1235" s="491"/>
      <c r="AV1235" s="491"/>
      <c r="AW1235" s="618"/>
      <c r="AX1235" s="618"/>
      <c r="AY1235" s="618"/>
      <c r="AZ1235" s="618"/>
      <c r="BA1235" s="618"/>
      <c r="BB1235" s="618"/>
      <c r="BC1235" s="618"/>
      <c r="BD1235" s="618"/>
      <c r="BE1235" s="618"/>
      <c r="BF1235" s="618"/>
      <c r="BG1235" s="618"/>
      <c r="BH1235" s="618"/>
      <c r="BI1235" s="616"/>
    </row>
    <row r="1236" spans="1:61" ht="12" customHeight="1">
      <c r="A1236" s="464"/>
      <c r="B1236" s="241"/>
      <c r="C1236" s="28"/>
      <c r="D1236" s="28"/>
      <c r="E1236" s="28"/>
      <c r="F1236" s="28"/>
      <c r="G1236" s="28"/>
      <c r="H1236" s="463"/>
      <c r="I1236" s="466"/>
      <c r="J1236" s="214"/>
      <c r="K1236" s="34"/>
      <c r="L1236" s="469"/>
      <c r="M1236" s="468"/>
      <c r="N1236" s="468"/>
      <c r="O1236" s="468"/>
      <c r="P1236" s="468"/>
      <c r="Q1236" s="473" t="s">
        <v>892</v>
      </c>
      <c r="S1236" s="476"/>
      <c r="T1236" s="476"/>
      <c r="U1236" s="476"/>
      <c r="V1236" s="490"/>
      <c r="W1236" s="490"/>
      <c r="X1236" s="489"/>
      <c r="Y1236" s="489"/>
      <c r="Z1236" s="497"/>
      <c r="AA1236" s="497"/>
      <c r="AB1236" s="497"/>
      <c r="AC1236" s="497"/>
      <c r="AD1236" s="497"/>
      <c r="AE1236" s="497"/>
      <c r="AF1236" s="497"/>
      <c r="AG1236" s="497"/>
      <c r="AH1236" s="497"/>
      <c r="AI1236" s="497"/>
      <c r="AJ1236" s="497"/>
      <c r="AK1236" s="497"/>
      <c r="AL1236" s="497"/>
      <c r="AM1236" s="497"/>
      <c r="AN1236" s="605"/>
      <c r="AO1236" s="490"/>
      <c r="AP1236" s="490"/>
      <c r="AQ1236" s="490"/>
      <c r="AR1236" s="491"/>
      <c r="AS1236" s="491"/>
      <c r="AT1236" s="491"/>
      <c r="AU1236" s="491"/>
      <c r="AV1236" s="491"/>
      <c r="AW1236" s="618"/>
      <c r="AX1236" s="618"/>
      <c r="AY1236" s="618"/>
      <c r="AZ1236" s="618"/>
      <c r="BA1236" s="618"/>
      <c r="BB1236" s="618"/>
      <c r="BC1236" s="618"/>
      <c r="BD1236" s="618"/>
      <c r="BE1236" s="618"/>
      <c r="BF1236" s="618"/>
      <c r="BG1236" s="618"/>
      <c r="BH1236" s="618"/>
      <c r="BI1236" s="616"/>
    </row>
    <row r="1237" spans="1:61" ht="12" customHeight="1">
      <c r="A1237" s="464"/>
      <c r="B1237" s="241"/>
      <c r="C1237" s="28"/>
      <c r="D1237" s="28"/>
      <c r="E1237" s="28"/>
      <c r="F1237" s="28"/>
      <c r="G1237" s="28"/>
      <c r="H1237" s="463"/>
      <c r="I1237" s="466"/>
      <c r="J1237" s="214"/>
      <c r="K1237" s="34"/>
      <c r="M1237" s="468"/>
      <c r="N1237" s="468"/>
      <c r="O1237" s="468"/>
      <c r="P1237" s="468"/>
      <c r="Q1237" s="473" t="s">
        <v>893</v>
      </c>
      <c r="S1237" s="71"/>
      <c r="T1237" s="71"/>
      <c r="U1237" s="71"/>
      <c r="V1237" s="490"/>
      <c r="W1237" s="490"/>
      <c r="X1237" s="489"/>
      <c r="Y1237" s="489"/>
      <c r="Z1237" s="497"/>
      <c r="AA1237" s="497"/>
      <c r="AB1237" s="497"/>
      <c r="AC1237" s="497"/>
      <c r="AD1237" s="497"/>
      <c r="AE1237" s="497"/>
      <c r="AF1237" s="497"/>
      <c r="AG1237" s="497"/>
      <c r="AH1237" s="497"/>
      <c r="AI1237" s="497"/>
      <c r="AJ1237" s="497"/>
      <c r="AK1237" s="497"/>
      <c r="AL1237" s="497"/>
      <c r="AM1237" s="497"/>
      <c r="AN1237" s="605"/>
      <c r="AO1237" s="490"/>
      <c r="AP1237" s="490"/>
      <c r="AQ1237" s="490"/>
      <c r="AR1237" s="491"/>
      <c r="AS1237" s="491"/>
      <c r="AT1237" s="491"/>
      <c r="AU1237" s="491"/>
      <c r="AV1237" s="491"/>
      <c r="AW1237" s="618"/>
      <c r="AX1237" s="618"/>
      <c r="AY1237" s="618"/>
      <c r="AZ1237" s="618"/>
      <c r="BA1237" s="618"/>
      <c r="BB1237" s="618"/>
      <c r="BC1237" s="618"/>
      <c r="BD1237" s="618"/>
      <c r="BE1237" s="618"/>
      <c r="BF1237" s="618"/>
      <c r="BG1237" s="618"/>
      <c r="BH1237" s="618"/>
      <c r="BI1237" s="616"/>
    </row>
    <row r="1238" spans="1:61" ht="12" customHeight="1">
      <c r="A1238" s="464"/>
      <c r="B1238" s="241"/>
      <c r="C1238" s="33"/>
      <c r="D1238" s="33"/>
      <c r="E1238" s="33"/>
      <c r="F1238" s="33"/>
      <c r="G1238" s="33"/>
      <c r="H1238" s="34"/>
      <c r="I1238" s="71"/>
      <c r="J1238" s="34"/>
      <c r="K1238" s="34"/>
      <c r="L1238" s="470" t="s">
        <v>894</v>
      </c>
      <c r="M1238" s="468"/>
      <c r="N1238" s="468"/>
      <c r="O1238" s="468"/>
      <c r="P1238" s="468"/>
      <c r="Q1238" s="473" t="s">
        <v>895</v>
      </c>
      <c r="S1238" s="70"/>
      <c r="T1238" s="70"/>
      <c r="U1238" s="70"/>
      <c r="V1238" s="490"/>
      <c r="W1238" s="490"/>
      <c r="X1238" s="489"/>
      <c r="Y1238" s="489"/>
      <c r="Z1238" s="497"/>
      <c r="AA1238" s="497"/>
      <c r="AB1238" s="497"/>
      <c r="AC1238" s="497"/>
      <c r="AD1238" s="497"/>
      <c r="AE1238" s="497"/>
      <c r="AF1238" s="497"/>
      <c r="AG1238" s="497"/>
      <c r="AH1238" s="497"/>
      <c r="AI1238" s="497"/>
      <c r="AJ1238" s="497"/>
      <c r="AK1238" s="497"/>
      <c r="AL1238" s="497"/>
      <c r="AM1238" s="497"/>
      <c r="AN1238" s="605"/>
      <c r="AO1238" s="490"/>
      <c r="AP1238" s="490"/>
      <c r="AQ1238" s="490"/>
      <c r="AR1238" s="491"/>
      <c r="AS1238" s="491"/>
      <c r="AT1238" s="491"/>
      <c r="AU1238" s="491"/>
      <c r="AV1238" s="491"/>
      <c r="AW1238" s="618"/>
      <c r="AX1238" s="618"/>
      <c r="AY1238" s="618"/>
      <c r="AZ1238" s="618"/>
      <c r="BA1238" s="618"/>
      <c r="BB1238" s="618"/>
      <c r="BC1238" s="618"/>
      <c r="BD1238" s="618"/>
      <c r="BE1238" s="618"/>
      <c r="BF1238" s="618"/>
      <c r="BG1238" s="618"/>
      <c r="BH1238" s="618"/>
      <c r="BI1238" s="616"/>
    </row>
    <row r="1239" spans="1:61" ht="12" customHeight="1">
      <c r="A1239" s="33"/>
      <c r="B1239" s="33"/>
      <c r="C1239" s="33"/>
      <c r="D1239" s="33"/>
      <c r="E1239" s="33"/>
      <c r="F1239" s="33"/>
      <c r="G1239" s="33"/>
      <c r="H1239" s="34"/>
      <c r="I1239" s="71"/>
      <c r="J1239" s="34"/>
      <c r="K1239" s="470" t="s">
        <v>894</v>
      </c>
      <c r="L1239" s="470" t="s">
        <v>896</v>
      </c>
      <c r="M1239" s="468"/>
      <c r="N1239" s="468"/>
      <c r="O1239" s="468"/>
      <c r="P1239" s="468"/>
      <c r="Q1239" s="473" t="s">
        <v>897</v>
      </c>
      <c r="S1239" s="70"/>
      <c r="T1239" s="70"/>
      <c r="U1239" s="70"/>
      <c r="V1239" s="490"/>
      <c r="W1239" s="605"/>
      <c r="X1239" s="489"/>
      <c r="Y1239" s="489"/>
      <c r="Z1239" s="497"/>
      <c r="AA1239" s="497"/>
      <c r="AB1239" s="497"/>
      <c r="AC1239" s="497"/>
      <c r="AD1239" s="497"/>
      <c r="AE1239" s="497"/>
      <c r="AF1239" s="497"/>
      <c r="AG1239" s="497"/>
      <c r="AH1239" s="497"/>
      <c r="AI1239" s="497"/>
      <c r="AJ1239" s="497"/>
      <c r="AK1239" s="497"/>
      <c r="AL1239" s="497"/>
      <c r="AM1239" s="497"/>
      <c r="AN1239" s="608"/>
      <c r="AO1239" s="490"/>
      <c r="AP1239" s="490"/>
      <c r="AQ1239" s="605"/>
      <c r="AR1239" s="491"/>
      <c r="AS1239" s="491"/>
      <c r="AT1239" s="491"/>
      <c r="AU1239" s="491"/>
      <c r="AV1239" s="491"/>
      <c r="AW1239" s="618"/>
      <c r="AX1239" s="618"/>
      <c r="AY1239" s="618"/>
      <c r="AZ1239" s="618"/>
      <c r="BA1239" s="618"/>
      <c r="BB1239" s="618"/>
      <c r="BC1239" s="618"/>
      <c r="BD1239" s="618"/>
      <c r="BE1239" s="618"/>
      <c r="BF1239" s="618"/>
      <c r="BG1239" s="618"/>
      <c r="BH1239" s="618"/>
      <c r="BI1239" s="616"/>
    </row>
    <row r="1240" spans="1:61" ht="12" customHeight="1">
      <c r="A1240" s="33"/>
      <c r="B1240" s="33"/>
      <c r="C1240" s="465"/>
      <c r="D1240" s="33"/>
      <c r="E1240" s="33"/>
      <c r="F1240" s="33"/>
      <c r="G1240" s="33"/>
      <c r="H1240" s="34"/>
      <c r="I1240" s="71"/>
      <c r="J1240" s="34"/>
      <c r="K1240" s="470" t="s">
        <v>896</v>
      </c>
      <c r="L1240" s="468"/>
      <c r="M1240" s="468"/>
      <c r="N1240" s="468"/>
      <c r="O1240" s="468"/>
      <c r="P1240" s="468"/>
      <c r="Q1240" s="473" t="s">
        <v>898</v>
      </c>
      <c r="S1240" s="70"/>
      <c r="T1240" s="70"/>
      <c r="U1240" s="70"/>
      <c r="V1240" s="490"/>
      <c r="W1240" s="605"/>
      <c r="X1240" s="489"/>
      <c r="Y1240" s="489"/>
      <c r="Z1240" s="497"/>
      <c r="AA1240" s="497"/>
      <c r="AB1240" s="497"/>
      <c r="AC1240" s="497"/>
      <c r="AD1240" s="497"/>
      <c r="AE1240" s="497"/>
      <c r="AF1240" s="497"/>
      <c r="AG1240" s="497"/>
      <c r="AH1240" s="497"/>
      <c r="AI1240" s="497"/>
      <c r="AJ1240" s="497"/>
      <c r="AK1240" s="497"/>
      <c r="AL1240" s="497"/>
      <c r="AM1240" s="497"/>
      <c r="AN1240" s="498"/>
      <c r="AO1240" s="490"/>
      <c r="AP1240" s="490"/>
      <c r="AQ1240" s="605"/>
      <c r="AR1240" s="491"/>
      <c r="AS1240" s="491"/>
      <c r="AT1240" s="491"/>
      <c r="AU1240" s="491"/>
      <c r="AV1240" s="491"/>
      <c r="AW1240" s="618"/>
      <c r="AX1240" s="618"/>
      <c r="AY1240" s="618"/>
      <c r="AZ1240" s="618"/>
      <c r="BA1240" s="618"/>
      <c r="BB1240" s="618"/>
      <c r="BC1240" s="618"/>
      <c r="BD1240" s="618"/>
      <c r="BE1240" s="618"/>
      <c r="BF1240" s="618"/>
      <c r="BG1240" s="618"/>
      <c r="BH1240" s="618"/>
      <c r="BI1240" s="616"/>
    </row>
    <row r="1241" spans="1:61" ht="12" customHeight="1">
      <c r="A1241" s="33"/>
      <c r="B1241" s="33"/>
      <c r="C1241" s="465"/>
      <c r="D1241" s="33"/>
      <c r="E1241" s="33"/>
      <c r="F1241" s="33"/>
      <c r="G1241" s="33"/>
      <c r="H1241" s="34"/>
      <c r="I1241" s="71"/>
      <c r="J1241" s="34"/>
      <c r="K1241" s="34"/>
      <c r="L1241" s="468"/>
      <c r="M1241" s="468"/>
      <c r="N1241" s="468"/>
      <c r="O1241" s="468"/>
      <c r="P1241" s="468"/>
      <c r="Q1241" s="473" t="s">
        <v>899</v>
      </c>
      <c r="S1241" s="70"/>
      <c r="T1241" s="70"/>
      <c r="U1241" s="70"/>
      <c r="V1241" s="490"/>
      <c r="W1241" s="605"/>
      <c r="X1241" s="489"/>
      <c r="Y1241" s="489"/>
      <c r="Z1241" s="497"/>
      <c r="AA1241" s="497"/>
      <c r="AB1241" s="497"/>
      <c r="AC1241" s="497"/>
      <c r="AD1241" s="497"/>
      <c r="AE1241" s="497"/>
      <c r="AF1241" s="497"/>
      <c r="AG1241" s="497"/>
      <c r="AH1241" s="497"/>
      <c r="AI1241" s="497"/>
      <c r="AJ1241" s="497"/>
      <c r="AK1241" s="497"/>
      <c r="AL1241" s="497"/>
      <c r="AM1241" s="497"/>
      <c r="AN1241" s="498"/>
      <c r="AO1241" s="490"/>
      <c r="AP1241" s="490"/>
      <c r="AQ1241" s="605"/>
      <c r="AR1241" s="491"/>
      <c r="AS1241" s="491"/>
      <c r="AT1241" s="491"/>
      <c r="AU1241" s="491"/>
      <c r="AV1241" s="491"/>
      <c r="AW1241" s="618"/>
      <c r="AX1241" s="618"/>
      <c r="AY1241" s="618"/>
      <c r="AZ1241" s="618"/>
      <c r="BA1241" s="618"/>
      <c r="BB1241" s="618"/>
      <c r="BC1241" s="618"/>
      <c r="BD1241" s="618"/>
      <c r="BE1241" s="618"/>
      <c r="BF1241" s="618"/>
      <c r="BG1241" s="618"/>
      <c r="BH1241" s="618"/>
      <c r="BI1241" s="616"/>
    </row>
    <row r="1242" spans="1:61" ht="14.25">
      <c r="A1242" s="33"/>
      <c r="B1242" s="33"/>
      <c r="C1242" s="465"/>
      <c r="D1242" s="33"/>
      <c r="E1242" s="33"/>
      <c r="F1242" s="33"/>
      <c r="G1242" s="33"/>
      <c r="H1242" s="34"/>
      <c r="I1242" s="71"/>
      <c r="J1242" s="34"/>
      <c r="K1242" s="34"/>
      <c r="L1242" s="468"/>
      <c r="M1242" s="468"/>
      <c r="N1242" s="468"/>
      <c r="O1242" s="468"/>
      <c r="P1242" s="468"/>
      <c r="Q1242" s="468"/>
      <c r="R1242" s="468"/>
      <c r="S1242" s="70"/>
      <c r="T1242" s="70"/>
      <c r="U1242" s="70"/>
      <c r="V1242" s="490"/>
      <c r="W1242" s="605"/>
      <c r="X1242" s="489"/>
      <c r="Y1242" s="489"/>
      <c r="Z1242" s="497"/>
      <c r="AA1242" s="497"/>
      <c r="AB1242" s="497"/>
      <c r="AC1242" s="497"/>
      <c r="AD1242" s="497"/>
      <c r="AE1242" s="497"/>
      <c r="AF1242" s="497"/>
      <c r="AG1242" s="497"/>
      <c r="AH1242" s="497"/>
      <c r="AI1242" s="497"/>
      <c r="AJ1242" s="497"/>
      <c r="AK1242" s="497"/>
      <c r="AL1242" s="497"/>
      <c r="AM1242" s="497"/>
      <c r="AN1242" s="498"/>
      <c r="AO1242" s="490"/>
      <c r="AP1242" s="490"/>
      <c r="AQ1242" s="605"/>
      <c r="AR1242" s="491"/>
      <c r="AS1242" s="491"/>
      <c r="AT1242" s="491"/>
      <c r="AU1242" s="491"/>
      <c r="AV1242" s="491"/>
      <c r="AW1242" s="618"/>
      <c r="AX1242" s="618"/>
      <c r="AY1242" s="618"/>
      <c r="AZ1242" s="618"/>
      <c r="BA1242" s="618"/>
      <c r="BB1242" s="618"/>
      <c r="BC1242" s="618"/>
      <c r="BD1242" s="618"/>
      <c r="BE1242" s="618"/>
      <c r="BF1242" s="618"/>
      <c r="BG1242" s="618"/>
      <c r="BH1242" s="618"/>
    </row>
    <row r="1243" spans="1:61" ht="15.75">
      <c r="A1243" s="33"/>
      <c r="B1243" s="33"/>
      <c r="C1243" s="33"/>
      <c r="D1243" s="33"/>
      <c r="E1243" s="33"/>
      <c r="F1243" s="33"/>
      <c r="G1243" s="33"/>
      <c r="H1243" s="34"/>
      <c r="I1243" s="71"/>
      <c r="J1243" s="34"/>
      <c r="K1243" s="34"/>
      <c r="L1243" s="471" t="s">
        <v>900</v>
      </c>
      <c r="M1243" s="468"/>
      <c r="N1243" s="468"/>
      <c r="O1243" s="468"/>
      <c r="P1243" s="468"/>
      <c r="Q1243" s="468"/>
      <c r="R1243" s="468"/>
      <c r="S1243" s="70"/>
      <c r="T1243" s="70"/>
      <c r="U1243" s="70"/>
      <c r="V1243" s="605"/>
      <c r="W1243" s="490"/>
      <c r="X1243" s="489"/>
      <c r="Y1243" s="489"/>
      <c r="Z1243" s="497"/>
      <c r="AA1243" s="497"/>
      <c r="AB1243" s="497"/>
      <c r="AC1243" s="497"/>
      <c r="AD1243" s="497"/>
      <c r="AE1243" s="497"/>
      <c r="AF1243" s="497"/>
      <c r="AG1243" s="497"/>
      <c r="AH1243" s="497"/>
      <c r="AI1243" s="497"/>
      <c r="AJ1243" s="497"/>
      <c r="AK1243" s="497"/>
      <c r="AL1243" s="497"/>
      <c r="AM1243" s="497"/>
      <c r="AN1243" s="498"/>
      <c r="AO1243" s="490"/>
      <c r="AP1243" s="490"/>
      <c r="AQ1243" s="490"/>
      <c r="AR1243" s="491"/>
      <c r="AS1243" s="491"/>
      <c r="AT1243" s="491"/>
      <c r="AU1243" s="491"/>
      <c r="AV1243" s="491"/>
      <c r="AW1243" s="618"/>
      <c r="AX1243" s="618"/>
      <c r="AY1243" s="618"/>
      <c r="AZ1243" s="618"/>
      <c r="BA1243" s="618"/>
      <c r="BB1243" s="618"/>
      <c r="BC1243" s="618"/>
      <c r="BD1243" s="618"/>
      <c r="BE1243" s="618"/>
      <c r="BF1243" s="618"/>
      <c r="BG1243" s="618"/>
      <c r="BH1243" s="618"/>
    </row>
    <row r="1244" spans="1:61" ht="15.75">
      <c r="A1244" s="33"/>
      <c r="B1244" s="33"/>
      <c r="C1244" s="33"/>
      <c r="D1244" s="33"/>
      <c r="E1244" s="33"/>
      <c r="F1244" s="33"/>
      <c r="G1244" s="33"/>
      <c r="H1244" s="34"/>
      <c r="I1244" s="71"/>
      <c r="J1244" s="34"/>
      <c r="K1244" s="34"/>
      <c r="L1244" s="471" t="s">
        <v>901</v>
      </c>
      <c r="M1244" s="468"/>
      <c r="N1244" s="468"/>
      <c r="O1244" s="468"/>
      <c r="P1244" s="468"/>
      <c r="Q1244" s="468"/>
      <c r="R1244" s="468"/>
      <c r="S1244" s="70"/>
      <c r="T1244" s="70"/>
      <c r="U1244" s="70"/>
      <c r="V1244" s="605"/>
      <c r="W1244" s="490"/>
      <c r="X1244" s="490"/>
      <c r="Y1244" s="490"/>
      <c r="Z1244" s="497"/>
      <c r="AA1244" s="497"/>
      <c r="AB1244" s="497"/>
      <c r="AC1244" s="497"/>
      <c r="AD1244" s="497"/>
      <c r="AE1244" s="497"/>
      <c r="AF1244" s="497"/>
      <c r="AG1244" s="497"/>
      <c r="AH1244" s="497"/>
      <c r="AI1244" s="497"/>
      <c r="AJ1244" s="497"/>
      <c r="AK1244" s="497"/>
      <c r="AL1244" s="497"/>
      <c r="AM1244" s="497"/>
      <c r="AN1244" s="498"/>
      <c r="AO1244" s="490"/>
      <c r="AP1244" s="490"/>
      <c r="AQ1244" s="490"/>
      <c r="AR1244" s="491"/>
      <c r="AS1244" s="491"/>
      <c r="AT1244" s="491"/>
      <c r="AU1244" s="491"/>
      <c r="AV1244" s="491"/>
      <c r="AW1244" s="618"/>
      <c r="AX1244" s="618"/>
      <c r="AY1244" s="618"/>
      <c r="AZ1244" s="618"/>
      <c r="BA1244" s="618"/>
      <c r="BB1244" s="618"/>
      <c r="BC1244" s="618"/>
      <c r="BD1244" s="618"/>
      <c r="BE1244" s="618"/>
      <c r="BF1244" s="618"/>
      <c r="BG1244" s="618"/>
      <c r="BH1244" s="618"/>
    </row>
    <row r="1245" spans="1:61" ht="15.75">
      <c r="A1245" s="33"/>
      <c r="B1245" s="33"/>
      <c r="C1245" s="33"/>
      <c r="D1245" s="33"/>
      <c r="E1245" s="33"/>
      <c r="F1245" s="33"/>
      <c r="G1245" s="33"/>
      <c r="H1245" s="34"/>
      <c r="I1245" s="71"/>
      <c r="J1245" s="34"/>
      <c r="K1245" s="34"/>
      <c r="L1245" s="470" t="s">
        <v>902</v>
      </c>
      <c r="M1245" s="468"/>
      <c r="N1245" s="468"/>
      <c r="O1245" s="468"/>
      <c r="P1245" s="468"/>
      <c r="Q1245" s="468"/>
      <c r="R1245" s="468"/>
      <c r="S1245" s="70"/>
      <c r="T1245" s="70"/>
      <c r="U1245" s="70"/>
      <c r="V1245" s="605"/>
      <c r="W1245" s="610"/>
      <c r="X1245" s="490"/>
      <c r="Y1245" s="490"/>
      <c r="Z1245" s="497"/>
      <c r="AA1245" s="497"/>
      <c r="AB1245" s="497"/>
      <c r="AC1245" s="497"/>
      <c r="AD1245" s="497"/>
      <c r="AE1245" s="497"/>
      <c r="AF1245" s="497"/>
      <c r="AG1245" s="497"/>
      <c r="AH1245" s="497"/>
      <c r="AI1245" s="497"/>
      <c r="AJ1245" s="497"/>
      <c r="AK1245" s="497"/>
      <c r="AL1245" s="497"/>
      <c r="AM1245" s="497"/>
      <c r="AN1245" s="498"/>
      <c r="AO1245" s="490"/>
      <c r="AP1245" s="490"/>
      <c r="AQ1245" s="490"/>
      <c r="AR1245" s="491"/>
      <c r="AS1245" s="491"/>
      <c r="AT1245" s="491"/>
      <c r="AU1245" s="491"/>
      <c r="AV1245" s="491"/>
      <c r="AW1245" s="618"/>
      <c r="AX1245" s="618"/>
      <c r="AY1245" s="618"/>
      <c r="AZ1245" s="618"/>
      <c r="BA1245" s="618"/>
      <c r="BB1245" s="618"/>
      <c r="BC1245" s="618"/>
      <c r="BD1245" s="618"/>
      <c r="BE1245" s="618"/>
      <c r="BF1245" s="618"/>
      <c r="BG1245" s="618"/>
      <c r="BH1245" s="618"/>
    </row>
    <row r="1246" spans="1:61" ht="15.75">
      <c r="A1246" s="33"/>
      <c r="B1246" s="33"/>
      <c r="C1246" s="33"/>
      <c r="D1246" s="33"/>
      <c r="E1246" s="33"/>
      <c r="F1246" s="33"/>
      <c r="G1246" s="33"/>
      <c r="H1246" s="34"/>
      <c r="I1246" s="71"/>
      <c r="J1246" s="34"/>
      <c r="K1246" s="34"/>
      <c r="L1246" s="472" t="s">
        <v>903</v>
      </c>
      <c r="M1246" s="473"/>
      <c r="N1246" s="473"/>
      <c r="O1246" s="473"/>
      <c r="P1246" s="473"/>
      <c r="S1246" s="70"/>
      <c r="T1246" s="70"/>
      <c r="U1246" s="70"/>
      <c r="V1246" s="605"/>
      <c r="W1246" s="610"/>
      <c r="X1246" s="490"/>
      <c r="Y1246" s="490"/>
      <c r="Z1246" s="497"/>
      <c r="AA1246" s="497"/>
      <c r="AB1246" s="497"/>
      <c r="AC1246" s="497"/>
      <c r="AD1246" s="497"/>
      <c r="AE1246" s="497"/>
      <c r="AF1246" s="497"/>
      <c r="AG1246" s="497"/>
      <c r="AH1246" s="497"/>
      <c r="AI1246" s="497"/>
      <c r="AJ1246" s="497"/>
      <c r="AK1246" s="497"/>
      <c r="AL1246" s="497"/>
      <c r="AM1246" s="497"/>
      <c r="AN1246" s="498"/>
      <c r="AO1246" s="490"/>
      <c r="AP1246" s="490"/>
      <c r="AQ1246" s="490"/>
      <c r="AR1246" s="491"/>
      <c r="AS1246" s="491"/>
      <c r="AT1246" s="491"/>
      <c r="AU1246" s="491"/>
      <c r="AV1246" s="491"/>
      <c r="AW1246" s="618"/>
      <c r="AX1246" s="618"/>
      <c r="AY1246" s="618"/>
      <c r="AZ1246" s="618"/>
      <c r="BA1246" s="618"/>
      <c r="BB1246" s="618"/>
      <c r="BC1246" s="618"/>
      <c r="BD1246" s="618"/>
      <c r="BE1246" s="618"/>
      <c r="BF1246" s="618"/>
      <c r="BG1246" s="618"/>
      <c r="BH1246" s="618"/>
    </row>
    <row r="1247" spans="1:61" ht="15.75">
      <c r="A1247" s="482"/>
      <c r="B1247" s="483"/>
      <c r="C1247" s="483"/>
      <c r="D1247" s="483"/>
      <c r="E1247" s="483"/>
      <c r="F1247" s="483"/>
      <c r="G1247" s="483"/>
      <c r="H1247" s="484"/>
      <c r="I1247" s="474"/>
      <c r="J1247" s="34"/>
      <c r="K1247" s="470" t="s">
        <v>902</v>
      </c>
      <c r="Q1247" s="473" t="s">
        <v>904</v>
      </c>
      <c r="V1247" s="490"/>
      <c r="W1247" s="611"/>
      <c r="X1247" s="495"/>
      <c r="Y1247" s="496"/>
      <c r="Z1247" s="496"/>
      <c r="AA1247" s="496"/>
      <c r="AB1247" s="496"/>
      <c r="AC1247" s="497"/>
      <c r="AD1247" s="497"/>
      <c r="AE1247" s="497"/>
      <c r="AF1247" s="497"/>
      <c r="AG1247" s="497"/>
      <c r="AH1247" s="497"/>
      <c r="AI1247" s="496"/>
      <c r="AJ1247" s="496"/>
      <c r="AK1247" s="496"/>
      <c r="AL1247" s="496"/>
      <c r="AM1247" s="496"/>
      <c r="AN1247" s="498"/>
      <c r="AO1247" s="490"/>
      <c r="AP1247" s="490"/>
      <c r="AQ1247" s="494"/>
      <c r="AR1247" s="491"/>
      <c r="AS1247" s="491"/>
      <c r="AT1247" s="491"/>
      <c r="AU1247" s="491"/>
      <c r="AV1247" s="491"/>
      <c r="AW1247" s="618"/>
      <c r="AX1247" s="618"/>
      <c r="AY1247" s="618"/>
      <c r="AZ1247" s="618"/>
      <c r="BA1247" s="618"/>
      <c r="BB1247" s="618"/>
      <c r="BC1247" s="618"/>
      <c r="BD1247" s="618"/>
      <c r="BE1247" s="618"/>
      <c r="BF1247" s="618"/>
      <c r="BG1247" s="618"/>
      <c r="BH1247" s="618"/>
    </row>
    <row r="1248" spans="1:61" ht="15.75">
      <c r="A1248" s="482"/>
      <c r="B1248" s="482"/>
      <c r="C1248" s="482"/>
      <c r="D1248" s="482"/>
      <c r="K1248" s="472" t="s">
        <v>903</v>
      </c>
      <c r="Q1248" s="473" t="s">
        <v>905</v>
      </c>
      <c r="V1248" s="490"/>
      <c r="W1248" s="494"/>
      <c r="X1248" s="495"/>
      <c r="Y1248" s="496"/>
      <c r="Z1248" s="496"/>
      <c r="AA1248" s="496"/>
      <c r="AB1248" s="496"/>
      <c r="AC1248" s="497"/>
      <c r="AD1248" s="497"/>
      <c r="AE1248" s="497"/>
      <c r="AF1248" s="497"/>
      <c r="AG1248" s="497"/>
      <c r="AH1248" s="497"/>
      <c r="AI1248" s="496"/>
      <c r="AJ1248" s="496"/>
      <c r="AK1248" s="496"/>
      <c r="AL1248" s="496"/>
      <c r="AM1248" s="496"/>
      <c r="AN1248" s="498"/>
      <c r="AO1248" s="490"/>
      <c r="AP1248" s="490"/>
      <c r="AQ1248" s="494"/>
      <c r="AR1248" s="491"/>
      <c r="AS1248" s="491"/>
      <c r="AT1248" s="491"/>
      <c r="AU1248" s="491"/>
      <c r="AV1248" s="491"/>
      <c r="AW1248" s="618"/>
      <c r="AX1248" s="618"/>
      <c r="AY1248" s="618"/>
      <c r="AZ1248" s="618"/>
      <c r="BA1248" s="618"/>
      <c r="BB1248" s="618"/>
      <c r="BC1248" s="618"/>
      <c r="BD1248" s="618"/>
      <c r="BE1248" s="618"/>
      <c r="BF1248" s="618"/>
      <c r="BG1248" s="618"/>
      <c r="BH1248" s="618"/>
    </row>
    <row r="1249" spans="1:22" ht="13.5">
      <c r="A1249" s="620" t="s">
        <v>916</v>
      </c>
      <c r="B1249" s="620"/>
      <c r="C1249" s="620"/>
      <c r="D1249" s="620"/>
      <c r="E1249" s="620"/>
      <c r="F1249" s="620"/>
      <c r="G1249" s="620"/>
      <c r="H1249" s="620"/>
      <c r="I1249" s="620"/>
      <c r="K1249" s="29"/>
      <c r="Q1249" s="473" t="s">
        <v>906</v>
      </c>
      <c r="V1249" s="610" t="s">
        <v>907</v>
      </c>
    </row>
    <row r="1250" spans="1:22" ht="14.25">
      <c r="A1250" s="620" t="s">
        <v>917</v>
      </c>
      <c r="B1250" s="620"/>
      <c r="C1250" s="620"/>
      <c r="D1250" s="620"/>
      <c r="E1250" s="620"/>
      <c r="F1250" s="620"/>
      <c r="G1250" s="620"/>
      <c r="H1250" s="620"/>
      <c r="I1250" s="620"/>
      <c r="J1250" s="278"/>
      <c r="K1250" s="278"/>
      <c r="L1250" s="278"/>
      <c r="M1250" s="278"/>
      <c r="N1250" s="278"/>
      <c r="O1250" s="278"/>
      <c r="P1250" s="278"/>
      <c r="Q1250" s="278"/>
      <c r="R1250" s="278"/>
      <c r="S1250" s="278"/>
      <c r="T1250" s="278"/>
      <c r="U1250" s="278"/>
      <c r="V1250" s="610" t="s">
        <v>905</v>
      </c>
    </row>
    <row r="1251" spans="1:22" ht="13.5" customHeight="1">
      <c r="A1251" s="621" t="s">
        <v>918</v>
      </c>
      <c r="B1251" s="621"/>
      <c r="C1251" s="621"/>
      <c r="D1251" s="621"/>
      <c r="E1251" s="621"/>
      <c r="F1251" s="621"/>
      <c r="G1251" s="621"/>
      <c r="H1251" s="621"/>
      <c r="I1251" s="621"/>
      <c r="J1251" s="29"/>
      <c r="K1251" s="101"/>
      <c r="L1251" s="102"/>
      <c r="M1251" s="102"/>
      <c r="N1251" s="102"/>
      <c r="O1251" s="102"/>
      <c r="P1251" s="102"/>
      <c r="Q1251" s="102"/>
      <c r="R1251" s="102"/>
      <c r="S1251" s="102"/>
      <c r="T1251" s="102"/>
      <c r="U1251" s="102"/>
      <c r="V1251" s="611" t="s">
        <v>908</v>
      </c>
    </row>
    <row r="1252" spans="1:22" ht="13.5">
      <c r="A1252" s="28"/>
      <c r="B1252" s="28"/>
      <c r="C1252" s="28"/>
      <c r="D1252" s="28"/>
      <c r="E1252" s="28"/>
      <c r="F1252" s="28"/>
      <c r="G1252" s="28"/>
      <c r="H1252" s="29"/>
      <c r="I1252" s="30"/>
      <c r="J1252" s="29"/>
      <c r="K1252" s="101"/>
      <c r="L1252" s="102"/>
      <c r="M1252" s="102"/>
      <c r="N1252" s="102"/>
      <c r="O1252" s="102"/>
      <c r="P1252" s="102"/>
      <c r="Q1252" s="102"/>
      <c r="R1252" s="102"/>
      <c r="S1252" s="102"/>
      <c r="T1252" s="102"/>
      <c r="U1252" s="102"/>
      <c r="V1252" s="494"/>
    </row>
  </sheetData>
  <mergeCells count="28">
    <mergeCell ref="AR44:AV44"/>
    <mergeCell ref="AR10:AV10"/>
    <mergeCell ref="AR38:AR39"/>
    <mergeCell ref="AS38:AS39"/>
    <mergeCell ref="AT38:AT39"/>
    <mergeCell ref="AU38:AU39"/>
    <mergeCell ref="AV38:AV39"/>
    <mergeCell ref="AV7:AV8"/>
    <mergeCell ref="A1:AQ1"/>
    <mergeCell ref="AR7:AR8"/>
    <mergeCell ref="AS7:AS8"/>
    <mergeCell ref="AT7:AT8"/>
    <mergeCell ref="AU7:AU8"/>
    <mergeCell ref="AR200:AV200"/>
    <mergeCell ref="AR194:AR195"/>
    <mergeCell ref="AS194:AS195"/>
    <mergeCell ref="AT194:AT195"/>
    <mergeCell ref="AU194:AU195"/>
    <mergeCell ref="AV194:AV195"/>
    <mergeCell ref="A1249:I1249"/>
    <mergeCell ref="A1250:I1250"/>
    <mergeCell ref="A1251:I1251"/>
    <mergeCell ref="AR355:AV355"/>
    <mergeCell ref="AR350:AR351"/>
    <mergeCell ref="AS350:AS351"/>
    <mergeCell ref="AT350:AT351"/>
    <mergeCell ref="AU350:AU351"/>
    <mergeCell ref="AV350:AV351"/>
  </mergeCells>
  <phoneticPr fontId="31" type="noConversion"/>
  <pageMargins left="0.70866141732283472" right="0.70866141732283472" top="0.74803149606299213" bottom="0.74803149606299213" header="0.31496062992125984" footer="0.31496062992125984"/>
  <pageSetup paperSize="9" scale="70" fitToHeight="0" orientation="landscape" r:id="rId1"/>
  <drawing r:id="rId2"/>
  <legacy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2024</vt:lpstr>
      <vt:lpstr>'2024'!Print_Titles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nmiskovic</dc:creator>
  <cp:lastModifiedBy>korisnik</cp:lastModifiedBy>
  <cp:lastPrinted>2025-07-23T08:43:54Z</cp:lastPrinted>
  <dcterms:created xsi:type="dcterms:W3CDTF">2011-11-18T19:11:00Z</dcterms:created>
  <dcterms:modified xsi:type="dcterms:W3CDTF">2025-07-29T06:15:03Z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3C1C338CDF3245D088987882D54AB928_13</vt:lpwstr>
  </property>
  <property fmtid="{D5CDD505-2E9C-101B-9397-08002B2CF9AE}" pid="3" name="KSOProductBuildVer">
    <vt:lpwstr>1033-12.2.0.21179</vt:lpwstr>
  </property>
</Properties>
</file>